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120" yWindow="1620" windowWidth="15480" windowHeight="7620" tabRatio="909" firstSheet="33" activeTab="39"/>
  </bookViews>
  <sheets>
    <sheet name="LDC Info" sheetId="32" r:id="rId1"/>
    <sheet name="Index" sheetId="10" r:id="rId2"/>
    <sheet name="App.2-A_Capital Projects" sheetId="93" r:id="rId3"/>
    <sheet name="App.2-B_Fixed Asset 2009" sheetId="1" r:id="rId4"/>
    <sheet name="App.2-B_Fixed Asset 2010" sheetId="51" r:id="rId5"/>
    <sheet name="App.2-B_Fixed Asset 2011" sheetId="52" r:id="rId6"/>
    <sheet name="App.2-B_Fixed Asset 2012 CGAAP" sheetId="53" r:id="rId7"/>
    <sheet name="App.2-B_Fixed Asset 2012 MIFRS" sheetId="54" r:id="rId8"/>
    <sheet name="App.2-B_Fix Ass 2012 MIFRS Adj " sheetId="101" r:id="rId9"/>
    <sheet name="App.2-B_Fixed Asset 2013 CGAAP" sheetId="63" r:id="rId10"/>
    <sheet name="App.2-B_Fixed Asset 2013 MIFRS" sheetId="55" r:id="rId11"/>
    <sheet name="App.2-CE_CGAAP_DepExp_2011" sheetId="39" r:id="rId12"/>
    <sheet name="App.2-CF_CGAAP_DepExp_2012" sheetId="40" r:id="rId13"/>
    <sheet name="App.2-CG_MIFRS_DepExp_2012" sheetId="91" r:id="rId14"/>
    <sheet name="App.2-CH_MIFRS_DepExp_2013 " sheetId="92" r:id="rId15"/>
    <sheet name="App.2-D_Overhead" sheetId="44" r:id="rId16"/>
    <sheet name="App.2-EB_PP&amp;E Deferral Account" sheetId="47" r:id="rId17"/>
    <sheet name="App.2-F_Other_Oper_Rev " sheetId="60" r:id="rId18"/>
    <sheet name="App.2-G_Detailed_OM&amp;A_Expen " sheetId="64" r:id="rId19"/>
    <sheet name="App.2-H_OM&amp;A_Detailed_Analysis" sheetId="31" r:id="rId20"/>
    <sheet name="App.2-I_OM&amp;A_Summary_Analys" sheetId="49" r:id="rId21"/>
    <sheet name="App.2-J_OM&amp;A_Cost _Drivers" sheetId="115" r:id="rId22"/>
    <sheet name="App 2-K Employee Compensation" sheetId="114" r:id="rId23"/>
    <sheet name="App.2-L_OM&amp;A_per_Cust_FTEE" sheetId="20" r:id="rId24"/>
    <sheet name="App.2-M_Regulatory_Costs" sheetId="12" r:id="rId25"/>
    <sheet name="App.2-N_Corp_Cost_Allocation'13" sheetId="108" r:id="rId26"/>
    <sheet name="App.2-N_Corp_Cost_Allocation'12" sheetId="109" r:id="rId27"/>
    <sheet name="App.2-N_Corp_Cost_Allocation'11" sheetId="110" r:id="rId28"/>
    <sheet name="App.2-N_Corp_Cost_Allocation'10" sheetId="111" r:id="rId29"/>
    <sheet name="App.2-N_Corp_Cost_Allocation'09" sheetId="112" r:id="rId30"/>
    <sheet name="App 2-N 2009 Approved" sheetId="113" r:id="rId31"/>
    <sheet name="App.2-OA Capital Structure  " sheetId="65" r:id="rId32"/>
    <sheet name="App.2-OB_Debt Instruments" sheetId="6" r:id="rId33"/>
    <sheet name="App.2-P_Cost_Allocation" sheetId="33" r:id="rId34"/>
    <sheet name="App.2-R_Loss Factors" sheetId="21" r:id="rId35"/>
    <sheet name="App.2-S_Stranded Meters" sheetId="23" r:id="rId36"/>
    <sheet name="App.2-T_1592_Tax_Variance" sheetId="25" r:id="rId37"/>
    <sheet name="App.2-U_IFRS Transition Costs" sheetId="45" r:id="rId38"/>
    <sheet name="App.2-V_Rev_Reconciliation" sheetId="30" r:id="rId39"/>
    <sheet name="App 2-W Bill Impacts" sheetId="94" r:id="rId40"/>
    <sheet name="App.2-X_CoS_Flowchart" sheetId="26"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Accounts" localSheetId="2">'[1]List of Asset Acc Num and Desrc'!$D$5:$D$60</definedName>
    <definedName name="Accounts">'[2]List of Asset Acc Num and Desrc'!$D$5:$D$60</definedName>
    <definedName name="ApprovedYr" localSheetId="39">[3]Z1.ModelVariables!$C$12</definedName>
    <definedName name="ApprovedYr" localSheetId="2">[4]Z1.ModelVariables!$C$12</definedName>
    <definedName name="ApprovedYr">[5]Z1.ModelVariables!$C$12</definedName>
    <definedName name="compound_period" localSheetId="21">INDEX({1;2;4;6;12;24;26;52},MATCH([6]Schedule!$D$10,period_names,0))</definedName>
    <definedName name="compound_period">INDEX({1;2;4;6;12;24;26;52},MATCH([6]Schedule!$D$10,period_names,0))</definedName>
    <definedName name="CRLF">[3]Z1.ModelVariables!$C$10</definedName>
    <definedName name="CRLF2">[3]Z1.ModelVariables!$C$11</definedName>
    <definedName name="DeferralApprov">[3]A1.Admin!$C$23</definedName>
    <definedName name="FakeBlank">[3]Z1.ModelVariables!$C$14</definedName>
    <definedName name="FolderPath">[3]Z1.ModelVariables!$C$15</definedName>
    <definedName name="fpdate">'[3]2.2M debenture'!$D$8</definedName>
    <definedName name="HistYrs">[3]A1.Admin!$C$21</definedName>
    <definedName name="LDC_LIST" localSheetId="2">[7]lists!$AM$1:$AM$80</definedName>
    <definedName name="LDC_LIST">[8]lists!$AM$1:$AM$80</definedName>
    <definedName name="LDCLIST" localSheetId="2">'[9]LDC Info'!$AA$3:$AA$80</definedName>
    <definedName name="LDCLIST" localSheetId="8">'[10]LDC Info'!$AA$3:$AA$80</definedName>
    <definedName name="LDCLIST" localSheetId="13">'[10]LDC Info'!$AA$3:$AA$80</definedName>
    <definedName name="LDCLIST" localSheetId="14">'[10]LDC Info'!$AA$3:$AA$80</definedName>
    <definedName name="LDCLIST" localSheetId="21">'[10]LDC Info'!$AA$3:$AA$80</definedName>
    <definedName name="LDCLIST" localSheetId="31">'[11]LDC Info'!$AA$3:$AA$79</definedName>
    <definedName name="LDCLIST">'LDC Info'!$AA$3:$AA$80</definedName>
    <definedName name="loan_amount">'[3]2.2M debenture'!$D$5</definedName>
    <definedName name="Mon" localSheetId="21">#REF!</definedName>
    <definedName name="Mon">#REF!</definedName>
    <definedName name="Month" localSheetId="21">#REF!</definedName>
    <definedName name="Month">#REF!</definedName>
    <definedName name="MonthEND" localSheetId="21">#REF!</definedName>
    <definedName name="MonthEND">#REF!</definedName>
    <definedName name="months_per_period" localSheetId="21">12/'App.2-J_OM&amp;A_Cost _Drivers'!periods_per_year</definedName>
    <definedName name="months_per_period">12/periods_per_year</definedName>
    <definedName name="nper" localSheetId="21">term*'App.2-J_OM&amp;A_Cost _Drivers'!periods_per_year</definedName>
    <definedName name="nper">term*periods_per_year</definedName>
    <definedName name="OtherAssets" localSheetId="2">'[1]List of Asset Acc Num and Desrc'!$D$41:$D$61</definedName>
    <definedName name="OtherAssets">'[2]List of Asset Acc Num and Desrc'!$D$41:$D$61</definedName>
    <definedName name="payment">'[3]2.2M debenture'!$D$13</definedName>
    <definedName name="period_names">[6]Schedule!$K$5:$K$12</definedName>
    <definedName name="periods_per_year" localSheetId="21">INDEX({1;2;4;6;12;24;26;52},MATCH([6]Schedule!$D$9,period_names,0))</definedName>
    <definedName name="periods_per_year">INDEX({1;2;4;6;12;24;26;52},MATCH([6]Schedule!$D$9,period_names,0))</definedName>
    <definedName name="PILsModel">[3]E4.PILsResults!$D$9</definedName>
    <definedName name="pmtType">IF('[3]2.2M debenture'!$D$11="End of Period",0,1)</definedName>
    <definedName name="_xlnm.Print_Area" localSheetId="22">'App 2-K Employee Compensation'!$A$1:$H$116</definedName>
    <definedName name="_xlnm.Print_Area" localSheetId="30">'App 2-N 2009 Approved'!$A$1:$G$96</definedName>
    <definedName name="_xlnm.Print_Area" localSheetId="8">'App.2-B_Fix Ass 2012 MIFRS Adj '!$A$1:$N$75</definedName>
    <definedName name="_xlnm.Print_Area" localSheetId="3">'App.2-B_Fixed Asset 2009'!$A$1:$N$76</definedName>
    <definedName name="_xlnm.Print_Area" localSheetId="4">'App.2-B_Fixed Asset 2010'!$A$1:$N$65</definedName>
    <definedName name="_xlnm.Print_Area" localSheetId="5">'App.2-B_Fixed Asset 2011'!$A$1:$N$65</definedName>
    <definedName name="_xlnm.Print_Area" localSheetId="6">'App.2-B_Fixed Asset 2012 CGAAP'!$A$1:$N$63</definedName>
    <definedName name="_xlnm.Print_Area" localSheetId="7">'App.2-B_Fixed Asset 2012 MIFRS'!$A$1:$N$62</definedName>
    <definedName name="_xlnm.Print_Area" localSheetId="9">'App.2-B_Fixed Asset 2013 CGAAP'!$A$1:$N$62</definedName>
    <definedName name="_xlnm.Print_Area" localSheetId="10">'App.2-B_Fixed Asset 2013 MIFRS'!$A$1:$N$62</definedName>
    <definedName name="_xlnm.Print_Area" localSheetId="11">'App.2-CE_CGAAP_DepExp_2011'!$A$1:$L$61</definedName>
    <definedName name="_xlnm.Print_Area" localSheetId="12">'App.2-CF_CGAAP_DepExp_2012'!$A$1:$L$62</definedName>
    <definedName name="_xlnm.Print_Area" localSheetId="13">'App.2-CG_MIFRS_DepExp_2012'!$A$1:$O$67</definedName>
    <definedName name="_xlnm.Print_Area" localSheetId="14">'App.2-CH_MIFRS_DepExp_2013 '!$A$1:$J$65</definedName>
    <definedName name="_xlnm.Print_Area" localSheetId="15">'App.2-D_Overhead'!$A$1:$M$57</definedName>
    <definedName name="_xlnm.Print_Area" localSheetId="16">'App.2-EB_PP&amp;E Deferral Account'!$A$1:$J$62</definedName>
    <definedName name="_xlnm.Print_Area" localSheetId="17">'App.2-F_Other_Oper_Rev '!$A$1:$I$64</definedName>
    <definedName name="_xlnm.Print_Area" localSheetId="18">'App.2-G_Detailed_OM&amp;A_Expen '!$A$1:$J$134</definedName>
    <definedName name="_xlnm.Print_Area" localSheetId="19">'App.2-H_OM&amp;A_Detailed_Analysis'!$A$1:$I$128</definedName>
    <definedName name="_xlnm.Print_Area" localSheetId="20">'App.2-I_OM&amp;A_Summary_Analys'!$A$1:$L$59</definedName>
    <definedName name="_xlnm.Print_Area" localSheetId="21">'App.2-J_OM&amp;A_Cost _Drivers'!$A$1:$H$44</definedName>
    <definedName name="_xlnm.Print_Area" localSheetId="23">'App.2-L_OM&amp;A_per_Cust_FTEE'!$A$2:$H$37</definedName>
    <definedName name="_xlnm.Print_Area" localSheetId="24">'App.2-M_Regulatory_Costs'!$A$1:$K$50</definedName>
    <definedName name="_xlnm.Print_Area" localSheetId="29">'App.2-N_Corp_Cost_Allocation''09'!$A$1:$G$96</definedName>
    <definedName name="_xlnm.Print_Area" localSheetId="28">'App.2-N_Corp_Cost_Allocation''10'!$A$1:$G$96</definedName>
    <definedName name="_xlnm.Print_Area" localSheetId="27">'App.2-N_Corp_Cost_Allocation''11'!$A$1:$G$97</definedName>
    <definedName name="_xlnm.Print_Area" localSheetId="26">'App.2-N_Corp_Cost_Allocation''12'!$A$1:$G$96</definedName>
    <definedName name="_xlnm.Print_Area" localSheetId="25">'App.2-N_Corp_Cost_Allocation''13'!$A$1:$G$96</definedName>
    <definedName name="_xlnm.Print_Area" localSheetId="31">'App.2-OA Capital Structure  '!$A$1:$Q$123</definedName>
    <definedName name="_xlnm.Print_Area" localSheetId="32">'App.2-OB_Debt Instruments'!$A$1:$K$84</definedName>
    <definedName name="_xlnm.Print_Area" localSheetId="33">'App.2-P_Cost_Allocation'!$A$1:$F$120</definedName>
    <definedName name="_xlnm.Print_Area" localSheetId="34">'App.2-R_Loss Factors'!$A$1:$H$73</definedName>
    <definedName name="_xlnm.Print_Area" localSheetId="35">'App.2-S_Stranded Meters'!$A$1:$H$99</definedName>
    <definedName name="_xlnm.Print_Area" localSheetId="36">'App.2-T_1592_Tax_Variance'!$A$1:$F$127</definedName>
    <definedName name="_xlnm.Print_Area" localSheetId="37">'App.2-U_IFRS Transition Costs'!$A$1:$O$32</definedName>
    <definedName name="_xlnm.Print_Area" localSheetId="38">'App.2-V_Rev_Reconciliation'!$A$1:$P$36</definedName>
    <definedName name="_xlnm.Print_Area" localSheetId="40">'App.2-X_CoS_Flowchart'!$A$1:$G$49</definedName>
    <definedName name="_xlnm.Print_Area" localSheetId="1">Index!$A$1:$L$42</definedName>
    <definedName name="_xlnm.Print_Titles" localSheetId="22">'App 2-K Employee Compensation'!#REF!</definedName>
    <definedName name="_xlnm.Print_Titles" localSheetId="2">'App.2-A_Capital Projects'!$1:$14</definedName>
    <definedName name="_xlnm.Print_Titles" localSheetId="18">'App.2-G_Detailed_OM&amp;A_Expen '!$1:$11</definedName>
    <definedName name="_xlnm.Print_Titles" localSheetId="19">'App.2-H_OM&amp;A_Detailed_Analysis'!$1:$15</definedName>
    <definedName name="_xlnm.Print_Titles" localSheetId="36">'App.2-T_1592_Tax_Variance'!$1:$8</definedName>
    <definedName name="rate">'[3]2.2M debenture'!$H$5</definedName>
    <definedName name="RMrelease">[3]Z1.ModelVariables!$C$13</definedName>
    <definedName name="roundOpt">'[3]2.2M debenture'!$H$15</definedName>
    <definedName name="term">'[3]2.2M debenture'!$D$7</definedName>
    <definedName name="TestYr">[3]A1.Admin!$C$13</definedName>
  </definedNames>
  <calcPr calcId="145621"/>
</workbook>
</file>

<file path=xl/calcChain.xml><?xml version="1.0" encoding="utf-8"?>
<calcChain xmlns="http://schemas.openxmlformats.org/spreadsheetml/2006/main">
  <c r="F30" i="115" l="1"/>
  <c r="H17" i="20" l="1"/>
  <c r="G17" i="20"/>
  <c r="F17" i="20"/>
  <c r="E17" i="20"/>
  <c r="D17" i="20"/>
  <c r="C17" i="20"/>
  <c r="B32" i="115"/>
  <c r="G30" i="115"/>
  <c r="E30" i="115"/>
  <c r="D30" i="115"/>
  <c r="D22" i="115"/>
  <c r="C15" i="115"/>
  <c r="C32" i="115" s="1"/>
  <c r="G13" i="115"/>
  <c r="F13" i="115"/>
  <c r="E13" i="115"/>
  <c r="D13" i="115"/>
  <c r="B13" i="115"/>
  <c r="D15" i="115" s="1"/>
  <c r="D32" i="115" s="1"/>
  <c r="E15" i="115" s="1"/>
  <c r="E32" i="115" s="1"/>
  <c r="F15" i="115" s="1"/>
  <c r="F32" i="115" s="1"/>
  <c r="G15" i="115" s="1"/>
  <c r="G32" i="115" s="1"/>
  <c r="G1" i="115"/>
  <c r="C98" i="114" l="1"/>
  <c r="C96" i="114"/>
  <c r="H95" i="114"/>
  <c r="G95" i="114"/>
  <c r="F95" i="114"/>
  <c r="E95" i="114"/>
  <c r="D95" i="114"/>
  <c r="H94" i="114"/>
  <c r="G94" i="114"/>
  <c r="F94" i="114"/>
  <c r="E94" i="114"/>
  <c r="D94" i="114"/>
  <c r="H93" i="114"/>
  <c r="G93" i="114"/>
  <c r="F93" i="114"/>
  <c r="E93" i="114"/>
  <c r="D93" i="114"/>
  <c r="H92" i="114"/>
  <c r="G92" i="114"/>
  <c r="F92" i="114"/>
  <c r="E92" i="114"/>
  <c r="D92" i="114"/>
  <c r="C90" i="114"/>
  <c r="H89" i="114"/>
  <c r="G89" i="114"/>
  <c r="F89" i="114"/>
  <c r="E89" i="114"/>
  <c r="D89" i="114"/>
  <c r="H88" i="114"/>
  <c r="G88" i="114"/>
  <c r="F88" i="114"/>
  <c r="E88" i="114"/>
  <c r="D88" i="114"/>
  <c r="H87" i="114"/>
  <c r="G87" i="114"/>
  <c r="F87" i="114"/>
  <c r="E87" i="114"/>
  <c r="D87" i="114"/>
  <c r="H86" i="114"/>
  <c r="G86" i="114"/>
  <c r="F86" i="114"/>
  <c r="E86" i="114"/>
  <c r="D86" i="114"/>
  <c r="H85" i="114"/>
  <c r="G85" i="114"/>
  <c r="F85" i="114"/>
  <c r="E85" i="114"/>
  <c r="D85" i="114"/>
  <c r="H84" i="114"/>
  <c r="G84" i="114"/>
  <c r="F84" i="114"/>
  <c r="E84" i="114"/>
  <c r="D84" i="114"/>
  <c r="C62" i="114"/>
  <c r="C61" i="114"/>
  <c r="C60" i="114"/>
  <c r="C55" i="114"/>
  <c r="H53" i="114"/>
  <c r="G53" i="114"/>
  <c r="F53" i="114"/>
  <c r="E53" i="114"/>
  <c r="D53" i="114"/>
  <c r="C53" i="114"/>
  <c r="H46" i="114"/>
  <c r="H62" i="114" s="1"/>
  <c r="H72" i="114" s="1"/>
  <c r="G46" i="114"/>
  <c r="G62" i="114" s="1"/>
  <c r="G72" i="114" s="1"/>
  <c r="F46" i="114"/>
  <c r="F62" i="114" s="1"/>
  <c r="F72" i="114" s="1"/>
  <c r="E46" i="114"/>
  <c r="E62" i="114" s="1"/>
  <c r="E72" i="114" s="1"/>
  <c r="D46" i="114"/>
  <c r="D62" i="114" s="1"/>
  <c r="D72" i="114" s="1"/>
  <c r="H45" i="114"/>
  <c r="G45" i="114"/>
  <c r="G61" i="114" s="1"/>
  <c r="F45" i="114"/>
  <c r="E45" i="114"/>
  <c r="E61" i="114" s="1"/>
  <c r="D45" i="114"/>
  <c r="H44" i="114"/>
  <c r="H103" i="114" s="1"/>
  <c r="G44" i="114"/>
  <c r="F44" i="114"/>
  <c r="E44" i="114"/>
  <c r="D44" i="114"/>
  <c r="H43" i="114"/>
  <c r="G43" i="114"/>
  <c r="G59" i="114" s="1"/>
  <c r="F43" i="114"/>
  <c r="E43" i="114"/>
  <c r="E59" i="114" s="1"/>
  <c r="D43" i="114"/>
  <c r="C43" i="114"/>
  <c r="C59" i="114" s="1"/>
  <c r="H42" i="114"/>
  <c r="H101" i="114" s="1"/>
  <c r="G42" i="114"/>
  <c r="G58" i="114" s="1"/>
  <c r="F42" i="114"/>
  <c r="E42" i="114"/>
  <c r="E58" i="114" s="1"/>
  <c r="D42" i="114"/>
  <c r="C42" i="114"/>
  <c r="C58" i="114" s="1"/>
  <c r="H41" i="114"/>
  <c r="G41" i="114"/>
  <c r="G57" i="114" s="1"/>
  <c r="F41" i="114"/>
  <c r="E41" i="114"/>
  <c r="E57" i="114" s="1"/>
  <c r="D41" i="114"/>
  <c r="C41" i="114"/>
  <c r="C57" i="114" s="1"/>
  <c r="H40" i="114"/>
  <c r="G40" i="114"/>
  <c r="G56" i="114" s="1"/>
  <c r="F40" i="114"/>
  <c r="E40" i="114"/>
  <c r="E56" i="114" s="1"/>
  <c r="D40" i="114"/>
  <c r="C40" i="114"/>
  <c r="C56" i="114" s="1"/>
  <c r="H39" i="114"/>
  <c r="G39" i="114"/>
  <c r="G55" i="114" s="1"/>
  <c r="F39" i="114"/>
  <c r="E39" i="114"/>
  <c r="E55" i="114" s="1"/>
  <c r="D39" i="114"/>
  <c r="H36" i="114"/>
  <c r="G36" i="114"/>
  <c r="F36" i="114"/>
  <c r="E36" i="114"/>
  <c r="D36" i="114"/>
  <c r="C36" i="114"/>
  <c r="H35" i="114"/>
  <c r="G35" i="114"/>
  <c r="F35" i="114"/>
  <c r="E35" i="114"/>
  <c r="D35" i="114"/>
  <c r="C35" i="114"/>
  <c r="H34" i="114"/>
  <c r="G34" i="114"/>
  <c r="F34" i="114"/>
  <c r="E34" i="114"/>
  <c r="D34" i="114"/>
  <c r="C34" i="114"/>
  <c r="H33" i="114"/>
  <c r="G33" i="114"/>
  <c r="F33" i="114"/>
  <c r="E33" i="114"/>
  <c r="D33" i="114"/>
  <c r="C33" i="114"/>
  <c r="H32" i="114"/>
  <c r="G32" i="114"/>
  <c r="F32" i="114"/>
  <c r="E32" i="114"/>
  <c r="D32" i="114"/>
  <c r="C32" i="114"/>
  <c r="H31" i="114"/>
  <c r="G31" i="114"/>
  <c r="F31" i="114"/>
  <c r="E31" i="114"/>
  <c r="D31" i="114"/>
  <c r="C31" i="114"/>
  <c r="H30" i="114"/>
  <c r="G30" i="114"/>
  <c r="F30" i="114"/>
  <c r="E30" i="114"/>
  <c r="D30" i="114"/>
  <c r="C30" i="114"/>
  <c r="H28" i="114"/>
  <c r="F28" i="114"/>
  <c r="E28" i="114"/>
  <c r="D28" i="114"/>
  <c r="C28" i="114"/>
  <c r="H20" i="114"/>
  <c r="G20" i="114"/>
  <c r="F20" i="114"/>
  <c r="E20" i="114"/>
  <c r="D20" i="114"/>
  <c r="C20" i="114"/>
  <c r="C104" i="114" s="1"/>
  <c r="G19" i="114"/>
  <c r="F19" i="114"/>
  <c r="E19" i="114"/>
  <c r="D19" i="114"/>
  <c r="C19" i="114"/>
  <c r="C103" i="114" s="1"/>
  <c r="H18" i="114"/>
  <c r="G18" i="114"/>
  <c r="F18" i="114"/>
  <c r="E18" i="114"/>
  <c r="D18" i="114"/>
  <c r="C18" i="114"/>
  <c r="G17" i="114"/>
  <c r="F17" i="114"/>
  <c r="E17" i="114"/>
  <c r="D17" i="114"/>
  <c r="C17" i="114"/>
  <c r="H16" i="114"/>
  <c r="G16" i="114"/>
  <c r="F16" i="114"/>
  <c r="E16" i="114"/>
  <c r="D16" i="114"/>
  <c r="C16" i="114"/>
  <c r="H15" i="114"/>
  <c r="G15" i="114"/>
  <c r="F15" i="114"/>
  <c r="E15" i="114"/>
  <c r="D15" i="114"/>
  <c r="C15" i="114"/>
  <c r="C21" i="114" s="1"/>
  <c r="H14" i="114"/>
  <c r="G14" i="114"/>
  <c r="F14" i="114"/>
  <c r="E14" i="114"/>
  <c r="D14" i="114"/>
  <c r="F90" i="114" l="1"/>
  <c r="G96" i="114"/>
  <c r="D90" i="114"/>
  <c r="H90" i="114"/>
  <c r="E96" i="114"/>
  <c r="D21" i="114"/>
  <c r="F21" i="114"/>
  <c r="H21" i="114"/>
  <c r="E21" i="114"/>
  <c r="G21" i="114"/>
  <c r="E90" i="114"/>
  <c r="G90" i="114"/>
  <c r="D96" i="114"/>
  <c r="F96" i="114"/>
  <c r="H96" i="114"/>
  <c r="C75" i="114"/>
  <c r="C65" i="114"/>
  <c r="E75" i="114"/>
  <c r="E65" i="114"/>
  <c r="G75" i="114"/>
  <c r="G65" i="114"/>
  <c r="C76" i="114"/>
  <c r="C66" i="114"/>
  <c r="E76" i="114"/>
  <c r="E66" i="114"/>
  <c r="G76" i="114"/>
  <c r="G66" i="114"/>
  <c r="C77" i="114"/>
  <c r="C67" i="114"/>
  <c r="E77" i="114"/>
  <c r="E67" i="114"/>
  <c r="G77" i="114"/>
  <c r="G67" i="114"/>
  <c r="C78" i="114"/>
  <c r="C68" i="114"/>
  <c r="E78" i="114"/>
  <c r="E68" i="114"/>
  <c r="G78" i="114"/>
  <c r="G68" i="114"/>
  <c r="C79" i="114"/>
  <c r="C69" i="114"/>
  <c r="E79" i="114"/>
  <c r="E69" i="114"/>
  <c r="G79" i="114"/>
  <c r="G69" i="114"/>
  <c r="C80" i="114"/>
  <c r="E80" i="114"/>
  <c r="G80" i="114"/>
  <c r="C81" i="114"/>
  <c r="E81" i="114"/>
  <c r="E71" i="114"/>
  <c r="G81" i="114"/>
  <c r="G71" i="114"/>
  <c r="C37" i="114"/>
  <c r="E37" i="114"/>
  <c r="G37" i="114"/>
  <c r="D98" i="114"/>
  <c r="F98" i="114"/>
  <c r="H98" i="114"/>
  <c r="D99" i="114"/>
  <c r="F99" i="114"/>
  <c r="H99" i="114"/>
  <c r="D100" i="114"/>
  <c r="F100" i="114"/>
  <c r="H100" i="114"/>
  <c r="D101" i="114"/>
  <c r="F101" i="114"/>
  <c r="D102" i="114"/>
  <c r="F102" i="114"/>
  <c r="H102" i="114"/>
  <c r="E103" i="114"/>
  <c r="G103" i="114"/>
  <c r="D104" i="114"/>
  <c r="F104" i="114"/>
  <c r="H104" i="114"/>
  <c r="C47" i="114"/>
  <c r="C63" i="114" s="1"/>
  <c r="E47" i="114"/>
  <c r="E63" i="114" s="1"/>
  <c r="G47" i="114"/>
  <c r="G63" i="114" s="1"/>
  <c r="E60" i="114"/>
  <c r="E70" i="114" s="1"/>
  <c r="G60" i="114"/>
  <c r="G70" i="114" s="1"/>
  <c r="D75" i="114"/>
  <c r="F75" i="114"/>
  <c r="H75" i="114"/>
  <c r="D76" i="114"/>
  <c r="F76" i="114"/>
  <c r="H76" i="114"/>
  <c r="D77" i="114"/>
  <c r="F77" i="114"/>
  <c r="H77" i="114"/>
  <c r="D78" i="114"/>
  <c r="F78" i="114"/>
  <c r="H78" i="114"/>
  <c r="D79" i="114"/>
  <c r="F79" i="114"/>
  <c r="H79" i="114"/>
  <c r="D80" i="114"/>
  <c r="F80" i="114"/>
  <c r="H80" i="114"/>
  <c r="D81" i="114"/>
  <c r="F81" i="114"/>
  <c r="H81" i="114"/>
  <c r="D37" i="114"/>
  <c r="F37" i="114"/>
  <c r="H37" i="114"/>
  <c r="E98" i="114"/>
  <c r="G98" i="114"/>
  <c r="C99" i="114"/>
  <c r="E99" i="114"/>
  <c r="G99" i="114"/>
  <c r="C100" i="114"/>
  <c r="E100" i="114"/>
  <c r="G100" i="114"/>
  <c r="C101" i="114"/>
  <c r="E101" i="114"/>
  <c r="G101" i="114"/>
  <c r="C102" i="114"/>
  <c r="E102" i="114"/>
  <c r="G102" i="114"/>
  <c r="D103" i="114"/>
  <c r="F103" i="114"/>
  <c r="E104" i="114"/>
  <c r="G104" i="114"/>
  <c r="D47" i="114"/>
  <c r="D63" i="114" s="1"/>
  <c r="F47" i="114"/>
  <c r="F63" i="114" s="1"/>
  <c r="H47" i="114"/>
  <c r="H63" i="114" s="1"/>
  <c r="D55" i="114"/>
  <c r="D65" i="114" s="1"/>
  <c r="F55" i="114"/>
  <c r="F65" i="114" s="1"/>
  <c r="H55" i="114"/>
  <c r="H65" i="114" s="1"/>
  <c r="D56" i="114"/>
  <c r="D66" i="114" s="1"/>
  <c r="F56" i="114"/>
  <c r="F66" i="114" s="1"/>
  <c r="H56" i="114"/>
  <c r="H66" i="114" s="1"/>
  <c r="D57" i="114"/>
  <c r="D67" i="114" s="1"/>
  <c r="F57" i="114"/>
  <c r="F67" i="114" s="1"/>
  <c r="H57" i="114"/>
  <c r="H67" i="114" s="1"/>
  <c r="D58" i="114"/>
  <c r="D68" i="114" s="1"/>
  <c r="F58" i="114"/>
  <c r="F68" i="114" s="1"/>
  <c r="H58" i="114"/>
  <c r="H68" i="114" s="1"/>
  <c r="D59" i="114"/>
  <c r="D69" i="114" s="1"/>
  <c r="F59" i="114"/>
  <c r="F69" i="114" s="1"/>
  <c r="H59" i="114"/>
  <c r="H69" i="114" s="1"/>
  <c r="D60" i="114"/>
  <c r="D70" i="114" s="1"/>
  <c r="F60" i="114"/>
  <c r="F70" i="114" s="1"/>
  <c r="H60" i="114"/>
  <c r="H70" i="114" s="1"/>
  <c r="D61" i="114"/>
  <c r="D71" i="114" s="1"/>
  <c r="F61" i="114"/>
  <c r="F71" i="114" s="1"/>
  <c r="H61" i="114"/>
  <c r="H71" i="114" s="1"/>
  <c r="C106" i="114" l="1"/>
  <c r="H73" i="114"/>
  <c r="D73" i="114"/>
  <c r="H108" i="114"/>
  <c r="H109" i="114" s="1"/>
  <c r="D108" i="114"/>
  <c r="D109" i="114" s="1"/>
  <c r="G106" i="114"/>
  <c r="F108" i="114"/>
  <c r="F109" i="114" s="1"/>
  <c r="H106" i="114"/>
  <c r="D106" i="114"/>
  <c r="E73" i="114"/>
  <c r="G108" i="114"/>
  <c r="G109" i="114" s="1"/>
  <c r="E108" i="114"/>
  <c r="E109" i="114" s="1"/>
  <c r="C108" i="114"/>
  <c r="E106" i="114"/>
  <c r="F73" i="114"/>
  <c r="H82" i="114"/>
  <c r="F82" i="114"/>
  <c r="D82" i="114"/>
  <c r="F106" i="114"/>
  <c r="G73" i="114"/>
  <c r="C73" i="114"/>
  <c r="G82" i="114"/>
  <c r="E82" i="114"/>
  <c r="C82" i="114"/>
  <c r="G1" i="113" l="1"/>
  <c r="E24" i="113"/>
  <c r="F24" i="113"/>
  <c r="E28" i="113"/>
  <c r="F28" i="113"/>
  <c r="E31" i="113"/>
  <c r="F31" i="113"/>
  <c r="E35" i="113"/>
  <c r="F35" i="113"/>
  <c r="E38" i="113"/>
  <c r="F38" i="113"/>
  <c r="E41" i="113"/>
  <c r="F41" i="113"/>
  <c r="E44" i="113"/>
  <c r="F44" i="113"/>
  <c r="E48" i="113"/>
  <c r="F48" i="113"/>
  <c r="E55" i="113"/>
  <c r="F55" i="113"/>
  <c r="E56" i="113"/>
  <c r="E72" i="113" s="1"/>
  <c r="F56" i="113"/>
  <c r="F72" i="113" s="1"/>
  <c r="E65" i="113"/>
  <c r="F65" i="113"/>
  <c r="E70" i="113"/>
  <c r="F70" i="113"/>
  <c r="F83" i="113"/>
  <c r="G1" i="112"/>
  <c r="E24" i="112"/>
  <c r="F24" i="112"/>
  <c r="E27" i="112"/>
  <c r="E28" i="112" s="1"/>
  <c r="F28" i="112"/>
  <c r="E31" i="112"/>
  <c r="F31" i="112"/>
  <c r="E35" i="112"/>
  <c r="F35" i="112"/>
  <c r="E38" i="112"/>
  <c r="F38" i="112"/>
  <c r="E39" i="112"/>
  <c r="E41" i="112" s="1"/>
  <c r="F41" i="112"/>
  <c r="E42" i="112"/>
  <c r="E44" i="112" s="1"/>
  <c r="F44" i="112"/>
  <c r="E46" i="112"/>
  <c r="E48" i="112" s="1"/>
  <c r="F48" i="112"/>
  <c r="E52" i="112"/>
  <c r="E55" i="112" s="1"/>
  <c r="F55" i="112"/>
  <c r="F56" i="112" s="1"/>
  <c r="F72" i="112" s="1"/>
  <c r="E57" i="112"/>
  <c r="E58" i="112"/>
  <c r="E60" i="112"/>
  <c r="E62" i="112"/>
  <c r="F65" i="112"/>
  <c r="E67" i="112"/>
  <c r="E68" i="112"/>
  <c r="F70" i="112"/>
  <c r="F83" i="112"/>
  <c r="G1" i="111"/>
  <c r="E24" i="111"/>
  <c r="F24" i="111"/>
  <c r="E27" i="111"/>
  <c r="F27" i="111"/>
  <c r="E28" i="111"/>
  <c r="F28" i="111"/>
  <c r="E31" i="111"/>
  <c r="F31" i="111"/>
  <c r="E35" i="111"/>
  <c r="F35" i="111"/>
  <c r="E38" i="111"/>
  <c r="F38" i="111"/>
  <c r="E39" i="111"/>
  <c r="E41" i="111" s="1"/>
  <c r="F41" i="111"/>
  <c r="E44" i="111"/>
  <c r="F44" i="111"/>
  <c r="E48" i="111"/>
  <c r="F48" i="111"/>
  <c r="E51" i="111"/>
  <c r="E52" i="111"/>
  <c r="E55" i="111" s="1"/>
  <c r="F55" i="111"/>
  <c r="F56" i="111" s="1"/>
  <c r="F72" i="111" s="1"/>
  <c r="E57" i="111"/>
  <c r="E58" i="111"/>
  <c r="E60" i="111"/>
  <c r="E65" i="111" s="1"/>
  <c r="E61" i="111"/>
  <c r="E62" i="111"/>
  <c r="F65" i="111"/>
  <c r="E67" i="111"/>
  <c r="E68" i="111"/>
  <c r="F70" i="111"/>
  <c r="F83" i="111"/>
  <c r="G1" i="110"/>
  <c r="E24" i="110"/>
  <c r="F24" i="110"/>
  <c r="E27" i="110"/>
  <c r="F27" i="110" s="1"/>
  <c r="F28" i="110" s="1"/>
  <c r="F57" i="110" s="1"/>
  <c r="F73" i="110" s="1"/>
  <c r="E31" i="110"/>
  <c r="F31" i="110"/>
  <c r="F32" i="110"/>
  <c r="F33" i="110"/>
  <c r="F34" i="110"/>
  <c r="E35" i="110"/>
  <c r="F35" i="110"/>
  <c r="E37" i="110"/>
  <c r="E39" i="110" s="1"/>
  <c r="F37" i="110"/>
  <c r="F39" i="110"/>
  <c r="E42" i="110"/>
  <c r="F42" i="110"/>
  <c r="E45" i="110"/>
  <c r="F45" i="110"/>
  <c r="E46" i="110"/>
  <c r="E47" i="110"/>
  <c r="F49" i="110"/>
  <c r="E52" i="110"/>
  <c r="E53" i="110"/>
  <c r="F56" i="110"/>
  <c r="E58" i="110"/>
  <c r="E59" i="110"/>
  <c r="E61" i="110"/>
  <c r="E62" i="110"/>
  <c r="E63" i="110"/>
  <c r="F66" i="110"/>
  <c r="E68" i="110"/>
  <c r="E69" i="110"/>
  <c r="E70" i="110"/>
  <c r="E71" i="110"/>
  <c r="F71" i="110"/>
  <c r="F84" i="110"/>
  <c r="G1" i="109"/>
  <c r="E24" i="109"/>
  <c r="F24" i="109"/>
  <c r="F27" i="109"/>
  <c r="E28" i="109"/>
  <c r="F28" i="109"/>
  <c r="E31" i="109"/>
  <c r="F31" i="109"/>
  <c r="E35" i="109"/>
  <c r="F35" i="109"/>
  <c r="E38" i="109"/>
  <c r="F38" i="109"/>
  <c r="E41" i="109"/>
  <c r="F41" i="109"/>
  <c r="E44" i="109"/>
  <c r="F44" i="109"/>
  <c r="E48" i="109"/>
  <c r="F48" i="109"/>
  <c r="E51" i="109"/>
  <c r="E55" i="109" s="1"/>
  <c r="F55" i="109"/>
  <c r="F56" i="109" s="1"/>
  <c r="F72" i="109" s="1"/>
  <c r="E57" i="109"/>
  <c r="E65" i="109" s="1"/>
  <c r="F65" i="109"/>
  <c r="E70" i="109"/>
  <c r="F70" i="109"/>
  <c r="F83" i="109"/>
  <c r="G1" i="108"/>
  <c r="E19" i="108"/>
  <c r="F19" i="108"/>
  <c r="F24" i="108" s="1"/>
  <c r="E20" i="108"/>
  <c r="F20" i="108"/>
  <c r="E21" i="108"/>
  <c r="F21" i="108"/>
  <c r="E22" i="108"/>
  <c r="E24" i="108" s="1"/>
  <c r="F22" i="108"/>
  <c r="E27" i="108"/>
  <c r="E28" i="108" s="1"/>
  <c r="F27" i="108"/>
  <c r="F28" i="108" s="1"/>
  <c r="E31" i="108"/>
  <c r="F31" i="108"/>
  <c r="E35" i="108"/>
  <c r="F35" i="108"/>
  <c r="E38" i="108"/>
  <c r="F38" i="108"/>
  <c r="E41" i="108"/>
  <c r="F41" i="108"/>
  <c r="E44" i="108"/>
  <c r="F44" i="108"/>
  <c r="E48" i="108"/>
  <c r="F48" i="108"/>
  <c r="E51" i="108"/>
  <c r="E55" i="108" s="1"/>
  <c r="F51" i="108"/>
  <c r="F55" i="108" s="1"/>
  <c r="F56" i="108" s="1"/>
  <c r="F72" i="108" s="1"/>
  <c r="E52" i="108"/>
  <c r="F52" i="108"/>
  <c r="E53" i="108"/>
  <c r="F53" i="108"/>
  <c r="E65" i="108"/>
  <c r="F65" i="108"/>
  <c r="E70" i="108"/>
  <c r="F70" i="108"/>
  <c r="E79" i="108"/>
  <c r="E80" i="108"/>
  <c r="E81" i="108"/>
  <c r="E82" i="108"/>
  <c r="F83" i="108"/>
  <c r="E56" i="111" l="1"/>
  <c r="E49" i="110"/>
  <c r="E56" i="108"/>
  <c r="E72" i="108" s="1"/>
  <c r="E56" i="109"/>
  <c r="E72" i="109" s="1"/>
  <c r="E56" i="110"/>
  <c r="E28" i="110"/>
  <c r="E66" i="110"/>
  <c r="E70" i="111"/>
  <c r="E72" i="111" s="1"/>
  <c r="E70" i="112"/>
  <c r="E65" i="112"/>
  <c r="E56" i="112"/>
  <c r="E72" i="112" s="1"/>
  <c r="E57" i="110" l="1"/>
  <c r="E73" i="110" s="1"/>
  <c r="H54" i="92"/>
  <c r="K54" i="101" l="1"/>
  <c r="G54" i="101"/>
  <c r="F54" i="101"/>
  <c r="E54" i="101"/>
  <c r="J53" i="101"/>
  <c r="J54" i="101" s="1"/>
  <c r="H53" i="101"/>
  <c r="O53" i="101" s="1"/>
  <c r="M52" i="101"/>
  <c r="O52" i="101" s="1"/>
  <c r="H52" i="101"/>
  <c r="M51" i="101"/>
  <c r="O51" i="101" s="1"/>
  <c r="H51" i="101"/>
  <c r="M50" i="101"/>
  <c r="O50" i="101" s="1"/>
  <c r="H50" i="101"/>
  <c r="M49" i="101"/>
  <c r="O49" i="101" s="1"/>
  <c r="H49" i="101"/>
  <c r="M48" i="101"/>
  <c r="O48" i="101" s="1"/>
  <c r="H48" i="101"/>
  <c r="M47" i="101"/>
  <c r="O47" i="101" s="1"/>
  <c r="H47" i="101"/>
  <c r="M46" i="101"/>
  <c r="O46" i="101" s="1"/>
  <c r="H46" i="101"/>
  <c r="M45" i="101"/>
  <c r="O45" i="101" s="1"/>
  <c r="H45" i="101"/>
  <c r="M44" i="101"/>
  <c r="O44" i="101" s="1"/>
  <c r="H44" i="101"/>
  <c r="M43" i="101"/>
  <c r="O43" i="101" s="1"/>
  <c r="H43" i="101"/>
  <c r="Q42" i="101"/>
  <c r="R42" i="101" s="1"/>
  <c r="M42" i="101"/>
  <c r="O42" i="101" s="1"/>
  <c r="H42" i="101"/>
  <c r="M41" i="101"/>
  <c r="O41" i="101" s="1"/>
  <c r="H41" i="101"/>
  <c r="M40" i="101"/>
  <c r="O40" i="101" s="1"/>
  <c r="H40" i="101"/>
  <c r="M39" i="101"/>
  <c r="O39" i="101" s="1"/>
  <c r="H39" i="101"/>
  <c r="M38" i="101"/>
  <c r="O38" i="101" s="1"/>
  <c r="H38" i="101"/>
  <c r="Q37" i="101"/>
  <c r="R37" i="101" s="1"/>
  <c r="M37" i="101"/>
  <c r="O37" i="101" s="1"/>
  <c r="H37" i="101"/>
  <c r="M36" i="101"/>
  <c r="O36" i="101" s="1"/>
  <c r="H36" i="101"/>
  <c r="M35" i="101"/>
  <c r="O35" i="101" s="1"/>
  <c r="H35" i="101"/>
  <c r="M34" i="101"/>
  <c r="O34" i="101" s="1"/>
  <c r="H34" i="101"/>
  <c r="M33" i="101"/>
  <c r="O33" i="101" s="1"/>
  <c r="H33" i="101"/>
  <c r="M32" i="101"/>
  <c r="O32" i="101" s="1"/>
  <c r="H32" i="101"/>
  <c r="Q31" i="101"/>
  <c r="R31" i="101" s="1"/>
  <c r="M31" i="101"/>
  <c r="O31" i="101" s="1"/>
  <c r="H31" i="101"/>
  <c r="M30" i="101"/>
  <c r="O30" i="101" s="1"/>
  <c r="H30" i="101"/>
  <c r="M29" i="101"/>
  <c r="O29" i="101" s="1"/>
  <c r="H29" i="101"/>
  <c r="M28" i="101"/>
  <c r="O28" i="101" s="1"/>
  <c r="H28" i="101"/>
  <c r="M27" i="101"/>
  <c r="O27" i="101" s="1"/>
  <c r="H27" i="101"/>
  <c r="M26" i="101"/>
  <c r="O26" i="101" s="1"/>
  <c r="H26" i="101"/>
  <c r="M25" i="101"/>
  <c r="O25" i="101" s="1"/>
  <c r="H25" i="101"/>
  <c r="M24" i="101"/>
  <c r="O24" i="101" s="1"/>
  <c r="H24" i="101"/>
  <c r="M23" i="101"/>
  <c r="O23" i="101" s="1"/>
  <c r="H23" i="101"/>
  <c r="M22" i="101"/>
  <c r="O22" i="101" s="1"/>
  <c r="H22" i="101"/>
  <c r="M21" i="101"/>
  <c r="O21" i="101" s="1"/>
  <c r="H21" i="101"/>
  <c r="M20" i="101"/>
  <c r="O20" i="101" s="1"/>
  <c r="H20" i="101"/>
  <c r="M19" i="101"/>
  <c r="O19" i="101" s="1"/>
  <c r="H19" i="101"/>
  <c r="M18" i="101"/>
  <c r="O18" i="101" s="1"/>
  <c r="H18" i="101"/>
  <c r="M17" i="101"/>
  <c r="O17" i="101" s="1"/>
  <c r="H17" i="101"/>
  <c r="Q16" i="101"/>
  <c r="R16" i="101" s="1"/>
  <c r="M16" i="101"/>
  <c r="H16" i="101"/>
  <c r="N1" i="101"/>
  <c r="Q29" i="101"/>
  <c r="Q26" i="101"/>
  <c r="Q25" i="101"/>
  <c r="Q30" i="101"/>
  <c r="Q24" i="101"/>
  <c r="Q28" i="101"/>
  <c r="Q27" i="101"/>
  <c r="N17" i="101" l="1"/>
  <c r="N19" i="101"/>
  <c r="N21" i="101"/>
  <c r="N23" i="101"/>
  <c r="N25" i="101"/>
  <c r="N27" i="101"/>
  <c r="N29" i="101"/>
  <c r="N31" i="101"/>
  <c r="N38" i="101"/>
  <c r="N40" i="101"/>
  <c r="N42" i="101"/>
  <c r="N33" i="101"/>
  <c r="N35" i="101"/>
  <c r="N37" i="101"/>
  <c r="N44" i="101"/>
  <c r="N46" i="101"/>
  <c r="N48" i="101"/>
  <c r="N50" i="101"/>
  <c r="N52" i="101"/>
  <c r="N18" i="101"/>
  <c r="N20" i="101"/>
  <c r="N22" i="101"/>
  <c r="N24" i="101"/>
  <c r="N26" i="101"/>
  <c r="N28" i="101"/>
  <c r="N30" i="101"/>
  <c r="N39" i="101"/>
  <c r="N41" i="101"/>
  <c r="N32" i="101"/>
  <c r="N34" i="101"/>
  <c r="N36" i="101"/>
  <c r="N43" i="101"/>
  <c r="N45" i="101"/>
  <c r="N47" i="101"/>
  <c r="N51" i="101"/>
  <c r="N16" i="101"/>
  <c r="N49" i="101"/>
  <c r="O16" i="101"/>
  <c r="L53" i="101"/>
  <c r="L54" i="101" s="1"/>
  <c r="P53" i="101"/>
  <c r="H54" i="101"/>
  <c r="M53" i="101" l="1"/>
  <c r="K2096" i="94"/>
  <c r="L2096" i="94" s="1"/>
  <c r="G2096" i="94"/>
  <c r="H2096" i="94" s="1"/>
  <c r="L2095" i="94"/>
  <c r="H2095" i="94"/>
  <c r="O2095" i="94" s="1"/>
  <c r="K2094" i="94"/>
  <c r="L2094" i="94" s="1"/>
  <c r="G2094" i="94"/>
  <c r="H2094" i="94" s="1"/>
  <c r="K2093" i="94"/>
  <c r="L2093" i="94" s="1"/>
  <c r="G2093" i="94"/>
  <c r="H2093" i="94" s="1"/>
  <c r="K2090" i="94"/>
  <c r="L2090" i="94" s="1"/>
  <c r="G2090" i="94"/>
  <c r="H2090" i="94" s="1"/>
  <c r="L2088" i="94"/>
  <c r="N2088" i="94" s="1"/>
  <c r="K2087" i="94"/>
  <c r="L2087" i="94" s="1"/>
  <c r="G2087" i="94"/>
  <c r="H2087" i="94" s="1"/>
  <c r="K2086" i="94"/>
  <c r="L2086" i="94" s="1"/>
  <c r="G2086" i="94"/>
  <c r="H2086" i="94" s="1"/>
  <c r="O2086" i="94" s="1"/>
  <c r="K2085" i="94"/>
  <c r="L2085" i="94" s="1"/>
  <c r="G2085" i="94"/>
  <c r="H2085" i="94" s="1"/>
  <c r="K2084" i="94"/>
  <c r="L2084" i="94" s="1"/>
  <c r="G2084" i="94"/>
  <c r="H2084" i="94" s="1"/>
  <c r="L2082" i="94"/>
  <c r="H2082" i="94"/>
  <c r="O2082" i="94" s="1"/>
  <c r="K2081" i="94"/>
  <c r="L2081" i="94" s="1"/>
  <c r="G2081" i="94"/>
  <c r="H2081" i="94" s="1"/>
  <c r="O2081" i="94" s="1"/>
  <c r="K2080" i="94"/>
  <c r="L2080" i="94" s="1"/>
  <c r="G2080" i="94"/>
  <c r="H2080" i="94" s="1"/>
  <c r="O2080" i="94" s="1"/>
  <c r="K2079" i="94"/>
  <c r="L2079" i="94" s="1"/>
  <c r="G2079" i="94"/>
  <c r="H2079" i="94" s="1"/>
  <c r="O2079" i="94" s="1"/>
  <c r="L2078" i="94"/>
  <c r="H2078" i="94"/>
  <c r="O2078" i="94" s="1"/>
  <c r="K2077" i="94"/>
  <c r="L2077" i="94" s="1"/>
  <c r="G2077" i="94"/>
  <c r="H2077" i="94" s="1"/>
  <c r="L2076" i="94"/>
  <c r="H2076" i="94"/>
  <c r="K2075" i="94"/>
  <c r="L2075" i="94" s="1"/>
  <c r="G2075" i="94"/>
  <c r="H2075" i="94" s="1"/>
  <c r="L2074" i="94"/>
  <c r="H2074" i="94"/>
  <c r="L2073" i="94"/>
  <c r="H2073" i="94"/>
  <c r="K2017" i="94"/>
  <c r="L2017" i="94" s="1"/>
  <c r="G2017" i="94"/>
  <c r="H2017" i="94" s="1"/>
  <c r="L2016" i="94"/>
  <c r="H2016" i="94"/>
  <c r="O2016" i="94" s="1"/>
  <c r="K2015" i="94"/>
  <c r="L2015" i="94" s="1"/>
  <c r="G2015" i="94"/>
  <c r="H2015" i="94" s="1"/>
  <c r="K2014" i="94"/>
  <c r="K2022" i="94" s="1"/>
  <c r="L2022" i="94" s="1"/>
  <c r="G2014" i="94"/>
  <c r="G2022" i="94" s="1"/>
  <c r="H2022" i="94" s="1"/>
  <c r="G2011" i="94"/>
  <c r="G2012" i="94" s="1"/>
  <c r="H2012" i="94" s="1"/>
  <c r="L2009" i="94"/>
  <c r="N2009" i="94" s="1"/>
  <c r="K2008" i="94"/>
  <c r="L2008" i="94" s="1"/>
  <c r="H2008" i="94"/>
  <c r="K2007" i="94"/>
  <c r="L2007" i="94" s="1"/>
  <c r="H2007" i="94"/>
  <c r="O2007" i="94" s="1"/>
  <c r="L2005" i="94"/>
  <c r="H2005" i="94"/>
  <c r="K2004" i="94"/>
  <c r="L2004" i="94" s="1"/>
  <c r="H2004" i="94"/>
  <c r="O2004" i="94" s="1"/>
  <c r="K2003" i="94"/>
  <c r="L2003" i="94" s="1"/>
  <c r="H2003" i="94"/>
  <c r="K2002" i="94"/>
  <c r="L2002" i="94" s="1"/>
  <c r="H2002" i="94"/>
  <c r="O2002" i="94" s="1"/>
  <c r="L2001" i="94"/>
  <c r="H2001" i="94"/>
  <c r="O2001" i="94" s="1"/>
  <c r="K2000" i="94"/>
  <c r="L2000" i="94" s="1"/>
  <c r="H2000" i="94"/>
  <c r="L1999" i="94"/>
  <c r="H1999" i="94"/>
  <c r="K1998" i="94"/>
  <c r="L1998" i="94" s="1"/>
  <c r="H1998" i="94"/>
  <c r="L1997" i="94"/>
  <c r="H1997" i="94"/>
  <c r="O1997" i="94" s="1"/>
  <c r="L1996" i="94"/>
  <c r="H1996" i="94"/>
  <c r="K1940" i="94"/>
  <c r="L1940" i="94" s="1"/>
  <c r="G1940" i="94"/>
  <c r="H1940" i="94" s="1"/>
  <c r="L1939" i="94"/>
  <c r="H1939" i="94"/>
  <c r="O1939" i="94" s="1"/>
  <c r="K1938" i="94"/>
  <c r="L1938" i="94" s="1"/>
  <c r="G1938" i="94"/>
  <c r="H1938" i="94" s="1"/>
  <c r="K1937" i="94"/>
  <c r="L1937" i="94" s="1"/>
  <c r="G1937" i="94"/>
  <c r="H1937" i="94" s="1"/>
  <c r="K1934" i="94"/>
  <c r="L1934" i="94" s="1"/>
  <c r="G1934" i="94"/>
  <c r="H1934" i="94" s="1"/>
  <c r="K1932" i="94"/>
  <c r="L1932" i="94" s="1"/>
  <c r="N1932" i="94" s="1"/>
  <c r="L1931" i="94"/>
  <c r="H1931" i="94"/>
  <c r="L1930" i="94"/>
  <c r="H1930" i="94"/>
  <c r="O1930" i="94" s="1"/>
  <c r="L1929" i="94"/>
  <c r="H1929" i="94"/>
  <c r="L1928" i="94"/>
  <c r="H1928" i="94"/>
  <c r="L1926" i="94"/>
  <c r="H1926" i="94"/>
  <c r="O1926" i="94" s="1"/>
  <c r="L1925" i="94"/>
  <c r="H1925" i="94"/>
  <c r="O1925" i="94" s="1"/>
  <c r="L1924" i="94"/>
  <c r="H1924" i="94"/>
  <c r="O1924" i="94" s="1"/>
  <c r="L1923" i="94"/>
  <c r="H1923" i="94"/>
  <c r="O1923" i="94" s="1"/>
  <c r="L1922" i="94"/>
  <c r="H1922" i="94"/>
  <c r="O1922" i="94" s="1"/>
  <c r="L1921" i="94"/>
  <c r="H1921" i="94"/>
  <c r="L1920" i="94"/>
  <c r="H1920" i="94"/>
  <c r="L1919" i="94"/>
  <c r="H1919" i="94"/>
  <c r="L1918" i="94"/>
  <c r="H1918" i="94"/>
  <c r="O1918" i="94" s="1"/>
  <c r="L1917" i="94"/>
  <c r="H1917" i="94"/>
  <c r="K1861" i="94"/>
  <c r="L1861" i="94" s="1"/>
  <c r="G1861" i="94"/>
  <c r="H1861" i="94" s="1"/>
  <c r="L1860" i="94"/>
  <c r="H1860" i="94"/>
  <c r="O1860" i="94" s="1"/>
  <c r="K1859" i="94"/>
  <c r="L1859" i="94" s="1"/>
  <c r="G1859" i="94"/>
  <c r="H1859" i="94" s="1"/>
  <c r="K1858" i="94"/>
  <c r="K1866" i="94" s="1"/>
  <c r="L1866" i="94" s="1"/>
  <c r="G1858" i="94"/>
  <c r="G1866" i="94" s="1"/>
  <c r="H1866" i="94" s="1"/>
  <c r="K1855" i="94"/>
  <c r="K1856" i="94" s="1"/>
  <c r="L1856" i="94" s="1"/>
  <c r="G1855" i="94"/>
  <c r="G1856" i="94" s="1"/>
  <c r="H1856" i="94" s="1"/>
  <c r="L1853" i="94"/>
  <c r="N1853" i="94" s="1"/>
  <c r="L1852" i="94"/>
  <c r="H1852" i="94"/>
  <c r="L1851" i="94"/>
  <c r="H1851" i="94"/>
  <c r="O1851" i="94" s="1"/>
  <c r="L1850" i="94"/>
  <c r="H1850" i="94"/>
  <c r="L1849" i="94"/>
  <c r="H1849" i="94"/>
  <c r="L1847" i="94"/>
  <c r="H1847" i="94"/>
  <c r="O1847" i="94" s="1"/>
  <c r="L1846" i="94"/>
  <c r="H1846" i="94"/>
  <c r="O1846" i="94" s="1"/>
  <c r="L1845" i="94"/>
  <c r="H1845" i="94"/>
  <c r="O1845" i="94" s="1"/>
  <c r="L1844" i="94"/>
  <c r="H1844" i="94"/>
  <c r="O1844" i="94" s="1"/>
  <c r="L1843" i="94"/>
  <c r="H1843" i="94"/>
  <c r="O1843" i="94" s="1"/>
  <c r="L1842" i="94"/>
  <c r="H1842" i="94"/>
  <c r="L1841" i="94"/>
  <c r="H1841" i="94"/>
  <c r="L1840" i="94"/>
  <c r="H1840" i="94"/>
  <c r="L1839" i="94"/>
  <c r="H1839" i="94"/>
  <c r="O1839" i="94" s="1"/>
  <c r="L1838" i="94"/>
  <c r="H1838" i="94"/>
  <c r="K1782" i="94"/>
  <c r="L1782" i="94" s="1"/>
  <c r="G1782" i="94"/>
  <c r="H1782" i="94" s="1"/>
  <c r="L1781" i="94"/>
  <c r="H1781" i="94"/>
  <c r="O1781" i="94" s="1"/>
  <c r="K1780" i="94"/>
  <c r="L1780" i="94" s="1"/>
  <c r="G1780" i="94"/>
  <c r="H1780" i="94" s="1"/>
  <c r="L1779" i="94"/>
  <c r="K1779" i="94"/>
  <c r="K1787" i="94" s="1"/>
  <c r="L1787" i="94" s="1"/>
  <c r="G1779" i="94"/>
  <c r="G1787" i="94" s="1"/>
  <c r="H1787" i="94" s="1"/>
  <c r="K1776" i="94"/>
  <c r="K1777" i="94" s="1"/>
  <c r="L1777" i="94" s="1"/>
  <c r="G1776" i="94"/>
  <c r="G1777" i="94" s="1"/>
  <c r="H1777" i="94" s="1"/>
  <c r="L1774" i="94"/>
  <c r="N1774" i="94" s="1"/>
  <c r="L1773" i="94"/>
  <c r="H1773" i="94"/>
  <c r="L1772" i="94"/>
  <c r="H1772" i="94"/>
  <c r="O1772" i="94" s="1"/>
  <c r="L1771" i="94"/>
  <c r="H1771" i="94"/>
  <c r="L1770" i="94"/>
  <c r="N1770" i="94" s="1"/>
  <c r="O1770" i="94" s="1"/>
  <c r="H1770" i="94"/>
  <c r="L1768" i="94"/>
  <c r="H1768" i="94"/>
  <c r="O1768" i="94" s="1"/>
  <c r="L1767" i="94"/>
  <c r="H1767" i="94"/>
  <c r="O1767" i="94" s="1"/>
  <c r="L1766" i="94"/>
  <c r="H1766" i="94"/>
  <c r="O1766" i="94" s="1"/>
  <c r="L1765" i="94"/>
  <c r="N1765" i="94" s="1"/>
  <c r="H1765" i="94"/>
  <c r="O1765" i="94" s="1"/>
  <c r="L1764" i="94"/>
  <c r="H1764" i="94"/>
  <c r="O1764" i="94" s="1"/>
  <c r="L1763" i="94"/>
  <c r="H1763" i="94"/>
  <c r="L1762" i="94"/>
  <c r="H1762" i="94"/>
  <c r="L1761" i="94"/>
  <c r="H1761" i="94"/>
  <c r="L1760" i="94"/>
  <c r="H1760" i="94"/>
  <c r="O1760" i="94" s="1"/>
  <c r="L1759" i="94"/>
  <c r="H1759" i="94"/>
  <c r="H1769" i="94" s="1"/>
  <c r="H1775" i="94" s="1"/>
  <c r="K1703" i="94"/>
  <c r="L1703" i="94" s="1"/>
  <c r="G1703" i="94"/>
  <c r="H1703" i="94" s="1"/>
  <c r="L1702" i="94"/>
  <c r="H1702" i="94"/>
  <c r="O1702" i="94" s="1"/>
  <c r="K1701" i="94"/>
  <c r="L1701" i="94" s="1"/>
  <c r="G1701" i="94"/>
  <c r="H1701" i="94" s="1"/>
  <c r="K1700" i="94"/>
  <c r="K1708" i="94" s="1"/>
  <c r="L1708" i="94" s="1"/>
  <c r="G1700" i="94"/>
  <c r="G1708" i="94" s="1"/>
  <c r="H1708" i="94" s="1"/>
  <c r="K1697" i="94"/>
  <c r="K1698" i="94" s="1"/>
  <c r="L1698" i="94" s="1"/>
  <c r="G1697" i="94"/>
  <c r="G1698" i="94" s="1"/>
  <c r="H1698" i="94" s="1"/>
  <c r="N1695" i="94"/>
  <c r="L1695" i="94"/>
  <c r="L1694" i="94"/>
  <c r="H1694" i="94"/>
  <c r="L1693" i="94"/>
  <c r="H1693" i="94"/>
  <c r="O1693" i="94" s="1"/>
  <c r="L1692" i="94"/>
  <c r="H1692" i="94"/>
  <c r="L1691" i="94"/>
  <c r="H1691" i="94"/>
  <c r="L1689" i="94"/>
  <c r="H1689" i="94"/>
  <c r="O1689" i="94" s="1"/>
  <c r="L1688" i="94"/>
  <c r="H1688" i="94"/>
  <c r="O1688" i="94" s="1"/>
  <c r="L1687" i="94"/>
  <c r="H1687" i="94"/>
  <c r="O1687" i="94" s="1"/>
  <c r="L1686" i="94"/>
  <c r="H1686" i="94"/>
  <c r="O1686" i="94" s="1"/>
  <c r="L1685" i="94"/>
  <c r="H1685" i="94"/>
  <c r="O1685" i="94" s="1"/>
  <c r="L1684" i="94"/>
  <c r="N1684" i="94" s="1"/>
  <c r="O1684" i="94" s="1"/>
  <c r="H1684" i="94"/>
  <c r="L1683" i="94"/>
  <c r="H1683" i="94"/>
  <c r="L1682" i="94"/>
  <c r="H1682" i="94"/>
  <c r="L1681" i="94"/>
  <c r="H1681" i="94"/>
  <c r="O1681" i="94" s="1"/>
  <c r="L1680" i="94"/>
  <c r="H1680" i="94"/>
  <c r="H1690" i="94" s="1"/>
  <c r="H1696" i="94" s="1"/>
  <c r="K1624" i="94"/>
  <c r="L1624" i="94" s="1"/>
  <c r="G1624" i="94"/>
  <c r="H1624" i="94" s="1"/>
  <c r="L1623" i="94"/>
  <c r="H1623" i="94"/>
  <c r="O1623" i="94" s="1"/>
  <c r="K1622" i="94"/>
  <c r="L1622" i="94" s="1"/>
  <c r="G1622" i="94"/>
  <c r="H1622" i="94" s="1"/>
  <c r="K1621" i="94"/>
  <c r="K1629" i="94" s="1"/>
  <c r="L1629" i="94" s="1"/>
  <c r="G1621" i="94"/>
  <c r="G1629" i="94" s="1"/>
  <c r="H1629" i="94" s="1"/>
  <c r="K1618" i="94"/>
  <c r="K1619" i="94" s="1"/>
  <c r="L1619" i="94" s="1"/>
  <c r="G1618" i="94"/>
  <c r="G1619" i="94" s="1"/>
  <c r="H1619" i="94" s="1"/>
  <c r="K1616" i="94"/>
  <c r="L1616" i="94" s="1"/>
  <c r="N1616" i="94" s="1"/>
  <c r="K1615" i="94"/>
  <c r="L1615" i="94" s="1"/>
  <c r="G1615" i="94"/>
  <c r="H1615" i="94" s="1"/>
  <c r="K1614" i="94"/>
  <c r="L1614" i="94" s="1"/>
  <c r="G1614" i="94"/>
  <c r="H1614" i="94" s="1"/>
  <c r="O1614" i="94" s="1"/>
  <c r="K1613" i="94"/>
  <c r="L1613" i="94" s="1"/>
  <c r="G1613" i="94"/>
  <c r="H1613" i="94" s="1"/>
  <c r="K1612" i="94"/>
  <c r="L1612" i="94" s="1"/>
  <c r="G1612" i="94"/>
  <c r="H1612" i="94" s="1"/>
  <c r="L1610" i="94"/>
  <c r="H1610" i="94"/>
  <c r="O1610" i="94" s="1"/>
  <c r="K1609" i="94"/>
  <c r="L1609" i="94" s="1"/>
  <c r="G1609" i="94"/>
  <c r="H1609" i="94" s="1"/>
  <c r="O1609" i="94" s="1"/>
  <c r="K1608" i="94"/>
  <c r="L1608" i="94" s="1"/>
  <c r="G1608" i="94"/>
  <c r="H1608" i="94" s="1"/>
  <c r="O1608" i="94" s="1"/>
  <c r="K1607" i="94"/>
  <c r="L1607" i="94" s="1"/>
  <c r="G1607" i="94"/>
  <c r="H1607" i="94" s="1"/>
  <c r="O1607" i="94" s="1"/>
  <c r="L1606" i="94"/>
  <c r="H1606" i="94"/>
  <c r="O1606" i="94" s="1"/>
  <c r="K1605" i="94"/>
  <c r="L1605" i="94" s="1"/>
  <c r="G1605" i="94"/>
  <c r="H1605" i="94" s="1"/>
  <c r="L1604" i="94"/>
  <c r="H1604" i="94"/>
  <c r="K1603" i="94"/>
  <c r="L1603" i="94" s="1"/>
  <c r="G1603" i="94"/>
  <c r="H1603" i="94" s="1"/>
  <c r="L1602" i="94"/>
  <c r="H1602" i="94"/>
  <c r="O1602" i="94" s="1"/>
  <c r="L1601" i="94"/>
  <c r="H1601" i="94"/>
  <c r="K1545" i="94"/>
  <c r="L1545" i="94" s="1"/>
  <c r="G1545" i="94"/>
  <c r="H1545" i="94" s="1"/>
  <c r="L1544" i="94"/>
  <c r="H1544" i="94"/>
  <c r="O1544" i="94" s="1"/>
  <c r="K1543" i="94"/>
  <c r="L1543" i="94" s="1"/>
  <c r="G1543" i="94"/>
  <c r="H1543" i="94" s="1"/>
  <c r="K1542" i="94"/>
  <c r="L1542" i="94" s="1"/>
  <c r="G1542" i="94"/>
  <c r="H1542" i="94" s="1"/>
  <c r="K1539" i="94"/>
  <c r="L1539" i="94" s="1"/>
  <c r="G1539" i="94"/>
  <c r="H1539" i="94" s="1"/>
  <c r="K1537" i="94"/>
  <c r="L1537" i="94" s="1"/>
  <c r="N1537" i="94" s="1"/>
  <c r="K1536" i="94"/>
  <c r="L1536" i="94" s="1"/>
  <c r="G1536" i="94"/>
  <c r="H1536" i="94" s="1"/>
  <c r="K1535" i="94"/>
  <c r="L1535" i="94" s="1"/>
  <c r="G1535" i="94"/>
  <c r="H1535" i="94" s="1"/>
  <c r="O1535" i="94" s="1"/>
  <c r="L1534" i="94"/>
  <c r="K1534" i="94"/>
  <c r="G1534" i="94"/>
  <c r="H1534" i="94" s="1"/>
  <c r="K1533" i="94"/>
  <c r="L1533" i="94" s="1"/>
  <c r="G1533" i="94"/>
  <c r="H1533" i="94" s="1"/>
  <c r="L1531" i="94"/>
  <c r="H1531" i="94"/>
  <c r="O1531" i="94" s="1"/>
  <c r="K1530" i="94"/>
  <c r="L1530" i="94" s="1"/>
  <c r="G1530" i="94"/>
  <c r="H1530" i="94" s="1"/>
  <c r="O1530" i="94" s="1"/>
  <c r="K1529" i="94"/>
  <c r="L1529" i="94" s="1"/>
  <c r="G1529" i="94"/>
  <c r="H1529" i="94" s="1"/>
  <c r="O1529" i="94" s="1"/>
  <c r="K1528" i="94"/>
  <c r="L1528" i="94" s="1"/>
  <c r="G1528" i="94"/>
  <c r="H1528" i="94" s="1"/>
  <c r="O1528" i="94" s="1"/>
  <c r="L1527" i="94"/>
  <c r="H1527" i="94"/>
  <c r="O1527" i="94" s="1"/>
  <c r="K1526" i="94"/>
  <c r="L1526" i="94" s="1"/>
  <c r="G1526" i="94"/>
  <c r="H1526" i="94" s="1"/>
  <c r="L1525" i="94"/>
  <c r="H1525" i="94"/>
  <c r="K1524" i="94"/>
  <c r="L1524" i="94" s="1"/>
  <c r="G1524" i="94"/>
  <c r="H1524" i="94" s="1"/>
  <c r="L1523" i="94"/>
  <c r="H1523" i="94"/>
  <c r="O1523" i="94" s="1"/>
  <c r="L1522" i="94"/>
  <c r="H1522" i="94"/>
  <c r="K1466" i="94"/>
  <c r="L1466" i="94" s="1"/>
  <c r="G1466" i="94"/>
  <c r="H1466" i="94" s="1"/>
  <c r="L1465" i="94"/>
  <c r="H1465" i="94"/>
  <c r="O1465" i="94" s="1"/>
  <c r="K1464" i="94"/>
  <c r="L1464" i="94" s="1"/>
  <c r="G1464" i="94"/>
  <c r="H1464" i="94" s="1"/>
  <c r="K1463" i="94"/>
  <c r="K1471" i="94" s="1"/>
  <c r="L1471" i="94" s="1"/>
  <c r="G1463" i="94"/>
  <c r="G1471" i="94" s="1"/>
  <c r="H1471" i="94" s="1"/>
  <c r="K1460" i="94"/>
  <c r="K1461" i="94" s="1"/>
  <c r="L1461" i="94" s="1"/>
  <c r="G1460" i="94"/>
  <c r="K1458" i="94"/>
  <c r="L1458" i="94" s="1"/>
  <c r="N1458" i="94" s="1"/>
  <c r="K1457" i="94"/>
  <c r="L1457" i="94" s="1"/>
  <c r="G1457" i="94"/>
  <c r="H1457" i="94" s="1"/>
  <c r="K1456" i="94"/>
  <c r="L1456" i="94" s="1"/>
  <c r="G1456" i="94"/>
  <c r="H1456" i="94" s="1"/>
  <c r="O1456" i="94" s="1"/>
  <c r="K1455" i="94"/>
  <c r="L1455" i="94" s="1"/>
  <c r="G1455" i="94"/>
  <c r="H1455" i="94" s="1"/>
  <c r="K1454" i="94"/>
  <c r="L1454" i="94" s="1"/>
  <c r="G1454" i="94"/>
  <c r="H1454" i="94" s="1"/>
  <c r="L1452" i="94"/>
  <c r="H1452" i="94"/>
  <c r="O1452" i="94" s="1"/>
  <c r="K1451" i="94"/>
  <c r="L1451" i="94" s="1"/>
  <c r="G1451" i="94"/>
  <c r="H1451" i="94" s="1"/>
  <c r="O1451" i="94" s="1"/>
  <c r="K1450" i="94"/>
  <c r="L1450" i="94" s="1"/>
  <c r="G1450" i="94"/>
  <c r="H1450" i="94" s="1"/>
  <c r="O1450" i="94" s="1"/>
  <c r="K1449" i="94"/>
  <c r="L1449" i="94" s="1"/>
  <c r="G1449" i="94"/>
  <c r="H1449" i="94" s="1"/>
  <c r="O1449" i="94" s="1"/>
  <c r="L1448" i="94"/>
  <c r="H1448" i="94"/>
  <c r="O1448" i="94" s="1"/>
  <c r="K1447" i="94"/>
  <c r="L1447" i="94" s="1"/>
  <c r="G1447" i="94"/>
  <c r="H1447" i="94" s="1"/>
  <c r="L1446" i="94"/>
  <c r="H1446" i="94"/>
  <c r="L1445" i="94"/>
  <c r="G1445" i="94"/>
  <c r="H1445" i="94" s="1"/>
  <c r="L1444" i="94"/>
  <c r="H1444" i="94"/>
  <c r="O1444" i="94" s="1"/>
  <c r="L1443" i="94"/>
  <c r="H1443" i="94"/>
  <c r="K1387" i="94"/>
  <c r="L1387" i="94" s="1"/>
  <c r="G1387" i="94"/>
  <c r="H1387" i="94" s="1"/>
  <c r="L1386" i="94"/>
  <c r="H1386" i="94"/>
  <c r="O1386" i="94" s="1"/>
  <c r="K1385" i="94"/>
  <c r="L1385" i="94" s="1"/>
  <c r="G1385" i="94"/>
  <c r="H1385" i="94" s="1"/>
  <c r="K1384" i="94"/>
  <c r="L1384" i="94" s="1"/>
  <c r="G1384" i="94"/>
  <c r="H1384" i="94" s="1"/>
  <c r="K1381" i="94"/>
  <c r="L1381" i="94" s="1"/>
  <c r="G1381" i="94"/>
  <c r="H1381" i="94" s="1"/>
  <c r="K1379" i="94"/>
  <c r="L1379" i="94" s="1"/>
  <c r="N1379" i="94" s="1"/>
  <c r="L1378" i="94"/>
  <c r="H1378" i="94"/>
  <c r="L1377" i="94"/>
  <c r="H1377" i="94"/>
  <c r="O1377" i="94" s="1"/>
  <c r="L1376" i="94"/>
  <c r="H1376" i="94"/>
  <c r="L1375" i="94"/>
  <c r="H1375" i="94"/>
  <c r="L1373" i="94"/>
  <c r="H1373" i="94"/>
  <c r="O1373" i="94" s="1"/>
  <c r="L1372" i="94"/>
  <c r="N1372" i="94" s="1"/>
  <c r="H1372" i="94"/>
  <c r="O1372" i="94" s="1"/>
  <c r="L1371" i="94"/>
  <c r="H1371" i="94"/>
  <c r="O1371" i="94" s="1"/>
  <c r="L1370" i="94"/>
  <c r="H1370" i="94"/>
  <c r="O1370" i="94" s="1"/>
  <c r="L1369" i="94"/>
  <c r="H1369" i="94"/>
  <c r="O1369" i="94" s="1"/>
  <c r="L1368" i="94"/>
  <c r="N1368" i="94" s="1"/>
  <c r="H1368" i="94"/>
  <c r="L1367" i="94"/>
  <c r="H1367" i="94"/>
  <c r="L1366" i="94"/>
  <c r="H1366" i="94"/>
  <c r="L1365" i="94"/>
  <c r="H1365" i="94"/>
  <c r="O1365" i="94" s="1"/>
  <c r="L1364" i="94"/>
  <c r="H1364" i="94"/>
  <c r="K1308" i="94"/>
  <c r="L1308" i="94" s="1"/>
  <c r="G1308" i="94"/>
  <c r="H1308" i="94" s="1"/>
  <c r="L1307" i="94"/>
  <c r="H1307" i="94"/>
  <c r="O1307" i="94" s="1"/>
  <c r="K1306" i="94"/>
  <c r="L1306" i="94" s="1"/>
  <c r="G1306" i="94"/>
  <c r="H1306" i="94" s="1"/>
  <c r="K1305" i="94"/>
  <c r="K1313" i="94" s="1"/>
  <c r="L1313" i="94" s="1"/>
  <c r="G1305" i="94"/>
  <c r="G1313" i="94" s="1"/>
  <c r="H1313" i="94" s="1"/>
  <c r="K1302" i="94"/>
  <c r="K1303" i="94" s="1"/>
  <c r="L1303" i="94" s="1"/>
  <c r="G1302" i="94"/>
  <c r="G1303" i="94" s="1"/>
  <c r="H1303" i="94" s="1"/>
  <c r="K1300" i="94"/>
  <c r="L1300" i="94" s="1"/>
  <c r="N1300" i="94" s="1"/>
  <c r="L1299" i="94"/>
  <c r="H1299" i="94"/>
  <c r="L1298" i="94"/>
  <c r="H1298" i="94"/>
  <c r="O1298" i="94" s="1"/>
  <c r="L1297" i="94"/>
  <c r="H1297" i="94"/>
  <c r="L1296" i="94"/>
  <c r="H1296" i="94"/>
  <c r="L1294" i="94"/>
  <c r="H1294" i="94"/>
  <c r="O1294" i="94" s="1"/>
  <c r="L1293" i="94"/>
  <c r="H1293" i="94"/>
  <c r="O1293" i="94" s="1"/>
  <c r="L1292" i="94"/>
  <c r="H1292" i="94"/>
  <c r="O1292" i="94" s="1"/>
  <c r="L1291" i="94"/>
  <c r="H1291" i="94"/>
  <c r="O1291" i="94" s="1"/>
  <c r="L1290" i="94"/>
  <c r="H1290" i="94"/>
  <c r="O1290" i="94" s="1"/>
  <c r="L1289" i="94"/>
  <c r="H1289" i="94"/>
  <c r="L1288" i="94"/>
  <c r="H1288" i="94"/>
  <c r="L1287" i="94"/>
  <c r="H1287" i="94"/>
  <c r="L1286" i="94"/>
  <c r="H1286" i="94"/>
  <c r="O1286" i="94" s="1"/>
  <c r="L1285" i="94"/>
  <c r="H1285" i="94"/>
  <c r="K1229" i="94"/>
  <c r="L1229" i="94" s="1"/>
  <c r="G1229" i="94"/>
  <c r="H1229" i="94" s="1"/>
  <c r="L1228" i="94"/>
  <c r="H1228" i="94"/>
  <c r="O1228" i="94" s="1"/>
  <c r="K1227" i="94"/>
  <c r="L1227" i="94" s="1"/>
  <c r="G1227" i="94"/>
  <c r="H1227" i="94" s="1"/>
  <c r="K1226" i="94"/>
  <c r="L1226" i="94" s="1"/>
  <c r="G1226" i="94"/>
  <c r="H1226" i="94" s="1"/>
  <c r="K1223" i="94"/>
  <c r="L1223" i="94" s="1"/>
  <c r="G1223" i="94"/>
  <c r="H1223" i="94" s="1"/>
  <c r="K1221" i="94"/>
  <c r="L1221" i="94" s="1"/>
  <c r="N1221" i="94" s="1"/>
  <c r="L1220" i="94"/>
  <c r="H1220" i="94"/>
  <c r="L1219" i="94"/>
  <c r="H1219" i="94"/>
  <c r="O1219" i="94" s="1"/>
  <c r="L1218" i="94"/>
  <c r="H1218" i="94"/>
  <c r="L1217" i="94"/>
  <c r="H1217" i="94"/>
  <c r="L1215" i="94"/>
  <c r="N1215" i="94" s="1"/>
  <c r="H1215" i="94"/>
  <c r="O1215" i="94" s="1"/>
  <c r="L1214" i="94"/>
  <c r="H1214" i="94"/>
  <c r="O1214" i="94" s="1"/>
  <c r="L1213" i="94"/>
  <c r="H1213" i="94"/>
  <c r="O1213" i="94" s="1"/>
  <c r="L1212" i="94"/>
  <c r="H1212" i="94"/>
  <c r="O1212" i="94" s="1"/>
  <c r="L1211" i="94"/>
  <c r="H1211" i="94"/>
  <c r="O1211" i="94" s="1"/>
  <c r="L1210" i="94"/>
  <c r="H1210" i="94"/>
  <c r="L1209" i="94"/>
  <c r="H1209" i="94"/>
  <c r="L1208" i="94"/>
  <c r="H1208" i="94"/>
  <c r="L1207" i="94"/>
  <c r="H1207" i="94"/>
  <c r="O1207" i="94" s="1"/>
  <c r="L1206" i="94"/>
  <c r="H1206" i="94"/>
  <c r="K1150" i="94"/>
  <c r="L1150" i="94" s="1"/>
  <c r="G1150" i="94"/>
  <c r="H1150" i="94" s="1"/>
  <c r="L1149" i="94"/>
  <c r="H1149" i="94"/>
  <c r="O1149" i="94" s="1"/>
  <c r="K1148" i="94"/>
  <c r="L1148" i="94" s="1"/>
  <c r="G1148" i="94"/>
  <c r="H1148" i="94" s="1"/>
  <c r="K1147" i="94"/>
  <c r="K1155" i="94" s="1"/>
  <c r="L1155" i="94" s="1"/>
  <c r="G1147" i="94"/>
  <c r="G1155" i="94" s="1"/>
  <c r="H1155" i="94" s="1"/>
  <c r="K1144" i="94"/>
  <c r="K1145" i="94" s="1"/>
  <c r="L1145" i="94" s="1"/>
  <c r="G1144" i="94"/>
  <c r="G1145" i="94" s="1"/>
  <c r="H1145" i="94" s="1"/>
  <c r="K1142" i="94"/>
  <c r="L1142" i="94" s="1"/>
  <c r="N1142" i="94" s="1"/>
  <c r="L1141" i="94"/>
  <c r="H1141" i="94"/>
  <c r="L1140" i="94"/>
  <c r="H1140" i="94"/>
  <c r="O1140" i="94" s="1"/>
  <c r="L1139" i="94"/>
  <c r="H1139" i="94"/>
  <c r="L1138" i="94"/>
  <c r="H1138" i="94"/>
  <c r="L1136" i="94"/>
  <c r="H1136" i="94"/>
  <c r="O1136" i="94" s="1"/>
  <c r="L1135" i="94"/>
  <c r="H1135" i="94"/>
  <c r="O1135" i="94" s="1"/>
  <c r="L1134" i="94"/>
  <c r="H1134" i="94"/>
  <c r="O1134" i="94" s="1"/>
  <c r="L1133" i="94"/>
  <c r="H1133" i="94"/>
  <c r="O1133" i="94" s="1"/>
  <c r="L1132" i="94"/>
  <c r="H1132" i="94"/>
  <c r="O1132" i="94" s="1"/>
  <c r="L1131" i="94"/>
  <c r="H1131" i="94"/>
  <c r="L1130" i="94"/>
  <c r="H1130" i="94"/>
  <c r="L1129" i="94"/>
  <c r="H1129" i="94"/>
  <c r="L1128" i="94"/>
  <c r="H1128" i="94"/>
  <c r="O1128" i="94" s="1"/>
  <c r="L1127" i="94"/>
  <c r="L1137" i="94" s="1"/>
  <c r="H1127" i="94"/>
  <c r="K1071" i="94"/>
  <c r="L1071" i="94" s="1"/>
  <c r="G1071" i="94"/>
  <c r="H1071" i="94" s="1"/>
  <c r="L1070" i="94"/>
  <c r="H1070" i="94"/>
  <c r="O1070" i="94" s="1"/>
  <c r="K1069" i="94"/>
  <c r="L1069" i="94" s="1"/>
  <c r="G1069" i="94"/>
  <c r="H1069" i="94" s="1"/>
  <c r="K1068" i="94"/>
  <c r="L1068" i="94" s="1"/>
  <c r="G1068" i="94"/>
  <c r="H1068" i="94" s="1"/>
  <c r="K1065" i="94"/>
  <c r="L1065" i="94" s="1"/>
  <c r="G1065" i="94"/>
  <c r="H1065" i="94" s="1"/>
  <c r="K1063" i="94"/>
  <c r="L1063" i="94" s="1"/>
  <c r="N1063" i="94" s="1"/>
  <c r="L1062" i="94"/>
  <c r="H1062" i="94"/>
  <c r="L1061" i="94"/>
  <c r="H1061" i="94"/>
  <c r="O1061" i="94" s="1"/>
  <c r="L1060" i="94"/>
  <c r="H1060" i="94"/>
  <c r="L1059" i="94"/>
  <c r="H1059" i="94"/>
  <c r="L1057" i="94"/>
  <c r="H1057" i="94"/>
  <c r="O1057" i="94" s="1"/>
  <c r="L1056" i="94"/>
  <c r="H1056" i="94"/>
  <c r="O1056" i="94" s="1"/>
  <c r="L1055" i="94"/>
  <c r="H1055" i="94"/>
  <c r="O1055" i="94" s="1"/>
  <c r="L1054" i="94"/>
  <c r="H1054" i="94"/>
  <c r="O1054" i="94" s="1"/>
  <c r="L1053" i="94"/>
  <c r="H1053" i="94"/>
  <c r="O1053" i="94" s="1"/>
  <c r="L1052" i="94"/>
  <c r="H1052" i="94"/>
  <c r="L1051" i="94"/>
  <c r="H1051" i="94"/>
  <c r="L1050" i="94"/>
  <c r="H1050" i="94"/>
  <c r="L1049" i="94"/>
  <c r="H1049" i="94"/>
  <c r="O1049" i="94" s="1"/>
  <c r="L1048" i="94"/>
  <c r="H1048" i="94"/>
  <c r="L992" i="94"/>
  <c r="K992" i="94"/>
  <c r="G992" i="94"/>
  <c r="H992" i="94" s="1"/>
  <c r="L991" i="94"/>
  <c r="H991" i="94"/>
  <c r="O991" i="94" s="1"/>
  <c r="K990" i="94"/>
  <c r="L990" i="94" s="1"/>
  <c r="G990" i="94"/>
  <c r="H990" i="94" s="1"/>
  <c r="K989" i="94"/>
  <c r="K997" i="94" s="1"/>
  <c r="L997" i="94" s="1"/>
  <c r="G989" i="94"/>
  <c r="G997" i="94" s="1"/>
  <c r="H997" i="94" s="1"/>
  <c r="K986" i="94"/>
  <c r="K987" i="94" s="1"/>
  <c r="L987" i="94" s="1"/>
  <c r="G986" i="94"/>
  <c r="G987" i="94" s="1"/>
  <c r="H987" i="94" s="1"/>
  <c r="K984" i="94"/>
  <c r="L984" i="94" s="1"/>
  <c r="N984" i="94" s="1"/>
  <c r="L983" i="94"/>
  <c r="H983" i="94"/>
  <c r="L982" i="94"/>
  <c r="H982" i="94"/>
  <c r="O982" i="94" s="1"/>
  <c r="L981" i="94"/>
  <c r="H981" i="94"/>
  <c r="L980" i="94"/>
  <c r="H980" i="94"/>
  <c r="L978" i="94"/>
  <c r="H978" i="94"/>
  <c r="O978" i="94" s="1"/>
  <c r="L977" i="94"/>
  <c r="H977" i="94"/>
  <c r="O977" i="94" s="1"/>
  <c r="L976" i="94"/>
  <c r="H976" i="94"/>
  <c r="O976" i="94" s="1"/>
  <c r="L975" i="94"/>
  <c r="H975" i="94"/>
  <c r="O975" i="94" s="1"/>
  <c r="L974" i="94"/>
  <c r="H974" i="94"/>
  <c r="O974" i="94" s="1"/>
  <c r="L973" i="94"/>
  <c r="H973" i="94"/>
  <c r="L972" i="94"/>
  <c r="H972" i="94"/>
  <c r="L971" i="94"/>
  <c r="H971" i="94"/>
  <c r="L970" i="94"/>
  <c r="H970" i="94"/>
  <c r="O970" i="94" s="1"/>
  <c r="L969" i="94"/>
  <c r="H969" i="94"/>
  <c r="K913" i="94"/>
  <c r="L913" i="94" s="1"/>
  <c r="G913" i="94"/>
  <c r="H913" i="94" s="1"/>
  <c r="L912" i="94"/>
  <c r="H912" i="94"/>
  <c r="O912" i="94" s="1"/>
  <c r="K911" i="94"/>
  <c r="L911" i="94" s="1"/>
  <c r="G911" i="94"/>
  <c r="H911" i="94" s="1"/>
  <c r="K910" i="94"/>
  <c r="K918" i="94" s="1"/>
  <c r="L918" i="94" s="1"/>
  <c r="G910" i="94"/>
  <c r="G918" i="94" s="1"/>
  <c r="H918" i="94" s="1"/>
  <c r="K907" i="94"/>
  <c r="K908" i="94" s="1"/>
  <c r="L908" i="94" s="1"/>
  <c r="G907" i="94"/>
  <c r="G908" i="94" s="1"/>
  <c r="H908" i="94" s="1"/>
  <c r="K905" i="94"/>
  <c r="L905" i="94" s="1"/>
  <c r="N905" i="94" s="1"/>
  <c r="L904" i="94"/>
  <c r="H904" i="94"/>
  <c r="L903" i="94"/>
  <c r="H903" i="94"/>
  <c r="O903" i="94" s="1"/>
  <c r="L902" i="94"/>
  <c r="H902" i="94"/>
  <c r="L901" i="94"/>
  <c r="H901" i="94"/>
  <c r="L899" i="94"/>
  <c r="H899" i="94"/>
  <c r="O899" i="94" s="1"/>
  <c r="L898" i="94"/>
  <c r="H898" i="94"/>
  <c r="O898" i="94" s="1"/>
  <c r="L897" i="94"/>
  <c r="H897" i="94"/>
  <c r="L896" i="94"/>
  <c r="H896" i="94"/>
  <c r="O896" i="94" s="1"/>
  <c r="L895" i="94"/>
  <c r="H895" i="94"/>
  <c r="O895" i="94" s="1"/>
  <c r="L894" i="94"/>
  <c r="H894" i="94"/>
  <c r="L893" i="94"/>
  <c r="H893" i="94"/>
  <c r="L892" i="94"/>
  <c r="H892" i="94"/>
  <c r="L891" i="94"/>
  <c r="H891" i="94"/>
  <c r="O891" i="94" s="1"/>
  <c r="L890" i="94"/>
  <c r="H890" i="94"/>
  <c r="K834" i="94"/>
  <c r="L834" i="94" s="1"/>
  <c r="G834" i="94"/>
  <c r="H834" i="94" s="1"/>
  <c r="L833" i="94"/>
  <c r="H833" i="94"/>
  <c r="O833" i="94" s="1"/>
  <c r="K832" i="94"/>
  <c r="L832" i="94" s="1"/>
  <c r="G832" i="94"/>
  <c r="H832" i="94" s="1"/>
  <c r="K831" i="94"/>
  <c r="L831" i="94" s="1"/>
  <c r="G831" i="94"/>
  <c r="H831" i="94" s="1"/>
  <c r="K828" i="94"/>
  <c r="L828" i="94" s="1"/>
  <c r="G828" i="94"/>
  <c r="H828" i="94" s="1"/>
  <c r="K826" i="94"/>
  <c r="L826" i="94" s="1"/>
  <c r="N826" i="94" s="1"/>
  <c r="L825" i="94"/>
  <c r="H825" i="94"/>
  <c r="L824" i="94"/>
  <c r="H824" i="94"/>
  <c r="O824" i="94" s="1"/>
  <c r="L823" i="94"/>
  <c r="H823" i="94"/>
  <c r="L822" i="94"/>
  <c r="H822" i="94"/>
  <c r="L820" i="94"/>
  <c r="H820" i="94"/>
  <c r="O820" i="94" s="1"/>
  <c r="L819" i="94"/>
  <c r="H819" i="94"/>
  <c r="O819" i="94" s="1"/>
  <c r="L818" i="94"/>
  <c r="H818" i="94"/>
  <c r="L817" i="94"/>
  <c r="H817" i="94"/>
  <c r="O817" i="94" s="1"/>
  <c r="L816" i="94"/>
  <c r="H816" i="94"/>
  <c r="O816" i="94" s="1"/>
  <c r="L815" i="94"/>
  <c r="H815" i="94"/>
  <c r="L814" i="94"/>
  <c r="H814" i="94"/>
  <c r="L813" i="94"/>
  <c r="H813" i="94"/>
  <c r="L812" i="94"/>
  <c r="H812" i="94"/>
  <c r="O812" i="94" s="1"/>
  <c r="L811" i="94"/>
  <c r="H811" i="94"/>
  <c r="K755" i="94"/>
  <c r="L755" i="94" s="1"/>
  <c r="G755" i="94"/>
  <c r="H755" i="94" s="1"/>
  <c r="L754" i="94"/>
  <c r="H754" i="94"/>
  <c r="O754" i="94" s="1"/>
  <c r="K753" i="94"/>
  <c r="L753" i="94" s="1"/>
  <c r="G753" i="94"/>
  <c r="H753" i="94" s="1"/>
  <c r="K752" i="94"/>
  <c r="K760" i="94" s="1"/>
  <c r="L760" i="94" s="1"/>
  <c r="G752" i="94"/>
  <c r="G760" i="94" s="1"/>
  <c r="H760" i="94" s="1"/>
  <c r="K749" i="94"/>
  <c r="K750" i="94" s="1"/>
  <c r="L750" i="94" s="1"/>
  <c r="G749" i="94"/>
  <c r="G750" i="94" s="1"/>
  <c r="H750" i="94" s="1"/>
  <c r="K747" i="94"/>
  <c r="L747" i="94" s="1"/>
  <c r="N747" i="94" s="1"/>
  <c r="L746" i="94"/>
  <c r="H746" i="94"/>
  <c r="L745" i="94"/>
  <c r="H745" i="94"/>
  <c r="O745" i="94" s="1"/>
  <c r="L744" i="94"/>
  <c r="H744" i="94"/>
  <c r="L743" i="94"/>
  <c r="H743" i="94"/>
  <c r="L741" i="94"/>
  <c r="H741" i="94"/>
  <c r="O741" i="94" s="1"/>
  <c r="L740" i="94"/>
  <c r="H740" i="94"/>
  <c r="O740" i="94" s="1"/>
  <c r="L739" i="94"/>
  <c r="H739" i="94"/>
  <c r="L738" i="94"/>
  <c r="H738" i="94"/>
  <c r="O738" i="94" s="1"/>
  <c r="L737" i="94"/>
  <c r="H737" i="94"/>
  <c r="O737" i="94" s="1"/>
  <c r="L736" i="94"/>
  <c r="H736" i="94"/>
  <c r="L735" i="94"/>
  <c r="H735" i="94"/>
  <c r="L734" i="94"/>
  <c r="H734" i="94"/>
  <c r="L733" i="94"/>
  <c r="H733" i="94"/>
  <c r="O733" i="94" s="1"/>
  <c r="L732" i="94"/>
  <c r="H732" i="94"/>
  <c r="K676" i="94"/>
  <c r="L676" i="94" s="1"/>
  <c r="G676" i="94"/>
  <c r="H676" i="94" s="1"/>
  <c r="L675" i="94"/>
  <c r="H675" i="94"/>
  <c r="O675" i="94" s="1"/>
  <c r="K674" i="94"/>
  <c r="L674" i="94" s="1"/>
  <c r="G674" i="94"/>
  <c r="H674" i="94" s="1"/>
  <c r="K673" i="94"/>
  <c r="L673" i="94" s="1"/>
  <c r="G673" i="94"/>
  <c r="H673" i="94" s="1"/>
  <c r="K670" i="94"/>
  <c r="L670" i="94" s="1"/>
  <c r="G670" i="94"/>
  <c r="H670" i="94" s="1"/>
  <c r="K668" i="94"/>
  <c r="L668" i="94" s="1"/>
  <c r="N668" i="94" s="1"/>
  <c r="L667" i="94"/>
  <c r="H667" i="94"/>
  <c r="L666" i="94"/>
  <c r="H666" i="94"/>
  <c r="O666" i="94" s="1"/>
  <c r="L665" i="94"/>
  <c r="H665" i="94"/>
  <c r="L664" i="94"/>
  <c r="H664" i="94"/>
  <c r="L662" i="94"/>
  <c r="H662" i="94"/>
  <c r="O662" i="94" s="1"/>
  <c r="L661" i="94"/>
  <c r="H661" i="94"/>
  <c r="O661" i="94" s="1"/>
  <c r="L660" i="94"/>
  <c r="H660" i="94"/>
  <c r="L659" i="94"/>
  <c r="H659" i="94"/>
  <c r="O659" i="94" s="1"/>
  <c r="L658" i="94"/>
  <c r="H658" i="94"/>
  <c r="O658" i="94" s="1"/>
  <c r="L657" i="94"/>
  <c r="H657" i="94"/>
  <c r="L656" i="94"/>
  <c r="H656" i="94"/>
  <c r="L655" i="94"/>
  <c r="H655" i="94"/>
  <c r="L654" i="94"/>
  <c r="H654" i="94"/>
  <c r="O654" i="94" s="1"/>
  <c r="L653" i="94"/>
  <c r="H653" i="94"/>
  <c r="K597" i="94"/>
  <c r="L597" i="94" s="1"/>
  <c r="G597" i="94"/>
  <c r="H597" i="94" s="1"/>
  <c r="L596" i="94"/>
  <c r="H596" i="94"/>
  <c r="O596" i="94" s="1"/>
  <c r="K595" i="94"/>
  <c r="L595" i="94" s="1"/>
  <c r="G595" i="94"/>
  <c r="H595" i="94" s="1"/>
  <c r="K594" i="94"/>
  <c r="K602" i="94" s="1"/>
  <c r="L602" i="94" s="1"/>
  <c r="G594" i="94"/>
  <c r="G602" i="94" s="1"/>
  <c r="H602" i="94" s="1"/>
  <c r="K591" i="94"/>
  <c r="K592" i="94" s="1"/>
  <c r="L592" i="94" s="1"/>
  <c r="G591" i="94"/>
  <c r="G592" i="94" s="1"/>
  <c r="H592" i="94" s="1"/>
  <c r="K589" i="94"/>
  <c r="L589" i="94" s="1"/>
  <c r="N589" i="94" s="1"/>
  <c r="K588" i="94"/>
  <c r="L588" i="94" s="1"/>
  <c r="G588" i="94"/>
  <c r="H588" i="94" s="1"/>
  <c r="K587" i="94"/>
  <c r="L587" i="94" s="1"/>
  <c r="G587" i="94"/>
  <c r="H587" i="94" s="1"/>
  <c r="O587" i="94" s="1"/>
  <c r="K586" i="94"/>
  <c r="L586" i="94" s="1"/>
  <c r="G586" i="94"/>
  <c r="H586" i="94" s="1"/>
  <c r="K585" i="94"/>
  <c r="L585" i="94" s="1"/>
  <c r="G585" i="94"/>
  <c r="H585" i="94" s="1"/>
  <c r="L583" i="94"/>
  <c r="H583" i="94"/>
  <c r="O583" i="94" s="1"/>
  <c r="K582" i="94"/>
  <c r="L582" i="94" s="1"/>
  <c r="G582" i="94"/>
  <c r="H582" i="94" s="1"/>
  <c r="O582" i="94" s="1"/>
  <c r="K581" i="94"/>
  <c r="L581" i="94" s="1"/>
  <c r="G581" i="94"/>
  <c r="H581" i="94" s="1"/>
  <c r="K580" i="94"/>
  <c r="L580" i="94" s="1"/>
  <c r="G580" i="94"/>
  <c r="H580" i="94" s="1"/>
  <c r="L579" i="94"/>
  <c r="H579" i="94"/>
  <c r="O579" i="94" s="1"/>
  <c r="K578" i="94"/>
  <c r="L578" i="94" s="1"/>
  <c r="G578" i="94"/>
  <c r="H578" i="94" s="1"/>
  <c r="L577" i="94"/>
  <c r="H577" i="94"/>
  <c r="K576" i="94"/>
  <c r="L576" i="94" s="1"/>
  <c r="G576" i="94"/>
  <c r="H576" i="94" s="1"/>
  <c r="L575" i="94"/>
  <c r="H575" i="94"/>
  <c r="L574" i="94"/>
  <c r="H574" i="94"/>
  <c r="K518" i="94"/>
  <c r="L518" i="94" s="1"/>
  <c r="G518" i="94"/>
  <c r="H518" i="94" s="1"/>
  <c r="L517" i="94"/>
  <c r="H517" i="94"/>
  <c r="O517" i="94" s="1"/>
  <c r="K516" i="94"/>
  <c r="L516" i="94" s="1"/>
  <c r="G516" i="94"/>
  <c r="H516" i="94" s="1"/>
  <c r="K515" i="94"/>
  <c r="L515" i="94" s="1"/>
  <c r="G515" i="94"/>
  <c r="H515" i="94" s="1"/>
  <c r="K512" i="94"/>
  <c r="L512" i="94" s="1"/>
  <c r="G512" i="94"/>
  <c r="H512" i="94" s="1"/>
  <c r="K510" i="94"/>
  <c r="L510" i="94" s="1"/>
  <c r="N510" i="94" s="1"/>
  <c r="K509" i="94"/>
  <c r="L509" i="94" s="1"/>
  <c r="G509" i="94"/>
  <c r="H509" i="94" s="1"/>
  <c r="K508" i="94"/>
  <c r="L508" i="94" s="1"/>
  <c r="G508" i="94"/>
  <c r="H508" i="94" s="1"/>
  <c r="O508" i="94" s="1"/>
  <c r="K507" i="94"/>
  <c r="L507" i="94" s="1"/>
  <c r="G507" i="94"/>
  <c r="H507" i="94" s="1"/>
  <c r="K506" i="94"/>
  <c r="L506" i="94" s="1"/>
  <c r="G506" i="94"/>
  <c r="H506" i="94" s="1"/>
  <c r="L504" i="94"/>
  <c r="H504" i="94"/>
  <c r="O504" i="94" s="1"/>
  <c r="K503" i="94"/>
  <c r="L503" i="94" s="1"/>
  <c r="G503" i="94"/>
  <c r="H503" i="94" s="1"/>
  <c r="O503" i="94" s="1"/>
  <c r="K502" i="94"/>
  <c r="L502" i="94" s="1"/>
  <c r="G502" i="94"/>
  <c r="H502" i="94" s="1"/>
  <c r="K501" i="94"/>
  <c r="L501" i="94" s="1"/>
  <c r="G501" i="94"/>
  <c r="H501" i="94" s="1"/>
  <c r="L500" i="94"/>
  <c r="H500" i="94"/>
  <c r="O500" i="94" s="1"/>
  <c r="K499" i="94"/>
  <c r="L499" i="94" s="1"/>
  <c r="H499" i="94"/>
  <c r="G499" i="94"/>
  <c r="L498" i="94"/>
  <c r="H498" i="94"/>
  <c r="L497" i="94"/>
  <c r="K497" i="94"/>
  <c r="G497" i="94"/>
  <c r="H497" i="94" s="1"/>
  <c r="L496" i="94"/>
  <c r="H496" i="94"/>
  <c r="L495" i="94"/>
  <c r="H495" i="94"/>
  <c r="K439" i="94"/>
  <c r="L439" i="94" s="1"/>
  <c r="G439" i="94"/>
  <c r="H439" i="94" s="1"/>
  <c r="L438" i="94"/>
  <c r="H438" i="94"/>
  <c r="O438" i="94" s="1"/>
  <c r="K437" i="94"/>
  <c r="L437" i="94" s="1"/>
  <c r="G437" i="94"/>
  <c r="H437" i="94" s="1"/>
  <c r="K436" i="94"/>
  <c r="K444" i="94" s="1"/>
  <c r="L444" i="94" s="1"/>
  <c r="G436" i="94"/>
  <c r="K433" i="94"/>
  <c r="K434" i="94" s="1"/>
  <c r="L434" i="94" s="1"/>
  <c r="G433" i="94"/>
  <c r="G434" i="94" s="1"/>
  <c r="H434" i="94" s="1"/>
  <c r="K431" i="94"/>
  <c r="L431" i="94" s="1"/>
  <c r="N431" i="94" s="1"/>
  <c r="K430" i="94"/>
  <c r="L430" i="94" s="1"/>
  <c r="G430" i="94"/>
  <c r="H430" i="94" s="1"/>
  <c r="K429" i="94"/>
  <c r="L429" i="94" s="1"/>
  <c r="G429" i="94"/>
  <c r="H429" i="94" s="1"/>
  <c r="O429" i="94" s="1"/>
  <c r="K428" i="94"/>
  <c r="L428" i="94" s="1"/>
  <c r="G428" i="94"/>
  <c r="H428" i="94" s="1"/>
  <c r="K427" i="94"/>
  <c r="L427" i="94" s="1"/>
  <c r="G427" i="94"/>
  <c r="H427" i="94" s="1"/>
  <c r="L425" i="94"/>
  <c r="H425" i="94"/>
  <c r="O425" i="94" s="1"/>
  <c r="K424" i="94"/>
  <c r="L424" i="94" s="1"/>
  <c r="G424" i="94"/>
  <c r="H424" i="94" s="1"/>
  <c r="O424" i="94" s="1"/>
  <c r="K423" i="94"/>
  <c r="L423" i="94" s="1"/>
  <c r="G423" i="94"/>
  <c r="H423" i="94" s="1"/>
  <c r="K422" i="94"/>
  <c r="L422" i="94" s="1"/>
  <c r="G422" i="94"/>
  <c r="H422" i="94" s="1"/>
  <c r="L421" i="94"/>
  <c r="H421" i="94"/>
  <c r="O421" i="94" s="1"/>
  <c r="K420" i="94"/>
  <c r="L420" i="94" s="1"/>
  <c r="G420" i="94"/>
  <c r="H420" i="94" s="1"/>
  <c r="L419" i="94"/>
  <c r="H419" i="94"/>
  <c r="K418" i="94"/>
  <c r="L418" i="94" s="1"/>
  <c r="G418" i="94"/>
  <c r="H418" i="94" s="1"/>
  <c r="L417" i="94"/>
  <c r="H417" i="94"/>
  <c r="L416" i="94"/>
  <c r="H416" i="94"/>
  <c r="K360" i="94"/>
  <c r="L360" i="94" s="1"/>
  <c r="G360" i="94"/>
  <c r="H360" i="94" s="1"/>
  <c r="L359" i="94"/>
  <c r="H359" i="94"/>
  <c r="O359" i="94" s="1"/>
  <c r="K358" i="94"/>
  <c r="L358" i="94" s="1"/>
  <c r="G358" i="94"/>
  <c r="H358" i="94" s="1"/>
  <c r="K357" i="94"/>
  <c r="K364" i="94" s="1"/>
  <c r="L364" i="94" s="1"/>
  <c r="G357" i="94"/>
  <c r="H357" i="94" s="1"/>
  <c r="K354" i="94"/>
  <c r="L354" i="94" s="1"/>
  <c r="G354" i="94"/>
  <c r="H354" i="94" s="1"/>
  <c r="K352" i="94"/>
  <c r="L352" i="94" s="1"/>
  <c r="N352" i="94" s="1"/>
  <c r="K351" i="94"/>
  <c r="L351" i="94" s="1"/>
  <c r="G351" i="94"/>
  <c r="H351" i="94" s="1"/>
  <c r="K350" i="94"/>
  <c r="L350" i="94" s="1"/>
  <c r="G350" i="94"/>
  <c r="H350" i="94" s="1"/>
  <c r="O350" i="94" s="1"/>
  <c r="K349" i="94"/>
  <c r="L349" i="94" s="1"/>
  <c r="G349" i="94"/>
  <c r="H349" i="94" s="1"/>
  <c r="K348" i="94"/>
  <c r="L348" i="94" s="1"/>
  <c r="G348" i="94"/>
  <c r="H348" i="94" s="1"/>
  <c r="L346" i="94"/>
  <c r="H346" i="94"/>
  <c r="O346" i="94" s="1"/>
  <c r="K345" i="94"/>
  <c r="L345" i="94" s="1"/>
  <c r="G345" i="94"/>
  <c r="H345" i="94" s="1"/>
  <c r="O345" i="94" s="1"/>
  <c r="K344" i="94"/>
  <c r="L344" i="94" s="1"/>
  <c r="G344" i="94"/>
  <c r="H344" i="94" s="1"/>
  <c r="K343" i="94"/>
  <c r="L343" i="94" s="1"/>
  <c r="G343" i="94"/>
  <c r="H343" i="94" s="1"/>
  <c r="L342" i="94"/>
  <c r="H342" i="94"/>
  <c r="O342" i="94" s="1"/>
  <c r="K341" i="94"/>
  <c r="L341" i="94" s="1"/>
  <c r="G341" i="94"/>
  <c r="H341" i="94" s="1"/>
  <c r="L340" i="94"/>
  <c r="H340" i="94"/>
  <c r="K339" i="94"/>
  <c r="L339" i="94" s="1"/>
  <c r="G339" i="94"/>
  <c r="H339" i="94" s="1"/>
  <c r="L338" i="94"/>
  <c r="H338" i="94"/>
  <c r="L337" i="94"/>
  <c r="H337" i="94"/>
  <c r="K281" i="94"/>
  <c r="L281" i="94" s="1"/>
  <c r="G281" i="94"/>
  <c r="H281" i="94" s="1"/>
  <c r="L280" i="94"/>
  <c r="H280" i="94"/>
  <c r="O280" i="94" s="1"/>
  <c r="K279" i="94"/>
  <c r="L279" i="94" s="1"/>
  <c r="G279" i="94"/>
  <c r="H279" i="94" s="1"/>
  <c r="K278" i="94"/>
  <c r="G278" i="94"/>
  <c r="G286" i="94" s="1"/>
  <c r="H286" i="94" s="1"/>
  <c r="K275" i="94"/>
  <c r="K276" i="94" s="1"/>
  <c r="L276" i="94" s="1"/>
  <c r="G275" i="94"/>
  <c r="G276" i="94" s="1"/>
  <c r="H276" i="94" s="1"/>
  <c r="K273" i="94"/>
  <c r="L273" i="94" s="1"/>
  <c r="N273" i="94" s="1"/>
  <c r="K272" i="94"/>
  <c r="L272" i="94" s="1"/>
  <c r="G272" i="94"/>
  <c r="H272" i="94" s="1"/>
  <c r="K271" i="94"/>
  <c r="L271" i="94" s="1"/>
  <c r="G271" i="94"/>
  <c r="H271" i="94" s="1"/>
  <c r="O271" i="94" s="1"/>
  <c r="K270" i="94"/>
  <c r="L270" i="94" s="1"/>
  <c r="G270" i="94"/>
  <c r="H270" i="94" s="1"/>
  <c r="K269" i="94"/>
  <c r="L269" i="94" s="1"/>
  <c r="G269" i="94"/>
  <c r="H269" i="94" s="1"/>
  <c r="L267" i="94"/>
  <c r="H267" i="94"/>
  <c r="O267" i="94" s="1"/>
  <c r="K266" i="94"/>
  <c r="L266" i="94" s="1"/>
  <c r="G266" i="94"/>
  <c r="H266" i="94" s="1"/>
  <c r="O266" i="94" s="1"/>
  <c r="K265" i="94"/>
  <c r="L265" i="94" s="1"/>
  <c r="G265" i="94"/>
  <c r="H265" i="94" s="1"/>
  <c r="K264" i="94"/>
  <c r="L264" i="94" s="1"/>
  <c r="G264" i="94"/>
  <c r="H264" i="94" s="1"/>
  <c r="L263" i="94"/>
  <c r="H263" i="94"/>
  <c r="O263" i="94" s="1"/>
  <c r="K262" i="94"/>
  <c r="L262" i="94" s="1"/>
  <c r="G262" i="94"/>
  <c r="H262" i="94" s="1"/>
  <c r="L261" i="94"/>
  <c r="H261" i="94"/>
  <c r="K260" i="94"/>
  <c r="L260" i="94" s="1"/>
  <c r="G260" i="94"/>
  <c r="H260" i="94" s="1"/>
  <c r="L259" i="94"/>
  <c r="H259" i="94"/>
  <c r="L258" i="94"/>
  <c r="H258" i="94"/>
  <c r="L202" i="94"/>
  <c r="K202" i="94"/>
  <c r="G202" i="94"/>
  <c r="H202" i="94" s="1"/>
  <c r="L201" i="94"/>
  <c r="H201" i="94"/>
  <c r="O201" i="94" s="1"/>
  <c r="K200" i="94"/>
  <c r="L200" i="94" s="1"/>
  <c r="G200" i="94"/>
  <c r="H200" i="94" s="1"/>
  <c r="K199" i="94"/>
  <c r="K207" i="94" s="1"/>
  <c r="L207" i="94" s="1"/>
  <c r="G199" i="94"/>
  <c r="G207" i="94" s="1"/>
  <c r="H207" i="94" s="1"/>
  <c r="K196" i="94"/>
  <c r="K197" i="94" s="1"/>
  <c r="L197" i="94" s="1"/>
  <c r="G196" i="94"/>
  <c r="G197" i="94" s="1"/>
  <c r="H197" i="94" s="1"/>
  <c r="K194" i="94"/>
  <c r="L194" i="94" s="1"/>
  <c r="N194" i="94" s="1"/>
  <c r="K193" i="94"/>
  <c r="L193" i="94" s="1"/>
  <c r="G193" i="94"/>
  <c r="H193" i="94" s="1"/>
  <c r="K192" i="94"/>
  <c r="L192" i="94" s="1"/>
  <c r="G192" i="94"/>
  <c r="H192" i="94" s="1"/>
  <c r="O192" i="94" s="1"/>
  <c r="K191" i="94"/>
  <c r="L191" i="94" s="1"/>
  <c r="G191" i="94"/>
  <c r="H191" i="94" s="1"/>
  <c r="K190" i="94"/>
  <c r="L190" i="94" s="1"/>
  <c r="G190" i="94"/>
  <c r="H190" i="94" s="1"/>
  <c r="L188" i="94"/>
  <c r="H188" i="94"/>
  <c r="O188" i="94" s="1"/>
  <c r="K187" i="94"/>
  <c r="L187" i="94" s="1"/>
  <c r="G187" i="94"/>
  <c r="H187" i="94" s="1"/>
  <c r="O187" i="94" s="1"/>
  <c r="K186" i="94"/>
  <c r="L186" i="94" s="1"/>
  <c r="G186" i="94"/>
  <c r="H186" i="94" s="1"/>
  <c r="K185" i="94"/>
  <c r="L185" i="94" s="1"/>
  <c r="G185" i="94"/>
  <c r="H185" i="94" s="1"/>
  <c r="L184" i="94"/>
  <c r="H184" i="94"/>
  <c r="O184" i="94" s="1"/>
  <c r="K183" i="94"/>
  <c r="L183" i="94" s="1"/>
  <c r="G183" i="94"/>
  <c r="H183" i="94" s="1"/>
  <c r="L182" i="94"/>
  <c r="H182" i="94"/>
  <c r="K181" i="94"/>
  <c r="L181" i="94" s="1"/>
  <c r="G181" i="94"/>
  <c r="H181" i="94" s="1"/>
  <c r="L180" i="94"/>
  <c r="H180" i="94"/>
  <c r="L179" i="94"/>
  <c r="H179" i="94"/>
  <c r="K123" i="94"/>
  <c r="L123" i="94" s="1"/>
  <c r="G123" i="94"/>
  <c r="H123" i="94" s="1"/>
  <c r="L122" i="94"/>
  <c r="H122" i="94"/>
  <c r="O122" i="94" s="1"/>
  <c r="K121" i="94"/>
  <c r="L121" i="94" s="1"/>
  <c r="G121" i="94"/>
  <c r="H121" i="94" s="1"/>
  <c r="K120" i="94"/>
  <c r="L120" i="94" s="1"/>
  <c r="G120" i="94"/>
  <c r="H120" i="94" s="1"/>
  <c r="K117" i="94"/>
  <c r="L117" i="94" s="1"/>
  <c r="G117" i="94"/>
  <c r="H117" i="94" s="1"/>
  <c r="K115" i="94"/>
  <c r="L115" i="94" s="1"/>
  <c r="N115" i="94" s="1"/>
  <c r="K114" i="94"/>
  <c r="L114" i="94" s="1"/>
  <c r="G114" i="94"/>
  <c r="H114" i="94" s="1"/>
  <c r="K113" i="94"/>
  <c r="L113" i="94" s="1"/>
  <c r="G113" i="94"/>
  <c r="H113" i="94" s="1"/>
  <c r="O113" i="94" s="1"/>
  <c r="K112" i="94"/>
  <c r="L112" i="94" s="1"/>
  <c r="G112" i="94"/>
  <c r="H112" i="94" s="1"/>
  <c r="K111" i="94"/>
  <c r="L111" i="94" s="1"/>
  <c r="G111" i="94"/>
  <c r="H111" i="94" s="1"/>
  <c r="L109" i="94"/>
  <c r="H109" i="94"/>
  <c r="O109" i="94" s="1"/>
  <c r="K108" i="94"/>
  <c r="L108" i="94" s="1"/>
  <c r="G108" i="94"/>
  <c r="H108" i="94" s="1"/>
  <c r="O108" i="94" s="1"/>
  <c r="K107" i="94"/>
  <c r="L107" i="94" s="1"/>
  <c r="G107" i="94"/>
  <c r="H107" i="94" s="1"/>
  <c r="K106" i="94"/>
  <c r="L106" i="94" s="1"/>
  <c r="G106" i="94"/>
  <c r="H106" i="94" s="1"/>
  <c r="L105" i="94"/>
  <c r="H105" i="94"/>
  <c r="O105" i="94" s="1"/>
  <c r="K104" i="94"/>
  <c r="L104" i="94" s="1"/>
  <c r="G104" i="94"/>
  <c r="H104" i="94" s="1"/>
  <c r="L103" i="94"/>
  <c r="H103" i="94"/>
  <c r="K102" i="94"/>
  <c r="L102" i="94" s="1"/>
  <c r="G102" i="94"/>
  <c r="H102" i="94" s="1"/>
  <c r="L101" i="94"/>
  <c r="H101" i="94"/>
  <c r="L100" i="94"/>
  <c r="H100" i="94"/>
  <c r="K44" i="94"/>
  <c r="L44" i="94" s="1"/>
  <c r="G44" i="94"/>
  <c r="H44" i="94" s="1"/>
  <c r="L43" i="94"/>
  <c r="H43" i="94"/>
  <c r="O43" i="94" s="1"/>
  <c r="K42" i="94"/>
  <c r="L42" i="94" s="1"/>
  <c r="G42" i="94"/>
  <c r="H42" i="94" s="1"/>
  <c r="K41" i="94"/>
  <c r="K49" i="94" s="1"/>
  <c r="L49" i="94" s="1"/>
  <c r="G41" i="94"/>
  <c r="G49" i="94" s="1"/>
  <c r="H49" i="94" s="1"/>
  <c r="K38" i="94"/>
  <c r="K39" i="94" s="1"/>
  <c r="L39" i="94" s="1"/>
  <c r="G38" i="94"/>
  <c r="G39" i="94" s="1"/>
  <c r="H39" i="94" s="1"/>
  <c r="K36" i="94"/>
  <c r="L36" i="94" s="1"/>
  <c r="N36" i="94" s="1"/>
  <c r="K35" i="94"/>
  <c r="L35" i="94" s="1"/>
  <c r="G35" i="94"/>
  <c r="H35" i="94" s="1"/>
  <c r="K34" i="94"/>
  <c r="L34" i="94" s="1"/>
  <c r="G34" i="94"/>
  <c r="H34" i="94" s="1"/>
  <c r="O34" i="94" s="1"/>
  <c r="K33" i="94"/>
  <c r="L33" i="94" s="1"/>
  <c r="G33" i="94"/>
  <c r="H33" i="94" s="1"/>
  <c r="K32" i="94"/>
  <c r="L32" i="94" s="1"/>
  <c r="G32" i="94"/>
  <c r="H32" i="94" s="1"/>
  <c r="L30" i="94"/>
  <c r="H30" i="94"/>
  <c r="O30" i="94" s="1"/>
  <c r="K29" i="94"/>
  <c r="L29" i="94" s="1"/>
  <c r="G29" i="94"/>
  <c r="H29" i="94" s="1"/>
  <c r="O29" i="94" s="1"/>
  <c r="K28" i="94"/>
  <c r="L28" i="94" s="1"/>
  <c r="G28" i="94"/>
  <c r="H28" i="94" s="1"/>
  <c r="K27" i="94"/>
  <c r="L27" i="94" s="1"/>
  <c r="G27" i="94"/>
  <c r="H27" i="94" s="1"/>
  <c r="L26" i="94"/>
  <c r="H26" i="94"/>
  <c r="O26" i="94" s="1"/>
  <c r="K25" i="94"/>
  <c r="L25" i="94" s="1"/>
  <c r="G25" i="94"/>
  <c r="H25" i="94" s="1"/>
  <c r="L24" i="94"/>
  <c r="H24" i="94"/>
  <c r="K23" i="94"/>
  <c r="L23" i="94" s="1"/>
  <c r="G23" i="94"/>
  <c r="H23" i="94" s="1"/>
  <c r="L22" i="94"/>
  <c r="H22" i="94"/>
  <c r="L21" i="94"/>
  <c r="H21" i="94"/>
  <c r="N337" i="94" l="1"/>
  <c r="N990" i="94"/>
  <c r="L1295" i="94"/>
  <c r="H1855" i="94"/>
  <c r="N2075" i="94"/>
  <c r="N2077" i="94"/>
  <c r="N2079" i="94"/>
  <c r="N2081" i="94"/>
  <c r="N2084" i="94"/>
  <c r="N2086" i="94"/>
  <c r="N1762" i="94"/>
  <c r="O1762" i="94" s="1"/>
  <c r="N1773" i="94"/>
  <c r="O1773" i="94" s="1"/>
  <c r="N338" i="94"/>
  <c r="O338" i="94" s="1"/>
  <c r="N101" i="94"/>
  <c r="O101" i="94" s="1"/>
  <c r="N105" i="94"/>
  <c r="N1049" i="94"/>
  <c r="N1226" i="94"/>
  <c r="N1228" i="94"/>
  <c r="L1305" i="94"/>
  <c r="O1368" i="94"/>
  <c r="N1452" i="94"/>
  <c r="N1525" i="94"/>
  <c r="O1525" i="94" s="1"/>
  <c r="L1700" i="94"/>
  <c r="N1839" i="94"/>
  <c r="N1861" i="94"/>
  <c r="N1919" i="94"/>
  <c r="O1919" i="94" s="1"/>
  <c r="N1921" i="94"/>
  <c r="O1921" i="94" s="1"/>
  <c r="N1924" i="94"/>
  <c r="N1931" i="94"/>
  <c r="O1931" i="94" s="1"/>
  <c r="N2005" i="94"/>
  <c r="N504" i="94"/>
  <c r="L1147" i="94"/>
  <c r="N496" i="94"/>
  <c r="O496" i="94" s="1"/>
  <c r="L594" i="94"/>
  <c r="N658" i="94"/>
  <c r="N661" i="94"/>
  <c r="L752" i="94"/>
  <c r="N816" i="94"/>
  <c r="N819" i="94"/>
  <c r="L910" i="94"/>
  <c r="N1054" i="94"/>
  <c r="L1144" i="94"/>
  <c r="N1365" i="94"/>
  <c r="N1447" i="94"/>
  <c r="N1450" i="94"/>
  <c r="L1463" i="94"/>
  <c r="N1681" i="94"/>
  <c r="N1688" i="94"/>
  <c r="N1842" i="94"/>
  <c r="O1842" i="94" s="1"/>
  <c r="N1852" i="94"/>
  <c r="O1852" i="94" s="1"/>
  <c r="N1860" i="94"/>
  <c r="N1997" i="94"/>
  <c r="N2003" i="94"/>
  <c r="N28" i="94"/>
  <c r="O28" i="94" s="1"/>
  <c r="N33" i="94"/>
  <c r="N35" i="94"/>
  <c r="O35" i="94" s="1"/>
  <c r="N117" i="94"/>
  <c r="N121" i="94"/>
  <c r="O121" i="94" s="1"/>
  <c r="N123" i="94"/>
  <c r="N186" i="94"/>
  <c r="O186" i="94" s="1"/>
  <c r="N191" i="94"/>
  <c r="N193" i="94"/>
  <c r="O193" i="94" s="1"/>
  <c r="H275" i="94"/>
  <c r="H433" i="94"/>
  <c r="N500" i="94"/>
  <c r="K520" i="94"/>
  <c r="L520" i="94" s="1"/>
  <c r="N655" i="94"/>
  <c r="O655" i="94" s="1"/>
  <c r="K678" i="94"/>
  <c r="L678" i="94" s="1"/>
  <c r="N813" i="94"/>
  <c r="O813" i="94" s="1"/>
  <c r="K836" i="94"/>
  <c r="L836" i="94" s="1"/>
  <c r="N1059" i="94"/>
  <c r="O1059" i="94" s="1"/>
  <c r="N1061" i="94"/>
  <c r="H1618" i="94"/>
  <c r="L1697" i="94"/>
  <c r="N1845" i="94"/>
  <c r="H1858" i="94"/>
  <c r="N1859" i="94"/>
  <c r="N2000" i="94"/>
  <c r="O2000" i="94" s="1"/>
  <c r="N2004" i="94"/>
  <c r="N2007" i="94"/>
  <c r="N2074" i="94"/>
  <c r="N104" i="94"/>
  <c r="H1216" i="94"/>
  <c r="N1209" i="94"/>
  <c r="O1209" i="94" s="1"/>
  <c r="N1211" i="94"/>
  <c r="N2017" i="94"/>
  <c r="O2017" i="94" s="1"/>
  <c r="N108" i="94"/>
  <c r="N42" i="94"/>
  <c r="O42" i="94" s="1"/>
  <c r="N200" i="94"/>
  <c r="O200" i="94" s="1"/>
  <c r="N107" i="94"/>
  <c r="O107" i="94" s="1"/>
  <c r="N106" i="94"/>
  <c r="O106" i="94" s="1"/>
  <c r="N44" i="94"/>
  <c r="O44" i="94" s="1"/>
  <c r="N111" i="94"/>
  <c r="O111" i="94" s="1"/>
  <c r="N113" i="94"/>
  <c r="L38" i="94"/>
  <c r="H110" i="94"/>
  <c r="L31" i="94"/>
  <c r="N25" i="94"/>
  <c r="O25" i="94" s="1"/>
  <c r="N29" i="94"/>
  <c r="N34" i="94"/>
  <c r="N100" i="94"/>
  <c r="O100" i="94" s="1"/>
  <c r="N120" i="94"/>
  <c r="N181" i="94"/>
  <c r="N183" i="94"/>
  <c r="O183" i="94" s="1"/>
  <c r="N187" i="94"/>
  <c r="N192" i="94"/>
  <c r="L268" i="94"/>
  <c r="L274" i="94" s="1"/>
  <c r="N262" i="94"/>
  <c r="O262" i="94" s="1"/>
  <c r="N269" i="94"/>
  <c r="H38" i="94"/>
  <c r="H41" i="94"/>
  <c r="N43" i="94"/>
  <c r="N109" i="94"/>
  <c r="H196" i="94"/>
  <c r="H199" i="94"/>
  <c r="N201" i="94"/>
  <c r="N280" i="94"/>
  <c r="O990" i="94"/>
  <c r="N1150" i="94"/>
  <c r="O104" i="94"/>
  <c r="N112" i="94"/>
  <c r="O112" i="94" s="1"/>
  <c r="N202" i="94"/>
  <c r="O202" i="94" s="1"/>
  <c r="N102" i="94"/>
  <c r="O102" i="94" s="1"/>
  <c r="N114" i="94"/>
  <c r="O114" i="94" s="1"/>
  <c r="L41" i="94"/>
  <c r="N41" i="94" s="1"/>
  <c r="L196" i="94"/>
  <c r="L199" i="94"/>
  <c r="N276" i="94"/>
  <c r="O276" i="94" s="1"/>
  <c r="H278" i="94"/>
  <c r="L357" i="94"/>
  <c r="N357" i="94" s="1"/>
  <c r="O357" i="94" s="1"/>
  <c r="K362" i="94"/>
  <c r="L362" i="94" s="1"/>
  <c r="G444" i="94"/>
  <c r="H444" i="94" s="1"/>
  <c r="H436" i="94"/>
  <c r="N23" i="94"/>
  <c r="O23" i="94" s="1"/>
  <c r="N27" i="94"/>
  <c r="N32" i="94"/>
  <c r="O32" i="94" s="1"/>
  <c r="N103" i="94"/>
  <c r="O103" i="94" s="1"/>
  <c r="L189" i="94"/>
  <c r="L195" i="94" s="1"/>
  <c r="N185" i="94"/>
  <c r="N190" i="94"/>
  <c r="O190" i="94" s="1"/>
  <c r="N260" i="94"/>
  <c r="N264" i="94"/>
  <c r="N266" i="94"/>
  <c r="N271" i="94"/>
  <c r="L275" i="94"/>
  <c r="K286" i="94"/>
  <c r="L286" i="94" s="1"/>
  <c r="L278" i="94"/>
  <c r="H505" i="94"/>
  <c r="H511" i="94" s="1"/>
  <c r="O1150" i="94"/>
  <c r="H347" i="94"/>
  <c r="H353" i="94" s="1"/>
  <c r="N342" i="94"/>
  <c r="N346" i="94"/>
  <c r="L436" i="94"/>
  <c r="K513" i="94"/>
  <c r="L513" i="94" s="1"/>
  <c r="N516" i="94"/>
  <c r="N518" i="94"/>
  <c r="O518" i="94" s="1"/>
  <c r="L584" i="94"/>
  <c r="L590" i="94" s="1"/>
  <c r="N576" i="94"/>
  <c r="N578" i="94"/>
  <c r="N580" i="94"/>
  <c r="N582" i="94"/>
  <c r="N585" i="94"/>
  <c r="N587" i="94"/>
  <c r="L591" i="94"/>
  <c r="N591" i="94" s="1"/>
  <c r="O591" i="94" s="1"/>
  <c r="N656" i="94"/>
  <c r="O656" i="94" s="1"/>
  <c r="N659" i="94"/>
  <c r="N662" i="94"/>
  <c r="N666" i="94"/>
  <c r="K671" i="94"/>
  <c r="L671" i="94" s="1"/>
  <c r="N674" i="94"/>
  <c r="N676" i="94"/>
  <c r="L742" i="94"/>
  <c r="L748" i="94" s="1"/>
  <c r="L751" i="94" s="1"/>
  <c r="L749" i="94"/>
  <c r="N814" i="94"/>
  <c r="O814" i="94" s="1"/>
  <c r="N817" i="94"/>
  <c r="N820" i="94"/>
  <c r="N824" i="94"/>
  <c r="K829" i="94"/>
  <c r="L829" i="94" s="1"/>
  <c r="N832" i="94"/>
  <c r="N834" i="94"/>
  <c r="O834" i="94" s="1"/>
  <c r="L900" i="94"/>
  <c r="L906" i="94" s="1"/>
  <c r="L907" i="94"/>
  <c r="N907" i="94" s="1"/>
  <c r="O907" i="94" s="1"/>
  <c r="H986" i="94"/>
  <c r="H989" i="94"/>
  <c r="N991" i="94"/>
  <c r="N1050" i="94"/>
  <c r="O1050" i="94" s="1"/>
  <c r="N1052" i="94"/>
  <c r="O1052" i="94" s="1"/>
  <c r="N1055" i="94"/>
  <c r="N1062" i="94"/>
  <c r="O1062" i="94" s="1"/>
  <c r="N1207" i="94"/>
  <c r="N1212" i="94"/>
  <c r="N1217" i="94"/>
  <c r="O1217" i="94" s="1"/>
  <c r="N1219" i="94"/>
  <c r="L1302" i="94"/>
  <c r="N1308" i="94"/>
  <c r="O1308" i="94" s="1"/>
  <c r="N1371" i="94"/>
  <c r="H1453" i="94"/>
  <c r="O1447" i="94"/>
  <c r="N1451" i="94"/>
  <c r="O1861" i="94"/>
  <c r="N2015" i="94"/>
  <c r="N992" i="94"/>
  <c r="O992" i="94" s="1"/>
  <c r="N1148" i="94"/>
  <c r="O1148" i="94" s="1"/>
  <c r="H1374" i="94"/>
  <c r="H1380" i="94" s="1"/>
  <c r="G1461" i="94"/>
  <c r="H1461" i="94" s="1"/>
  <c r="H1460" i="94"/>
  <c r="O337" i="94"/>
  <c r="N340" i="94"/>
  <c r="O340" i="94" s="1"/>
  <c r="N434" i="94"/>
  <c r="N438" i="94"/>
  <c r="N495" i="94"/>
  <c r="O495" i="94" s="1"/>
  <c r="K522" i="94"/>
  <c r="L522" i="94" s="1"/>
  <c r="H591" i="94"/>
  <c r="H663" i="94"/>
  <c r="H669" i="94" s="1"/>
  <c r="N654" i="94"/>
  <c r="N657" i="94"/>
  <c r="O657" i="94" s="1"/>
  <c r="N665" i="94"/>
  <c r="O665" i="94" s="1"/>
  <c r="K680" i="94"/>
  <c r="L680" i="94" s="1"/>
  <c r="H749" i="94"/>
  <c r="H821" i="94"/>
  <c r="H827" i="94" s="1"/>
  <c r="N812" i="94"/>
  <c r="N815" i="94"/>
  <c r="O815" i="94" s="1"/>
  <c r="N823" i="94"/>
  <c r="O823" i="94" s="1"/>
  <c r="K838" i="94"/>
  <c r="L838" i="94" s="1"/>
  <c r="H907" i="94"/>
  <c r="L986" i="94"/>
  <c r="N986" i="94" s="1"/>
  <c r="L989" i="94"/>
  <c r="H1058" i="94"/>
  <c r="H1064" i="94" s="1"/>
  <c r="N1051" i="94"/>
  <c r="O1051" i="94" s="1"/>
  <c r="N1053" i="94"/>
  <c r="N1057" i="94"/>
  <c r="N1206" i="94"/>
  <c r="O1206" i="94" s="1"/>
  <c r="N1214" i="94"/>
  <c r="N1218" i="94"/>
  <c r="O1218" i="94" s="1"/>
  <c r="H1302" i="94"/>
  <c r="H1305" i="94"/>
  <c r="N1305" i="94" s="1"/>
  <c r="N1364" i="94"/>
  <c r="O1364" i="94" s="1"/>
  <c r="N1449" i="94"/>
  <c r="K355" i="94"/>
  <c r="L355" i="94" s="1"/>
  <c r="N358" i="94"/>
  <c r="N360" i="94"/>
  <c r="L426" i="94"/>
  <c r="L432" i="94" s="1"/>
  <c r="L435" i="94" s="1"/>
  <c r="N418" i="94"/>
  <c r="N420" i="94"/>
  <c r="O420" i="94" s="1"/>
  <c r="N422" i="94"/>
  <c r="N424" i="94"/>
  <c r="N427" i="94"/>
  <c r="N429" i="94"/>
  <c r="L433" i="94"/>
  <c r="N498" i="94"/>
  <c r="O498" i="94" s="1"/>
  <c r="N592" i="94"/>
  <c r="O592" i="94" s="1"/>
  <c r="H594" i="94"/>
  <c r="N596" i="94"/>
  <c r="N653" i="94"/>
  <c r="O653" i="94" s="1"/>
  <c r="N660" i="94"/>
  <c r="O660" i="94" s="1"/>
  <c r="N664" i="94"/>
  <c r="O664" i="94" s="1"/>
  <c r="N667" i="94"/>
  <c r="O667" i="94" s="1"/>
  <c r="N750" i="94"/>
  <c r="H752" i="94"/>
  <c r="N752" i="94" s="1"/>
  <c r="O752" i="94" s="1"/>
  <c r="N754" i="94"/>
  <c r="N811" i="94"/>
  <c r="O811" i="94" s="1"/>
  <c r="N818" i="94"/>
  <c r="O818" i="94" s="1"/>
  <c r="N822" i="94"/>
  <c r="O822" i="94" s="1"/>
  <c r="N825" i="94"/>
  <c r="O825" i="94" s="1"/>
  <c r="N908" i="94"/>
  <c r="H910" i="94"/>
  <c r="N912" i="94"/>
  <c r="L979" i="94"/>
  <c r="L985" i="94" s="1"/>
  <c r="N1048" i="94"/>
  <c r="O1048" i="94" s="1"/>
  <c r="N1056" i="94"/>
  <c r="N1060" i="94"/>
  <c r="O1060" i="94" s="1"/>
  <c r="H1144" i="94"/>
  <c r="N1144" i="94" s="1"/>
  <c r="H1147" i="94"/>
  <c r="N1149" i="94"/>
  <c r="N1208" i="94"/>
  <c r="O1208" i="94" s="1"/>
  <c r="N1210" i="94"/>
  <c r="O1210" i="94" s="1"/>
  <c r="N1213" i="94"/>
  <c r="N1220" i="94"/>
  <c r="O1220" i="94" s="1"/>
  <c r="N1223" i="94"/>
  <c r="N1227" i="94"/>
  <c r="O1227" i="94" s="1"/>
  <c r="N1229" i="94"/>
  <c r="N1306" i="94"/>
  <c r="O1306" i="94" s="1"/>
  <c r="O2015" i="94"/>
  <c r="N1366" i="94"/>
  <c r="O1366" i="94" s="1"/>
  <c r="N1369" i="94"/>
  <c r="N1373" i="94"/>
  <c r="N1377" i="94"/>
  <c r="K1382" i="94"/>
  <c r="L1382" i="94" s="1"/>
  <c r="N1385" i="94"/>
  <c r="O1385" i="94" s="1"/>
  <c r="N1387" i="94"/>
  <c r="O1387" i="94" s="1"/>
  <c r="N1446" i="94"/>
  <c r="O1446" i="94" s="1"/>
  <c r="N1454" i="94"/>
  <c r="N1456" i="94"/>
  <c r="L1460" i="94"/>
  <c r="N1531" i="94"/>
  <c r="K1547" i="94"/>
  <c r="L1547" i="94" s="1"/>
  <c r="L1621" i="94"/>
  <c r="N1682" i="94"/>
  <c r="O1682" i="94" s="1"/>
  <c r="N1685" i="94"/>
  <c r="N1689" i="94"/>
  <c r="N1693" i="94"/>
  <c r="N1760" i="94"/>
  <c r="N1763" i="94"/>
  <c r="O1763" i="94" s="1"/>
  <c r="N1766" i="94"/>
  <c r="L1776" i="94"/>
  <c r="N1840" i="94"/>
  <c r="O1840" i="94" s="1"/>
  <c r="N1846" i="94"/>
  <c r="N1850" i="94"/>
  <c r="O1850" i="94" s="1"/>
  <c r="N1917" i="94"/>
  <c r="O1917" i="94" s="1"/>
  <c r="N1925" i="94"/>
  <c r="N1929" i="94"/>
  <c r="O1929" i="94" s="1"/>
  <c r="N1999" i="94"/>
  <c r="O1999" i="94" s="1"/>
  <c r="N2002" i="94"/>
  <c r="N2008" i="94"/>
  <c r="O2008" i="94" s="1"/>
  <c r="H2011" i="94"/>
  <c r="L2014" i="94"/>
  <c r="H2083" i="94"/>
  <c r="K1549" i="94"/>
  <c r="L1549" i="94" s="1"/>
  <c r="O1859" i="94"/>
  <c r="O2003" i="94"/>
  <c r="N1376" i="94"/>
  <c r="O1376" i="94" s="1"/>
  <c r="N1445" i="94"/>
  <c r="O1445" i="94" s="1"/>
  <c r="N1448" i="94"/>
  <c r="H1532" i="94"/>
  <c r="N1523" i="94"/>
  <c r="N1619" i="94"/>
  <c r="O1619" i="94" s="1"/>
  <c r="H1621" i="94"/>
  <c r="N1623" i="94"/>
  <c r="N1680" i="94"/>
  <c r="O1680" i="94" s="1"/>
  <c r="N1687" i="94"/>
  <c r="N1692" i="94"/>
  <c r="O1692" i="94" s="1"/>
  <c r="N1759" i="94"/>
  <c r="O1759" i="94" s="1"/>
  <c r="N1764" i="94"/>
  <c r="N1768" i="94"/>
  <c r="N1772" i="94"/>
  <c r="H1776" i="94"/>
  <c r="H1848" i="94"/>
  <c r="H1854" i="94" s="1"/>
  <c r="N1844" i="94"/>
  <c r="N1849" i="94"/>
  <c r="O1849" i="94" s="1"/>
  <c r="N1851" i="94"/>
  <c r="N1918" i="94"/>
  <c r="N1923" i="94"/>
  <c r="N1928" i="94"/>
  <c r="O1928" i="94" s="1"/>
  <c r="N1930" i="94"/>
  <c r="H2006" i="94"/>
  <c r="N2001" i="94"/>
  <c r="H2014" i="94"/>
  <c r="N2016" i="94"/>
  <c r="N1307" i="94"/>
  <c r="N1367" i="94"/>
  <c r="O1367" i="94" s="1"/>
  <c r="N1370" i="94"/>
  <c r="N1375" i="94"/>
  <c r="O1375" i="94" s="1"/>
  <c r="N1378" i="94"/>
  <c r="O1378" i="94" s="1"/>
  <c r="N1461" i="94"/>
  <c r="H1463" i="94"/>
  <c r="N1465" i="94"/>
  <c r="N1522" i="94"/>
  <c r="O1522" i="94" s="1"/>
  <c r="N1527" i="94"/>
  <c r="K1540" i="94"/>
  <c r="L1540" i="94" s="1"/>
  <c r="N1543" i="94"/>
  <c r="N1545" i="94"/>
  <c r="O1545" i="94" s="1"/>
  <c r="L1611" i="94"/>
  <c r="L1617" i="94" s="1"/>
  <c r="N1603" i="94"/>
  <c r="N1605" i="94"/>
  <c r="N1607" i="94"/>
  <c r="N1609" i="94"/>
  <c r="N1612" i="94"/>
  <c r="O1612" i="94" s="1"/>
  <c r="N1614" i="94"/>
  <c r="L1618" i="94"/>
  <c r="N1683" i="94"/>
  <c r="O1683" i="94" s="1"/>
  <c r="N1686" i="94"/>
  <c r="N1691" i="94"/>
  <c r="O1691" i="94" s="1"/>
  <c r="N1694" i="94"/>
  <c r="O1694" i="94" s="1"/>
  <c r="H1697" i="94"/>
  <c r="H1700" i="94"/>
  <c r="N1700" i="94" s="1"/>
  <c r="O1700" i="94" s="1"/>
  <c r="N1702" i="94"/>
  <c r="N1761" i="94"/>
  <c r="O1761" i="94" s="1"/>
  <c r="N1767" i="94"/>
  <c r="N1771" i="94"/>
  <c r="O1771" i="94" s="1"/>
  <c r="N1777" i="94"/>
  <c r="O1777" i="94" s="1"/>
  <c r="H1779" i="94"/>
  <c r="N1781" i="94"/>
  <c r="N1841" i="94"/>
  <c r="O1841" i="94" s="1"/>
  <c r="N1843" i="94"/>
  <c r="N1847" i="94"/>
  <c r="L1855" i="94"/>
  <c r="N1855" i="94" s="1"/>
  <c r="O1855" i="94" s="1"/>
  <c r="L1858" i="94"/>
  <c r="H1927" i="94"/>
  <c r="N1920" i="94"/>
  <c r="O1920" i="94" s="1"/>
  <c r="N1922" i="94"/>
  <c r="N1926" i="94"/>
  <c r="N1998" i="94"/>
  <c r="O1998" i="94" s="1"/>
  <c r="N2080" i="94"/>
  <c r="N2085" i="94"/>
  <c r="O2085" i="94" s="1"/>
  <c r="K2091" i="94"/>
  <c r="L2091" i="94" s="1"/>
  <c r="N2094" i="94"/>
  <c r="O2094" i="94" s="1"/>
  <c r="N53" i="101"/>
  <c r="N54" i="101" s="1"/>
  <c r="M54" i="101"/>
  <c r="O27" i="94"/>
  <c r="O33" i="94"/>
  <c r="H116" i="94"/>
  <c r="O117" i="94"/>
  <c r="O120" i="94"/>
  <c r="O123" i="94"/>
  <c r="O181" i="94"/>
  <c r="O185" i="94"/>
  <c r="O191" i="94"/>
  <c r="O750" i="94"/>
  <c r="O908" i="94"/>
  <c r="L37" i="94"/>
  <c r="N39" i="94"/>
  <c r="O39" i="94" s="1"/>
  <c r="N49" i="94"/>
  <c r="O49" i="94" s="1"/>
  <c r="N197" i="94"/>
  <c r="O197" i="94" s="1"/>
  <c r="N207" i="94"/>
  <c r="O207" i="94" s="1"/>
  <c r="L277" i="94"/>
  <c r="O434" i="94"/>
  <c r="N21" i="94"/>
  <c r="O21" i="94" s="1"/>
  <c r="N22" i="94"/>
  <c r="O22" i="94" s="1"/>
  <c r="N24" i="94"/>
  <c r="O24" i="94" s="1"/>
  <c r="N26" i="94"/>
  <c r="N30" i="94"/>
  <c r="H31" i="94"/>
  <c r="N31" i="94" s="1"/>
  <c r="L110" i="94"/>
  <c r="G118" i="94"/>
  <c r="H118" i="94" s="1"/>
  <c r="K118" i="94"/>
  <c r="L118" i="94" s="1"/>
  <c r="N118" i="94" s="1"/>
  <c r="N122" i="94"/>
  <c r="G124" i="94"/>
  <c r="H124" i="94" s="1"/>
  <c r="O124" i="94" s="1"/>
  <c r="K124" i="94"/>
  <c r="L124" i="94" s="1"/>
  <c r="G125" i="94"/>
  <c r="H125" i="94" s="1"/>
  <c r="K125" i="94"/>
  <c r="L125" i="94" s="1"/>
  <c r="G126" i="94"/>
  <c r="H126" i="94" s="1"/>
  <c r="K126" i="94"/>
  <c r="L126" i="94" s="1"/>
  <c r="G127" i="94"/>
  <c r="H127" i="94" s="1"/>
  <c r="K127" i="94"/>
  <c r="L127" i="94" s="1"/>
  <c r="G128" i="94"/>
  <c r="H128" i="94" s="1"/>
  <c r="K128" i="94"/>
  <c r="L128" i="94" s="1"/>
  <c r="N179" i="94"/>
  <c r="O179" i="94" s="1"/>
  <c r="N180" i="94"/>
  <c r="O180" i="94" s="1"/>
  <c r="N182" i="94"/>
  <c r="O182" i="94" s="1"/>
  <c r="N184" i="94"/>
  <c r="N188" i="94"/>
  <c r="H189" i="94"/>
  <c r="O259" i="94"/>
  <c r="N259" i="94"/>
  <c r="N261" i="94"/>
  <c r="O261" i="94" s="1"/>
  <c r="N263" i="94"/>
  <c r="N265" i="94"/>
  <c r="O265" i="94" s="1"/>
  <c r="N267" i="94"/>
  <c r="N270" i="94"/>
  <c r="O270" i="94" s="1"/>
  <c r="N272" i="94"/>
  <c r="O272" i="94" s="1"/>
  <c r="N275" i="94"/>
  <c r="O275" i="94" s="1"/>
  <c r="N278" i="94"/>
  <c r="O278" i="94" s="1"/>
  <c r="N286" i="94"/>
  <c r="O286" i="94" s="1"/>
  <c r="N344" i="94"/>
  <c r="O344" i="94" s="1"/>
  <c r="L347" i="94"/>
  <c r="N349" i="94"/>
  <c r="O349" i="94" s="1"/>
  <c r="N351" i="94"/>
  <c r="O351" i="94" s="1"/>
  <c r="N354" i="94"/>
  <c r="O354" i="94" s="1"/>
  <c r="N359" i="94"/>
  <c r="G361" i="94"/>
  <c r="H361" i="94" s="1"/>
  <c r="O361" i="94" s="1"/>
  <c r="G363" i="94"/>
  <c r="H363" i="94" s="1"/>
  <c r="G365" i="94"/>
  <c r="H365" i="94" s="1"/>
  <c r="O417" i="94"/>
  <c r="N417" i="94"/>
  <c r="N419" i="94"/>
  <c r="O419" i="94" s="1"/>
  <c r="N421" i="94"/>
  <c r="N423" i="94"/>
  <c r="O423" i="94" s="1"/>
  <c r="N425" i="94"/>
  <c r="N428" i="94"/>
  <c r="O428" i="94" s="1"/>
  <c r="N430" i="94"/>
  <c r="O430" i="94" s="1"/>
  <c r="N433" i="94"/>
  <c r="O433" i="94" s="1"/>
  <c r="N436" i="94"/>
  <c r="O436" i="94" s="1"/>
  <c r="N444" i="94"/>
  <c r="O444" i="94" s="1"/>
  <c r="N502" i="94"/>
  <c r="O502" i="94" s="1"/>
  <c r="L505" i="94"/>
  <c r="N507" i="94"/>
  <c r="O507" i="94" s="1"/>
  <c r="N509" i="94"/>
  <c r="O509" i="94" s="1"/>
  <c r="N512" i="94"/>
  <c r="O512" i="94" s="1"/>
  <c r="N515" i="94"/>
  <c r="O515" i="94" s="1"/>
  <c r="N517" i="94"/>
  <c r="G519" i="94"/>
  <c r="H519" i="94" s="1"/>
  <c r="O519" i="94" s="1"/>
  <c r="G521" i="94"/>
  <c r="H521" i="94" s="1"/>
  <c r="G523" i="94"/>
  <c r="H523" i="94" s="1"/>
  <c r="N575" i="94"/>
  <c r="O575" i="94" s="1"/>
  <c r="N577" i="94"/>
  <c r="O577" i="94" s="1"/>
  <c r="N579" i="94"/>
  <c r="N581" i="94"/>
  <c r="O581" i="94" s="1"/>
  <c r="N583" i="94"/>
  <c r="N586" i="94"/>
  <c r="O586" i="94" s="1"/>
  <c r="N588" i="94"/>
  <c r="O588" i="94" s="1"/>
  <c r="N594" i="94"/>
  <c r="O594" i="94" s="1"/>
  <c r="N602" i="94"/>
  <c r="O602" i="94" s="1"/>
  <c r="L663" i="94"/>
  <c r="N670" i="94"/>
  <c r="O670" i="94" s="1"/>
  <c r="N673" i="94"/>
  <c r="O673" i="94" s="1"/>
  <c r="N675" i="94"/>
  <c r="G677" i="94"/>
  <c r="H677" i="94" s="1"/>
  <c r="G679" i="94"/>
  <c r="H679" i="94" s="1"/>
  <c r="G681" i="94"/>
  <c r="H681" i="94" s="1"/>
  <c r="N733" i="94"/>
  <c r="N735" i="94"/>
  <c r="O735" i="94" s="1"/>
  <c r="N737" i="94"/>
  <c r="N739" i="94"/>
  <c r="O739" i="94" s="1"/>
  <c r="N741" i="94"/>
  <c r="N744" i="94"/>
  <c r="O744" i="94" s="1"/>
  <c r="N746" i="94"/>
  <c r="O746" i="94" s="1"/>
  <c r="N749" i="94"/>
  <c r="O749" i="94" s="1"/>
  <c r="N760" i="94"/>
  <c r="O760" i="94" s="1"/>
  <c r="L821" i="94"/>
  <c r="N828" i="94"/>
  <c r="O828" i="94" s="1"/>
  <c r="N831" i="94"/>
  <c r="O831" i="94" s="1"/>
  <c r="N833" i="94"/>
  <c r="G835" i="94"/>
  <c r="H835" i="94" s="1"/>
  <c r="G837" i="94"/>
  <c r="H837" i="94" s="1"/>
  <c r="G839" i="94"/>
  <c r="H839" i="94" s="1"/>
  <c r="N891" i="94"/>
  <c r="N893" i="94"/>
  <c r="O893" i="94" s="1"/>
  <c r="N895" i="94"/>
  <c r="N897" i="94"/>
  <c r="O897" i="94" s="1"/>
  <c r="N899" i="94"/>
  <c r="N902" i="94"/>
  <c r="O902" i="94" s="1"/>
  <c r="N904" i="94"/>
  <c r="O904" i="94" s="1"/>
  <c r="N918" i="94"/>
  <c r="O918" i="94" s="1"/>
  <c r="N987" i="94"/>
  <c r="O987" i="94" s="1"/>
  <c r="N997" i="94"/>
  <c r="O997" i="94" s="1"/>
  <c r="H1222" i="94"/>
  <c r="L1301" i="94"/>
  <c r="N1303" i="94"/>
  <c r="O1303" i="94" s="1"/>
  <c r="N1313" i="94"/>
  <c r="O1313" i="94" s="1"/>
  <c r="G45" i="94"/>
  <c r="H45" i="94" s="1"/>
  <c r="O45" i="94" s="1"/>
  <c r="K45" i="94"/>
  <c r="L45" i="94" s="1"/>
  <c r="G46" i="94"/>
  <c r="H46" i="94" s="1"/>
  <c r="K46" i="94"/>
  <c r="L46" i="94" s="1"/>
  <c r="G47" i="94"/>
  <c r="H47" i="94" s="1"/>
  <c r="K47" i="94"/>
  <c r="L47" i="94" s="1"/>
  <c r="G48" i="94"/>
  <c r="H48" i="94" s="1"/>
  <c r="K48" i="94"/>
  <c r="L48" i="94" s="1"/>
  <c r="G203" i="94"/>
  <c r="H203" i="94" s="1"/>
  <c r="O203" i="94" s="1"/>
  <c r="K203" i="94"/>
  <c r="L203" i="94" s="1"/>
  <c r="G204" i="94"/>
  <c r="H204" i="94" s="1"/>
  <c r="K204" i="94"/>
  <c r="L204" i="94" s="1"/>
  <c r="G205" i="94"/>
  <c r="H205" i="94" s="1"/>
  <c r="K205" i="94"/>
  <c r="L205" i="94" s="1"/>
  <c r="G206" i="94"/>
  <c r="H206" i="94" s="1"/>
  <c r="K206" i="94"/>
  <c r="L206" i="94" s="1"/>
  <c r="N258" i="94"/>
  <c r="O258" i="94" s="1"/>
  <c r="O260" i="94"/>
  <c r="O264" i="94"/>
  <c r="H268" i="94"/>
  <c r="N268" i="94" s="1"/>
  <c r="O269" i="94"/>
  <c r="N279" i="94"/>
  <c r="O279" i="94" s="1"/>
  <c r="N281" i="94"/>
  <c r="O281" i="94" s="1"/>
  <c r="N339" i="94"/>
  <c r="O339" i="94" s="1"/>
  <c r="N341" i="94"/>
  <c r="O341" i="94" s="1"/>
  <c r="N343" i="94"/>
  <c r="O343" i="94" s="1"/>
  <c r="N345" i="94"/>
  <c r="N348" i="94"/>
  <c r="O348" i="94" s="1"/>
  <c r="N350" i="94"/>
  <c r="G355" i="94"/>
  <c r="H355" i="94" s="1"/>
  <c r="O358" i="94"/>
  <c r="O360" i="94"/>
  <c r="K361" i="94"/>
  <c r="L361" i="94" s="1"/>
  <c r="N361" i="94" s="1"/>
  <c r="G362" i="94"/>
  <c r="H362" i="94" s="1"/>
  <c r="K363" i="94"/>
  <c r="L363" i="94" s="1"/>
  <c r="N363" i="94" s="1"/>
  <c r="G364" i="94"/>
  <c r="H364" i="94" s="1"/>
  <c r="N364" i="94" s="1"/>
  <c r="K365" i="94"/>
  <c r="L365" i="94" s="1"/>
  <c r="N416" i="94"/>
  <c r="O416" i="94" s="1"/>
  <c r="O418" i="94"/>
  <c r="O422" i="94"/>
  <c r="H426" i="94"/>
  <c r="O427" i="94"/>
  <c r="N437" i="94"/>
  <c r="O437" i="94" s="1"/>
  <c r="N439" i="94"/>
  <c r="O439" i="94" s="1"/>
  <c r="N497" i="94"/>
  <c r="O497" i="94" s="1"/>
  <c r="N499" i="94"/>
  <c r="O499" i="94" s="1"/>
  <c r="N501" i="94"/>
  <c r="O501" i="94" s="1"/>
  <c r="N503" i="94"/>
  <c r="N506" i="94"/>
  <c r="O506" i="94" s="1"/>
  <c r="N508" i="94"/>
  <c r="G513" i="94"/>
  <c r="H513" i="94" s="1"/>
  <c r="O516" i="94"/>
  <c r="K519" i="94"/>
  <c r="L519" i="94" s="1"/>
  <c r="N519" i="94" s="1"/>
  <c r="G520" i="94"/>
  <c r="H520" i="94" s="1"/>
  <c r="K521" i="94"/>
  <c r="L521" i="94" s="1"/>
  <c r="N521" i="94" s="1"/>
  <c r="G522" i="94"/>
  <c r="H522" i="94" s="1"/>
  <c r="K523" i="94"/>
  <c r="L523" i="94" s="1"/>
  <c r="N523" i="94" s="1"/>
  <c r="N574" i="94"/>
  <c r="O574" i="94" s="1"/>
  <c r="O576" i="94"/>
  <c r="O578" i="94"/>
  <c r="O580" i="94"/>
  <c r="H584" i="94"/>
  <c r="N584" i="94" s="1"/>
  <c r="O585" i="94"/>
  <c r="N595" i="94"/>
  <c r="O595" i="94" s="1"/>
  <c r="N597" i="94"/>
  <c r="O597" i="94" s="1"/>
  <c r="G671" i="94"/>
  <c r="H671" i="94" s="1"/>
  <c r="O674" i="94"/>
  <c r="O676" i="94"/>
  <c r="K677" i="94"/>
  <c r="L677" i="94" s="1"/>
  <c r="N677" i="94" s="1"/>
  <c r="G678" i="94"/>
  <c r="H678" i="94" s="1"/>
  <c r="K679" i="94"/>
  <c r="L679" i="94" s="1"/>
  <c r="G680" i="94"/>
  <c r="H680" i="94" s="1"/>
  <c r="K681" i="94"/>
  <c r="L681" i="94" s="1"/>
  <c r="N732" i="94"/>
  <c r="O732" i="94" s="1"/>
  <c r="N734" i="94"/>
  <c r="O734" i="94" s="1"/>
  <c r="N736" i="94"/>
  <c r="O736" i="94" s="1"/>
  <c r="N738" i="94"/>
  <c r="N740" i="94"/>
  <c r="H742" i="94"/>
  <c r="N743" i="94"/>
  <c r="O743" i="94" s="1"/>
  <c r="N745" i="94"/>
  <c r="N753" i="94"/>
  <c r="O753" i="94" s="1"/>
  <c r="N755" i="94"/>
  <c r="O755" i="94" s="1"/>
  <c r="G829" i="94"/>
  <c r="H829" i="94" s="1"/>
  <c r="O832" i="94"/>
  <c r="K835" i="94"/>
  <c r="L835" i="94" s="1"/>
  <c r="N835" i="94" s="1"/>
  <c r="G836" i="94"/>
  <c r="H836" i="94" s="1"/>
  <c r="K837" i="94"/>
  <c r="L837" i="94" s="1"/>
  <c r="G838" i="94"/>
  <c r="H838" i="94" s="1"/>
  <c r="K839" i="94"/>
  <c r="L839" i="94" s="1"/>
  <c r="N890" i="94"/>
  <c r="O890" i="94" s="1"/>
  <c r="N892" i="94"/>
  <c r="O892" i="94" s="1"/>
  <c r="N894" i="94"/>
  <c r="O894" i="94" s="1"/>
  <c r="N896" i="94"/>
  <c r="N898" i="94"/>
  <c r="H900" i="94"/>
  <c r="N900" i="94" s="1"/>
  <c r="N901" i="94"/>
  <c r="O901" i="94" s="1"/>
  <c r="N903" i="94"/>
  <c r="N911" i="94"/>
  <c r="O911" i="94" s="1"/>
  <c r="N913" i="94"/>
  <c r="O913" i="94" s="1"/>
  <c r="G282" i="94"/>
  <c r="H282" i="94" s="1"/>
  <c r="O282" i="94" s="1"/>
  <c r="K282" i="94"/>
  <c r="L282" i="94" s="1"/>
  <c r="G283" i="94"/>
  <c r="H283" i="94" s="1"/>
  <c r="K283" i="94"/>
  <c r="L283" i="94" s="1"/>
  <c r="G284" i="94"/>
  <c r="H284" i="94" s="1"/>
  <c r="K284" i="94"/>
  <c r="L284" i="94" s="1"/>
  <c r="G285" i="94"/>
  <c r="H285" i="94" s="1"/>
  <c r="K285" i="94"/>
  <c r="L285" i="94" s="1"/>
  <c r="G440" i="94"/>
  <c r="H440" i="94" s="1"/>
  <c r="O440" i="94" s="1"/>
  <c r="K440" i="94"/>
  <c r="L440" i="94" s="1"/>
  <c r="G441" i="94"/>
  <c r="H441" i="94" s="1"/>
  <c r="K441" i="94"/>
  <c r="L441" i="94" s="1"/>
  <c r="G442" i="94"/>
  <c r="H442" i="94" s="1"/>
  <c r="K442" i="94"/>
  <c r="L442" i="94" s="1"/>
  <c r="G443" i="94"/>
  <c r="H443" i="94" s="1"/>
  <c r="K443" i="94"/>
  <c r="L443" i="94" s="1"/>
  <c r="G598" i="94"/>
  <c r="H598" i="94" s="1"/>
  <c r="O598" i="94" s="1"/>
  <c r="K598" i="94"/>
  <c r="L598" i="94" s="1"/>
  <c r="G599" i="94"/>
  <c r="H599" i="94" s="1"/>
  <c r="K599" i="94"/>
  <c r="L599" i="94" s="1"/>
  <c r="G600" i="94"/>
  <c r="H600" i="94" s="1"/>
  <c r="K600" i="94"/>
  <c r="L600" i="94" s="1"/>
  <c r="G601" i="94"/>
  <c r="H601" i="94" s="1"/>
  <c r="K601" i="94"/>
  <c r="L601" i="94" s="1"/>
  <c r="G756" i="94"/>
  <c r="H756" i="94" s="1"/>
  <c r="K756" i="94"/>
  <c r="L756" i="94" s="1"/>
  <c r="G757" i="94"/>
  <c r="H757" i="94" s="1"/>
  <c r="K757" i="94"/>
  <c r="L757" i="94" s="1"/>
  <c r="G758" i="94"/>
  <c r="H758" i="94" s="1"/>
  <c r="K758" i="94"/>
  <c r="L758" i="94" s="1"/>
  <c r="G759" i="94"/>
  <c r="H759" i="94" s="1"/>
  <c r="K759" i="94"/>
  <c r="L759" i="94" s="1"/>
  <c r="G914" i="94"/>
  <c r="H914" i="94" s="1"/>
  <c r="K914" i="94"/>
  <c r="L914" i="94" s="1"/>
  <c r="G915" i="94"/>
  <c r="H915" i="94" s="1"/>
  <c r="K915" i="94"/>
  <c r="L915" i="94" s="1"/>
  <c r="G916" i="94"/>
  <c r="H916" i="94" s="1"/>
  <c r="K916" i="94"/>
  <c r="L916" i="94" s="1"/>
  <c r="G917" i="94"/>
  <c r="H917" i="94" s="1"/>
  <c r="K917" i="94"/>
  <c r="L917" i="94" s="1"/>
  <c r="N1065" i="94"/>
  <c r="O1065" i="94" s="1"/>
  <c r="N1068" i="94"/>
  <c r="O1068" i="94" s="1"/>
  <c r="N1069" i="94"/>
  <c r="O1069" i="94" s="1"/>
  <c r="N1071" i="94"/>
  <c r="O1071" i="94" s="1"/>
  <c r="L1143" i="94"/>
  <c r="N1145" i="94"/>
  <c r="O1145" i="94" s="1"/>
  <c r="N1155" i="94"/>
  <c r="O1155" i="94" s="1"/>
  <c r="O1223" i="94"/>
  <c r="O1226" i="94"/>
  <c r="O1229" i="94"/>
  <c r="N969" i="94"/>
  <c r="O969" i="94" s="1"/>
  <c r="N970" i="94"/>
  <c r="N971" i="94"/>
  <c r="O971" i="94" s="1"/>
  <c r="N972" i="94"/>
  <c r="O972" i="94" s="1"/>
  <c r="N973" i="94"/>
  <c r="O973" i="94" s="1"/>
  <c r="N974" i="94"/>
  <c r="N975" i="94"/>
  <c r="N976" i="94"/>
  <c r="N977" i="94"/>
  <c r="N978" i="94"/>
  <c r="H979" i="94"/>
  <c r="N980" i="94"/>
  <c r="O980" i="94" s="1"/>
  <c r="N981" i="94"/>
  <c r="O981" i="94" s="1"/>
  <c r="N982" i="94"/>
  <c r="N983" i="94"/>
  <c r="O983" i="94" s="1"/>
  <c r="L1058" i="94"/>
  <c r="G1066" i="94"/>
  <c r="H1066" i="94" s="1"/>
  <c r="K1066" i="94"/>
  <c r="L1066" i="94" s="1"/>
  <c r="N1070" i="94"/>
  <c r="G1072" i="94"/>
  <c r="H1072" i="94" s="1"/>
  <c r="K1072" i="94"/>
  <c r="L1072" i="94" s="1"/>
  <c r="G1073" i="94"/>
  <c r="H1073" i="94" s="1"/>
  <c r="K1073" i="94"/>
  <c r="L1073" i="94" s="1"/>
  <c r="G1074" i="94"/>
  <c r="H1074" i="94" s="1"/>
  <c r="K1074" i="94"/>
  <c r="L1074" i="94" s="1"/>
  <c r="G1075" i="94"/>
  <c r="H1075" i="94" s="1"/>
  <c r="K1075" i="94"/>
  <c r="L1075" i="94" s="1"/>
  <c r="G1076" i="94"/>
  <c r="H1076" i="94" s="1"/>
  <c r="K1076" i="94"/>
  <c r="L1076" i="94" s="1"/>
  <c r="N1127" i="94"/>
  <c r="O1127" i="94" s="1"/>
  <c r="N1128" i="94"/>
  <c r="N1129" i="94"/>
  <c r="O1129" i="94" s="1"/>
  <c r="N1130" i="94"/>
  <c r="O1130" i="94" s="1"/>
  <c r="N1131" i="94"/>
  <c r="O1131" i="94" s="1"/>
  <c r="N1132" i="94"/>
  <c r="N1133" i="94"/>
  <c r="N1134" i="94"/>
  <c r="N1135" i="94"/>
  <c r="N1136" i="94"/>
  <c r="H1137" i="94"/>
  <c r="N1138" i="94"/>
  <c r="O1138" i="94" s="1"/>
  <c r="N1139" i="94"/>
  <c r="O1139" i="94" s="1"/>
  <c r="N1140" i="94"/>
  <c r="N1141" i="94"/>
  <c r="O1141" i="94" s="1"/>
  <c r="L1216" i="94"/>
  <c r="G1224" i="94"/>
  <c r="H1224" i="94" s="1"/>
  <c r="K1224" i="94"/>
  <c r="L1224" i="94" s="1"/>
  <c r="G1230" i="94"/>
  <c r="H1230" i="94" s="1"/>
  <c r="K1230" i="94"/>
  <c r="L1230" i="94" s="1"/>
  <c r="G1231" i="94"/>
  <c r="H1231" i="94" s="1"/>
  <c r="K1231" i="94"/>
  <c r="L1231" i="94" s="1"/>
  <c r="G1232" i="94"/>
  <c r="H1232" i="94" s="1"/>
  <c r="K1232" i="94"/>
  <c r="L1232" i="94" s="1"/>
  <c r="G1233" i="94"/>
  <c r="H1233" i="94" s="1"/>
  <c r="K1233" i="94"/>
  <c r="L1233" i="94" s="1"/>
  <c r="G1234" i="94"/>
  <c r="H1234" i="94" s="1"/>
  <c r="K1234" i="94"/>
  <c r="L1234" i="94" s="1"/>
  <c r="N1285" i="94"/>
  <c r="O1285" i="94" s="1"/>
  <c r="N1286" i="94"/>
  <c r="N1287" i="94"/>
  <c r="O1287" i="94" s="1"/>
  <c r="N1288" i="94"/>
  <c r="O1288" i="94" s="1"/>
  <c r="N1289" i="94"/>
  <c r="O1289" i="94" s="1"/>
  <c r="N1290" i="94"/>
  <c r="N1291" i="94"/>
  <c r="N1292" i="94"/>
  <c r="N1293" i="94"/>
  <c r="N1294" i="94"/>
  <c r="H1295" i="94"/>
  <c r="N1295" i="94" s="1"/>
  <c r="N1296" i="94"/>
  <c r="O1296" i="94" s="1"/>
  <c r="N1297" i="94"/>
  <c r="O1297" i="94" s="1"/>
  <c r="N1298" i="94"/>
  <c r="N1299" i="94"/>
  <c r="O1299" i="94" s="1"/>
  <c r="L1374" i="94"/>
  <c r="N1381" i="94"/>
  <c r="O1381" i="94" s="1"/>
  <c r="N1384" i="94"/>
  <c r="O1384" i="94" s="1"/>
  <c r="N1386" i="94"/>
  <c r="G1388" i="94"/>
  <c r="H1388" i="94" s="1"/>
  <c r="K1389" i="94"/>
  <c r="L1389" i="94" s="1"/>
  <c r="G1390" i="94"/>
  <c r="H1390" i="94" s="1"/>
  <c r="K1391" i="94"/>
  <c r="L1391" i="94" s="1"/>
  <c r="G1392" i="94"/>
  <c r="H1392" i="94" s="1"/>
  <c r="N1698" i="94"/>
  <c r="O1698" i="94" s="1"/>
  <c r="N1708" i="94"/>
  <c r="O1708" i="94" s="1"/>
  <c r="G993" i="94"/>
  <c r="H993" i="94" s="1"/>
  <c r="K993" i="94"/>
  <c r="L993" i="94" s="1"/>
  <c r="G994" i="94"/>
  <c r="H994" i="94" s="1"/>
  <c r="K994" i="94"/>
  <c r="L994" i="94" s="1"/>
  <c r="G995" i="94"/>
  <c r="H995" i="94" s="1"/>
  <c r="K995" i="94"/>
  <c r="L995" i="94" s="1"/>
  <c r="G996" i="94"/>
  <c r="H996" i="94" s="1"/>
  <c r="K996" i="94"/>
  <c r="L996" i="94" s="1"/>
  <c r="G1151" i="94"/>
  <c r="H1151" i="94" s="1"/>
  <c r="K1151" i="94"/>
  <c r="L1151" i="94" s="1"/>
  <c r="G1152" i="94"/>
  <c r="H1152" i="94" s="1"/>
  <c r="K1152" i="94"/>
  <c r="L1152" i="94" s="1"/>
  <c r="G1153" i="94"/>
  <c r="H1153" i="94" s="1"/>
  <c r="K1153" i="94"/>
  <c r="L1153" i="94" s="1"/>
  <c r="G1154" i="94"/>
  <c r="H1154" i="94" s="1"/>
  <c r="K1154" i="94"/>
  <c r="L1154" i="94" s="1"/>
  <c r="G1309" i="94"/>
  <c r="H1309" i="94" s="1"/>
  <c r="K1309" i="94"/>
  <c r="L1309" i="94" s="1"/>
  <c r="G1310" i="94"/>
  <c r="H1310" i="94" s="1"/>
  <c r="K1310" i="94"/>
  <c r="L1310" i="94" s="1"/>
  <c r="G1311" i="94"/>
  <c r="H1311" i="94" s="1"/>
  <c r="K1311" i="94"/>
  <c r="L1311" i="94" s="1"/>
  <c r="G1312" i="94"/>
  <c r="H1312" i="94" s="1"/>
  <c r="K1312" i="94"/>
  <c r="L1312" i="94" s="1"/>
  <c r="G1382" i="94"/>
  <c r="H1382" i="94" s="1"/>
  <c r="K1388" i="94"/>
  <c r="L1388" i="94" s="1"/>
  <c r="G1389" i="94"/>
  <c r="H1389" i="94" s="1"/>
  <c r="K1390" i="94"/>
  <c r="L1390" i="94" s="1"/>
  <c r="G1391" i="94"/>
  <c r="H1391" i="94" s="1"/>
  <c r="K1392" i="94"/>
  <c r="L1392" i="94" s="1"/>
  <c r="H1459" i="94"/>
  <c r="O1461" i="94"/>
  <c r="N1443" i="94"/>
  <c r="O1443" i="94" s="1"/>
  <c r="N1444" i="94"/>
  <c r="N1455" i="94"/>
  <c r="O1455" i="94" s="1"/>
  <c r="N1457" i="94"/>
  <c r="O1457" i="94" s="1"/>
  <c r="N1463" i="94"/>
  <c r="O1463" i="94" s="1"/>
  <c r="N1471" i="94"/>
  <c r="O1471" i="94" s="1"/>
  <c r="N1529" i="94"/>
  <c r="L1532" i="94"/>
  <c r="N1534" i="94"/>
  <c r="O1534" i="94" s="1"/>
  <c r="N1536" i="94"/>
  <c r="O1536" i="94" s="1"/>
  <c r="H1538" i="94"/>
  <c r="N1539" i="94"/>
  <c r="O1539" i="94" s="1"/>
  <c r="N1542" i="94"/>
  <c r="O1542" i="94" s="1"/>
  <c r="N1544" i="94"/>
  <c r="G1546" i="94"/>
  <c r="H1546" i="94" s="1"/>
  <c r="G1548" i="94"/>
  <c r="H1548" i="94" s="1"/>
  <c r="G1550" i="94"/>
  <c r="H1550" i="94" s="1"/>
  <c r="N1602" i="94"/>
  <c r="N1604" i="94"/>
  <c r="O1604" i="94" s="1"/>
  <c r="N1606" i="94"/>
  <c r="N1608" i="94"/>
  <c r="N1610" i="94"/>
  <c r="N1613" i="94"/>
  <c r="O1613" i="94" s="1"/>
  <c r="N1615" i="94"/>
  <c r="O1615" i="94" s="1"/>
  <c r="N1618" i="94"/>
  <c r="O1618" i="94" s="1"/>
  <c r="N1629" i="94"/>
  <c r="O1629" i="94" s="1"/>
  <c r="H1699" i="94"/>
  <c r="L1690" i="94"/>
  <c r="N1701" i="94"/>
  <c r="O1701" i="94" s="1"/>
  <c r="N1703" i="94"/>
  <c r="O1703" i="94" s="1"/>
  <c r="N1779" i="94"/>
  <c r="O1779" i="94" s="1"/>
  <c r="N1787" i="94"/>
  <c r="O1787" i="94" s="1"/>
  <c r="N1856" i="94"/>
  <c r="O1856" i="94" s="1"/>
  <c r="N1866" i="94"/>
  <c r="O1866" i="94" s="1"/>
  <c r="H2010" i="94"/>
  <c r="L1453" i="94"/>
  <c r="O1454" i="94"/>
  <c r="N1464" i="94"/>
  <c r="O1464" i="94" s="1"/>
  <c r="N1466" i="94"/>
  <c r="O1466" i="94" s="1"/>
  <c r="N1524" i="94"/>
  <c r="O1524" i="94" s="1"/>
  <c r="N1526" i="94"/>
  <c r="O1526" i="94" s="1"/>
  <c r="N1528" i="94"/>
  <c r="N1530" i="94"/>
  <c r="N1533" i="94"/>
  <c r="O1533" i="94" s="1"/>
  <c r="N1535" i="94"/>
  <c r="G1540" i="94"/>
  <c r="H1540" i="94" s="1"/>
  <c r="O1543" i="94"/>
  <c r="K1546" i="94"/>
  <c r="L1546" i="94" s="1"/>
  <c r="G1547" i="94"/>
  <c r="H1547" i="94" s="1"/>
  <c r="N1547" i="94" s="1"/>
  <c r="K1548" i="94"/>
  <c r="L1548" i="94" s="1"/>
  <c r="G1549" i="94"/>
  <c r="H1549" i="94" s="1"/>
  <c r="K1550" i="94"/>
  <c r="L1550" i="94" s="1"/>
  <c r="N1601" i="94"/>
  <c r="O1601" i="94" s="1"/>
  <c r="O1603" i="94"/>
  <c r="O1605" i="94"/>
  <c r="H1611" i="94"/>
  <c r="N1622" i="94"/>
  <c r="O1622" i="94" s="1"/>
  <c r="N1624" i="94"/>
  <c r="O1624" i="94" s="1"/>
  <c r="N1697" i="94"/>
  <c r="O1697" i="94" s="1"/>
  <c r="H1778" i="94"/>
  <c r="L1769" i="94"/>
  <c r="N1780" i="94"/>
  <c r="O1780" i="94" s="1"/>
  <c r="N1782" i="94"/>
  <c r="O1782" i="94" s="1"/>
  <c r="G1467" i="94"/>
  <c r="H1467" i="94" s="1"/>
  <c r="K1467" i="94"/>
  <c r="L1467" i="94" s="1"/>
  <c r="G1468" i="94"/>
  <c r="H1468" i="94" s="1"/>
  <c r="O1468" i="94" s="1"/>
  <c r="K1468" i="94"/>
  <c r="L1468" i="94" s="1"/>
  <c r="G1469" i="94"/>
  <c r="H1469" i="94" s="1"/>
  <c r="K1469" i="94"/>
  <c r="L1469" i="94" s="1"/>
  <c r="G1470" i="94"/>
  <c r="H1470" i="94" s="1"/>
  <c r="K1470" i="94"/>
  <c r="L1470" i="94" s="1"/>
  <c r="G1625" i="94"/>
  <c r="H1625" i="94" s="1"/>
  <c r="K1625" i="94"/>
  <c r="L1625" i="94" s="1"/>
  <c r="G1626" i="94"/>
  <c r="H1626" i="94" s="1"/>
  <c r="K1626" i="94"/>
  <c r="L1626" i="94" s="1"/>
  <c r="G1627" i="94"/>
  <c r="H1627" i="94" s="1"/>
  <c r="K1627" i="94"/>
  <c r="L1627" i="94" s="1"/>
  <c r="G1628" i="94"/>
  <c r="H1628" i="94" s="1"/>
  <c r="K1628" i="94"/>
  <c r="L1628" i="94" s="1"/>
  <c r="G1704" i="94"/>
  <c r="H1704" i="94" s="1"/>
  <c r="K1704" i="94"/>
  <c r="L1704" i="94" s="1"/>
  <c r="G1705" i="94"/>
  <c r="H1705" i="94" s="1"/>
  <c r="O1705" i="94" s="1"/>
  <c r="K1705" i="94"/>
  <c r="L1705" i="94" s="1"/>
  <c r="G1706" i="94"/>
  <c r="H1706" i="94" s="1"/>
  <c r="K1706" i="94"/>
  <c r="L1706" i="94" s="1"/>
  <c r="G1707" i="94"/>
  <c r="H1707" i="94" s="1"/>
  <c r="K1707" i="94"/>
  <c r="L1707" i="94" s="1"/>
  <c r="G1783" i="94"/>
  <c r="H1783" i="94" s="1"/>
  <c r="K1783" i="94"/>
  <c r="L1783" i="94" s="1"/>
  <c r="G1784" i="94"/>
  <c r="H1784" i="94" s="1"/>
  <c r="O1784" i="94" s="1"/>
  <c r="K1784" i="94"/>
  <c r="L1784" i="94" s="1"/>
  <c r="G1785" i="94"/>
  <c r="H1785" i="94" s="1"/>
  <c r="K1785" i="94"/>
  <c r="L1785" i="94" s="1"/>
  <c r="G1786" i="94"/>
  <c r="H1786" i="94" s="1"/>
  <c r="K1786" i="94"/>
  <c r="L1786" i="94" s="1"/>
  <c r="N1838" i="94"/>
  <c r="O1838" i="94" s="1"/>
  <c r="L1848" i="94"/>
  <c r="H1933" i="94"/>
  <c r="N1934" i="94"/>
  <c r="O1934" i="94" s="1"/>
  <c r="N1937" i="94"/>
  <c r="O1937" i="94" s="1"/>
  <c r="N1938" i="94"/>
  <c r="O1938" i="94" s="1"/>
  <c r="N1940" i="94"/>
  <c r="O1940" i="94" s="1"/>
  <c r="L2006" i="94"/>
  <c r="L1927" i="94"/>
  <c r="G1935" i="94"/>
  <c r="H1935" i="94" s="1"/>
  <c r="K1935" i="94"/>
  <c r="L1935" i="94" s="1"/>
  <c r="N1939" i="94"/>
  <c r="G1941" i="94"/>
  <c r="H1941" i="94" s="1"/>
  <c r="K1941" i="94"/>
  <c r="L1941" i="94" s="1"/>
  <c r="G1942" i="94"/>
  <c r="H1942" i="94" s="1"/>
  <c r="K1942" i="94"/>
  <c r="L1942" i="94" s="1"/>
  <c r="G1943" i="94"/>
  <c r="H1943" i="94" s="1"/>
  <c r="K1943" i="94"/>
  <c r="L1943" i="94" s="1"/>
  <c r="G1944" i="94"/>
  <c r="H1944" i="94" s="1"/>
  <c r="K1944" i="94"/>
  <c r="L1944" i="94" s="1"/>
  <c r="G1945" i="94"/>
  <c r="H1945" i="94" s="1"/>
  <c r="K1945" i="94"/>
  <c r="L1945" i="94" s="1"/>
  <c r="N1996" i="94"/>
  <c r="O1996" i="94" s="1"/>
  <c r="O2005" i="94"/>
  <c r="H2089" i="94"/>
  <c r="O2075" i="94"/>
  <c r="G1862" i="94"/>
  <c r="H1862" i="94" s="1"/>
  <c r="K1862" i="94"/>
  <c r="L1862" i="94" s="1"/>
  <c r="G1863" i="94"/>
  <c r="H1863" i="94" s="1"/>
  <c r="O1863" i="94" s="1"/>
  <c r="K1863" i="94"/>
  <c r="L1863" i="94" s="1"/>
  <c r="G1864" i="94"/>
  <c r="H1864" i="94" s="1"/>
  <c r="K1864" i="94"/>
  <c r="L1864" i="94" s="1"/>
  <c r="G1865" i="94"/>
  <c r="H1865" i="94" s="1"/>
  <c r="K1865" i="94"/>
  <c r="L1865" i="94" s="1"/>
  <c r="N2022" i="94"/>
  <c r="O2022" i="94" s="1"/>
  <c r="L2083" i="94"/>
  <c r="O2074" i="94"/>
  <c r="O2077" i="94"/>
  <c r="O2084" i="94"/>
  <c r="G2091" i="94"/>
  <c r="H2091" i="94" s="1"/>
  <c r="N2096" i="94"/>
  <c r="O2096" i="94" s="1"/>
  <c r="K2097" i="94"/>
  <c r="L2097" i="94" s="1"/>
  <c r="G2098" i="94"/>
  <c r="H2098" i="94" s="1"/>
  <c r="K2099" i="94"/>
  <c r="L2099" i="94" s="1"/>
  <c r="G2100" i="94"/>
  <c r="H2100" i="94" s="1"/>
  <c r="K2101" i="94"/>
  <c r="L2101" i="94" s="1"/>
  <c r="K2011" i="94"/>
  <c r="G2018" i="94"/>
  <c r="H2018" i="94" s="1"/>
  <c r="K2018" i="94"/>
  <c r="L2018" i="94" s="1"/>
  <c r="G2019" i="94"/>
  <c r="H2019" i="94" s="1"/>
  <c r="K2019" i="94"/>
  <c r="L2019" i="94" s="1"/>
  <c r="G2020" i="94"/>
  <c r="H2020" i="94" s="1"/>
  <c r="K2020" i="94"/>
  <c r="L2020" i="94" s="1"/>
  <c r="G2021" i="94"/>
  <c r="H2021" i="94" s="1"/>
  <c r="K2021" i="94"/>
  <c r="L2021" i="94" s="1"/>
  <c r="N2073" i="94"/>
  <c r="O2073" i="94" s="1"/>
  <c r="N2076" i="94"/>
  <c r="O2076" i="94" s="1"/>
  <c r="N2078" i="94"/>
  <c r="N2082" i="94"/>
  <c r="N2087" i="94"/>
  <c r="O2087" i="94" s="1"/>
  <c r="N2090" i="94"/>
  <c r="O2090" i="94" s="1"/>
  <c r="N2093" i="94"/>
  <c r="O2093" i="94" s="1"/>
  <c r="N2095" i="94"/>
  <c r="G2097" i="94"/>
  <c r="H2097" i="94" s="1"/>
  <c r="K2098" i="94"/>
  <c r="L2098" i="94" s="1"/>
  <c r="G2099" i="94"/>
  <c r="H2099" i="94" s="1"/>
  <c r="K2100" i="94"/>
  <c r="L2100" i="94" s="1"/>
  <c r="G2101" i="94"/>
  <c r="H2101" i="94" s="1"/>
  <c r="Q13" i="93"/>
  <c r="P13" i="93"/>
  <c r="O13" i="93"/>
  <c r="N13" i="93"/>
  <c r="M13" i="93"/>
  <c r="L13" i="93"/>
  <c r="K13" i="93"/>
  <c r="Q1" i="93"/>
  <c r="N910" i="94" l="1"/>
  <c r="O910" i="94" s="1"/>
  <c r="N206" i="94"/>
  <c r="N204" i="94"/>
  <c r="N48" i="94"/>
  <c r="O48" i="94" s="1"/>
  <c r="N46" i="94"/>
  <c r="L593" i="94"/>
  <c r="L1620" i="94"/>
  <c r="N1460" i="94"/>
  <c r="O1460" i="94" s="1"/>
  <c r="N1858" i="94"/>
  <c r="O1858" i="94" s="1"/>
  <c r="N1776" i="94"/>
  <c r="O1776" i="94" s="1"/>
  <c r="N1621" i="94"/>
  <c r="O1621" i="94" s="1"/>
  <c r="N1147" i="94"/>
  <c r="O1147" i="94" s="1"/>
  <c r="N1863" i="94"/>
  <c r="N1540" i="94"/>
  <c r="N1392" i="94"/>
  <c r="N1388" i="94"/>
  <c r="N1309" i="94"/>
  <c r="N1151" i="94"/>
  <c r="N993" i="94"/>
  <c r="N1234" i="94"/>
  <c r="N1232" i="94"/>
  <c r="N1230" i="94"/>
  <c r="N829" i="94"/>
  <c r="N680" i="94"/>
  <c r="N678" i="94"/>
  <c r="N189" i="94"/>
  <c r="N989" i="94"/>
  <c r="N2098" i="94"/>
  <c r="O2098" i="94" s="1"/>
  <c r="N1862" i="94"/>
  <c r="N1233" i="94"/>
  <c r="N1231" i="94"/>
  <c r="N1224" i="94"/>
  <c r="N38" i="94"/>
  <c r="N2020" i="94"/>
  <c r="O2020" i="94" s="1"/>
  <c r="N2018" i="94"/>
  <c r="N1944" i="94"/>
  <c r="O1944" i="94" s="1"/>
  <c r="N1942" i="94"/>
  <c r="N1784" i="94"/>
  <c r="N1705" i="94"/>
  <c r="N1626" i="94"/>
  <c r="O1626" i="94" s="1"/>
  <c r="N1468" i="94"/>
  <c r="N1548" i="94"/>
  <c r="O1548" i="94" s="1"/>
  <c r="N1152" i="94"/>
  <c r="O1152" i="94" s="1"/>
  <c r="N994" i="94"/>
  <c r="O994" i="94" s="1"/>
  <c r="N1066" i="94"/>
  <c r="N282" i="94"/>
  <c r="N365" i="94"/>
  <c r="N205" i="94"/>
  <c r="N203" i="94"/>
  <c r="N47" i="94"/>
  <c r="O47" i="94" s="1"/>
  <c r="N45" i="94"/>
  <c r="N1390" i="94"/>
  <c r="O1390" i="94" s="1"/>
  <c r="N837" i="94"/>
  <c r="N681" i="94"/>
  <c r="L909" i="94"/>
  <c r="N2100" i="94"/>
  <c r="O2100" i="94" s="1"/>
  <c r="N2021" i="94"/>
  <c r="N2019" i="94"/>
  <c r="O2019" i="94" s="1"/>
  <c r="N1945" i="94"/>
  <c r="N1943" i="94"/>
  <c r="N1941" i="94"/>
  <c r="O1941" i="94" s="1"/>
  <c r="N1467" i="94"/>
  <c r="N1550" i="94"/>
  <c r="O1550" i="94" s="1"/>
  <c r="N1546" i="94"/>
  <c r="O1546" i="94" s="1"/>
  <c r="O1309" i="94"/>
  <c r="O1232" i="94"/>
  <c r="N679" i="94"/>
  <c r="O679" i="94" s="1"/>
  <c r="O206" i="94"/>
  <c r="O204" i="94"/>
  <c r="O1144" i="94"/>
  <c r="O1305" i="94"/>
  <c r="N1302" i="94"/>
  <c r="O1302" i="94" s="1"/>
  <c r="N196" i="94"/>
  <c r="N2014" i="94"/>
  <c r="O2014" i="94" s="1"/>
  <c r="O41" i="94"/>
  <c r="O989" i="94"/>
  <c r="O196" i="94"/>
  <c r="O38" i="94"/>
  <c r="N839" i="94"/>
  <c r="O839" i="94" s="1"/>
  <c r="O986" i="94"/>
  <c r="N199" i="94"/>
  <c r="O199" i="94" s="1"/>
  <c r="K2012" i="94"/>
  <c r="L2012" i="94" s="1"/>
  <c r="N2012" i="94" s="1"/>
  <c r="O2012" i="94" s="1"/>
  <c r="L2011" i="94"/>
  <c r="N2011" i="94" s="1"/>
  <c r="O2011" i="94" s="1"/>
  <c r="L2089" i="94"/>
  <c r="N2083" i="94"/>
  <c r="O2083" i="94" s="1"/>
  <c r="N1865" i="94"/>
  <c r="N1864" i="94"/>
  <c r="O1864" i="94" s="1"/>
  <c r="O1945" i="94"/>
  <c r="O1943" i="94"/>
  <c r="O1942" i="94"/>
  <c r="N1935" i="94"/>
  <c r="O1935" i="94" s="1"/>
  <c r="L1933" i="94"/>
  <c r="N1927" i="94"/>
  <c r="O1927" i="94" s="1"/>
  <c r="N1848" i="94"/>
  <c r="O1848" i="94" s="1"/>
  <c r="L1854" i="94"/>
  <c r="N1786" i="94"/>
  <c r="O1786" i="94" s="1"/>
  <c r="N1785" i="94"/>
  <c r="O1785" i="94" s="1"/>
  <c r="N1783" i="94"/>
  <c r="N1707" i="94"/>
  <c r="O1707" i="94" s="1"/>
  <c r="N1706" i="94"/>
  <c r="O1706" i="94" s="1"/>
  <c r="N1704" i="94"/>
  <c r="O1704" i="94" s="1"/>
  <c r="N1628" i="94"/>
  <c r="N1627" i="94"/>
  <c r="O1627" i="94" s="1"/>
  <c r="N1625" i="94"/>
  <c r="O1625" i="94" s="1"/>
  <c r="N1470" i="94"/>
  <c r="O1470" i="94" s="1"/>
  <c r="N1469" i="94"/>
  <c r="O1469" i="94" s="1"/>
  <c r="N1769" i="94"/>
  <c r="O1769" i="94" s="1"/>
  <c r="L1775" i="94"/>
  <c r="L1459" i="94"/>
  <c r="N1453" i="94"/>
  <c r="O1453" i="94" s="1"/>
  <c r="H2013" i="94"/>
  <c r="N1690" i="94"/>
  <c r="O1690" i="94" s="1"/>
  <c r="L1696" i="94"/>
  <c r="H1541" i="94"/>
  <c r="H1462" i="94"/>
  <c r="O1151" i="94"/>
  <c r="O993" i="94"/>
  <c r="N1391" i="94"/>
  <c r="O1391" i="94" s="1"/>
  <c r="N1389" i="94"/>
  <c r="O1389" i="94" s="1"/>
  <c r="L1380" i="94"/>
  <c r="N1374" i="94"/>
  <c r="O1374" i="94" s="1"/>
  <c r="L1222" i="94"/>
  <c r="N1216" i="94"/>
  <c r="O1216" i="94" s="1"/>
  <c r="N1076" i="94"/>
  <c r="N1075" i="94"/>
  <c r="O1075" i="94" s="1"/>
  <c r="N1074" i="94"/>
  <c r="O1074" i="94" s="1"/>
  <c r="N1073" i="94"/>
  <c r="N1072" i="94"/>
  <c r="O1066" i="94"/>
  <c r="H985" i="94"/>
  <c r="L1146" i="94"/>
  <c r="H1067" i="94"/>
  <c r="N917" i="94"/>
  <c r="O917" i="94" s="1"/>
  <c r="N916" i="94"/>
  <c r="N915" i="94"/>
  <c r="O915" i="94" s="1"/>
  <c r="N914" i="94"/>
  <c r="N759" i="94"/>
  <c r="O759" i="94" s="1"/>
  <c r="N758" i="94"/>
  <c r="N757" i="94"/>
  <c r="O757" i="94" s="1"/>
  <c r="N756" i="94"/>
  <c r="N601" i="94"/>
  <c r="O601" i="94" s="1"/>
  <c r="N600" i="94"/>
  <c r="N599" i="94"/>
  <c r="O599" i="94" s="1"/>
  <c r="N598" i="94"/>
  <c r="N443" i="94"/>
  <c r="O443" i="94" s="1"/>
  <c r="N442" i="94"/>
  <c r="N441" i="94"/>
  <c r="O441" i="94" s="1"/>
  <c r="N440" i="94"/>
  <c r="N285" i="94"/>
  <c r="O285" i="94" s="1"/>
  <c r="N284" i="94"/>
  <c r="N283" i="94"/>
  <c r="O283" i="94" s="1"/>
  <c r="H432" i="94"/>
  <c r="O205" i="94"/>
  <c r="O46" i="94"/>
  <c r="L988" i="94"/>
  <c r="O835" i="94"/>
  <c r="H830" i="94"/>
  <c r="L669" i="94"/>
  <c r="N663" i="94"/>
  <c r="O663" i="94" s="1"/>
  <c r="O521" i="94"/>
  <c r="L511" i="94"/>
  <c r="N505" i="94"/>
  <c r="O505" i="94" s="1"/>
  <c r="O365" i="94"/>
  <c r="H356" i="94"/>
  <c r="L116" i="94"/>
  <c r="N110" i="94"/>
  <c r="O110" i="94" s="1"/>
  <c r="L768" i="94"/>
  <c r="L762" i="94"/>
  <c r="N513" i="94"/>
  <c r="O513" i="94" s="1"/>
  <c r="L294" i="94"/>
  <c r="L288" i="94"/>
  <c r="L452" i="94"/>
  <c r="L446" i="94"/>
  <c r="O2021" i="94"/>
  <c r="O2018" i="94"/>
  <c r="N2101" i="94"/>
  <c r="O2101" i="94" s="1"/>
  <c r="N2099" i="94"/>
  <c r="O2099" i="94" s="1"/>
  <c r="N2097" i="94"/>
  <c r="O2097" i="94" s="1"/>
  <c r="N2091" i="94"/>
  <c r="O2091" i="94" s="1"/>
  <c r="O1865" i="94"/>
  <c r="O1862" i="94"/>
  <c r="H2092" i="94"/>
  <c r="N2006" i="94"/>
  <c r="O2006" i="94" s="1"/>
  <c r="L2010" i="94"/>
  <c r="H1936" i="94"/>
  <c r="O1783" i="94"/>
  <c r="O1628" i="94"/>
  <c r="O1467" i="94"/>
  <c r="H1857" i="94"/>
  <c r="H1795" i="94"/>
  <c r="H1789" i="94"/>
  <c r="H1617" i="94"/>
  <c r="O1547" i="94"/>
  <c r="O1540" i="94"/>
  <c r="H1716" i="94"/>
  <c r="H1710" i="94"/>
  <c r="N1611" i="94"/>
  <c r="O1611" i="94" s="1"/>
  <c r="L1538" i="94"/>
  <c r="N1532" i="94"/>
  <c r="O1532" i="94" s="1"/>
  <c r="L1637" i="94"/>
  <c r="L1631" i="94"/>
  <c r="N1549" i="94"/>
  <c r="O1549" i="94" s="1"/>
  <c r="N1312" i="94"/>
  <c r="O1312" i="94" s="1"/>
  <c r="N1311" i="94"/>
  <c r="O1311" i="94" s="1"/>
  <c r="N1310" i="94"/>
  <c r="O1310" i="94" s="1"/>
  <c r="N1154" i="94"/>
  <c r="O1154" i="94" s="1"/>
  <c r="N1153" i="94"/>
  <c r="O1153" i="94" s="1"/>
  <c r="N996" i="94"/>
  <c r="O996" i="94" s="1"/>
  <c r="N995" i="94"/>
  <c r="O995" i="94" s="1"/>
  <c r="O1392" i="94"/>
  <c r="O1388" i="94"/>
  <c r="H1383" i="94"/>
  <c r="H1301" i="94"/>
  <c r="N1301" i="94" s="1"/>
  <c r="O1295" i="94"/>
  <c r="O1234" i="94"/>
  <c r="O1233" i="94"/>
  <c r="O1231" i="94"/>
  <c r="O1230" i="94"/>
  <c r="O1224" i="94"/>
  <c r="H1143" i="94"/>
  <c r="O1076" i="94"/>
  <c r="O1073" i="94"/>
  <c r="O1072" i="94"/>
  <c r="L1064" i="94"/>
  <c r="N1058" i="94"/>
  <c r="O1058" i="94" s="1"/>
  <c r="N1137" i="94"/>
  <c r="O1137" i="94" s="1"/>
  <c r="O916" i="94"/>
  <c r="O914" i="94"/>
  <c r="O758" i="94"/>
  <c r="O756" i="94"/>
  <c r="O600" i="94"/>
  <c r="O442" i="94"/>
  <c r="O284" i="94"/>
  <c r="H906" i="94"/>
  <c r="O900" i="94"/>
  <c r="O829" i="94"/>
  <c r="H748" i="94"/>
  <c r="O680" i="94"/>
  <c r="O678" i="94"/>
  <c r="H590" i="94"/>
  <c r="O584" i="94"/>
  <c r="O364" i="94"/>
  <c r="H274" i="94"/>
  <c r="O268" i="94"/>
  <c r="N1382" i="94"/>
  <c r="O1382" i="94" s="1"/>
  <c r="L1304" i="94"/>
  <c r="H1225" i="94"/>
  <c r="N979" i="94"/>
  <c r="O979" i="94" s="1"/>
  <c r="O837" i="94"/>
  <c r="L827" i="94"/>
  <c r="N821" i="94"/>
  <c r="O821" i="94" s="1"/>
  <c r="N742" i="94"/>
  <c r="O742" i="94" s="1"/>
  <c r="O681" i="94"/>
  <c r="O677" i="94"/>
  <c r="H672" i="94"/>
  <c r="O523" i="94"/>
  <c r="H514" i="94"/>
  <c r="N426" i="94"/>
  <c r="O426" i="94" s="1"/>
  <c r="O363" i="94"/>
  <c r="L353" i="94"/>
  <c r="N347" i="94"/>
  <c r="O347" i="94" s="1"/>
  <c r="H195" i="94"/>
  <c r="N195" i="94" s="1"/>
  <c r="O189" i="94"/>
  <c r="N128" i="94"/>
  <c r="O128" i="94" s="1"/>
  <c r="N127" i="94"/>
  <c r="O127" i="94" s="1"/>
  <c r="N126" i="94"/>
  <c r="O126" i="94" s="1"/>
  <c r="N125" i="94"/>
  <c r="O125" i="94" s="1"/>
  <c r="N124" i="94"/>
  <c r="O118" i="94"/>
  <c r="H37" i="94"/>
  <c r="N37" i="94" s="1"/>
  <c r="O31" i="94"/>
  <c r="L926" i="94"/>
  <c r="L920" i="94"/>
  <c r="N838" i="94"/>
  <c r="O838" i="94" s="1"/>
  <c r="N671" i="94"/>
  <c r="O671" i="94" s="1"/>
  <c r="L610" i="94"/>
  <c r="L604" i="94"/>
  <c r="N522" i="94"/>
  <c r="O522" i="94" s="1"/>
  <c r="N362" i="94"/>
  <c r="O362" i="94" s="1"/>
  <c r="L198" i="94"/>
  <c r="L40" i="94"/>
  <c r="N836" i="94"/>
  <c r="O836" i="94" s="1"/>
  <c r="N520" i="94"/>
  <c r="O520" i="94" s="1"/>
  <c r="N355" i="94"/>
  <c r="O355" i="94" s="1"/>
  <c r="H119" i="94"/>
  <c r="D116" i="31"/>
  <c r="L57" i="94" l="1"/>
  <c r="L51" i="94"/>
  <c r="L215" i="94"/>
  <c r="L209" i="94"/>
  <c r="L605" i="94"/>
  <c r="L606" i="94" s="1"/>
  <c r="L921" i="94"/>
  <c r="L922" i="94" s="1"/>
  <c r="H531" i="94"/>
  <c r="H525" i="94"/>
  <c r="H1242" i="94"/>
  <c r="H1236" i="94"/>
  <c r="L1321" i="94"/>
  <c r="L1315" i="94"/>
  <c r="H277" i="94"/>
  <c r="N274" i="94"/>
  <c r="O274" i="94" s="1"/>
  <c r="H751" i="94"/>
  <c r="N748" i="94"/>
  <c r="O748" i="94" s="1"/>
  <c r="H1146" i="94"/>
  <c r="H1400" i="94"/>
  <c r="H1394" i="94"/>
  <c r="L1639" i="94"/>
  <c r="L1638" i="94"/>
  <c r="H1717" i="94"/>
  <c r="H1718" i="94" s="1"/>
  <c r="H1796" i="94"/>
  <c r="H1797" i="94" s="1"/>
  <c r="H1874" i="94"/>
  <c r="H1868" i="94"/>
  <c r="H2109" i="94"/>
  <c r="H2103" i="94"/>
  <c r="L453" i="94"/>
  <c r="L454" i="94" s="1"/>
  <c r="L289" i="94"/>
  <c r="L290" i="94" s="1"/>
  <c r="L764" i="94"/>
  <c r="L763" i="94"/>
  <c r="L119" i="94"/>
  <c r="N116" i="94"/>
  <c r="O116" i="94" s="1"/>
  <c r="L672" i="94"/>
  <c r="N669" i="94"/>
  <c r="O669" i="94" s="1"/>
  <c r="H847" i="94"/>
  <c r="H841" i="94"/>
  <c r="L1005" i="94"/>
  <c r="L999" i="94"/>
  <c r="H435" i="94"/>
  <c r="N432" i="94"/>
  <c r="O432" i="94" s="1"/>
  <c r="N1143" i="94"/>
  <c r="O1143" i="94" s="1"/>
  <c r="H988" i="94"/>
  <c r="N988" i="94" s="1"/>
  <c r="L1225" i="94"/>
  <c r="N1222" i="94"/>
  <c r="O1222" i="94" s="1"/>
  <c r="L1383" i="94"/>
  <c r="N1380" i="94"/>
  <c r="O1380" i="94" s="1"/>
  <c r="H1479" i="94"/>
  <c r="H1473" i="94"/>
  <c r="H2030" i="94"/>
  <c r="H2024" i="94"/>
  <c r="N1459" i="94"/>
  <c r="O1459" i="94" s="1"/>
  <c r="L1462" i="94"/>
  <c r="N1854" i="94"/>
  <c r="O1854" i="94" s="1"/>
  <c r="L1857" i="94"/>
  <c r="H136" i="94"/>
  <c r="H130" i="94"/>
  <c r="L612" i="94"/>
  <c r="L611" i="94"/>
  <c r="L927" i="94"/>
  <c r="L928" i="94" s="1"/>
  <c r="H40" i="94"/>
  <c r="O37" i="94"/>
  <c r="H198" i="94"/>
  <c r="O195" i="94"/>
  <c r="L356" i="94"/>
  <c r="N353" i="94"/>
  <c r="O353" i="94" s="1"/>
  <c r="H689" i="94"/>
  <c r="H683" i="94"/>
  <c r="L830" i="94"/>
  <c r="N827" i="94"/>
  <c r="O827" i="94" s="1"/>
  <c r="H593" i="94"/>
  <c r="N590" i="94"/>
  <c r="O590" i="94" s="1"/>
  <c r="H909" i="94"/>
  <c r="N906" i="94"/>
  <c r="O906" i="94" s="1"/>
  <c r="L1067" i="94"/>
  <c r="N1064" i="94"/>
  <c r="O1064" i="94" s="1"/>
  <c r="H1304" i="94"/>
  <c r="N1304" i="94" s="1"/>
  <c r="O1301" i="94"/>
  <c r="L1632" i="94"/>
  <c r="L1633" i="94" s="1"/>
  <c r="L1541" i="94"/>
  <c r="N1538" i="94"/>
  <c r="O1538" i="94" s="1"/>
  <c r="H1711" i="94"/>
  <c r="H1712" i="94" s="1"/>
  <c r="H1620" i="94"/>
  <c r="N1617" i="94"/>
  <c r="O1617" i="94" s="1"/>
  <c r="H1790" i="94"/>
  <c r="H1791" i="94" s="1"/>
  <c r="H1953" i="94"/>
  <c r="H1947" i="94"/>
  <c r="N2010" i="94"/>
  <c r="O2010" i="94" s="1"/>
  <c r="L2013" i="94"/>
  <c r="L447" i="94"/>
  <c r="L448" i="94" s="1"/>
  <c r="L295" i="94"/>
  <c r="L296" i="94" s="1"/>
  <c r="L769" i="94"/>
  <c r="L770" i="94" s="1"/>
  <c r="H373" i="94"/>
  <c r="H367" i="94"/>
  <c r="L514" i="94"/>
  <c r="N511" i="94"/>
  <c r="O511" i="94" s="1"/>
  <c r="N985" i="94"/>
  <c r="O985" i="94" s="1"/>
  <c r="H1084" i="94"/>
  <c r="H1078" i="94"/>
  <c r="N1146" i="94"/>
  <c r="L1163" i="94"/>
  <c r="L1157" i="94"/>
  <c r="H1558" i="94"/>
  <c r="H1552" i="94"/>
  <c r="N1696" i="94"/>
  <c r="O1696" i="94" s="1"/>
  <c r="L1699" i="94"/>
  <c r="N1775" i="94"/>
  <c r="O1775" i="94" s="1"/>
  <c r="L1778" i="94"/>
  <c r="L1936" i="94"/>
  <c r="N1933" i="94"/>
  <c r="O1933" i="94" s="1"/>
  <c r="L2092" i="94"/>
  <c r="N2089" i="94"/>
  <c r="O2089" i="94" s="1"/>
  <c r="M16" i="30"/>
  <c r="L449" i="94" l="1"/>
  <c r="L450" i="94" s="1"/>
  <c r="H1792" i="94"/>
  <c r="H1793" i="94" s="1"/>
  <c r="L1634" i="94"/>
  <c r="L1635" i="94" s="1"/>
  <c r="L291" i="94"/>
  <c r="L292" i="94" s="1"/>
  <c r="H1798" i="94"/>
  <c r="H1799" i="94" s="1"/>
  <c r="L771" i="94"/>
  <c r="L772" i="94" s="1"/>
  <c r="H1713" i="94"/>
  <c r="H1714" i="94" s="1"/>
  <c r="N1778" i="94"/>
  <c r="O1778" i="94" s="1"/>
  <c r="L1795" i="94"/>
  <c r="L1789" i="94"/>
  <c r="N1699" i="94"/>
  <c r="O1699" i="94" s="1"/>
  <c r="L1716" i="94"/>
  <c r="L1710" i="94"/>
  <c r="H1553" i="94"/>
  <c r="L1164" i="94"/>
  <c r="L1165" i="94" s="1"/>
  <c r="H1079" i="94"/>
  <c r="H368" i="94"/>
  <c r="H369" i="94" s="1"/>
  <c r="H1954" i="94"/>
  <c r="H1955" i="94" s="1"/>
  <c r="L1558" i="94"/>
  <c r="L1552" i="94"/>
  <c r="N1541" i="94"/>
  <c r="O1541" i="94" s="1"/>
  <c r="H926" i="94"/>
  <c r="H920" i="94"/>
  <c r="N909" i="94"/>
  <c r="O909" i="94" s="1"/>
  <c r="H684" i="94"/>
  <c r="L373" i="94"/>
  <c r="L367" i="94"/>
  <c r="N356" i="94"/>
  <c r="O356" i="94" s="1"/>
  <c r="H215" i="94"/>
  <c r="H209" i="94"/>
  <c r="H57" i="94"/>
  <c r="H51" i="94"/>
  <c r="N51" i="94" s="1"/>
  <c r="H137" i="94"/>
  <c r="N1857" i="94"/>
  <c r="O1857" i="94" s="1"/>
  <c r="L1874" i="94"/>
  <c r="L1868" i="94"/>
  <c r="N1462" i="94"/>
  <c r="O1462" i="94" s="1"/>
  <c r="L1479" i="94"/>
  <c r="L1473" i="94"/>
  <c r="H2031" i="94"/>
  <c r="H1474" i="94"/>
  <c r="H1475" i="94" s="1"/>
  <c r="L1000" i="94"/>
  <c r="L1001" i="94" s="1"/>
  <c r="H848" i="94"/>
  <c r="H2104" i="94"/>
  <c r="H2105" i="94" s="1"/>
  <c r="H1869" i="94"/>
  <c r="H1870" i="94" s="1"/>
  <c r="H1401" i="94"/>
  <c r="H1402" i="94" s="1"/>
  <c r="H768" i="94"/>
  <c r="H762" i="94"/>
  <c r="N751" i="94"/>
  <c r="O751" i="94" s="1"/>
  <c r="L1316" i="94"/>
  <c r="H1243" i="94"/>
  <c r="H1244" i="94" s="1"/>
  <c r="H526" i="94"/>
  <c r="N198" i="94"/>
  <c r="O198" i="94" s="1"/>
  <c r="L52" i="94"/>
  <c r="N40" i="94"/>
  <c r="O40" i="94" s="1"/>
  <c r="L2109" i="94"/>
  <c r="L2103" i="94"/>
  <c r="N2092" i="94"/>
  <c r="O2092" i="94" s="1"/>
  <c r="L1953" i="94"/>
  <c r="L1947" i="94"/>
  <c r="N1936" i="94"/>
  <c r="O1936" i="94" s="1"/>
  <c r="H1559" i="94"/>
  <c r="L1158" i="94"/>
  <c r="L1159" i="94" s="1"/>
  <c r="H1085" i="94"/>
  <c r="L531" i="94"/>
  <c r="L525" i="94"/>
  <c r="N514" i="94"/>
  <c r="O514" i="94" s="1"/>
  <c r="H374" i="94"/>
  <c r="L297" i="94"/>
  <c r="N2013" i="94"/>
  <c r="O2013" i="94" s="1"/>
  <c r="L2030" i="94"/>
  <c r="L2024" i="94"/>
  <c r="H1948" i="94"/>
  <c r="H1637" i="94"/>
  <c r="H1631" i="94"/>
  <c r="N1620" i="94"/>
  <c r="O1620" i="94" s="1"/>
  <c r="H1321" i="94"/>
  <c r="H1315" i="94"/>
  <c r="N1315" i="94" s="1"/>
  <c r="O1304" i="94"/>
  <c r="L1084" i="94"/>
  <c r="L1078" i="94"/>
  <c r="N1067" i="94"/>
  <c r="O1067" i="94" s="1"/>
  <c r="H610" i="94"/>
  <c r="H604" i="94"/>
  <c r="N593" i="94"/>
  <c r="O593" i="94" s="1"/>
  <c r="L847" i="94"/>
  <c r="L841" i="94"/>
  <c r="N830" i="94"/>
  <c r="O830" i="94" s="1"/>
  <c r="H690" i="94"/>
  <c r="H691" i="94" s="1"/>
  <c r="L929" i="94"/>
  <c r="L930" i="94" s="1"/>
  <c r="L613" i="94"/>
  <c r="L614" i="94" s="1"/>
  <c r="H131" i="94"/>
  <c r="H2025" i="94"/>
  <c r="H1480" i="94"/>
  <c r="H1481" i="94" s="1"/>
  <c r="L1400" i="94"/>
  <c r="L1394" i="94"/>
  <c r="N1383" i="94"/>
  <c r="O1383" i="94" s="1"/>
  <c r="L1242" i="94"/>
  <c r="L1236" i="94"/>
  <c r="N1225" i="94"/>
  <c r="O1225" i="94" s="1"/>
  <c r="H1005" i="94"/>
  <c r="N1005" i="94" s="1"/>
  <c r="H999" i="94"/>
  <c r="O988" i="94"/>
  <c r="H452" i="94"/>
  <c r="H446" i="94"/>
  <c r="N435" i="94"/>
  <c r="O435" i="94" s="1"/>
  <c r="L1006" i="94"/>
  <c r="H842" i="94"/>
  <c r="H843" i="94" s="1"/>
  <c r="L689" i="94"/>
  <c r="L683" i="94"/>
  <c r="N672" i="94"/>
  <c r="O672" i="94" s="1"/>
  <c r="L136" i="94"/>
  <c r="L130" i="94"/>
  <c r="N119" i="94"/>
  <c r="O119" i="94" s="1"/>
  <c r="L765" i="94"/>
  <c r="L455" i="94"/>
  <c r="H2110" i="94"/>
  <c r="H1875" i="94"/>
  <c r="H1719" i="94"/>
  <c r="L1640" i="94"/>
  <c r="H1395" i="94"/>
  <c r="H1396" i="94" s="1"/>
  <c r="H1163" i="94"/>
  <c r="H1157" i="94"/>
  <c r="O1146" i="94"/>
  <c r="H294" i="94"/>
  <c r="H288" i="94"/>
  <c r="N277" i="94"/>
  <c r="O277" i="94" s="1"/>
  <c r="N1321" i="94"/>
  <c r="L1322" i="94"/>
  <c r="L1323" i="94" s="1"/>
  <c r="H1237" i="94"/>
  <c r="H532" i="94"/>
  <c r="H533" i="94" s="1"/>
  <c r="L924" i="94"/>
  <c r="L923" i="94"/>
  <c r="L607" i="94"/>
  <c r="L608" i="94" s="1"/>
  <c r="N209" i="94"/>
  <c r="L210" i="94"/>
  <c r="L216" i="94"/>
  <c r="N215" i="94"/>
  <c r="N57" i="94"/>
  <c r="L58" i="94"/>
  <c r="H1403" i="94" l="1"/>
  <c r="H1404" i="94" s="1"/>
  <c r="H2106" i="94"/>
  <c r="H2107" i="94" s="1"/>
  <c r="L1002" i="94"/>
  <c r="L1003" i="94" s="1"/>
  <c r="H370" i="94"/>
  <c r="H371" i="94" s="1"/>
  <c r="L1166" i="94"/>
  <c r="L1167" i="94" s="1"/>
  <c r="H1245" i="94"/>
  <c r="H1246" i="94" s="1"/>
  <c r="H1871" i="94"/>
  <c r="H1872" i="94" s="1"/>
  <c r="H1476" i="94"/>
  <c r="H1477" i="94" s="1"/>
  <c r="H534" i="94"/>
  <c r="H535" i="94" s="1"/>
  <c r="L1324" i="94"/>
  <c r="L1325" i="94" s="1"/>
  <c r="H289" i="94"/>
  <c r="H290" i="94" s="1"/>
  <c r="N288" i="94"/>
  <c r="O288" i="94" s="1"/>
  <c r="H1164" i="94"/>
  <c r="H1165" i="94" s="1"/>
  <c r="H1397" i="94"/>
  <c r="H1398" i="94" s="1"/>
  <c r="L131" i="94"/>
  <c r="N131" i="94" s="1"/>
  <c r="O131" i="94" s="1"/>
  <c r="N130" i="94"/>
  <c r="O130" i="94" s="1"/>
  <c r="L690" i="94"/>
  <c r="N690" i="94" s="1"/>
  <c r="O690" i="94" s="1"/>
  <c r="N689" i="94"/>
  <c r="O689" i="94" s="1"/>
  <c r="H844" i="94"/>
  <c r="H845" i="94" s="1"/>
  <c r="H453" i="94"/>
  <c r="H454" i="94" s="1"/>
  <c r="N452" i="94"/>
  <c r="O452" i="94" s="1"/>
  <c r="H1000" i="94"/>
  <c r="H1001" i="94" s="1"/>
  <c r="L1243" i="94"/>
  <c r="N1243" i="94" s="1"/>
  <c r="O1243" i="94" s="1"/>
  <c r="N1242" i="94"/>
  <c r="O1242" i="94" s="1"/>
  <c r="L1395" i="94"/>
  <c r="N1395" i="94" s="1"/>
  <c r="O1395" i="94" s="1"/>
  <c r="N1394" i="94"/>
  <c r="O1394" i="94" s="1"/>
  <c r="H1482" i="94"/>
  <c r="H1483" i="94" s="1"/>
  <c r="H692" i="94"/>
  <c r="H693" i="94" s="1"/>
  <c r="L848" i="94"/>
  <c r="N848" i="94" s="1"/>
  <c r="N847" i="94"/>
  <c r="O847" i="94" s="1"/>
  <c r="H611" i="94"/>
  <c r="H612" i="94" s="1"/>
  <c r="N610" i="94"/>
  <c r="O610" i="94" s="1"/>
  <c r="L1079" i="94"/>
  <c r="N1079" i="94" s="1"/>
  <c r="N1078" i="94"/>
  <c r="O1078" i="94" s="1"/>
  <c r="H1322" i="94"/>
  <c r="H1323" i="94" s="1"/>
  <c r="O1321" i="94"/>
  <c r="H1638" i="94"/>
  <c r="H1639" i="94" s="1"/>
  <c r="N1637" i="94"/>
  <c r="O1637" i="94" s="1"/>
  <c r="N2030" i="94"/>
  <c r="O2030" i="94" s="1"/>
  <c r="L2031" i="94"/>
  <c r="N2031" i="94" s="1"/>
  <c r="O2031" i="94" s="1"/>
  <c r="L526" i="94"/>
  <c r="N526" i="94" s="1"/>
  <c r="N525" i="94"/>
  <c r="O525" i="94" s="1"/>
  <c r="L1160" i="94"/>
  <c r="L1161" i="94" s="1"/>
  <c r="L1948" i="94"/>
  <c r="N1948" i="94" s="1"/>
  <c r="O1948" i="94" s="1"/>
  <c r="N1947" i="94"/>
  <c r="O1947" i="94" s="1"/>
  <c r="L2110" i="94"/>
  <c r="N2110" i="94" s="1"/>
  <c r="O2110" i="94" s="1"/>
  <c r="N2109" i="94"/>
  <c r="O2109" i="94" s="1"/>
  <c r="O526" i="94"/>
  <c r="H769" i="94"/>
  <c r="H770" i="94" s="1"/>
  <c r="N768" i="94"/>
  <c r="O768" i="94" s="1"/>
  <c r="O848" i="94"/>
  <c r="N1473" i="94"/>
  <c r="O1473" i="94" s="1"/>
  <c r="L1474" i="94"/>
  <c r="N1474" i="94" s="1"/>
  <c r="O1474" i="94" s="1"/>
  <c r="N1874" i="94"/>
  <c r="O1874" i="94" s="1"/>
  <c r="L1875" i="94"/>
  <c r="N1875" i="94" s="1"/>
  <c r="O1875" i="94" s="1"/>
  <c r="H52" i="94"/>
  <c r="N52" i="94" s="1"/>
  <c r="O51" i="94"/>
  <c r="O215" i="94"/>
  <c r="H216" i="94"/>
  <c r="N216" i="94" s="1"/>
  <c r="L368" i="94"/>
  <c r="N368" i="94" s="1"/>
  <c r="O368" i="94" s="1"/>
  <c r="N367" i="94"/>
  <c r="O367" i="94" s="1"/>
  <c r="H927" i="94"/>
  <c r="H928" i="94" s="1"/>
  <c r="N926" i="94"/>
  <c r="O926" i="94" s="1"/>
  <c r="L1553" i="94"/>
  <c r="N1553" i="94" s="1"/>
  <c r="O1553" i="94" s="1"/>
  <c r="N1552" i="94"/>
  <c r="O1552" i="94" s="1"/>
  <c r="O1079" i="94"/>
  <c r="N1716" i="94"/>
  <c r="O1716" i="94" s="1"/>
  <c r="L1717" i="94"/>
  <c r="N1717" i="94" s="1"/>
  <c r="O1717" i="94" s="1"/>
  <c r="N1789" i="94"/>
  <c r="O1789" i="94" s="1"/>
  <c r="L1790" i="94"/>
  <c r="N1790" i="94" s="1"/>
  <c r="O1790" i="94" s="1"/>
  <c r="L59" i="94"/>
  <c r="L217" i="94"/>
  <c r="L211" i="94"/>
  <c r="H1238" i="94"/>
  <c r="H295" i="94"/>
  <c r="H296" i="94" s="1"/>
  <c r="N294" i="94"/>
  <c r="O294" i="94" s="1"/>
  <c r="H1158" i="94"/>
  <c r="H1159" i="94" s="1"/>
  <c r="L1641" i="94"/>
  <c r="H1720" i="94"/>
  <c r="H1876" i="94"/>
  <c r="H2111" i="94"/>
  <c r="L456" i="94"/>
  <c r="L766" i="94"/>
  <c r="L137" i="94"/>
  <c r="N137" i="94" s="1"/>
  <c r="O137" i="94" s="1"/>
  <c r="N136" i="94"/>
  <c r="O136" i="94" s="1"/>
  <c r="L684" i="94"/>
  <c r="N684" i="94" s="1"/>
  <c r="O684" i="94" s="1"/>
  <c r="N683" i="94"/>
  <c r="O683" i="94" s="1"/>
  <c r="L1007" i="94"/>
  <c r="H448" i="94"/>
  <c r="H447" i="94"/>
  <c r="N446" i="94"/>
  <c r="O446" i="94" s="1"/>
  <c r="H1006" i="94"/>
  <c r="N1006" i="94" s="1"/>
  <c r="O1005" i="94"/>
  <c r="L1237" i="94"/>
  <c r="N1237" i="94" s="1"/>
  <c r="O1237" i="94" s="1"/>
  <c r="N1236" i="94"/>
  <c r="O1236" i="94" s="1"/>
  <c r="L1401" i="94"/>
  <c r="N1401" i="94" s="1"/>
  <c r="N1400" i="94"/>
  <c r="O1400" i="94" s="1"/>
  <c r="H2026" i="94"/>
  <c r="H132" i="94"/>
  <c r="L842" i="94"/>
  <c r="N842" i="94" s="1"/>
  <c r="O842" i="94" s="1"/>
  <c r="N841" i="94"/>
  <c r="O841" i="94" s="1"/>
  <c r="H605" i="94"/>
  <c r="H606" i="94" s="1"/>
  <c r="N604" i="94"/>
  <c r="O604" i="94" s="1"/>
  <c r="L1085" i="94"/>
  <c r="N1085" i="94" s="1"/>
  <c r="O1085" i="94" s="1"/>
  <c r="N1084" i="94"/>
  <c r="O1084" i="94" s="1"/>
  <c r="H1316" i="94"/>
  <c r="H1317" i="94" s="1"/>
  <c r="O1315" i="94"/>
  <c r="H1632" i="94"/>
  <c r="H1633" i="94" s="1"/>
  <c r="N1631" i="94"/>
  <c r="O1631" i="94" s="1"/>
  <c r="H1949" i="94"/>
  <c r="N2024" i="94"/>
  <c r="O2024" i="94" s="1"/>
  <c r="L2025" i="94"/>
  <c r="N2025" i="94" s="1"/>
  <c r="O2025" i="94" s="1"/>
  <c r="L298" i="94"/>
  <c r="H375" i="94"/>
  <c r="L532" i="94"/>
  <c r="N532" i="94" s="1"/>
  <c r="O532" i="94" s="1"/>
  <c r="N531" i="94"/>
  <c r="O531" i="94" s="1"/>
  <c r="H1086" i="94"/>
  <c r="N1157" i="94"/>
  <c r="O1157" i="94" s="1"/>
  <c r="H1560" i="94"/>
  <c r="L1954" i="94"/>
  <c r="N1954" i="94" s="1"/>
  <c r="O1954" i="94" s="1"/>
  <c r="N1953" i="94"/>
  <c r="O1953" i="94" s="1"/>
  <c r="L2104" i="94"/>
  <c r="N2104" i="94" s="1"/>
  <c r="O2104" i="94" s="1"/>
  <c r="N2103" i="94"/>
  <c r="O2103" i="94" s="1"/>
  <c r="L53" i="94"/>
  <c r="H527" i="94"/>
  <c r="L1317" i="94"/>
  <c r="H763" i="94"/>
  <c r="H764" i="94" s="1"/>
  <c r="N762" i="94"/>
  <c r="O762" i="94" s="1"/>
  <c r="O1401" i="94"/>
  <c r="H849" i="94"/>
  <c r="N999" i="94"/>
  <c r="O999" i="94" s="1"/>
  <c r="H2032" i="94"/>
  <c r="N1479" i="94"/>
  <c r="O1479" i="94" s="1"/>
  <c r="L1480" i="94"/>
  <c r="N1480" i="94" s="1"/>
  <c r="O1480" i="94" s="1"/>
  <c r="N1868" i="94"/>
  <c r="O1868" i="94" s="1"/>
  <c r="L1869" i="94"/>
  <c r="N1869" i="94" s="1"/>
  <c r="O1869" i="94" s="1"/>
  <c r="H138" i="94"/>
  <c r="H59" i="94"/>
  <c r="H58" i="94"/>
  <c r="O57" i="94"/>
  <c r="H210" i="94"/>
  <c r="N210" i="94" s="1"/>
  <c r="O209" i="94"/>
  <c r="L374" i="94"/>
  <c r="N374" i="94" s="1"/>
  <c r="O374" i="94" s="1"/>
  <c r="N373" i="94"/>
  <c r="O373" i="94" s="1"/>
  <c r="H685" i="94"/>
  <c r="H921" i="94"/>
  <c r="H922" i="94" s="1"/>
  <c r="N920" i="94"/>
  <c r="O920" i="94" s="1"/>
  <c r="L1559" i="94"/>
  <c r="N1559" i="94" s="1"/>
  <c r="O1559" i="94" s="1"/>
  <c r="N1558" i="94"/>
  <c r="O1558" i="94" s="1"/>
  <c r="H1956" i="94"/>
  <c r="H1957" i="94" s="1"/>
  <c r="H1080" i="94"/>
  <c r="N1163" i="94"/>
  <c r="O1163" i="94" s="1"/>
  <c r="H1554" i="94"/>
  <c r="N1710" i="94"/>
  <c r="O1710" i="94" s="1"/>
  <c r="L1711" i="94"/>
  <c r="N1711" i="94" s="1"/>
  <c r="O1711" i="94" s="1"/>
  <c r="N1795" i="94"/>
  <c r="O1795" i="94" s="1"/>
  <c r="L1796" i="94"/>
  <c r="N1796" i="94" s="1"/>
  <c r="O1796" i="94" s="1"/>
  <c r="H27" i="60"/>
  <c r="G27" i="60"/>
  <c r="H217" i="94" l="1"/>
  <c r="H53" i="94"/>
  <c r="L1475" i="94"/>
  <c r="L1949" i="94"/>
  <c r="L1950" i="94" s="1"/>
  <c r="N1950" i="94" s="1"/>
  <c r="L527" i="94"/>
  <c r="L533" i="94"/>
  <c r="L2026" i="94"/>
  <c r="H1007" i="94"/>
  <c r="H1008" i="94" s="1"/>
  <c r="H1009" i="94" s="1"/>
  <c r="N1322" i="94"/>
  <c r="L849" i="94"/>
  <c r="L369" i="94"/>
  <c r="N369" i="94" s="1"/>
  <c r="O369" i="94" s="1"/>
  <c r="N1158" i="94"/>
  <c r="O1158" i="94" s="1"/>
  <c r="L1560" i="94"/>
  <c r="L138" i="94"/>
  <c r="L1791" i="94"/>
  <c r="L1554" i="94"/>
  <c r="N1554" i="94" s="1"/>
  <c r="O1554" i="94" s="1"/>
  <c r="L1244" i="94"/>
  <c r="L1481" i="94"/>
  <c r="L2105" i="94"/>
  <c r="L1086" i="94"/>
  <c r="N1086" i="94" s="1"/>
  <c r="O1086" i="94" s="1"/>
  <c r="L1402" i="94"/>
  <c r="L691" i="94"/>
  <c r="L375" i="94"/>
  <c r="H771" i="94"/>
  <c r="N770" i="94"/>
  <c r="O770" i="94" s="1"/>
  <c r="H613" i="94"/>
  <c r="H614" i="94" s="1"/>
  <c r="N612" i="94"/>
  <c r="O612" i="94" s="1"/>
  <c r="H1002" i="94"/>
  <c r="H1003" i="94" s="1"/>
  <c r="N1001" i="94"/>
  <c r="O1001" i="94" s="1"/>
  <c r="H455" i="94"/>
  <c r="H456" i="94" s="1"/>
  <c r="N454" i="94"/>
  <c r="O454" i="94" s="1"/>
  <c r="H1166" i="94"/>
  <c r="H1167" i="94" s="1"/>
  <c r="N1165" i="94"/>
  <c r="O1165" i="94" s="1"/>
  <c r="H291" i="94"/>
  <c r="H292" i="94" s="1"/>
  <c r="N290" i="94"/>
  <c r="O290" i="94" s="1"/>
  <c r="H923" i="94"/>
  <c r="H924" i="94" s="1"/>
  <c r="N922" i="94"/>
  <c r="O922" i="94" s="1"/>
  <c r="H765" i="94"/>
  <c r="H766" i="94" s="1"/>
  <c r="N766" i="94" s="1"/>
  <c r="N764" i="94"/>
  <c r="O764" i="94" s="1"/>
  <c r="H1318" i="94"/>
  <c r="H1319" i="94" s="1"/>
  <c r="H929" i="94"/>
  <c r="H930" i="94" s="1"/>
  <c r="N928" i="94"/>
  <c r="O928" i="94" s="1"/>
  <c r="H1640" i="94"/>
  <c r="H1641" i="94" s="1"/>
  <c r="N1639" i="94"/>
  <c r="O1639" i="94" s="1"/>
  <c r="L1797" i="94"/>
  <c r="L1712" i="94"/>
  <c r="H1555" i="94"/>
  <c r="H1556" i="94" s="1"/>
  <c r="N1164" i="94"/>
  <c r="O1164" i="94" s="1"/>
  <c r="H686" i="94"/>
  <c r="H687" i="94" s="1"/>
  <c r="H211" i="94"/>
  <c r="H139" i="94"/>
  <c r="H140" i="94" s="1"/>
  <c r="L1870" i="94"/>
  <c r="N1000" i="94"/>
  <c r="N53" i="94"/>
  <c r="L54" i="94"/>
  <c r="L55" i="94" s="1"/>
  <c r="L1955" i="94"/>
  <c r="H1087" i="94"/>
  <c r="H1088" i="94" s="1"/>
  <c r="H376" i="94"/>
  <c r="H377" i="94" s="1"/>
  <c r="N1632" i="94"/>
  <c r="O1632" i="94" s="1"/>
  <c r="N605" i="94"/>
  <c r="O605" i="94" s="1"/>
  <c r="L843" i="94"/>
  <c r="H133" i="94"/>
  <c r="H134" i="94" s="1"/>
  <c r="L1238" i="94"/>
  <c r="O1006" i="94"/>
  <c r="N447" i="94"/>
  <c r="O447" i="94" s="1"/>
  <c r="L1008" i="94"/>
  <c r="L1009" i="94" s="1"/>
  <c r="L685" i="94"/>
  <c r="H2112" i="94"/>
  <c r="H2113" i="94" s="1"/>
  <c r="N295" i="94"/>
  <c r="O295" i="94" s="1"/>
  <c r="L218" i="94"/>
  <c r="L219" i="94" s="1"/>
  <c r="N217" i="94"/>
  <c r="L1718" i="94"/>
  <c r="O216" i="94"/>
  <c r="O52" i="94"/>
  <c r="L1876" i="94"/>
  <c r="L2111" i="94"/>
  <c r="L2032" i="94"/>
  <c r="O1322" i="94"/>
  <c r="L1080" i="94"/>
  <c r="L1396" i="94"/>
  <c r="L132" i="94"/>
  <c r="N58" i="94"/>
  <c r="O58" i="94" s="1"/>
  <c r="H1081" i="94"/>
  <c r="H1082" i="94" s="1"/>
  <c r="L1561" i="94"/>
  <c r="L1562" i="94" s="1"/>
  <c r="N1560" i="94"/>
  <c r="N921" i="94"/>
  <c r="O921" i="94" s="1"/>
  <c r="L376" i="94"/>
  <c r="N375" i="94"/>
  <c r="O375" i="94" s="1"/>
  <c r="O210" i="94"/>
  <c r="H60" i="94"/>
  <c r="H61" i="94" s="1"/>
  <c r="N1481" i="94"/>
  <c r="O1481" i="94" s="1"/>
  <c r="L1482" i="94"/>
  <c r="N1482" i="94" s="1"/>
  <c r="O1482" i="94" s="1"/>
  <c r="H2033" i="94"/>
  <c r="H2034" i="94" s="1"/>
  <c r="H850" i="94"/>
  <c r="H851" i="94" s="1"/>
  <c r="N763" i="94"/>
  <c r="O763" i="94" s="1"/>
  <c r="N1317" i="94"/>
  <c r="O1317" i="94" s="1"/>
  <c r="L1318" i="94"/>
  <c r="N1318" i="94" s="1"/>
  <c r="H528" i="94"/>
  <c r="H529" i="94" s="1"/>
  <c r="L2106" i="94"/>
  <c r="N2106" i="94" s="1"/>
  <c r="O2106" i="94" s="1"/>
  <c r="N2105" i="94"/>
  <c r="O2105" i="94" s="1"/>
  <c r="O1560" i="94"/>
  <c r="H1561" i="94"/>
  <c r="H1562" i="94" s="1"/>
  <c r="L534" i="94"/>
  <c r="N534" i="94" s="1"/>
  <c r="N533" i="94"/>
  <c r="O533" i="94" s="1"/>
  <c r="N2026" i="94"/>
  <c r="O2026" i="94" s="1"/>
  <c r="L2027" i="94"/>
  <c r="L2028" i="94" s="1"/>
  <c r="H1950" i="94"/>
  <c r="H1951" i="94" s="1"/>
  <c r="H1634" i="94"/>
  <c r="H1635" i="94" s="1"/>
  <c r="N1633" i="94"/>
  <c r="O1633" i="94" s="1"/>
  <c r="H607" i="94"/>
  <c r="H608" i="94" s="1"/>
  <c r="N606" i="94"/>
  <c r="O606" i="94" s="1"/>
  <c r="H2027" i="94"/>
  <c r="H2028" i="94" s="1"/>
  <c r="L1403" i="94"/>
  <c r="N1403" i="94" s="1"/>
  <c r="O1403" i="94" s="1"/>
  <c r="N1402" i="94"/>
  <c r="O1402" i="94" s="1"/>
  <c r="H449" i="94"/>
  <c r="H450" i="94" s="1"/>
  <c r="N448" i="94"/>
  <c r="O448" i="94" s="1"/>
  <c r="L139" i="94"/>
  <c r="N138" i="94"/>
  <c r="O138" i="94" s="1"/>
  <c r="H1877" i="94"/>
  <c r="H1878" i="94" s="1"/>
  <c r="H1160" i="94"/>
  <c r="H1161" i="94" s="1"/>
  <c r="H297" i="94"/>
  <c r="H298" i="94" s="1"/>
  <c r="N296" i="94"/>
  <c r="O296" i="94" s="1"/>
  <c r="H1239" i="94"/>
  <c r="H1240" i="94" s="1"/>
  <c r="N211" i="94"/>
  <c r="L212" i="94"/>
  <c r="L213" i="94" s="1"/>
  <c r="N59" i="94"/>
  <c r="O59" i="94" s="1"/>
  <c r="L60" i="94"/>
  <c r="N60" i="94" s="1"/>
  <c r="N1791" i="94"/>
  <c r="O1791" i="94" s="1"/>
  <c r="L1792" i="94"/>
  <c r="N1792" i="94" s="1"/>
  <c r="O1792" i="94" s="1"/>
  <c r="N927" i="94"/>
  <c r="O927" i="94" s="1"/>
  <c r="L370" i="94"/>
  <c r="N370" i="94" s="1"/>
  <c r="O370" i="94" s="1"/>
  <c r="O217" i="94"/>
  <c r="H218" i="94"/>
  <c r="H219" i="94" s="1"/>
  <c r="H54" i="94"/>
  <c r="H55" i="94" s="1"/>
  <c r="O53" i="94"/>
  <c r="N1475" i="94"/>
  <c r="O1475" i="94" s="1"/>
  <c r="L1476" i="94"/>
  <c r="N1476" i="94" s="1"/>
  <c r="O1476" i="94" s="1"/>
  <c r="N769" i="94"/>
  <c r="O769" i="94" s="1"/>
  <c r="N1316" i="94"/>
  <c r="O1316" i="94" s="1"/>
  <c r="N1949" i="94"/>
  <c r="O1949" i="94" s="1"/>
  <c r="N1159" i="94"/>
  <c r="O1159" i="94" s="1"/>
  <c r="L528" i="94"/>
  <c r="N528" i="94" s="1"/>
  <c r="N527" i="94"/>
  <c r="O527" i="94" s="1"/>
  <c r="N1638" i="94"/>
  <c r="O1638" i="94" s="1"/>
  <c r="H1324" i="94"/>
  <c r="H1325" i="94" s="1"/>
  <c r="N611" i="94"/>
  <c r="O611" i="94" s="1"/>
  <c r="L850" i="94"/>
  <c r="N850" i="94" s="1"/>
  <c r="N849" i="94"/>
  <c r="O849" i="94" s="1"/>
  <c r="L1245" i="94"/>
  <c r="N1245" i="94" s="1"/>
  <c r="O1245" i="94" s="1"/>
  <c r="N1244" i="94"/>
  <c r="O1244" i="94" s="1"/>
  <c r="O1000" i="94"/>
  <c r="N453" i="94"/>
  <c r="O453" i="94" s="1"/>
  <c r="L692" i="94"/>
  <c r="N692" i="94" s="1"/>
  <c r="O692" i="94" s="1"/>
  <c r="N691" i="94"/>
  <c r="O691" i="94" s="1"/>
  <c r="N289" i="94"/>
  <c r="O289" i="94" s="1"/>
  <c r="N1323" i="94"/>
  <c r="O1323" i="94" s="1"/>
  <c r="O534" i="94"/>
  <c r="N1002" i="94" l="1"/>
  <c r="N1160" i="94"/>
  <c r="N1007" i="94"/>
  <c r="O1007" i="94" s="1"/>
  <c r="L1555" i="94"/>
  <c r="N1555" i="94" s="1"/>
  <c r="O1555" i="94" s="1"/>
  <c r="N1166" i="94"/>
  <c r="L529" i="94"/>
  <c r="L61" i="94"/>
  <c r="L1087" i="94"/>
  <c r="N1087" i="94" s="1"/>
  <c r="L371" i="94"/>
  <c r="N371" i="94" s="1"/>
  <c r="O371" i="94" s="1"/>
  <c r="N139" i="94"/>
  <c r="N376" i="94"/>
  <c r="L1319" i="94"/>
  <c r="N1319" i="94" s="1"/>
  <c r="O1319" i="94" s="1"/>
  <c r="L851" i="94"/>
  <c r="N851" i="94" s="1"/>
  <c r="O851" i="94" s="1"/>
  <c r="L1477" i="94"/>
  <c r="N1477" i="94" s="1"/>
  <c r="O1477" i="94" s="1"/>
  <c r="L140" i="94"/>
  <c r="N140" i="94" s="1"/>
  <c r="O140" i="94" s="1"/>
  <c r="L1088" i="94"/>
  <c r="N1088" i="94" s="1"/>
  <c r="O1088" i="94" s="1"/>
  <c r="L693" i="94"/>
  <c r="N693" i="94" s="1"/>
  <c r="O693" i="94" s="1"/>
  <c r="L1404" i="94"/>
  <c r="N1404" i="94" s="1"/>
  <c r="O1404" i="94" s="1"/>
  <c r="N55" i="94"/>
  <c r="N1325" i="94"/>
  <c r="O1325" i="94" s="1"/>
  <c r="N298" i="94"/>
  <c r="O298" i="94" s="1"/>
  <c r="N608" i="94"/>
  <c r="O608" i="94" s="1"/>
  <c r="N1009" i="94"/>
  <c r="N924" i="94"/>
  <c r="O924" i="94" s="1"/>
  <c r="O1009" i="94"/>
  <c r="N1635" i="94"/>
  <c r="O1635" i="94" s="1"/>
  <c r="N1641" i="94"/>
  <c r="O1641" i="94" s="1"/>
  <c r="N292" i="94"/>
  <c r="O292" i="94" s="1"/>
  <c r="N1167" i="94"/>
  <c r="O1167" i="94" s="1"/>
  <c r="N456" i="94"/>
  <c r="O456" i="94" s="1"/>
  <c r="N1003" i="94"/>
  <c r="O1003" i="94" s="1"/>
  <c r="N614" i="94"/>
  <c r="O614" i="94" s="1"/>
  <c r="N1324" i="94"/>
  <c r="O1324" i="94" s="1"/>
  <c r="L1246" i="94"/>
  <c r="N1246" i="94" s="1"/>
  <c r="O1246" i="94" s="1"/>
  <c r="L1951" i="94"/>
  <c r="N1951" i="94" s="1"/>
  <c r="O1951" i="94" s="1"/>
  <c r="L1556" i="94"/>
  <c r="N1556" i="94" s="1"/>
  <c r="O1556" i="94" s="1"/>
  <c r="L1793" i="94"/>
  <c r="N1793" i="94" s="1"/>
  <c r="O1793" i="94" s="1"/>
  <c r="O1160" i="94"/>
  <c r="N449" i="94"/>
  <c r="O449" i="94" s="1"/>
  <c r="N2027" i="94"/>
  <c r="L535" i="94"/>
  <c r="N535" i="94" s="1"/>
  <c r="O535" i="94" s="1"/>
  <c r="L2107" i="94"/>
  <c r="N2107" i="94" s="1"/>
  <c r="O2107" i="94" s="1"/>
  <c r="L1483" i="94"/>
  <c r="N1483" i="94" s="1"/>
  <c r="O1483" i="94" s="1"/>
  <c r="L377" i="94"/>
  <c r="N377" i="94" s="1"/>
  <c r="O377" i="94" s="1"/>
  <c r="N1561" i="94"/>
  <c r="O1561" i="94" s="1"/>
  <c r="L1081" i="94"/>
  <c r="N1081" i="94" s="1"/>
  <c r="N1080" i="94"/>
  <c r="O1080" i="94" s="1"/>
  <c r="N2032" i="94"/>
  <c r="O2032" i="94" s="1"/>
  <c r="L2033" i="94"/>
  <c r="N2033" i="94" s="1"/>
  <c r="O2033" i="94" s="1"/>
  <c r="L2112" i="94"/>
  <c r="N2112" i="94" s="1"/>
  <c r="O2112" i="94" s="1"/>
  <c r="N2111" i="94"/>
  <c r="O2111" i="94" s="1"/>
  <c r="N1718" i="94"/>
  <c r="O1718" i="94" s="1"/>
  <c r="L1719" i="94"/>
  <c r="N1719" i="94" s="1"/>
  <c r="O1719" i="94" s="1"/>
  <c r="N218" i="94"/>
  <c r="O218" i="94" s="1"/>
  <c r="L686" i="94"/>
  <c r="N686" i="94" s="1"/>
  <c r="N685" i="94"/>
  <c r="O685" i="94" s="1"/>
  <c r="O376" i="94"/>
  <c r="L1956" i="94"/>
  <c r="N1956" i="94" s="1"/>
  <c r="O1956" i="94" s="1"/>
  <c r="N1955" i="94"/>
  <c r="O1955" i="94" s="1"/>
  <c r="O139" i="94"/>
  <c r="H212" i="94"/>
  <c r="H213" i="94" s="1"/>
  <c r="N213" i="94" s="1"/>
  <c r="O211" i="94"/>
  <c r="N1797" i="94"/>
  <c r="O1797" i="94" s="1"/>
  <c r="L1798" i="94"/>
  <c r="N1798" i="94" s="1"/>
  <c r="O1798" i="94" s="1"/>
  <c r="N929" i="94"/>
  <c r="O929" i="94" s="1"/>
  <c r="O1318" i="94"/>
  <c r="N765" i="94"/>
  <c r="O765" i="94" s="1"/>
  <c r="N771" i="94"/>
  <c r="O771" i="94" s="1"/>
  <c r="N529" i="94"/>
  <c r="O529" i="94" s="1"/>
  <c r="O55" i="94"/>
  <c r="N61" i="94"/>
  <c r="O61" i="94" s="1"/>
  <c r="N212" i="94"/>
  <c r="N297" i="94"/>
  <c r="O297" i="94" s="1"/>
  <c r="N450" i="94"/>
  <c r="O450" i="94" s="1"/>
  <c r="O2027" i="94"/>
  <c r="N607" i="94"/>
  <c r="O607" i="94" s="1"/>
  <c r="N1634" i="94"/>
  <c r="O1634" i="94" s="1"/>
  <c r="O1950" i="94"/>
  <c r="N2028" i="94"/>
  <c r="O2028" i="94" s="1"/>
  <c r="O528" i="94"/>
  <c r="O850" i="94"/>
  <c r="O60" i="94"/>
  <c r="N1562" i="94"/>
  <c r="O1562" i="94" s="1"/>
  <c r="O1081" i="94"/>
  <c r="L133" i="94"/>
  <c r="N133" i="94" s="1"/>
  <c r="O133" i="94" s="1"/>
  <c r="N132" i="94"/>
  <c r="O132" i="94" s="1"/>
  <c r="L1397" i="94"/>
  <c r="N1397" i="94" s="1"/>
  <c r="O1397" i="94" s="1"/>
  <c r="N1396" i="94"/>
  <c r="O1396" i="94" s="1"/>
  <c r="N1876" i="94"/>
  <c r="O1876" i="94" s="1"/>
  <c r="L1877" i="94"/>
  <c r="N1877" i="94" s="1"/>
  <c r="O1877" i="94" s="1"/>
  <c r="N219" i="94"/>
  <c r="O219" i="94" s="1"/>
  <c r="N1008" i="94"/>
  <c r="O1008" i="94" s="1"/>
  <c r="L1239" i="94"/>
  <c r="N1239" i="94" s="1"/>
  <c r="O1239" i="94" s="1"/>
  <c r="N1238" i="94"/>
  <c r="O1238" i="94" s="1"/>
  <c r="L844" i="94"/>
  <c r="N844" i="94" s="1"/>
  <c r="O844" i="94" s="1"/>
  <c r="N843" i="94"/>
  <c r="O843" i="94" s="1"/>
  <c r="O1087" i="94"/>
  <c r="N54" i="94"/>
  <c r="O54" i="94" s="1"/>
  <c r="N1870" i="94"/>
  <c r="O1870" i="94" s="1"/>
  <c r="L1871" i="94"/>
  <c r="N1871" i="94" s="1"/>
  <c r="O1871" i="94" s="1"/>
  <c r="O686" i="94"/>
  <c r="N1712" i="94"/>
  <c r="O1712" i="94" s="1"/>
  <c r="L1713" i="94"/>
  <c r="N1713" i="94" s="1"/>
  <c r="O1713" i="94" s="1"/>
  <c r="N1640" i="94"/>
  <c r="O1640" i="94" s="1"/>
  <c r="N930" i="94"/>
  <c r="O930" i="94" s="1"/>
  <c r="O766" i="94"/>
  <c r="N923" i="94"/>
  <c r="O923" i="94" s="1"/>
  <c r="N291" i="94"/>
  <c r="O291" i="94" s="1"/>
  <c r="O1166" i="94"/>
  <c r="N455" i="94"/>
  <c r="O455" i="94" s="1"/>
  <c r="O1002" i="94"/>
  <c r="N613" i="94"/>
  <c r="O613" i="94" s="1"/>
  <c r="N1161" i="94"/>
  <c r="O1161" i="94" s="1"/>
  <c r="H772" i="94"/>
  <c r="D14" i="20"/>
  <c r="F14" i="20"/>
  <c r="H14" i="20"/>
  <c r="G14" i="20"/>
  <c r="E14" i="20"/>
  <c r="C14" i="20"/>
  <c r="L1240" i="94" l="1"/>
  <c r="N1240" i="94" s="1"/>
  <c r="O1240" i="94" s="1"/>
  <c r="L1957" i="94"/>
  <c r="N1957" i="94" s="1"/>
  <c r="O1957" i="94" s="1"/>
  <c r="L845" i="94"/>
  <c r="N845" i="94" s="1"/>
  <c r="O845" i="94" s="1"/>
  <c r="L1799" i="94"/>
  <c r="N1799" i="94" s="1"/>
  <c r="O1799" i="94" s="1"/>
  <c r="L134" i="94"/>
  <c r="N134" i="94" s="1"/>
  <c r="O134" i="94" s="1"/>
  <c r="L1714" i="94"/>
  <c r="N1714" i="94" s="1"/>
  <c r="O1714" i="94" s="1"/>
  <c r="L1872" i="94"/>
  <c r="N1872" i="94" s="1"/>
  <c r="O1872" i="94" s="1"/>
  <c r="L1878" i="94"/>
  <c r="N1878" i="94" s="1"/>
  <c r="O1878" i="94" s="1"/>
  <c r="L1398" i="94"/>
  <c r="N1398" i="94" s="1"/>
  <c r="O1398" i="94" s="1"/>
  <c r="O212" i="94"/>
  <c r="L687" i="94"/>
  <c r="N687" i="94" s="1"/>
  <c r="O687" i="94" s="1"/>
  <c r="L1720" i="94"/>
  <c r="N1720" i="94" s="1"/>
  <c r="O1720" i="94" s="1"/>
  <c r="L2113" i="94"/>
  <c r="N2113" i="94" s="1"/>
  <c r="O2113" i="94" s="1"/>
  <c r="L2034" i="94"/>
  <c r="N2034" i="94" s="1"/>
  <c r="O2034" i="94" s="1"/>
  <c r="L1082" i="94"/>
  <c r="N1082" i="94" s="1"/>
  <c r="O1082" i="94" s="1"/>
  <c r="N772" i="94"/>
  <c r="O772" i="94" s="1"/>
  <c r="O213" i="94"/>
  <c r="E51" i="33"/>
  <c r="D48" i="33"/>
  <c r="D17" i="33"/>
  <c r="K22" i="65" l="1"/>
  <c r="E19" i="30" l="1"/>
  <c r="K19" i="30" s="1"/>
  <c r="O19" i="30"/>
  <c r="P19" i="30" l="1"/>
  <c r="K25" i="6"/>
  <c r="J24" i="6"/>
  <c r="H23" i="6"/>
  <c r="H22" i="6"/>
  <c r="J22" i="6" s="1"/>
  <c r="H25" i="6" l="1"/>
  <c r="J23" i="6"/>
  <c r="J37" i="6"/>
  <c r="J21" i="6" l="1"/>
  <c r="J20" i="6"/>
  <c r="J19" i="6"/>
  <c r="J18" i="6"/>
  <c r="J17" i="6"/>
  <c r="J25" i="6" l="1"/>
  <c r="F57" i="55" l="1"/>
  <c r="F56" i="55"/>
  <c r="F57" i="54"/>
  <c r="F56" i="54"/>
  <c r="F57" i="63"/>
  <c r="F56" i="63"/>
  <c r="F57" i="53"/>
  <c r="F56" i="53"/>
  <c r="F57" i="52"/>
  <c r="F56" i="52"/>
  <c r="F58" i="51"/>
  <c r="F57" i="51"/>
  <c r="F58" i="1"/>
  <c r="E120" i="65" l="1"/>
  <c r="K120" i="65" s="1"/>
  <c r="I119" i="65"/>
  <c r="O119" i="65" s="1"/>
  <c r="I118" i="65"/>
  <c r="E115" i="65"/>
  <c r="K115" i="65" s="1"/>
  <c r="I114" i="65"/>
  <c r="O114" i="65" s="1"/>
  <c r="I113" i="65"/>
  <c r="E98" i="65"/>
  <c r="K98" i="65" s="1"/>
  <c r="I97" i="65"/>
  <c r="O97" i="65" s="1"/>
  <c r="I96" i="65"/>
  <c r="E93" i="65"/>
  <c r="K93" i="65" s="1"/>
  <c r="I92" i="65"/>
  <c r="O92" i="65" s="1"/>
  <c r="I91" i="65"/>
  <c r="E76" i="65"/>
  <c r="K76" i="65" s="1"/>
  <c r="I75" i="65"/>
  <c r="O75" i="65" s="1"/>
  <c r="I74" i="65"/>
  <c r="E71" i="65"/>
  <c r="K71" i="65" s="1"/>
  <c r="I70" i="65"/>
  <c r="O70" i="65" s="1"/>
  <c r="I69" i="65"/>
  <c r="E54" i="65"/>
  <c r="K54" i="65" s="1"/>
  <c r="I53" i="65"/>
  <c r="O53" i="65" s="1"/>
  <c r="I52" i="65"/>
  <c r="E49" i="65"/>
  <c r="K49" i="65" s="1"/>
  <c r="I48" i="65"/>
  <c r="O48" i="65" s="1"/>
  <c r="I47" i="65"/>
  <c r="E29" i="65"/>
  <c r="K29" i="65" s="1"/>
  <c r="I28" i="65"/>
  <c r="O28" i="65" s="1"/>
  <c r="I27" i="65"/>
  <c r="E24" i="65"/>
  <c r="K24" i="65" s="1"/>
  <c r="I23" i="65"/>
  <c r="O23" i="65" s="1"/>
  <c r="I22" i="65"/>
  <c r="O22" i="65" s="1"/>
  <c r="O1" i="65"/>
  <c r="I29" i="65" l="1"/>
  <c r="I54" i="65"/>
  <c r="K31" i="65"/>
  <c r="I76" i="65"/>
  <c r="I24" i="65"/>
  <c r="I98" i="65"/>
  <c r="I120" i="65"/>
  <c r="O24" i="65"/>
  <c r="O27" i="65"/>
  <c r="O29" i="65" s="1"/>
  <c r="I49" i="65"/>
  <c r="K56" i="65"/>
  <c r="I71" i="65"/>
  <c r="K78" i="65"/>
  <c r="I93" i="65"/>
  <c r="K100" i="65"/>
  <c r="I115" i="65"/>
  <c r="K122" i="65"/>
  <c r="O47" i="65"/>
  <c r="O49" i="65" s="1"/>
  <c r="O52" i="65"/>
  <c r="O54" i="65" s="1"/>
  <c r="O69" i="65"/>
  <c r="O71" i="65" s="1"/>
  <c r="O74" i="65"/>
  <c r="O76" i="65" s="1"/>
  <c r="O91" i="65"/>
  <c r="O93" i="65" s="1"/>
  <c r="O96" i="65"/>
  <c r="O98" i="65" s="1"/>
  <c r="O113" i="65"/>
  <c r="O115" i="65" s="1"/>
  <c r="O118" i="65"/>
  <c r="O120" i="65" s="1"/>
  <c r="O122" i="65" l="1"/>
  <c r="O100" i="65"/>
  <c r="O78" i="65"/>
  <c r="O56" i="65"/>
  <c r="O31" i="65"/>
  <c r="H36" i="6"/>
  <c r="I25" i="6" s="1"/>
  <c r="J35" i="6"/>
  <c r="J34" i="6"/>
  <c r="J33" i="6"/>
  <c r="J32" i="6"/>
  <c r="J31" i="6"/>
  <c r="H51" i="6"/>
  <c r="J48" i="6"/>
  <c r="J47" i="6"/>
  <c r="J46" i="6"/>
  <c r="J45" i="6"/>
  <c r="J44" i="6"/>
  <c r="H38" i="6" l="1"/>
  <c r="J51" i="6"/>
  <c r="I51" i="6" s="1"/>
  <c r="J38" i="6"/>
  <c r="I38" i="6" s="1"/>
  <c r="H63" i="6" l="1"/>
  <c r="J61" i="6"/>
  <c r="J60" i="6"/>
  <c r="J59" i="6"/>
  <c r="J58" i="6"/>
  <c r="J57" i="6"/>
  <c r="K75" i="6"/>
  <c r="J63" i="6" l="1"/>
  <c r="I63" i="6" s="1"/>
  <c r="C88" i="64" l="1"/>
  <c r="C89" i="64"/>
  <c r="C90" i="64"/>
  <c r="C91" i="64"/>
  <c r="C92" i="64"/>
  <c r="C93" i="64"/>
  <c r="C94" i="64"/>
  <c r="C95" i="64"/>
  <c r="C96" i="64"/>
  <c r="C97" i="64"/>
  <c r="C98" i="64"/>
  <c r="C99" i="64"/>
  <c r="C100" i="64"/>
  <c r="C101" i="64"/>
  <c r="C102" i="64"/>
  <c r="C103" i="64"/>
  <c r="C104" i="64"/>
  <c r="C105" i="64"/>
  <c r="C106" i="64"/>
  <c r="C107" i="64"/>
  <c r="C108" i="64"/>
  <c r="C109" i="64"/>
  <c r="C110" i="64"/>
  <c r="C87" i="64"/>
  <c r="C76" i="64"/>
  <c r="C77" i="64"/>
  <c r="C78" i="64"/>
  <c r="C79" i="64"/>
  <c r="C80" i="64"/>
  <c r="C81" i="64"/>
  <c r="C82" i="64"/>
  <c r="C83" i="64"/>
  <c r="C75" i="64"/>
  <c r="C71" i="64"/>
  <c r="C65" i="64"/>
  <c r="C66" i="64"/>
  <c r="C67" i="64"/>
  <c r="C68" i="64"/>
  <c r="C69" i="64"/>
  <c r="C70" i="64"/>
  <c r="C64" i="64"/>
  <c r="C44" i="64"/>
  <c r="C45" i="64"/>
  <c r="C46" i="64"/>
  <c r="C47" i="64"/>
  <c r="C48" i="64"/>
  <c r="C49" i="64"/>
  <c r="C50" i="64"/>
  <c r="C51" i="64"/>
  <c r="C52" i="64"/>
  <c r="C53" i="64"/>
  <c r="C54" i="64"/>
  <c r="C55" i="64"/>
  <c r="C56" i="64"/>
  <c r="C57" i="64"/>
  <c r="C58" i="64"/>
  <c r="C59" i="64"/>
  <c r="C60" i="64"/>
  <c r="C43" i="64"/>
  <c r="C61" i="64" s="1"/>
  <c r="C18" i="64"/>
  <c r="C19" i="64"/>
  <c r="C20" i="64"/>
  <c r="C21" i="64"/>
  <c r="C22" i="64"/>
  <c r="C23" i="64"/>
  <c r="C24" i="64"/>
  <c r="C25" i="64"/>
  <c r="C26" i="64"/>
  <c r="C27" i="64"/>
  <c r="C28" i="64"/>
  <c r="C29" i="64"/>
  <c r="C30" i="64"/>
  <c r="C31" i="64"/>
  <c r="C32" i="64"/>
  <c r="C33" i="64"/>
  <c r="C34" i="64"/>
  <c r="C35" i="64"/>
  <c r="C36" i="64"/>
  <c r="C37" i="64"/>
  <c r="C38" i="64"/>
  <c r="C39" i="64"/>
  <c r="C17" i="64"/>
  <c r="J111" i="64"/>
  <c r="G22" i="49" s="1"/>
  <c r="I111" i="64"/>
  <c r="F22" i="49" s="1"/>
  <c r="H111" i="64"/>
  <c r="G111" i="64"/>
  <c r="F111" i="64"/>
  <c r="E22" i="49" s="1"/>
  <c r="E111" i="64"/>
  <c r="D22" i="49" s="1"/>
  <c r="D111" i="64"/>
  <c r="C22" i="49" s="1"/>
  <c r="J84" i="64"/>
  <c r="G21" i="49" s="1"/>
  <c r="I84" i="64"/>
  <c r="F21" i="49" s="1"/>
  <c r="H84" i="64"/>
  <c r="G84" i="64"/>
  <c r="F84" i="64"/>
  <c r="E21" i="49" s="1"/>
  <c r="E84" i="64"/>
  <c r="D21" i="49" s="1"/>
  <c r="D84" i="64"/>
  <c r="C21" i="49" s="1"/>
  <c r="J72" i="64"/>
  <c r="G20" i="49" s="1"/>
  <c r="I72" i="64"/>
  <c r="F20" i="49" s="1"/>
  <c r="H72" i="64"/>
  <c r="G72" i="64"/>
  <c r="F72" i="64"/>
  <c r="E20" i="49" s="1"/>
  <c r="E72" i="64"/>
  <c r="D20" i="49" s="1"/>
  <c r="D72" i="64"/>
  <c r="C20" i="49" s="1"/>
  <c r="J61" i="64"/>
  <c r="G16" i="49" s="1"/>
  <c r="I61" i="64"/>
  <c r="F16" i="49" s="1"/>
  <c r="H61" i="64"/>
  <c r="G61" i="64"/>
  <c r="F61" i="64"/>
  <c r="E16" i="49" s="1"/>
  <c r="E61" i="64"/>
  <c r="D16" i="49" s="1"/>
  <c r="D61" i="64"/>
  <c r="C16" i="49" s="1"/>
  <c r="J40" i="64"/>
  <c r="G15" i="49" s="1"/>
  <c r="I40" i="64"/>
  <c r="F15" i="49" s="1"/>
  <c r="H40" i="64"/>
  <c r="G40" i="64"/>
  <c r="F40" i="64"/>
  <c r="E15" i="49" s="1"/>
  <c r="E40" i="64"/>
  <c r="D15" i="49" s="1"/>
  <c r="D40" i="64"/>
  <c r="C15" i="49" s="1"/>
  <c r="J14" i="64"/>
  <c r="J41" i="64" s="1"/>
  <c r="J62" i="64" s="1"/>
  <c r="J73" i="64" s="1"/>
  <c r="J85" i="64" s="1"/>
  <c r="I14" i="64"/>
  <c r="I41" i="64" s="1"/>
  <c r="I62" i="64" s="1"/>
  <c r="I73" i="64" s="1"/>
  <c r="I85" i="64" s="1"/>
  <c r="H14" i="64"/>
  <c r="H41" i="64" s="1"/>
  <c r="H62" i="64" s="1"/>
  <c r="H73" i="64" s="1"/>
  <c r="H85" i="64" s="1"/>
  <c r="G14" i="64"/>
  <c r="G41" i="64" s="1"/>
  <c r="G62" i="64" s="1"/>
  <c r="G73" i="64" s="1"/>
  <c r="G85" i="64" s="1"/>
  <c r="F14" i="64"/>
  <c r="F41" i="64" s="1"/>
  <c r="F62" i="64" s="1"/>
  <c r="F73" i="64" s="1"/>
  <c r="F85" i="64" s="1"/>
  <c r="E14" i="64"/>
  <c r="E41" i="64" s="1"/>
  <c r="E62" i="64" s="1"/>
  <c r="E73" i="64" s="1"/>
  <c r="E85" i="64" s="1"/>
  <c r="D14" i="64"/>
  <c r="D41" i="64" s="1"/>
  <c r="D62" i="64" s="1"/>
  <c r="D73" i="64" s="1"/>
  <c r="D85" i="64" s="1"/>
  <c r="J1" i="64"/>
  <c r="C84" i="64" l="1"/>
  <c r="E112" i="64"/>
  <c r="E119" i="64" s="1"/>
  <c r="G112" i="64"/>
  <c r="G119" i="64" s="1"/>
  <c r="I112" i="64"/>
  <c r="I119" i="64" s="1"/>
  <c r="C40" i="64"/>
  <c r="C72" i="64"/>
  <c r="C111" i="64"/>
  <c r="D112" i="64"/>
  <c r="D119" i="64" s="1"/>
  <c r="F112" i="64"/>
  <c r="F119" i="64" s="1"/>
  <c r="H112" i="64"/>
  <c r="H119" i="64" s="1"/>
  <c r="J112" i="64"/>
  <c r="J119" i="64" s="1"/>
  <c r="H122" i="64" l="1"/>
  <c r="H123" i="64" s="1"/>
  <c r="C112" i="64"/>
  <c r="C119" i="64" s="1"/>
  <c r="L54" i="63"/>
  <c r="K54" i="63"/>
  <c r="G54" i="63"/>
  <c r="F54" i="63"/>
  <c r="F58" i="63" s="1"/>
  <c r="F61" i="63" s="1"/>
  <c r="N1" i="63"/>
  <c r="I27" i="60" l="1"/>
  <c r="D43" i="12" l="1"/>
  <c r="K27" i="51" l="1"/>
  <c r="K27" i="1"/>
  <c r="D32" i="60" l="1"/>
  <c r="E32" i="60"/>
  <c r="F32" i="60"/>
  <c r="G32" i="60"/>
  <c r="H32" i="60"/>
  <c r="I32" i="60"/>
  <c r="C32" i="60"/>
  <c r="I60" i="60"/>
  <c r="H60" i="60"/>
  <c r="G60" i="60"/>
  <c r="F60" i="60"/>
  <c r="E60" i="60"/>
  <c r="D60" i="60"/>
  <c r="C60" i="60"/>
  <c r="I54" i="60"/>
  <c r="H54" i="60"/>
  <c r="G54" i="60"/>
  <c r="E54" i="60"/>
  <c r="D54" i="60"/>
  <c r="C54" i="60"/>
  <c r="H33" i="60"/>
  <c r="G33" i="60"/>
  <c r="F33" i="60"/>
  <c r="E33" i="60"/>
  <c r="D33" i="60"/>
  <c r="C33" i="60"/>
  <c r="I31" i="60"/>
  <c r="H31" i="60"/>
  <c r="G31" i="60"/>
  <c r="F31" i="60"/>
  <c r="E31" i="60"/>
  <c r="D31" i="60"/>
  <c r="C31" i="60"/>
  <c r="I30" i="60"/>
  <c r="H30" i="60"/>
  <c r="G30" i="60"/>
  <c r="F30" i="60"/>
  <c r="E30" i="60"/>
  <c r="D30" i="60"/>
  <c r="C30" i="60"/>
  <c r="I29" i="60"/>
  <c r="H29" i="60"/>
  <c r="G29" i="60"/>
  <c r="F29" i="60"/>
  <c r="E29" i="60"/>
  <c r="D29" i="60"/>
  <c r="C29" i="60"/>
  <c r="I13" i="60"/>
  <c r="H13" i="60"/>
  <c r="G13" i="60"/>
  <c r="F12" i="60" s="1"/>
  <c r="F53" i="60" s="1"/>
  <c r="H12" i="60"/>
  <c r="G12" i="60"/>
  <c r="I1" i="60"/>
  <c r="C12" i="60" l="1"/>
  <c r="C53" i="60" s="1"/>
  <c r="D34" i="60"/>
  <c r="F34" i="60"/>
  <c r="H34" i="60"/>
  <c r="E12" i="60"/>
  <c r="E53" i="60" s="1"/>
  <c r="D12" i="60"/>
  <c r="D53" i="60" s="1"/>
  <c r="C34" i="60"/>
  <c r="E34" i="60"/>
  <c r="G34" i="60"/>
  <c r="I34" i="60"/>
  <c r="E120" i="25" l="1"/>
  <c r="E122" i="25" s="1"/>
  <c r="E124" i="25" s="1"/>
  <c r="F118" i="25"/>
  <c r="F120" i="25" s="1"/>
  <c r="F122" i="25" s="1"/>
  <c r="F124" i="25" s="1"/>
  <c r="E108" i="25"/>
  <c r="E110" i="25" s="1"/>
  <c r="E112" i="25" s="1"/>
  <c r="F106" i="25"/>
  <c r="F108" i="25" s="1"/>
  <c r="F110" i="25" s="1"/>
  <c r="F112" i="25" s="1"/>
  <c r="E94" i="25"/>
  <c r="E96" i="25" s="1"/>
  <c r="E98" i="25" s="1"/>
  <c r="F92" i="25"/>
  <c r="F94" i="25" s="1"/>
  <c r="F96" i="25" s="1"/>
  <c r="F98" i="25" s="1"/>
  <c r="E84" i="25"/>
  <c r="E86" i="25" s="1"/>
  <c r="F82" i="25"/>
  <c r="F84" i="25" s="1"/>
  <c r="F86" i="25" s="1"/>
  <c r="E74" i="25"/>
  <c r="E76" i="25" s="1"/>
  <c r="F72" i="25"/>
  <c r="F74" i="25" s="1"/>
  <c r="F76" i="25" s="1"/>
  <c r="E1" i="25"/>
  <c r="F77" i="25" l="1"/>
  <c r="E21" i="25" s="1"/>
  <c r="F99" i="25"/>
  <c r="E25" i="25" s="1"/>
  <c r="F125" i="25"/>
  <c r="E37" i="25" s="1"/>
  <c r="F87" i="25"/>
  <c r="E23" i="25" s="1"/>
  <c r="F113" i="25"/>
  <c r="E35" i="25" s="1"/>
  <c r="E40" i="25" l="1"/>
  <c r="F17" i="40" l="1"/>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16" i="40"/>
  <c r="K17" i="40" l="1"/>
  <c r="K18" i="40"/>
  <c r="K19"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16" i="40"/>
  <c r="L54" i="55"/>
  <c r="K54" i="55"/>
  <c r="G54" i="55"/>
  <c r="F54" i="55"/>
  <c r="F58" i="55" s="1"/>
  <c r="F61" i="55" s="1"/>
  <c r="N1" i="55"/>
  <c r="K54" i="54"/>
  <c r="F54" i="54"/>
  <c r="F58" i="54" s="1"/>
  <c r="F62" i="54" s="1"/>
  <c r="N1" i="54"/>
  <c r="L54" i="53"/>
  <c r="K54" i="53"/>
  <c r="E27" i="47" s="1"/>
  <c r="G54" i="53"/>
  <c r="F54" i="53"/>
  <c r="F58" i="53" s="1"/>
  <c r="F62" i="53" s="1"/>
  <c r="N1" i="53"/>
  <c r="I52" i="40"/>
  <c r="J52" i="40"/>
  <c r="L52" i="40" s="1"/>
  <c r="C52" i="40"/>
  <c r="E52" i="40" s="1"/>
  <c r="G52" i="40" s="1"/>
  <c r="E52" i="39"/>
  <c r="B52" i="39"/>
  <c r="B52" i="40" s="1"/>
  <c r="E23" i="47" l="1"/>
  <c r="E32" i="47"/>
  <c r="E36" i="47"/>
  <c r="C50" i="40" l="1"/>
  <c r="C51" i="40"/>
  <c r="K31" i="39"/>
  <c r="K32" i="39"/>
  <c r="K33" i="39"/>
  <c r="K34" i="39"/>
  <c r="K35" i="39"/>
  <c r="K36" i="39"/>
  <c r="K37" i="39"/>
  <c r="K38" i="39"/>
  <c r="K39" i="39"/>
  <c r="K40" i="39"/>
  <c r="K41" i="39"/>
  <c r="K42" i="39"/>
  <c r="K43" i="39"/>
  <c r="K44" i="39"/>
  <c r="K45" i="39"/>
  <c r="K46" i="39"/>
  <c r="K47" i="39"/>
  <c r="K48" i="39"/>
  <c r="K49" i="39"/>
  <c r="K50" i="39"/>
  <c r="K51" i="39"/>
  <c r="K53" i="39"/>
  <c r="K24" i="39"/>
  <c r="K25" i="39"/>
  <c r="K26" i="39"/>
  <c r="K27" i="39"/>
  <c r="K28" i="39"/>
  <c r="K29" i="39"/>
  <c r="K30" i="39"/>
  <c r="K17" i="39"/>
  <c r="K18" i="39"/>
  <c r="K19" i="39"/>
  <c r="K20" i="39"/>
  <c r="K21" i="39"/>
  <c r="K22" i="39"/>
  <c r="K23" i="39"/>
  <c r="K16" i="39"/>
  <c r="C40" i="39" l="1"/>
  <c r="C27" i="39"/>
  <c r="J20" i="12" l="1"/>
  <c r="J19" i="12"/>
  <c r="F15" i="12"/>
  <c r="F24" i="12"/>
  <c r="F27" i="12"/>
  <c r="J22" i="12"/>
  <c r="J21" i="12"/>
  <c r="F22" i="12"/>
  <c r="F20" i="12"/>
  <c r="F19" i="12"/>
  <c r="J24" i="12" l="1"/>
  <c r="J16" i="12"/>
  <c r="J27" i="12"/>
  <c r="H23" i="12"/>
  <c r="C49" i="12" l="1"/>
  <c r="F23" i="12"/>
  <c r="F45" i="12"/>
  <c r="F47" i="12"/>
  <c r="D46" i="12"/>
  <c r="H24" i="12" s="1"/>
  <c r="D44" i="12"/>
  <c r="H20" i="12" s="1"/>
  <c r="H22" i="12"/>
  <c r="F46" i="12" l="1"/>
  <c r="F43" i="12"/>
  <c r="F44" i="12"/>
  <c r="J29" i="12"/>
  <c r="J28" i="12"/>
  <c r="H28" i="12"/>
  <c r="G29" i="12"/>
  <c r="H29" i="12"/>
  <c r="F29" i="12"/>
  <c r="F28" i="12"/>
  <c r="G26" i="12"/>
  <c r="G28" i="12" s="1"/>
  <c r="J54" i="51" l="1"/>
  <c r="K24" i="1"/>
  <c r="K49" i="1"/>
  <c r="K52" i="1"/>
  <c r="M52" i="1" s="1"/>
  <c r="J52" i="51" s="1"/>
  <c r="M52" i="51" s="1"/>
  <c r="J52" i="52" s="1"/>
  <c r="M52" i="52" s="1"/>
  <c r="K47" i="1"/>
  <c r="K45" i="1"/>
  <c r="K43" i="1"/>
  <c r="K42" i="1"/>
  <c r="K41" i="1"/>
  <c r="L40" i="1"/>
  <c r="K40" i="1"/>
  <c r="K16" i="1"/>
  <c r="K37" i="1"/>
  <c r="K35" i="1"/>
  <c r="K33" i="1"/>
  <c r="K30" i="1"/>
  <c r="K29" i="1"/>
  <c r="L28" i="1"/>
  <c r="K28" i="1"/>
  <c r="L27" i="1"/>
  <c r="L26" i="1"/>
  <c r="K26" i="1"/>
  <c r="K25" i="1"/>
  <c r="K22" i="1"/>
  <c r="K17" i="1"/>
  <c r="G18" i="1"/>
  <c r="H52" i="1"/>
  <c r="F51" i="1"/>
  <c r="G49" i="1"/>
  <c r="G47" i="1"/>
  <c r="G45" i="1"/>
  <c r="G42" i="1"/>
  <c r="F42" i="1"/>
  <c r="G41" i="1"/>
  <c r="G40" i="1"/>
  <c r="F40" i="1"/>
  <c r="G16" i="1"/>
  <c r="F16" i="1"/>
  <c r="G37" i="1"/>
  <c r="F37" i="1"/>
  <c r="G35" i="1"/>
  <c r="F35" i="1"/>
  <c r="G33" i="1"/>
  <c r="F33" i="1"/>
  <c r="G30" i="1"/>
  <c r="F30" i="1"/>
  <c r="G29" i="1"/>
  <c r="F29" i="1"/>
  <c r="G28" i="1"/>
  <c r="F28" i="1"/>
  <c r="G27" i="1"/>
  <c r="F27" i="1"/>
  <c r="G26" i="1"/>
  <c r="F26" i="1"/>
  <c r="G25" i="1"/>
  <c r="F25" i="1"/>
  <c r="G24" i="1"/>
  <c r="F24" i="1"/>
  <c r="G22" i="1"/>
  <c r="F22" i="1"/>
  <c r="E54" i="51"/>
  <c r="L54" i="52"/>
  <c r="K54" i="52"/>
  <c r="G54" i="52"/>
  <c r="F54" i="52"/>
  <c r="F58" i="52" s="1"/>
  <c r="F61" i="52" s="1"/>
  <c r="F63" i="52" s="1"/>
  <c r="N1" i="52"/>
  <c r="L55" i="51"/>
  <c r="K55" i="51"/>
  <c r="G55" i="51"/>
  <c r="F55" i="51"/>
  <c r="F59" i="51" s="1"/>
  <c r="F62" i="51" s="1"/>
  <c r="F64" i="51" s="1"/>
  <c r="N1" i="51"/>
  <c r="E17" i="45"/>
  <c r="I52" i="45" s="1"/>
  <c r="I53" i="45" s="1"/>
  <c r="I54" i="45" s="1"/>
  <c r="G55" i="45"/>
  <c r="G54" i="45"/>
  <c r="G53" i="45"/>
  <c r="K52" i="45"/>
  <c r="K53" i="45" s="1"/>
  <c r="K54" i="45" s="1"/>
  <c r="J52" i="45"/>
  <c r="J53" i="45" s="1"/>
  <c r="J54" i="45" s="1"/>
  <c r="G52" i="45"/>
  <c r="N52" i="1" l="1"/>
  <c r="H51" i="1"/>
  <c r="F57" i="1"/>
  <c r="L17" i="45"/>
  <c r="J52" i="53"/>
  <c r="M52" i="53" s="1"/>
  <c r="J52" i="63" s="1"/>
  <c r="M52" i="63" s="1"/>
  <c r="J52" i="54"/>
  <c r="L18" i="45"/>
  <c r="L20" i="45"/>
  <c r="E52" i="51"/>
  <c r="H52" i="51" s="1"/>
  <c r="H17" i="45"/>
  <c r="H20" i="45"/>
  <c r="H18" i="45"/>
  <c r="L52" i="54" l="1"/>
  <c r="M52" i="54" s="1"/>
  <c r="J52" i="55" s="1"/>
  <c r="M52" i="55" s="1"/>
  <c r="G52" i="54"/>
  <c r="N52" i="51"/>
  <c r="E52" i="52"/>
  <c r="H52" i="52" s="1"/>
  <c r="E52" i="54" s="1"/>
  <c r="H52" i="54" s="1"/>
  <c r="M26" i="45"/>
  <c r="L26" i="45"/>
  <c r="E52" i="55" l="1"/>
  <c r="H52" i="55" s="1"/>
  <c r="N52" i="55" s="1"/>
  <c r="N52" i="54"/>
  <c r="N52" i="52"/>
  <c r="E52" i="53"/>
  <c r="H52" i="53" s="1"/>
  <c r="D55" i="40"/>
  <c r="E50" i="40"/>
  <c r="G50" i="40" s="1"/>
  <c r="E51" i="40"/>
  <c r="G51" i="40" s="1"/>
  <c r="H51" i="40" s="1"/>
  <c r="E54" i="40"/>
  <c r="G54" i="40" s="1"/>
  <c r="E17" i="39"/>
  <c r="G17" i="39" s="1"/>
  <c r="H17" i="39" s="1"/>
  <c r="E19" i="39"/>
  <c r="G19" i="39" s="1"/>
  <c r="E20" i="39"/>
  <c r="G20" i="39" s="1"/>
  <c r="E21" i="39"/>
  <c r="G21" i="39" s="1"/>
  <c r="E22" i="39"/>
  <c r="G22" i="39" s="1"/>
  <c r="H22" i="39" s="1"/>
  <c r="E23" i="39"/>
  <c r="G23" i="39" s="1"/>
  <c r="E24" i="39"/>
  <c r="G24" i="39" s="1"/>
  <c r="H24" i="39" s="1"/>
  <c r="E25" i="39"/>
  <c r="G25" i="39" s="1"/>
  <c r="H25" i="39" s="1"/>
  <c r="E26" i="39"/>
  <c r="G26" i="39" s="1"/>
  <c r="H26" i="39" s="1"/>
  <c r="E27" i="39"/>
  <c r="G27" i="39" s="1"/>
  <c r="H27" i="39" s="1"/>
  <c r="E28" i="39"/>
  <c r="G28" i="39" s="1"/>
  <c r="H28" i="39" s="1"/>
  <c r="E29" i="39"/>
  <c r="G29" i="39" s="1"/>
  <c r="H29" i="39" s="1"/>
  <c r="E30" i="39"/>
  <c r="G30" i="39" s="1"/>
  <c r="H30" i="39" s="1"/>
  <c r="E31" i="39"/>
  <c r="G31" i="39" s="1"/>
  <c r="E32" i="39"/>
  <c r="G32" i="39" s="1"/>
  <c r="E33" i="39"/>
  <c r="G33" i="39" s="1"/>
  <c r="H33" i="39" s="1"/>
  <c r="E34" i="39"/>
  <c r="G34" i="39" s="1"/>
  <c r="E35" i="39"/>
  <c r="G35" i="39" s="1"/>
  <c r="H35" i="39" s="1"/>
  <c r="E36" i="39"/>
  <c r="G36" i="39" s="1"/>
  <c r="E37" i="39"/>
  <c r="G37" i="39" s="1"/>
  <c r="H37" i="39" s="1"/>
  <c r="E38" i="39"/>
  <c r="G38" i="39" s="1"/>
  <c r="E39" i="39"/>
  <c r="G39" i="39" s="1"/>
  <c r="E40" i="39"/>
  <c r="G40" i="39" s="1"/>
  <c r="H40" i="39" s="1"/>
  <c r="E41" i="39"/>
  <c r="G41" i="39" s="1"/>
  <c r="H41" i="39" s="1"/>
  <c r="E42" i="39"/>
  <c r="G42" i="39" s="1"/>
  <c r="H42" i="39" s="1"/>
  <c r="E43" i="39"/>
  <c r="G43" i="39" s="1"/>
  <c r="H43" i="39" s="1"/>
  <c r="E44" i="39"/>
  <c r="G44" i="39" s="1"/>
  <c r="E45" i="39"/>
  <c r="G45" i="39" s="1"/>
  <c r="H45" i="39" s="1"/>
  <c r="E46" i="39"/>
  <c r="G46" i="39" s="1"/>
  <c r="E47" i="39"/>
  <c r="G47" i="39" s="1"/>
  <c r="H47" i="39" s="1"/>
  <c r="E48" i="39"/>
  <c r="G48" i="39" s="1"/>
  <c r="E49" i="39"/>
  <c r="G49" i="39" s="1"/>
  <c r="H49" i="39" s="1"/>
  <c r="E50" i="39"/>
  <c r="G50" i="39" s="1"/>
  <c r="E51" i="39"/>
  <c r="G51" i="39" s="1"/>
  <c r="H51" i="39" s="1"/>
  <c r="E53" i="39"/>
  <c r="G53" i="39" s="1"/>
  <c r="E54" i="39"/>
  <c r="G54" i="39" s="1"/>
  <c r="E16" i="39"/>
  <c r="G16" i="39" s="1"/>
  <c r="H16" i="39" s="1"/>
  <c r="N52" i="53" l="1"/>
  <c r="E52" i="63"/>
  <c r="H52" i="63" s="1"/>
  <c r="N52" i="63" s="1"/>
  <c r="D81" i="33"/>
  <c r="D82" i="33"/>
  <c r="D83" i="33"/>
  <c r="D84" i="33"/>
  <c r="D85" i="33"/>
  <c r="D86" i="33"/>
  <c r="D87" i="33"/>
  <c r="D88" i="33"/>
  <c r="D89" i="33"/>
  <c r="D90" i="33"/>
  <c r="D80" i="33"/>
  <c r="K55" i="1" l="1"/>
  <c r="L55" i="1"/>
  <c r="J55" i="1"/>
  <c r="F55" i="1"/>
  <c r="F59" i="1" s="1"/>
  <c r="F62" i="1" s="1"/>
  <c r="F64" i="1" s="1"/>
  <c r="G55" i="1"/>
  <c r="E55" i="1"/>
  <c r="G1" i="26" l="1"/>
  <c r="F13" i="12" l="1"/>
  <c r="J54" i="40"/>
  <c r="L54" i="40" s="1"/>
  <c r="I54" i="40"/>
  <c r="J53" i="40"/>
  <c r="L53" i="40" s="1"/>
  <c r="I53" i="40"/>
  <c r="J51" i="40"/>
  <c r="L51" i="40" s="1"/>
  <c r="I51" i="40"/>
  <c r="J50" i="40"/>
  <c r="L50" i="40" s="1"/>
  <c r="I50" i="40"/>
  <c r="J48" i="40"/>
  <c r="L48" i="40" s="1"/>
  <c r="I48" i="40"/>
  <c r="J46" i="40"/>
  <c r="L46" i="40" s="1"/>
  <c r="I46" i="40"/>
  <c r="J44" i="40"/>
  <c r="L44" i="40" s="1"/>
  <c r="I44" i="40"/>
  <c r="J39" i="40"/>
  <c r="L39" i="40" s="1"/>
  <c r="I39" i="40"/>
  <c r="J38" i="40"/>
  <c r="L38" i="40" s="1"/>
  <c r="I38" i="40"/>
  <c r="J36" i="40"/>
  <c r="L36" i="40" s="1"/>
  <c r="I36" i="40"/>
  <c r="J34" i="40"/>
  <c r="L34" i="40" s="1"/>
  <c r="I34" i="40"/>
  <c r="J32" i="40"/>
  <c r="L32" i="40" s="1"/>
  <c r="I32" i="40"/>
  <c r="J31" i="40"/>
  <c r="L31" i="40" s="1"/>
  <c r="I31" i="40"/>
  <c r="J23" i="40"/>
  <c r="L23" i="40" s="1"/>
  <c r="I23" i="40"/>
  <c r="J21" i="40"/>
  <c r="L21" i="40" s="1"/>
  <c r="I21" i="40"/>
  <c r="J20" i="40"/>
  <c r="L20" i="40" s="1"/>
  <c r="I20" i="40"/>
  <c r="J19" i="40"/>
  <c r="L19" i="40" s="1"/>
  <c r="I19" i="40"/>
  <c r="J18" i="40"/>
  <c r="L18" i="40" s="1"/>
  <c r="I18" i="40"/>
  <c r="J54" i="39"/>
  <c r="J53"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F113" i="33" l="1"/>
  <c r="F112" i="33"/>
  <c r="F111" i="33"/>
  <c r="F110" i="33"/>
  <c r="F109" i="33"/>
  <c r="F108" i="33"/>
  <c r="F107" i="33"/>
  <c r="F106" i="33"/>
  <c r="F105" i="33"/>
  <c r="F104" i="33"/>
  <c r="E90" i="33"/>
  <c r="C114" i="33" s="1"/>
  <c r="E89" i="33"/>
  <c r="C113" i="33" s="1"/>
  <c r="E88" i="33"/>
  <c r="C112" i="33" s="1"/>
  <c r="E87" i="33"/>
  <c r="C111" i="33" s="1"/>
  <c r="E86" i="33"/>
  <c r="C110" i="33" s="1"/>
  <c r="E85" i="33"/>
  <c r="C109" i="33" s="1"/>
  <c r="E84" i="33"/>
  <c r="C108" i="33" s="1"/>
  <c r="E83" i="33"/>
  <c r="C107" i="33" s="1"/>
  <c r="E82" i="33"/>
  <c r="C106" i="33" s="1"/>
  <c r="E81" i="33"/>
  <c r="C105" i="33" s="1"/>
  <c r="E80" i="33"/>
  <c r="C104" i="33" s="1"/>
  <c r="F59" i="33"/>
  <c r="E59" i="33"/>
  <c r="D59" i="33"/>
  <c r="C59" i="33"/>
  <c r="A59" i="33"/>
  <c r="A58" i="33"/>
  <c r="A90" i="33" s="1"/>
  <c r="A114" i="33" s="1"/>
  <c r="A56" i="33"/>
  <c r="A88" i="33" s="1"/>
  <c r="A112" i="33" s="1"/>
  <c r="A55" i="33"/>
  <c r="A87" i="33" s="1"/>
  <c r="A111" i="33" s="1"/>
  <c r="A54" i="33"/>
  <c r="A86" i="33" s="1"/>
  <c r="A110" i="33" s="1"/>
  <c r="A53" i="33"/>
  <c r="A85" i="33" s="1"/>
  <c r="A109" i="33" s="1"/>
  <c r="A52" i="33"/>
  <c r="A84" i="33" s="1"/>
  <c r="A108" i="33" s="1"/>
  <c r="A51" i="33"/>
  <c r="A83" i="33" s="1"/>
  <c r="A107" i="33" s="1"/>
  <c r="A50" i="33"/>
  <c r="A82" i="33" s="1"/>
  <c r="A106" i="33" s="1"/>
  <c r="A49" i="33"/>
  <c r="A81" i="33" s="1"/>
  <c r="A105" i="33" s="1"/>
  <c r="A48" i="33"/>
  <c r="A80" i="33" s="1"/>
  <c r="A104" i="33" s="1"/>
  <c r="D28" i="33"/>
  <c r="E27" i="33" s="1"/>
  <c r="B28" i="33"/>
  <c r="C25" i="33" s="1"/>
  <c r="C20" i="33" l="1"/>
  <c r="C24" i="33"/>
  <c r="C17" i="33"/>
  <c r="C18" i="33"/>
  <c r="C22" i="33"/>
  <c r="C26" i="33"/>
  <c r="C19" i="33"/>
  <c r="C23" i="33"/>
  <c r="C27" i="33"/>
  <c r="C21" i="33"/>
  <c r="E17" i="33"/>
  <c r="E18" i="33"/>
  <c r="E19" i="33"/>
  <c r="E20" i="33"/>
  <c r="E21" i="33"/>
  <c r="E22" i="33"/>
  <c r="E23" i="33"/>
  <c r="E24" i="33"/>
  <c r="E25" i="33"/>
  <c r="E26" i="33"/>
  <c r="C28" i="33" l="1"/>
  <c r="E28" i="33"/>
  <c r="H75" i="6"/>
  <c r="J73" i="6"/>
  <c r="J72" i="6"/>
  <c r="J71" i="6"/>
  <c r="J70" i="6"/>
  <c r="J69" i="6"/>
  <c r="J75" i="6" l="1"/>
  <c r="I75" i="6" s="1"/>
  <c r="F110" i="31" l="1"/>
  <c r="G110" i="31"/>
  <c r="H110" i="31"/>
  <c r="I110" i="31"/>
  <c r="F103" i="31"/>
  <c r="G103" i="31"/>
  <c r="H103" i="31"/>
  <c r="F104" i="31"/>
  <c r="G104" i="31"/>
  <c r="H104" i="31"/>
  <c r="F105" i="31"/>
  <c r="G105" i="31"/>
  <c r="H105" i="31"/>
  <c r="F106" i="31"/>
  <c r="G106" i="31"/>
  <c r="H106" i="31"/>
  <c r="F107" i="31"/>
  <c r="G107" i="31"/>
  <c r="H107" i="31"/>
  <c r="F108" i="31"/>
  <c r="G108" i="31"/>
  <c r="H108" i="31"/>
  <c r="F109" i="31"/>
  <c r="G109" i="31"/>
  <c r="H109" i="31"/>
  <c r="F97" i="31"/>
  <c r="G97" i="31"/>
  <c r="H97" i="31"/>
  <c r="I97" i="31"/>
  <c r="F98" i="31"/>
  <c r="G98" i="31"/>
  <c r="H98" i="31"/>
  <c r="I98" i="31"/>
  <c r="P1" i="30" l="1"/>
  <c r="H1" i="23"/>
  <c r="C15" i="21"/>
  <c r="D15" i="21"/>
  <c r="E15" i="21"/>
  <c r="F15" i="21"/>
  <c r="G15" i="21"/>
  <c r="H1" i="21"/>
  <c r="F1" i="33"/>
  <c r="K1" i="6"/>
  <c r="D48" i="12"/>
  <c r="F48" i="12" s="1"/>
  <c r="D42" i="12"/>
  <c r="E42" i="12"/>
  <c r="H13" i="12"/>
  <c r="D41" i="12" s="1"/>
  <c r="J13" i="12"/>
  <c r="E41" i="12" s="1"/>
  <c r="K1" i="12"/>
  <c r="B13" i="49"/>
  <c r="B40" i="49" s="1"/>
  <c r="L40" i="49"/>
  <c r="J40" i="49"/>
  <c r="E13" i="49"/>
  <c r="G40" i="49" s="1"/>
  <c r="F40" i="49"/>
  <c r="H40" i="49"/>
  <c r="D40" i="49"/>
  <c r="C13" i="49"/>
  <c r="C30" i="49" s="1"/>
  <c r="G13" i="49"/>
  <c r="G30" i="49" s="1"/>
  <c r="F13" i="49"/>
  <c r="F30" i="49" s="1"/>
  <c r="D13" i="49"/>
  <c r="D30" i="49" s="1"/>
  <c r="K45" i="49"/>
  <c r="I44" i="49"/>
  <c r="I45" i="49"/>
  <c r="I43" i="49"/>
  <c r="I42" i="49"/>
  <c r="I41" i="49"/>
  <c r="G45" i="49"/>
  <c r="E45" i="49"/>
  <c r="C45" i="49"/>
  <c r="F31" i="49"/>
  <c r="F32" i="49"/>
  <c r="F33" i="49"/>
  <c r="F34" i="49"/>
  <c r="C35" i="49"/>
  <c r="D35" i="49"/>
  <c r="E35" i="49"/>
  <c r="F35" i="49"/>
  <c r="G35" i="49"/>
  <c r="F23" i="49"/>
  <c r="F17" i="49"/>
  <c r="L1" i="49"/>
  <c r="F18" i="20"/>
  <c r="C12" i="20"/>
  <c r="D12" i="20"/>
  <c r="E12" i="20"/>
  <c r="F12" i="20"/>
  <c r="G12" i="20"/>
  <c r="H12" i="20"/>
  <c r="H1" i="20"/>
  <c r="C14" i="31"/>
  <c r="E14" i="31"/>
  <c r="G18" i="31"/>
  <c r="I1" i="31"/>
  <c r="D49" i="12" l="1"/>
  <c r="F42" i="12"/>
  <c r="E49" i="12"/>
  <c r="J45" i="49"/>
  <c r="B30" i="49"/>
  <c r="I40" i="49"/>
  <c r="C40" i="49"/>
  <c r="E40" i="49"/>
  <c r="K40" i="49"/>
  <c r="A52" i="49"/>
  <c r="E30" i="49"/>
  <c r="H45" i="49"/>
  <c r="F45" i="49"/>
  <c r="L45" i="49"/>
  <c r="I46" i="49"/>
  <c r="F36" i="49"/>
  <c r="F26" i="49"/>
  <c r="G15" i="20" s="1"/>
  <c r="I1" i="47"/>
  <c r="K1" i="45"/>
  <c r="M1" i="44"/>
  <c r="L1" i="40"/>
  <c r="L1" i="39"/>
  <c r="F49" i="12" l="1"/>
  <c r="E42" i="47"/>
  <c r="H26" i="45"/>
  <c r="G26" i="45"/>
  <c r="F26" i="45"/>
  <c r="E26" i="45"/>
  <c r="I25" i="45"/>
  <c r="N25" i="45" s="1"/>
  <c r="I24" i="45"/>
  <c r="N24" i="45" s="1"/>
  <c r="I23" i="45"/>
  <c r="N23" i="45" s="1"/>
  <c r="I22" i="45"/>
  <c r="N22" i="45" s="1"/>
  <c r="I21" i="45"/>
  <c r="N21" i="45" s="1"/>
  <c r="I20" i="45"/>
  <c r="N20" i="45" s="1"/>
  <c r="I19" i="45"/>
  <c r="N19" i="45" s="1"/>
  <c r="I18" i="45"/>
  <c r="N18" i="45" s="1"/>
  <c r="I17" i="45"/>
  <c r="N17" i="45" s="1"/>
  <c r="G53" i="44"/>
  <c r="F53" i="44"/>
  <c r="E53" i="44"/>
  <c r="I52" i="44"/>
  <c r="H52" i="44"/>
  <c r="I51" i="44"/>
  <c r="H51" i="44"/>
  <c r="I50" i="44"/>
  <c r="H50" i="44"/>
  <c r="I49" i="44"/>
  <c r="H49" i="44"/>
  <c r="I48" i="44"/>
  <c r="H48" i="44"/>
  <c r="I47" i="44"/>
  <c r="H47" i="44"/>
  <c r="I46" i="44"/>
  <c r="H46" i="44"/>
  <c r="I45" i="44"/>
  <c r="H45" i="44"/>
  <c r="I43" i="44"/>
  <c r="H43" i="44"/>
  <c r="I42" i="44"/>
  <c r="H42" i="44"/>
  <c r="I41" i="44"/>
  <c r="H41" i="44"/>
  <c r="I40" i="44"/>
  <c r="H40" i="44"/>
  <c r="I39" i="44"/>
  <c r="H39" i="44"/>
  <c r="G31" i="44"/>
  <c r="F31" i="44"/>
  <c r="E31" i="44"/>
  <c r="I30" i="44"/>
  <c r="H30" i="44"/>
  <c r="I29" i="44"/>
  <c r="H29" i="44"/>
  <c r="I28" i="44"/>
  <c r="H28" i="44"/>
  <c r="I27" i="44"/>
  <c r="H27" i="44"/>
  <c r="I26" i="44"/>
  <c r="H26" i="44"/>
  <c r="I25" i="44"/>
  <c r="H25" i="44"/>
  <c r="I24" i="44"/>
  <c r="H24" i="44"/>
  <c r="I23" i="44"/>
  <c r="H23" i="44"/>
  <c r="I22" i="44"/>
  <c r="H22" i="44"/>
  <c r="I21" i="44"/>
  <c r="H21" i="44"/>
  <c r="I20" i="44"/>
  <c r="H20" i="44"/>
  <c r="I19" i="44"/>
  <c r="H19" i="44"/>
  <c r="I18" i="44"/>
  <c r="H18" i="44"/>
  <c r="I17" i="44"/>
  <c r="H17" i="44"/>
  <c r="K55" i="40"/>
  <c r="F55" i="40"/>
  <c r="K55" i="39"/>
  <c r="F55" i="39"/>
  <c r="C55" i="39"/>
  <c r="L54" i="39"/>
  <c r="I54" i="39"/>
  <c r="L53" i="39"/>
  <c r="I53" i="39"/>
  <c r="L51" i="39"/>
  <c r="I51" i="39"/>
  <c r="L50" i="39"/>
  <c r="I50" i="39"/>
  <c r="L49" i="39"/>
  <c r="I49" i="39"/>
  <c r="L48" i="39"/>
  <c r="I48" i="39"/>
  <c r="L47" i="39"/>
  <c r="I47" i="39"/>
  <c r="L46" i="39"/>
  <c r="I46" i="39"/>
  <c r="L45" i="39"/>
  <c r="I45" i="39"/>
  <c r="L44" i="39"/>
  <c r="I44" i="39"/>
  <c r="L43" i="39"/>
  <c r="I43" i="39"/>
  <c r="L42" i="39"/>
  <c r="I42" i="39"/>
  <c r="L41" i="39"/>
  <c r="I41" i="39"/>
  <c r="L40" i="39"/>
  <c r="I40" i="39"/>
  <c r="L39" i="39"/>
  <c r="I39" i="39"/>
  <c r="L38" i="39"/>
  <c r="I38" i="39"/>
  <c r="L37" i="39"/>
  <c r="I37" i="39"/>
  <c r="L36" i="39"/>
  <c r="I36" i="39"/>
  <c r="L35" i="39"/>
  <c r="I35" i="39"/>
  <c r="L34" i="39"/>
  <c r="I34" i="39"/>
  <c r="L33" i="39"/>
  <c r="I33" i="39"/>
  <c r="L32" i="39"/>
  <c r="I32" i="39"/>
  <c r="L31" i="39"/>
  <c r="I31" i="39"/>
  <c r="L30" i="39"/>
  <c r="I30" i="39"/>
  <c r="L29" i="39"/>
  <c r="I29" i="39"/>
  <c r="L28" i="39"/>
  <c r="I28" i="39"/>
  <c r="L27" i="39"/>
  <c r="I27" i="39"/>
  <c r="L26" i="39"/>
  <c r="I26" i="39"/>
  <c r="L25" i="39"/>
  <c r="I25" i="39"/>
  <c r="L24" i="39"/>
  <c r="I24" i="39"/>
  <c r="L23" i="39"/>
  <c r="I23" i="39"/>
  <c r="L22" i="39"/>
  <c r="I22" i="39"/>
  <c r="L21" i="39"/>
  <c r="I21" i="39"/>
  <c r="L20" i="39"/>
  <c r="I20" i="39"/>
  <c r="L19" i="39"/>
  <c r="I19" i="39"/>
  <c r="L18" i="39"/>
  <c r="I18" i="39"/>
  <c r="L17" i="39"/>
  <c r="I17" i="39"/>
  <c r="H31" i="44" l="1"/>
  <c r="I53" i="44"/>
  <c r="I31" i="44"/>
  <c r="H53" i="44"/>
  <c r="N26" i="45"/>
  <c r="I26" i="45"/>
  <c r="K26" i="45" s="1"/>
  <c r="N1" i="1"/>
  <c r="F19" i="23" l="1"/>
  <c r="H19" i="23" s="1"/>
  <c r="F116" i="31"/>
  <c r="G116" i="31"/>
  <c r="H116" i="31"/>
  <c r="I116" i="31"/>
  <c r="F117" i="31"/>
  <c r="G117" i="31"/>
  <c r="H117" i="31"/>
  <c r="I117" i="31"/>
  <c r="F118" i="31"/>
  <c r="G118" i="31"/>
  <c r="H118" i="31"/>
  <c r="I118" i="31"/>
  <c r="F119" i="31"/>
  <c r="G119" i="31"/>
  <c r="H119" i="31"/>
  <c r="I119" i="31"/>
  <c r="I115" i="31"/>
  <c r="H115" i="31"/>
  <c r="G115" i="31"/>
  <c r="F115" i="31"/>
  <c r="F20" i="23"/>
  <c r="H20" i="23" s="1"/>
  <c r="F18" i="23"/>
  <c r="H18" i="23" s="1"/>
  <c r="F17" i="23"/>
  <c r="H17" i="23" s="1"/>
  <c r="F16" i="23"/>
  <c r="H16" i="23" s="1"/>
  <c r="F15" i="23"/>
  <c r="H15" i="23" s="1"/>
  <c r="F14" i="23"/>
  <c r="H14" i="23" s="1"/>
  <c r="G19" i="20"/>
  <c r="H18" i="20"/>
  <c r="G18" i="20"/>
  <c r="E18" i="20"/>
  <c r="D18" i="20"/>
  <c r="C18" i="20"/>
  <c r="G16" i="20"/>
  <c r="H26" i="21"/>
  <c r="H22" i="21"/>
  <c r="H21" i="21"/>
  <c r="H19" i="21"/>
  <c r="H18" i="21"/>
  <c r="H17" i="21"/>
  <c r="G23" i="21"/>
  <c r="F23" i="21"/>
  <c r="E23" i="21"/>
  <c r="D23" i="21"/>
  <c r="C23" i="21"/>
  <c r="D20" i="21"/>
  <c r="E20" i="21"/>
  <c r="F20" i="21"/>
  <c r="G20" i="21"/>
  <c r="C20" i="21"/>
  <c r="D112" i="31"/>
  <c r="D85" i="31"/>
  <c r="D73" i="31"/>
  <c r="D62" i="31"/>
  <c r="D41" i="31"/>
  <c r="E112" i="31"/>
  <c r="E85" i="31"/>
  <c r="E73" i="31"/>
  <c r="E62" i="31"/>
  <c r="E41" i="31"/>
  <c r="C112" i="31"/>
  <c r="B22" i="49" s="1"/>
  <c r="C85" i="31"/>
  <c r="C73" i="31"/>
  <c r="C62" i="31"/>
  <c r="C41" i="31"/>
  <c r="I111" i="31"/>
  <c r="H111" i="31"/>
  <c r="G111" i="31"/>
  <c r="F111" i="31"/>
  <c r="I109" i="31"/>
  <c r="I108" i="31"/>
  <c r="I106" i="31"/>
  <c r="I105" i="31"/>
  <c r="I103" i="31"/>
  <c r="I102" i="31"/>
  <c r="H102" i="31"/>
  <c r="G102" i="31"/>
  <c r="F102" i="31"/>
  <c r="I101" i="31"/>
  <c r="H101" i="31"/>
  <c r="G101" i="31"/>
  <c r="F101" i="31"/>
  <c r="I100" i="31"/>
  <c r="H100" i="31"/>
  <c r="G100" i="31"/>
  <c r="F100" i="31"/>
  <c r="I99" i="31"/>
  <c r="H99" i="31"/>
  <c r="G99" i="31"/>
  <c r="F99" i="31"/>
  <c r="I96" i="31"/>
  <c r="H96" i="31"/>
  <c r="G96" i="31"/>
  <c r="F96" i="31"/>
  <c r="I95" i="31"/>
  <c r="H95" i="31"/>
  <c r="G95" i="31"/>
  <c r="F95" i="31"/>
  <c r="I94" i="31"/>
  <c r="H94" i="31"/>
  <c r="G94" i="31"/>
  <c r="F94" i="31"/>
  <c r="I93" i="31"/>
  <c r="H93" i="31"/>
  <c r="G93" i="31"/>
  <c r="F93" i="31"/>
  <c r="I92" i="31"/>
  <c r="H92" i="31"/>
  <c r="G92" i="31"/>
  <c r="F92" i="31"/>
  <c r="I91" i="31"/>
  <c r="H91" i="31"/>
  <c r="G91" i="31"/>
  <c r="F91" i="31"/>
  <c r="I90" i="31"/>
  <c r="H90" i="31"/>
  <c r="G90" i="31"/>
  <c r="F90" i="31"/>
  <c r="I89" i="31"/>
  <c r="H89" i="31"/>
  <c r="G89" i="31"/>
  <c r="F89" i="31"/>
  <c r="I88" i="31"/>
  <c r="H88" i="31"/>
  <c r="G88" i="31"/>
  <c r="F88" i="31"/>
  <c r="I84" i="31"/>
  <c r="H84" i="31"/>
  <c r="G84" i="31"/>
  <c r="F84" i="31"/>
  <c r="I83" i="31"/>
  <c r="H83" i="31"/>
  <c r="G83" i="31"/>
  <c r="F83" i="31"/>
  <c r="I82" i="31"/>
  <c r="H82" i="31"/>
  <c r="G82" i="31"/>
  <c r="F82" i="31"/>
  <c r="I81" i="31"/>
  <c r="H81" i="31"/>
  <c r="G81" i="31"/>
  <c r="F81" i="31"/>
  <c r="I80" i="31"/>
  <c r="H80" i="31"/>
  <c r="G80" i="31"/>
  <c r="F80" i="31"/>
  <c r="I79" i="31"/>
  <c r="H79" i="31"/>
  <c r="G79" i="31"/>
  <c r="F79" i="31"/>
  <c r="I78" i="31"/>
  <c r="H78" i="31"/>
  <c r="G78" i="31"/>
  <c r="F78" i="31"/>
  <c r="I77" i="31"/>
  <c r="H77" i="31"/>
  <c r="G77" i="31"/>
  <c r="F77" i="31"/>
  <c r="I76" i="31"/>
  <c r="H76" i="31"/>
  <c r="G76" i="31"/>
  <c r="F76" i="31"/>
  <c r="I72" i="31"/>
  <c r="H72" i="31"/>
  <c r="G72" i="31"/>
  <c r="F72" i="31"/>
  <c r="I71" i="31"/>
  <c r="H71" i="31"/>
  <c r="G71" i="31"/>
  <c r="F71" i="31"/>
  <c r="I70" i="31"/>
  <c r="H70" i="31"/>
  <c r="G70" i="31"/>
  <c r="F70" i="31"/>
  <c r="I69" i="31"/>
  <c r="H69" i="31"/>
  <c r="G69" i="31"/>
  <c r="F69" i="31"/>
  <c r="I68" i="31"/>
  <c r="H68" i="31"/>
  <c r="G68" i="31"/>
  <c r="F68" i="31"/>
  <c r="I67" i="31"/>
  <c r="H67" i="31"/>
  <c r="G67" i="31"/>
  <c r="F67" i="31"/>
  <c r="I66" i="31"/>
  <c r="H66" i="31"/>
  <c r="G66" i="31"/>
  <c r="F66" i="31"/>
  <c r="I65" i="31"/>
  <c r="H65" i="31"/>
  <c r="G65" i="31"/>
  <c r="F65" i="31"/>
  <c r="I61" i="31"/>
  <c r="H61" i="31"/>
  <c r="G61" i="31"/>
  <c r="F61" i="31"/>
  <c r="I60" i="31"/>
  <c r="H60" i="31"/>
  <c r="G60" i="31"/>
  <c r="F60" i="31"/>
  <c r="I59" i="31"/>
  <c r="H59" i="31"/>
  <c r="G59" i="31"/>
  <c r="F59" i="31"/>
  <c r="I58" i="31"/>
  <c r="H58" i="31"/>
  <c r="G58" i="31"/>
  <c r="F58" i="31"/>
  <c r="I57" i="31"/>
  <c r="H57" i="31"/>
  <c r="G57" i="31"/>
  <c r="F57" i="31"/>
  <c r="I56" i="31"/>
  <c r="H56" i="31"/>
  <c r="G56" i="31"/>
  <c r="F56" i="31"/>
  <c r="I55" i="31"/>
  <c r="H55" i="31"/>
  <c r="G55" i="31"/>
  <c r="F55" i="31"/>
  <c r="I54" i="31"/>
  <c r="H54" i="31"/>
  <c r="G54" i="31"/>
  <c r="F54" i="31"/>
  <c r="I53" i="31"/>
  <c r="H53" i="31"/>
  <c r="G53" i="31"/>
  <c r="F53" i="31"/>
  <c r="I52" i="31"/>
  <c r="H52" i="31"/>
  <c r="G52" i="31"/>
  <c r="F52" i="31"/>
  <c r="I51" i="31"/>
  <c r="H51" i="31"/>
  <c r="G51" i="31"/>
  <c r="F51" i="31"/>
  <c r="I50" i="31"/>
  <c r="H50" i="31"/>
  <c r="G50" i="31"/>
  <c r="F50" i="31"/>
  <c r="I49" i="31"/>
  <c r="H49" i="31"/>
  <c r="G49" i="31"/>
  <c r="F49" i="31"/>
  <c r="I48" i="31"/>
  <c r="H48" i="31"/>
  <c r="G48" i="31"/>
  <c r="F48" i="31"/>
  <c r="I47" i="31"/>
  <c r="H47" i="31"/>
  <c r="G47" i="31"/>
  <c r="F47" i="31"/>
  <c r="I46" i="31"/>
  <c r="H46" i="31"/>
  <c r="G46" i="31"/>
  <c r="F46" i="31"/>
  <c r="I45" i="31"/>
  <c r="H45" i="31"/>
  <c r="G45" i="31"/>
  <c r="F45" i="31"/>
  <c r="I44" i="31"/>
  <c r="H44" i="31"/>
  <c r="G44" i="31"/>
  <c r="F44" i="31"/>
  <c r="I40" i="31"/>
  <c r="H40" i="31"/>
  <c r="G40" i="31"/>
  <c r="F40" i="31"/>
  <c r="I39" i="31"/>
  <c r="H39" i="31"/>
  <c r="G39" i="31"/>
  <c r="F39" i="31"/>
  <c r="I38" i="31"/>
  <c r="H38" i="31"/>
  <c r="G38" i="31"/>
  <c r="F38" i="31"/>
  <c r="I37" i="31"/>
  <c r="H37" i="31"/>
  <c r="G37" i="31"/>
  <c r="F37" i="31"/>
  <c r="I36" i="31"/>
  <c r="H36" i="31"/>
  <c r="G36" i="31"/>
  <c r="F36" i="31"/>
  <c r="I35" i="31"/>
  <c r="H35" i="31"/>
  <c r="G35" i="31"/>
  <c r="F35" i="31"/>
  <c r="I34" i="31"/>
  <c r="H34" i="31"/>
  <c r="G34" i="31"/>
  <c r="F34" i="31"/>
  <c r="I33" i="31"/>
  <c r="H33" i="31"/>
  <c r="G33" i="31"/>
  <c r="F33" i="31"/>
  <c r="I32" i="31"/>
  <c r="H32" i="31"/>
  <c r="G32" i="31"/>
  <c r="F32" i="31"/>
  <c r="I31" i="31"/>
  <c r="H31" i="31"/>
  <c r="G31" i="31"/>
  <c r="F31" i="31"/>
  <c r="I30" i="31"/>
  <c r="H30" i="31"/>
  <c r="G30" i="31"/>
  <c r="F30" i="31"/>
  <c r="I29" i="31"/>
  <c r="H29" i="31"/>
  <c r="G29" i="31"/>
  <c r="F29" i="31"/>
  <c r="I28" i="31"/>
  <c r="H28" i="31"/>
  <c r="G28" i="31"/>
  <c r="F28" i="31"/>
  <c r="I27" i="31"/>
  <c r="H27" i="31"/>
  <c r="G27" i="31"/>
  <c r="F27" i="31"/>
  <c r="I26" i="31"/>
  <c r="H26" i="31"/>
  <c r="G26" i="31"/>
  <c r="F26" i="31"/>
  <c r="I25" i="31"/>
  <c r="H25" i="31"/>
  <c r="G25" i="31"/>
  <c r="F25" i="31"/>
  <c r="I24" i="31"/>
  <c r="H24" i="31"/>
  <c r="G24" i="31"/>
  <c r="F24" i="31"/>
  <c r="I23" i="31"/>
  <c r="H23" i="31"/>
  <c r="G23" i="31"/>
  <c r="F23" i="31"/>
  <c r="I22" i="31"/>
  <c r="H22" i="31"/>
  <c r="G22" i="31"/>
  <c r="F22" i="31"/>
  <c r="I21" i="31"/>
  <c r="H21" i="31"/>
  <c r="G21" i="31"/>
  <c r="F21" i="31"/>
  <c r="I20" i="31"/>
  <c r="H20" i="31"/>
  <c r="G20" i="31"/>
  <c r="F20" i="31"/>
  <c r="I19" i="31"/>
  <c r="H19" i="31"/>
  <c r="G19" i="31"/>
  <c r="F19" i="31"/>
  <c r="I18" i="31"/>
  <c r="H18" i="31"/>
  <c r="F18" i="31"/>
  <c r="I28" i="12"/>
  <c r="K27" i="12"/>
  <c r="K26" i="12"/>
  <c r="K25" i="12"/>
  <c r="K24" i="12"/>
  <c r="K23" i="12"/>
  <c r="K21" i="12"/>
  <c r="K19" i="12"/>
  <c r="K18" i="12"/>
  <c r="K17" i="12"/>
  <c r="K16" i="12"/>
  <c r="K15" i="12"/>
  <c r="I27" i="12"/>
  <c r="I26" i="12"/>
  <c r="I25" i="12"/>
  <c r="I24" i="12"/>
  <c r="I23" i="12"/>
  <c r="I21" i="12"/>
  <c r="I19" i="12"/>
  <c r="I18" i="12"/>
  <c r="I17" i="12"/>
  <c r="I16" i="12"/>
  <c r="I15" i="12"/>
  <c r="D29" i="12"/>
  <c r="D28" i="12"/>
  <c r="E16" i="30"/>
  <c r="K16" i="30" s="1"/>
  <c r="O16" i="30"/>
  <c r="E17" i="30"/>
  <c r="K17" i="30" s="1"/>
  <c r="O17" i="30"/>
  <c r="E18" i="30"/>
  <c r="K18" i="30" s="1"/>
  <c r="O18" i="30"/>
  <c r="E20" i="30"/>
  <c r="K20" i="30" s="1"/>
  <c r="O20" i="30"/>
  <c r="E23" i="30"/>
  <c r="K23" i="30" s="1"/>
  <c r="O23" i="30"/>
  <c r="E22" i="30"/>
  <c r="K22" i="30" s="1"/>
  <c r="O22" i="30"/>
  <c r="E21" i="30"/>
  <c r="K21" i="30" s="1"/>
  <c r="O21" i="30"/>
  <c r="E24" i="30"/>
  <c r="K24" i="30" s="1"/>
  <c r="O24" i="30"/>
  <c r="E25" i="30"/>
  <c r="K25" i="30" s="1"/>
  <c r="O25" i="30"/>
  <c r="E26" i="30"/>
  <c r="K26" i="30" s="1"/>
  <c r="O26" i="30"/>
  <c r="E27" i="30"/>
  <c r="K27" i="30" s="1"/>
  <c r="O27" i="30"/>
  <c r="E28" i="30"/>
  <c r="K28" i="30" s="1"/>
  <c r="O28" i="30"/>
  <c r="E29" i="30"/>
  <c r="K29" i="30" s="1"/>
  <c r="O29" i="30"/>
  <c r="M31" i="30"/>
  <c r="N31" i="30"/>
  <c r="H18" i="1"/>
  <c r="H19" i="1"/>
  <c r="E19" i="51" s="1"/>
  <c r="H19" i="51" s="1"/>
  <c r="H20" i="1"/>
  <c r="E20" i="51" s="1"/>
  <c r="H20" i="51" s="1"/>
  <c r="H21" i="1"/>
  <c r="E21" i="51" s="1"/>
  <c r="H21" i="51" s="1"/>
  <c r="H22" i="1"/>
  <c r="H23" i="1"/>
  <c r="E23" i="51" s="1"/>
  <c r="H23" i="51" s="1"/>
  <c r="H24" i="1"/>
  <c r="E24" i="51" s="1"/>
  <c r="H24" i="51" s="1"/>
  <c r="H25" i="1"/>
  <c r="E25" i="51" s="1"/>
  <c r="H25" i="51" s="1"/>
  <c r="H26" i="1"/>
  <c r="E26" i="51" s="1"/>
  <c r="H26" i="51" s="1"/>
  <c r="H27" i="1"/>
  <c r="E27" i="51" s="1"/>
  <c r="H27" i="51" s="1"/>
  <c r="H28" i="1"/>
  <c r="E28" i="51" s="1"/>
  <c r="H28" i="51" s="1"/>
  <c r="H29" i="1"/>
  <c r="E29" i="51" s="1"/>
  <c r="H29" i="51" s="1"/>
  <c r="H30" i="1"/>
  <c r="E30" i="51" s="1"/>
  <c r="H30" i="51" s="1"/>
  <c r="H31" i="1"/>
  <c r="E31" i="51" s="1"/>
  <c r="H31" i="51" s="1"/>
  <c r="H32" i="1"/>
  <c r="H17" i="1"/>
  <c r="E17" i="51" s="1"/>
  <c r="H17" i="51" s="1"/>
  <c r="H33" i="1"/>
  <c r="E33" i="51" s="1"/>
  <c r="H33" i="51" s="1"/>
  <c r="H34" i="1"/>
  <c r="E34" i="51" s="1"/>
  <c r="H34" i="51" s="1"/>
  <c r="H35" i="1"/>
  <c r="E35" i="51" s="1"/>
  <c r="H35" i="51" s="1"/>
  <c r="H36" i="1"/>
  <c r="E36" i="51" s="1"/>
  <c r="H36" i="51" s="1"/>
  <c r="H37" i="1"/>
  <c r="E37" i="51" s="1"/>
  <c r="H37" i="51" s="1"/>
  <c r="H38" i="1"/>
  <c r="E38" i="51" s="1"/>
  <c r="H38" i="51" s="1"/>
  <c r="H39" i="1"/>
  <c r="E39" i="51" s="1"/>
  <c r="H39" i="51" s="1"/>
  <c r="H16" i="1"/>
  <c r="H40" i="1"/>
  <c r="E40" i="51" s="1"/>
  <c r="H40" i="51" s="1"/>
  <c r="H41" i="1"/>
  <c r="E41" i="51" s="1"/>
  <c r="H41" i="51" s="1"/>
  <c r="H42" i="1"/>
  <c r="E42" i="51" s="1"/>
  <c r="H42" i="51" s="1"/>
  <c r="H43" i="1"/>
  <c r="E43" i="51" s="1"/>
  <c r="H43" i="51" s="1"/>
  <c r="H44" i="1"/>
  <c r="E44" i="51" s="1"/>
  <c r="H44" i="51" s="1"/>
  <c r="H45" i="1"/>
  <c r="E45" i="51" s="1"/>
  <c r="H45" i="51" s="1"/>
  <c r="H46" i="1"/>
  <c r="E46" i="51" s="1"/>
  <c r="H46" i="51" s="1"/>
  <c r="H47" i="1"/>
  <c r="E47" i="51" s="1"/>
  <c r="H47" i="51" s="1"/>
  <c r="H48" i="1"/>
  <c r="E48" i="51" s="1"/>
  <c r="H48" i="51" s="1"/>
  <c r="H49" i="1"/>
  <c r="E49" i="51" s="1"/>
  <c r="H49" i="51" s="1"/>
  <c r="H50" i="1"/>
  <c r="E50" i="51" s="1"/>
  <c r="H50" i="51" s="1"/>
  <c r="E51" i="51"/>
  <c r="H51" i="51" s="1"/>
  <c r="H53" i="1"/>
  <c r="M18" i="1"/>
  <c r="J18" i="51" s="1"/>
  <c r="M19" i="1"/>
  <c r="M20" i="1"/>
  <c r="J20" i="51" s="1"/>
  <c r="M20" i="51" s="1"/>
  <c r="J20" i="52" s="1"/>
  <c r="M20" i="52" s="1"/>
  <c r="J20" i="54" s="1"/>
  <c r="M21" i="1"/>
  <c r="M22" i="1"/>
  <c r="J22" i="51" s="1"/>
  <c r="M22" i="51" s="1"/>
  <c r="J22" i="52" s="1"/>
  <c r="M22" i="52" s="1"/>
  <c r="M23" i="1"/>
  <c r="M24" i="1"/>
  <c r="M25" i="1"/>
  <c r="J25" i="51" s="1"/>
  <c r="M25" i="51" s="1"/>
  <c r="J25" i="52" s="1"/>
  <c r="M25" i="52" s="1"/>
  <c r="M26" i="1"/>
  <c r="M27" i="1"/>
  <c r="J27" i="51" s="1"/>
  <c r="M27" i="51" s="1"/>
  <c r="J27" i="52" s="1"/>
  <c r="M27" i="52" s="1"/>
  <c r="M28" i="1"/>
  <c r="M29" i="1"/>
  <c r="M30" i="1"/>
  <c r="M31" i="1"/>
  <c r="M32" i="1"/>
  <c r="J32" i="51" s="1"/>
  <c r="M32" i="51" s="1"/>
  <c r="J32" i="52" s="1"/>
  <c r="M32" i="52" s="1"/>
  <c r="J32" i="54" s="1"/>
  <c r="M17" i="1"/>
  <c r="J17" i="51" s="1"/>
  <c r="M17" i="51" s="1"/>
  <c r="J17" i="52" s="1"/>
  <c r="M17" i="52" s="1"/>
  <c r="M33" i="1"/>
  <c r="M34" i="1"/>
  <c r="M35" i="1"/>
  <c r="J35" i="51" s="1"/>
  <c r="M35" i="51" s="1"/>
  <c r="J35" i="52" s="1"/>
  <c r="M35" i="52" s="1"/>
  <c r="M36" i="1"/>
  <c r="M37" i="1"/>
  <c r="M38" i="1"/>
  <c r="M39" i="1"/>
  <c r="J39" i="51" s="1"/>
  <c r="M39" i="51" s="1"/>
  <c r="J39" i="52" s="1"/>
  <c r="M39" i="52" s="1"/>
  <c r="J39" i="54" s="1"/>
  <c r="M16" i="1"/>
  <c r="J16" i="51" s="1"/>
  <c r="M40" i="1"/>
  <c r="M41" i="1"/>
  <c r="J41" i="51" s="1"/>
  <c r="M41" i="51" s="1"/>
  <c r="J41" i="52" s="1"/>
  <c r="M41" i="52" s="1"/>
  <c r="M42" i="1"/>
  <c r="J42" i="51" s="1"/>
  <c r="M42" i="51" s="1"/>
  <c r="J42" i="52" s="1"/>
  <c r="M42" i="52" s="1"/>
  <c r="M43" i="1"/>
  <c r="J43" i="51" s="1"/>
  <c r="M43" i="51" s="1"/>
  <c r="J43" i="52" s="1"/>
  <c r="M43" i="52" s="1"/>
  <c r="M44" i="1"/>
  <c r="J44" i="51" s="1"/>
  <c r="M44" i="51" s="1"/>
  <c r="J44" i="52" s="1"/>
  <c r="M44" i="52" s="1"/>
  <c r="M45" i="1"/>
  <c r="J45" i="51" s="1"/>
  <c r="M45" i="51" s="1"/>
  <c r="J45" i="52" s="1"/>
  <c r="M45" i="52" s="1"/>
  <c r="M46" i="1"/>
  <c r="J46" i="51" s="1"/>
  <c r="M46" i="51" s="1"/>
  <c r="J46" i="52" s="1"/>
  <c r="M46" i="52" s="1"/>
  <c r="J46" i="54" s="1"/>
  <c r="M47" i="1"/>
  <c r="J47" i="51" s="1"/>
  <c r="M47" i="51" s="1"/>
  <c r="J47" i="52" s="1"/>
  <c r="M47" i="52" s="1"/>
  <c r="M48" i="1"/>
  <c r="J48" i="51" s="1"/>
  <c r="M48" i="51" s="1"/>
  <c r="J48" i="52" s="1"/>
  <c r="M48" i="52" s="1"/>
  <c r="J48" i="54" s="1"/>
  <c r="M49" i="1"/>
  <c r="J49" i="51" s="1"/>
  <c r="M49" i="51" s="1"/>
  <c r="J49" i="52" s="1"/>
  <c r="M49" i="52" s="1"/>
  <c r="M50" i="1"/>
  <c r="J50" i="51" s="1"/>
  <c r="M50" i="51" s="1"/>
  <c r="J50" i="52" s="1"/>
  <c r="M50" i="52" s="1"/>
  <c r="J50" i="54" s="1"/>
  <c r="M51" i="1"/>
  <c r="J51" i="51" s="1"/>
  <c r="M51" i="51" s="1"/>
  <c r="J51" i="52" s="1"/>
  <c r="M51" i="52" s="1"/>
  <c r="J51" i="54" s="1"/>
  <c r="L51" i="54" s="1"/>
  <c r="M53" i="1"/>
  <c r="J53" i="51" s="1"/>
  <c r="M53" i="51" s="1"/>
  <c r="J53" i="52" s="1"/>
  <c r="M53" i="52" s="1"/>
  <c r="J53" i="54" s="1"/>
  <c r="I29" i="12"/>
  <c r="E16" i="51" l="1"/>
  <c r="H16" i="51" s="1"/>
  <c r="E32" i="51"/>
  <c r="H32" i="51" s="1"/>
  <c r="E32" i="52" s="1"/>
  <c r="H32" i="52" s="1"/>
  <c r="P29" i="30"/>
  <c r="P27" i="30"/>
  <c r="P26" i="30"/>
  <c r="P24" i="30"/>
  <c r="P21" i="30"/>
  <c r="P18" i="30"/>
  <c r="P23" i="30"/>
  <c r="P20" i="30"/>
  <c r="G73" i="31"/>
  <c r="B20" i="49"/>
  <c r="E31" i="49"/>
  <c r="E17" i="49"/>
  <c r="G41" i="49"/>
  <c r="P17" i="30"/>
  <c r="G62" i="31"/>
  <c r="B16" i="49"/>
  <c r="C32" i="49"/>
  <c r="C42" i="49"/>
  <c r="E43" i="49"/>
  <c r="D33" i="49"/>
  <c r="D23" i="49"/>
  <c r="G42" i="49"/>
  <c r="E32" i="49"/>
  <c r="K42" i="49"/>
  <c r="L42" i="49" s="1"/>
  <c r="G32" i="49"/>
  <c r="C41" i="49"/>
  <c r="C17" i="49"/>
  <c r="C31" i="49"/>
  <c r="E44" i="49"/>
  <c r="D34" i="49"/>
  <c r="N24" i="1"/>
  <c r="P16" i="30"/>
  <c r="G85" i="31"/>
  <c r="B21" i="49"/>
  <c r="C44" i="49"/>
  <c r="C34" i="49"/>
  <c r="E41" i="49"/>
  <c r="D31" i="49"/>
  <c r="D17" i="49"/>
  <c r="E34" i="49"/>
  <c r="G44" i="49"/>
  <c r="K44" i="49"/>
  <c r="L44" i="49" s="1"/>
  <c r="G34" i="49"/>
  <c r="G17" i="49"/>
  <c r="K41" i="49"/>
  <c r="G31" i="49"/>
  <c r="G41" i="31"/>
  <c r="B15" i="49"/>
  <c r="B35" i="49"/>
  <c r="B45" i="49"/>
  <c r="D45" i="49" s="1"/>
  <c r="C33" i="49"/>
  <c r="C23" i="49"/>
  <c r="C43" i="49"/>
  <c r="E42" i="49"/>
  <c r="D32" i="49"/>
  <c r="G43" i="49"/>
  <c r="E33" i="49"/>
  <c r="E23" i="49"/>
  <c r="G33" i="49"/>
  <c r="G23" i="49"/>
  <c r="K43" i="49"/>
  <c r="L43" i="49" s="1"/>
  <c r="I112" i="31"/>
  <c r="I85" i="31"/>
  <c r="I73" i="31"/>
  <c r="H73" i="31"/>
  <c r="I62" i="31"/>
  <c r="H62" i="31"/>
  <c r="I41" i="31"/>
  <c r="N48" i="1"/>
  <c r="L50" i="54"/>
  <c r="G50" i="54"/>
  <c r="L39" i="54"/>
  <c r="M39" i="54" s="1"/>
  <c r="J39" i="55" s="1"/>
  <c r="M39" i="55" s="1"/>
  <c r="G39" i="54"/>
  <c r="L20" i="54"/>
  <c r="G20" i="54"/>
  <c r="J47" i="53"/>
  <c r="M47" i="53" s="1"/>
  <c r="J47" i="63" s="1"/>
  <c r="M47" i="63" s="1"/>
  <c r="J47" i="54"/>
  <c r="J43" i="53"/>
  <c r="M43" i="53" s="1"/>
  <c r="J43" i="63" s="1"/>
  <c r="M43" i="63" s="1"/>
  <c r="J43" i="54"/>
  <c r="J17" i="53"/>
  <c r="M17" i="53" s="1"/>
  <c r="J17" i="63" s="1"/>
  <c r="M17" i="63" s="1"/>
  <c r="J17" i="54"/>
  <c r="J25" i="53"/>
  <c r="M25" i="53" s="1"/>
  <c r="J25" i="63" s="1"/>
  <c r="M25" i="63" s="1"/>
  <c r="J25" i="54"/>
  <c r="P25" i="30"/>
  <c r="J42" i="53"/>
  <c r="M42" i="53" s="1"/>
  <c r="J42" i="63" s="1"/>
  <c r="M42" i="63" s="1"/>
  <c r="J42" i="54"/>
  <c r="L32" i="54"/>
  <c r="M32" i="54" s="1"/>
  <c r="J32" i="55" s="1"/>
  <c r="M32" i="55" s="1"/>
  <c r="G32" i="54"/>
  <c r="N35" i="1"/>
  <c r="J49" i="53"/>
  <c r="M49" i="53" s="1"/>
  <c r="J49" i="63" s="1"/>
  <c r="M49" i="63" s="1"/>
  <c r="J49" i="54"/>
  <c r="J45" i="53"/>
  <c r="M45" i="53" s="1"/>
  <c r="J45" i="63" s="1"/>
  <c r="M45" i="63" s="1"/>
  <c r="J45" i="54"/>
  <c r="J41" i="53"/>
  <c r="M41" i="53" s="1"/>
  <c r="J41" i="63" s="1"/>
  <c r="M41" i="63" s="1"/>
  <c r="J41" i="54"/>
  <c r="J27" i="53"/>
  <c r="M27" i="53" s="1"/>
  <c r="J27" i="63" s="1"/>
  <c r="M27" i="63" s="1"/>
  <c r="J27" i="54"/>
  <c r="P22" i="30"/>
  <c r="C24" i="21"/>
  <c r="C28" i="21" s="1"/>
  <c r="L46" i="54"/>
  <c r="M46" i="54" s="1"/>
  <c r="J46" i="55" s="1"/>
  <c r="M46" i="55" s="1"/>
  <c r="G46" i="54"/>
  <c r="J35" i="53"/>
  <c r="M35" i="53" s="1"/>
  <c r="J35" i="63" s="1"/>
  <c r="M35" i="63" s="1"/>
  <c r="J35" i="54"/>
  <c r="L53" i="54"/>
  <c r="M53" i="54" s="1"/>
  <c r="G53" i="54"/>
  <c r="L48" i="54"/>
  <c r="M48" i="54" s="1"/>
  <c r="J48" i="55" s="1"/>
  <c r="M48" i="55" s="1"/>
  <c r="G48" i="54"/>
  <c r="J44" i="53"/>
  <c r="M44" i="53" s="1"/>
  <c r="J44" i="63" s="1"/>
  <c r="M44" i="63" s="1"/>
  <c r="J44" i="54"/>
  <c r="J22" i="53"/>
  <c r="M22" i="53" s="1"/>
  <c r="J22" i="63" s="1"/>
  <c r="M22" i="63" s="1"/>
  <c r="J22" i="54"/>
  <c r="H41" i="31"/>
  <c r="F112" i="31"/>
  <c r="M50" i="54"/>
  <c r="J50" i="55" s="1"/>
  <c r="M50" i="55" s="1"/>
  <c r="J50" i="53"/>
  <c r="M50" i="53" s="1"/>
  <c r="J50" i="63" s="1"/>
  <c r="M50" i="63" s="1"/>
  <c r="J39" i="53"/>
  <c r="M39" i="53" s="1"/>
  <c r="J39" i="63" s="1"/>
  <c r="M39" i="63" s="1"/>
  <c r="G24" i="21"/>
  <c r="G28" i="21" s="1"/>
  <c r="M20" i="54"/>
  <c r="J20" i="55" s="1"/>
  <c r="M20" i="55" s="1"/>
  <c r="J20" i="53"/>
  <c r="M20" i="53" s="1"/>
  <c r="J20" i="63" s="1"/>
  <c r="M20" i="63" s="1"/>
  <c r="O31" i="30"/>
  <c r="D24" i="21"/>
  <c r="D28" i="21" s="1"/>
  <c r="J48" i="53"/>
  <c r="M48" i="53" s="1"/>
  <c r="J48" i="63" s="1"/>
  <c r="M48" i="63" s="1"/>
  <c r="E24" i="21"/>
  <c r="E28" i="21" s="1"/>
  <c r="J46" i="53"/>
  <c r="M46" i="53" s="1"/>
  <c r="J46" i="63" s="1"/>
  <c r="M46" i="63" s="1"/>
  <c r="J32" i="53"/>
  <c r="M32" i="53" s="1"/>
  <c r="J32" i="63" s="1"/>
  <c r="M32" i="63" s="1"/>
  <c r="J53" i="53"/>
  <c r="M53" i="53" s="1"/>
  <c r="J53" i="63" s="1"/>
  <c r="M53" i="63" s="1"/>
  <c r="N44" i="1"/>
  <c r="J51" i="53"/>
  <c r="M51" i="53" s="1"/>
  <c r="J51" i="63" s="1"/>
  <c r="M51" i="63" s="1"/>
  <c r="M51" i="54"/>
  <c r="F62" i="31"/>
  <c r="H85" i="31"/>
  <c r="F24" i="21"/>
  <c r="F28" i="21" s="1"/>
  <c r="H23" i="21"/>
  <c r="H20" i="21"/>
  <c r="K28" i="12"/>
  <c r="G30" i="12"/>
  <c r="H30" i="12"/>
  <c r="P28" i="30"/>
  <c r="N37" i="1"/>
  <c r="J37" i="51"/>
  <c r="M37" i="51" s="1"/>
  <c r="J37" i="52" s="1"/>
  <c r="M37" i="52" s="1"/>
  <c r="N26" i="1"/>
  <c r="J26" i="51"/>
  <c r="M26" i="51" s="1"/>
  <c r="J26" i="52" s="1"/>
  <c r="M26" i="52" s="1"/>
  <c r="N49" i="51"/>
  <c r="E49" i="52"/>
  <c r="H49" i="52" s="1"/>
  <c r="E49" i="54" s="1"/>
  <c r="N45" i="51"/>
  <c r="E45" i="52"/>
  <c r="H45" i="52" s="1"/>
  <c r="E45" i="54" s="1"/>
  <c r="N41" i="51"/>
  <c r="E41" i="52"/>
  <c r="H41" i="52" s="1"/>
  <c r="E41" i="54" s="1"/>
  <c r="E38" i="52"/>
  <c r="H38" i="52" s="1"/>
  <c r="E38" i="54" s="1"/>
  <c r="E34" i="52"/>
  <c r="H34" i="52" s="1"/>
  <c r="E34" i="54" s="1"/>
  <c r="E29" i="52"/>
  <c r="H29" i="52" s="1"/>
  <c r="E29" i="54" s="1"/>
  <c r="N25" i="51"/>
  <c r="E25" i="52"/>
  <c r="H25" i="52" s="1"/>
  <c r="E25" i="54" s="1"/>
  <c r="E21" i="52"/>
  <c r="H21" i="52" s="1"/>
  <c r="E21" i="54" s="1"/>
  <c r="N40" i="1"/>
  <c r="J40" i="51"/>
  <c r="M40" i="51" s="1"/>
  <c r="J40" i="52" s="1"/>
  <c r="M40" i="52" s="1"/>
  <c r="N33" i="1"/>
  <c r="J33" i="51"/>
  <c r="M33" i="51" s="1"/>
  <c r="J33" i="52" s="1"/>
  <c r="M33" i="52" s="1"/>
  <c r="N30" i="1"/>
  <c r="J30" i="51"/>
  <c r="M30" i="51" s="1"/>
  <c r="J30" i="52" s="1"/>
  <c r="M30" i="52" s="1"/>
  <c r="N28" i="1"/>
  <c r="J28" i="51"/>
  <c r="M28" i="51" s="1"/>
  <c r="J28" i="52" s="1"/>
  <c r="M28" i="52" s="1"/>
  <c r="M55" i="1"/>
  <c r="J24" i="51"/>
  <c r="M24" i="51" s="1"/>
  <c r="J24" i="52" s="1"/>
  <c r="M24" i="52" s="1"/>
  <c r="N51" i="51"/>
  <c r="E51" i="52"/>
  <c r="H51" i="52" s="1"/>
  <c r="E51" i="54" s="1"/>
  <c r="N47" i="51"/>
  <c r="E47" i="52"/>
  <c r="H47" i="52" s="1"/>
  <c r="E47" i="54" s="1"/>
  <c r="N43" i="51"/>
  <c r="E43" i="52"/>
  <c r="H43" i="52" s="1"/>
  <c r="E43" i="54" s="1"/>
  <c r="E16" i="52"/>
  <c r="H16" i="52" s="1"/>
  <c r="E36" i="52"/>
  <c r="H36" i="52" s="1"/>
  <c r="E36" i="54" s="1"/>
  <c r="N17" i="51"/>
  <c r="E17" i="52"/>
  <c r="H17" i="52" s="1"/>
  <c r="E17" i="54" s="1"/>
  <c r="E31" i="52"/>
  <c r="H31" i="52" s="1"/>
  <c r="E31" i="54" s="1"/>
  <c r="N27" i="51"/>
  <c r="E27" i="52"/>
  <c r="H27" i="52" s="1"/>
  <c r="E27" i="54" s="1"/>
  <c r="E23" i="52"/>
  <c r="H23" i="52" s="1"/>
  <c r="E23" i="54" s="1"/>
  <c r="E19" i="52"/>
  <c r="H19" i="52" s="1"/>
  <c r="E19" i="54" s="1"/>
  <c r="K31" i="30"/>
  <c r="K29" i="12"/>
  <c r="N50" i="1"/>
  <c r="N46" i="1"/>
  <c r="N39" i="1"/>
  <c r="N32" i="1"/>
  <c r="N20" i="1"/>
  <c r="M16" i="51"/>
  <c r="J16" i="52" s="1"/>
  <c r="M16" i="52" s="1"/>
  <c r="N38" i="1"/>
  <c r="J38" i="51"/>
  <c r="M38" i="51" s="1"/>
  <c r="J38" i="52" s="1"/>
  <c r="M38" i="52" s="1"/>
  <c r="J38" i="54" s="1"/>
  <c r="N36" i="1"/>
  <c r="J36" i="51"/>
  <c r="M36" i="51" s="1"/>
  <c r="J36" i="52" s="1"/>
  <c r="M36" i="52" s="1"/>
  <c r="J36" i="54" s="1"/>
  <c r="N34" i="1"/>
  <c r="J34" i="51"/>
  <c r="M34" i="51" s="1"/>
  <c r="J34" i="52" s="1"/>
  <c r="M34" i="52" s="1"/>
  <c r="J34" i="54" s="1"/>
  <c r="N31" i="1"/>
  <c r="J31" i="51"/>
  <c r="M31" i="51" s="1"/>
  <c r="J31" i="52" s="1"/>
  <c r="M31" i="52" s="1"/>
  <c r="J31" i="54" s="1"/>
  <c r="N29" i="1"/>
  <c r="J29" i="51"/>
  <c r="M29" i="51" s="1"/>
  <c r="J29" i="52" s="1"/>
  <c r="M29" i="52" s="1"/>
  <c r="N23" i="1"/>
  <c r="J23" i="51"/>
  <c r="M23" i="51" s="1"/>
  <c r="J23" i="52" s="1"/>
  <c r="M23" i="52" s="1"/>
  <c r="J23" i="54" s="1"/>
  <c r="N21" i="1"/>
  <c r="J21" i="51"/>
  <c r="M21" i="51" s="1"/>
  <c r="J21" i="52" s="1"/>
  <c r="M21" i="52" s="1"/>
  <c r="J21" i="54" s="1"/>
  <c r="N19" i="1"/>
  <c r="J19" i="51"/>
  <c r="M19" i="51" s="1"/>
  <c r="J19" i="52" s="1"/>
  <c r="M19" i="52" s="1"/>
  <c r="J19" i="54" s="1"/>
  <c r="E53" i="51"/>
  <c r="H53" i="51" s="1"/>
  <c r="E50" i="52"/>
  <c r="H50" i="52" s="1"/>
  <c r="E50" i="54" s="1"/>
  <c r="N50" i="51"/>
  <c r="E48" i="52"/>
  <c r="H48" i="52" s="1"/>
  <c r="E48" i="54" s="1"/>
  <c r="N48" i="51"/>
  <c r="E46" i="52"/>
  <c r="H46" i="52" s="1"/>
  <c r="E46" i="54" s="1"/>
  <c r="N46" i="51"/>
  <c r="E44" i="52"/>
  <c r="H44" i="52" s="1"/>
  <c r="E44" i="54" s="1"/>
  <c r="N44" i="51"/>
  <c r="N42" i="51"/>
  <c r="E42" i="52"/>
  <c r="H42" i="52" s="1"/>
  <c r="E42" i="54" s="1"/>
  <c r="E40" i="52"/>
  <c r="H40" i="52" s="1"/>
  <c r="E40" i="54" s="1"/>
  <c r="E39" i="52"/>
  <c r="H39" i="52" s="1"/>
  <c r="E39" i="54" s="1"/>
  <c r="N39" i="51"/>
  <c r="E37" i="52"/>
  <c r="H37" i="52" s="1"/>
  <c r="E37" i="54" s="1"/>
  <c r="N35" i="51"/>
  <c r="E35" i="52"/>
  <c r="H35" i="52" s="1"/>
  <c r="E35" i="54" s="1"/>
  <c r="E33" i="52"/>
  <c r="H33" i="52" s="1"/>
  <c r="E33" i="54" s="1"/>
  <c r="N32" i="51"/>
  <c r="E30" i="52"/>
  <c r="H30" i="52" s="1"/>
  <c r="E30" i="54" s="1"/>
  <c r="E28" i="52"/>
  <c r="H28" i="52" s="1"/>
  <c r="E28" i="54" s="1"/>
  <c r="E26" i="52"/>
  <c r="H26" i="52" s="1"/>
  <c r="E26" i="54" s="1"/>
  <c r="E24" i="52"/>
  <c r="H24" i="52" s="1"/>
  <c r="E24" i="54" s="1"/>
  <c r="E20" i="52"/>
  <c r="H20" i="52" s="1"/>
  <c r="E20" i="54" s="1"/>
  <c r="N20" i="51"/>
  <c r="F30" i="12"/>
  <c r="J30" i="12"/>
  <c r="F41" i="31"/>
  <c r="F73" i="31"/>
  <c r="F85" i="31"/>
  <c r="D113" i="31"/>
  <c r="D120" i="31" s="1"/>
  <c r="H112" i="31"/>
  <c r="H55" i="1"/>
  <c r="E18" i="51"/>
  <c r="H18" i="51" s="1"/>
  <c r="N53" i="1"/>
  <c r="N41" i="1"/>
  <c r="N27" i="1"/>
  <c r="N25" i="1"/>
  <c r="N17" i="1"/>
  <c r="N16" i="1"/>
  <c r="N51" i="1"/>
  <c r="N49" i="1"/>
  <c r="N47" i="1"/>
  <c r="N45" i="1"/>
  <c r="N43" i="1"/>
  <c r="N42" i="1"/>
  <c r="N22" i="1"/>
  <c r="E22" i="51"/>
  <c r="D30" i="12"/>
  <c r="E113" i="31"/>
  <c r="E120" i="31" s="1"/>
  <c r="C113" i="31"/>
  <c r="C120" i="31" s="1"/>
  <c r="G112" i="31"/>
  <c r="N18" i="1"/>
  <c r="E32" i="54" l="1"/>
  <c r="E16" i="54"/>
  <c r="F42" i="49"/>
  <c r="N28" i="51"/>
  <c r="N30" i="51"/>
  <c r="N33" i="51"/>
  <c r="N24" i="51"/>
  <c r="N40" i="51"/>
  <c r="G120" i="31"/>
  <c r="D36" i="49"/>
  <c r="G36" i="49"/>
  <c r="G37" i="49" s="1"/>
  <c r="H24" i="21"/>
  <c r="H28" i="21" s="1"/>
  <c r="P31" i="30"/>
  <c r="E24" i="49"/>
  <c r="E26" i="49"/>
  <c r="F15" i="20" s="1"/>
  <c r="F24" i="49"/>
  <c r="D18" i="49"/>
  <c r="C36" i="49"/>
  <c r="D37" i="49" s="1"/>
  <c r="B42" i="49"/>
  <c r="D42" i="49" s="1"/>
  <c r="B32" i="49"/>
  <c r="F18" i="49"/>
  <c r="E18" i="49"/>
  <c r="L41" i="49"/>
  <c r="L46" i="49" s="1"/>
  <c r="K46" i="49"/>
  <c r="B34" i="49"/>
  <c r="B44" i="49"/>
  <c r="D44" i="49" s="1"/>
  <c r="F43" i="49"/>
  <c r="E36" i="49"/>
  <c r="G51" i="54"/>
  <c r="G24" i="49"/>
  <c r="G25" i="49"/>
  <c r="G26" i="49"/>
  <c r="J43" i="49"/>
  <c r="H43" i="49"/>
  <c r="C26" i="49"/>
  <c r="D15" i="20" s="1"/>
  <c r="B31" i="49"/>
  <c r="B17" i="49"/>
  <c r="B41" i="49"/>
  <c r="G19" i="49"/>
  <c r="G18" i="49"/>
  <c r="J44" i="49"/>
  <c r="H44" i="49"/>
  <c r="F41" i="49"/>
  <c r="E46" i="49"/>
  <c r="C46" i="49"/>
  <c r="J42" i="49"/>
  <c r="H42" i="49"/>
  <c r="B43" i="49"/>
  <c r="D43" i="49" s="1"/>
  <c r="B33" i="49"/>
  <c r="B23" i="49"/>
  <c r="F44" i="49"/>
  <c r="D26" i="49"/>
  <c r="E15" i="20" s="1"/>
  <c r="D24" i="49"/>
  <c r="H41" i="49"/>
  <c r="J41" i="49"/>
  <c r="G46" i="49"/>
  <c r="I113" i="31"/>
  <c r="I120" i="31"/>
  <c r="L19" i="54"/>
  <c r="G19" i="54"/>
  <c r="L23" i="54"/>
  <c r="G23" i="54"/>
  <c r="L36" i="54"/>
  <c r="G36" i="54"/>
  <c r="J16" i="53"/>
  <c r="J16" i="54"/>
  <c r="J24" i="53"/>
  <c r="M24" i="53" s="1"/>
  <c r="J24" i="63" s="1"/>
  <c r="M24" i="63" s="1"/>
  <c r="J24" i="54"/>
  <c r="J30" i="53"/>
  <c r="M30" i="53" s="1"/>
  <c r="J30" i="54"/>
  <c r="J40" i="53"/>
  <c r="M40" i="53" s="1"/>
  <c r="J40" i="63" s="1"/>
  <c r="M40" i="63" s="1"/>
  <c r="J40" i="54"/>
  <c r="J37" i="53"/>
  <c r="M37" i="53" s="1"/>
  <c r="J37" i="63" s="1"/>
  <c r="M37" i="63" s="1"/>
  <c r="J37" i="54"/>
  <c r="L44" i="54"/>
  <c r="M44" i="54" s="1"/>
  <c r="J44" i="55" s="1"/>
  <c r="M44" i="55" s="1"/>
  <c r="G44" i="54"/>
  <c r="G41" i="54"/>
  <c r="L41" i="54"/>
  <c r="M41" i="54" s="1"/>
  <c r="J41" i="55" s="1"/>
  <c r="M41" i="55" s="1"/>
  <c r="L49" i="54"/>
  <c r="M49" i="54" s="1"/>
  <c r="J49" i="55" s="1"/>
  <c r="M49" i="55" s="1"/>
  <c r="G49" i="54"/>
  <c r="L17" i="54"/>
  <c r="M17" i="54" s="1"/>
  <c r="J17" i="55" s="1"/>
  <c r="M17" i="55" s="1"/>
  <c r="G17" i="54"/>
  <c r="G47" i="54"/>
  <c r="L47" i="54"/>
  <c r="M47" i="54" s="1"/>
  <c r="J47" i="55" s="1"/>
  <c r="M47" i="55" s="1"/>
  <c r="G42" i="54"/>
  <c r="L42" i="54"/>
  <c r="M42" i="54" s="1"/>
  <c r="J42" i="55" s="1"/>
  <c r="M42" i="55" s="1"/>
  <c r="L21" i="54"/>
  <c r="M21" i="54" s="1"/>
  <c r="J21" i="55" s="1"/>
  <c r="M21" i="55" s="1"/>
  <c r="G21" i="54"/>
  <c r="J29" i="53"/>
  <c r="M29" i="53" s="1"/>
  <c r="J29" i="63" s="1"/>
  <c r="M29" i="63" s="1"/>
  <c r="J29" i="54"/>
  <c r="L34" i="54"/>
  <c r="M34" i="54" s="1"/>
  <c r="J34" i="55" s="1"/>
  <c r="M34" i="55" s="1"/>
  <c r="G34" i="54"/>
  <c r="L38" i="54"/>
  <c r="G38" i="54"/>
  <c r="J28" i="53"/>
  <c r="M28" i="53" s="1"/>
  <c r="J28" i="63" s="1"/>
  <c r="M28" i="63" s="1"/>
  <c r="J28" i="54"/>
  <c r="J33" i="53"/>
  <c r="M33" i="53" s="1"/>
  <c r="J33" i="63" s="1"/>
  <c r="M33" i="63" s="1"/>
  <c r="J33" i="54"/>
  <c r="J26" i="53"/>
  <c r="M26" i="53" s="1"/>
  <c r="J26" i="63" s="1"/>
  <c r="M26" i="63" s="1"/>
  <c r="J26" i="54"/>
  <c r="G22" i="54"/>
  <c r="L22" i="54"/>
  <c r="M22" i="54" s="1"/>
  <c r="J22" i="55" s="1"/>
  <c r="M22" i="55" s="1"/>
  <c r="G35" i="54"/>
  <c r="L35" i="54"/>
  <c r="M35" i="54" s="1"/>
  <c r="J35" i="55" s="1"/>
  <c r="M35" i="55" s="1"/>
  <c r="L27" i="54"/>
  <c r="M27" i="54" s="1"/>
  <c r="J27" i="55" s="1"/>
  <c r="M27" i="55" s="1"/>
  <c r="G27" i="54"/>
  <c r="G45" i="54"/>
  <c r="L45" i="54"/>
  <c r="M45" i="54" s="1"/>
  <c r="J45" i="55" s="1"/>
  <c r="M45" i="55" s="1"/>
  <c r="L25" i="54"/>
  <c r="G25" i="54"/>
  <c r="M25" i="54"/>
  <c r="J25" i="55" s="1"/>
  <c r="M25" i="55" s="1"/>
  <c r="G43" i="54"/>
  <c r="L43" i="54"/>
  <c r="M43" i="54" s="1"/>
  <c r="J43" i="55" s="1"/>
  <c r="M43" i="55" s="1"/>
  <c r="H113" i="31"/>
  <c r="H120" i="31" s="1"/>
  <c r="N20" i="52"/>
  <c r="E20" i="53"/>
  <c r="H20" i="53" s="1"/>
  <c r="C20" i="40"/>
  <c r="E20" i="40" s="1"/>
  <c r="G20" i="40" s="1"/>
  <c r="N28" i="52"/>
  <c r="E28" i="53"/>
  <c r="H28" i="53" s="1"/>
  <c r="E28" i="63" s="1"/>
  <c r="H28" i="63" s="1"/>
  <c r="N28" i="63" s="1"/>
  <c r="C28" i="40"/>
  <c r="E28" i="40" s="1"/>
  <c r="G28" i="40" s="1"/>
  <c r="H28" i="40" s="1"/>
  <c r="N32" i="52"/>
  <c r="C32" i="40"/>
  <c r="E32" i="40" s="1"/>
  <c r="G32" i="40" s="1"/>
  <c r="E32" i="53"/>
  <c r="H32" i="53" s="1"/>
  <c r="N35" i="52"/>
  <c r="E35" i="53"/>
  <c r="H35" i="53" s="1"/>
  <c r="C35" i="40"/>
  <c r="E35" i="40" s="1"/>
  <c r="G35" i="40" s="1"/>
  <c r="H35" i="40" s="1"/>
  <c r="N39" i="52"/>
  <c r="E39" i="53"/>
  <c r="H39" i="53" s="1"/>
  <c r="C39" i="40"/>
  <c r="E39" i="40" s="1"/>
  <c r="G39" i="40" s="1"/>
  <c r="N46" i="52"/>
  <c r="E46" i="53"/>
  <c r="H46" i="53" s="1"/>
  <c r="C46" i="40"/>
  <c r="E46" i="40" s="1"/>
  <c r="G46" i="40" s="1"/>
  <c r="N50" i="52"/>
  <c r="E50" i="53"/>
  <c r="H50" i="53" s="1"/>
  <c r="J21" i="53"/>
  <c r="M21" i="53" s="1"/>
  <c r="J21" i="63" s="1"/>
  <c r="M21" i="63" s="1"/>
  <c r="J34" i="53"/>
  <c r="M34" i="53" s="1"/>
  <c r="J34" i="63" s="1"/>
  <c r="M34" i="63" s="1"/>
  <c r="M38" i="54"/>
  <c r="J38" i="55" s="1"/>
  <c r="M38" i="55" s="1"/>
  <c r="J38" i="53"/>
  <c r="M38" i="53" s="1"/>
  <c r="J38" i="63" s="1"/>
  <c r="M38" i="63" s="1"/>
  <c r="E23" i="53"/>
  <c r="H23" i="53" s="1"/>
  <c r="E23" i="63" s="1"/>
  <c r="H23" i="63" s="1"/>
  <c r="C23" i="40"/>
  <c r="E23" i="40" s="1"/>
  <c r="G23" i="40" s="1"/>
  <c r="N17" i="52"/>
  <c r="E17" i="53"/>
  <c r="H17" i="53" s="1"/>
  <c r="C17" i="40"/>
  <c r="E17" i="40" s="1"/>
  <c r="G17" i="40" s="1"/>
  <c r="H17" i="40" s="1"/>
  <c r="N43" i="52"/>
  <c r="E43" i="53"/>
  <c r="H43" i="53" s="1"/>
  <c r="C43" i="40"/>
  <c r="E43" i="40" s="1"/>
  <c r="G43" i="40" s="1"/>
  <c r="H43" i="40" s="1"/>
  <c r="N51" i="52"/>
  <c r="E51" i="53"/>
  <c r="H51" i="53" s="1"/>
  <c r="E21" i="53"/>
  <c r="H21" i="53" s="1"/>
  <c r="E21" i="63" s="1"/>
  <c r="H21" i="63" s="1"/>
  <c r="C21" i="40"/>
  <c r="E21" i="40" s="1"/>
  <c r="G21" i="40" s="1"/>
  <c r="E34" i="53"/>
  <c r="H34" i="53" s="1"/>
  <c r="E34" i="63" s="1"/>
  <c r="H34" i="63" s="1"/>
  <c r="C34" i="40"/>
  <c r="E34" i="40" s="1"/>
  <c r="G34" i="40" s="1"/>
  <c r="N45" i="52"/>
  <c r="E45" i="53"/>
  <c r="H45" i="53" s="1"/>
  <c r="C45" i="40"/>
  <c r="E45" i="40" s="1"/>
  <c r="G45" i="40" s="1"/>
  <c r="H45" i="40" s="1"/>
  <c r="N24" i="52"/>
  <c r="E24" i="53"/>
  <c r="H24" i="53" s="1"/>
  <c r="C24" i="40"/>
  <c r="E24" i="40" s="1"/>
  <c r="G24" i="40" s="1"/>
  <c r="H24" i="40" s="1"/>
  <c r="N40" i="52"/>
  <c r="E40" i="53"/>
  <c r="H40" i="53" s="1"/>
  <c r="E40" i="63" s="1"/>
  <c r="H40" i="63" s="1"/>
  <c r="C40" i="40"/>
  <c r="E40" i="40" s="1"/>
  <c r="G40" i="40" s="1"/>
  <c r="H40" i="40" s="1"/>
  <c r="N27" i="52"/>
  <c r="C27" i="40"/>
  <c r="E27" i="40" s="1"/>
  <c r="G27" i="40" s="1"/>
  <c r="H27" i="40" s="1"/>
  <c r="E27" i="53"/>
  <c r="H27" i="53" s="1"/>
  <c r="N25" i="52"/>
  <c r="E25" i="53"/>
  <c r="H25" i="53" s="1"/>
  <c r="C25" i="40"/>
  <c r="E25" i="40" s="1"/>
  <c r="G25" i="40" s="1"/>
  <c r="H25" i="40" s="1"/>
  <c r="C38" i="40"/>
  <c r="E38" i="40" s="1"/>
  <c r="G38" i="40" s="1"/>
  <c r="E38" i="53"/>
  <c r="H38" i="53" s="1"/>
  <c r="N30" i="52"/>
  <c r="C30" i="40"/>
  <c r="E30" i="40" s="1"/>
  <c r="G30" i="40" s="1"/>
  <c r="H30" i="40" s="1"/>
  <c r="E30" i="53"/>
  <c r="H30" i="53" s="1"/>
  <c r="N33" i="52"/>
  <c r="E33" i="53"/>
  <c r="H33" i="53" s="1"/>
  <c r="C33" i="40"/>
  <c r="E33" i="40" s="1"/>
  <c r="G33" i="40" s="1"/>
  <c r="H33" i="40" s="1"/>
  <c r="N37" i="52"/>
  <c r="E37" i="53"/>
  <c r="H37" i="53" s="1"/>
  <c r="C37" i="40"/>
  <c r="E37" i="40" s="1"/>
  <c r="G37" i="40" s="1"/>
  <c r="H37" i="40" s="1"/>
  <c r="N44" i="52"/>
  <c r="E44" i="53"/>
  <c r="H44" i="53" s="1"/>
  <c r="C44" i="40"/>
  <c r="E44" i="40" s="1"/>
  <c r="G44" i="40" s="1"/>
  <c r="N48" i="52"/>
  <c r="C48" i="40"/>
  <c r="E48" i="40" s="1"/>
  <c r="G48" i="40" s="1"/>
  <c r="E48" i="53"/>
  <c r="H48" i="53" s="1"/>
  <c r="M19" i="54"/>
  <c r="J19" i="55" s="1"/>
  <c r="M19" i="55" s="1"/>
  <c r="J19" i="53"/>
  <c r="M19" i="53" s="1"/>
  <c r="J19" i="63" s="1"/>
  <c r="M19" i="63" s="1"/>
  <c r="M23" i="54"/>
  <c r="J23" i="55" s="1"/>
  <c r="M23" i="55" s="1"/>
  <c r="J23" i="53"/>
  <c r="M23" i="53" s="1"/>
  <c r="J23" i="63" s="1"/>
  <c r="M23" i="63" s="1"/>
  <c r="J31" i="53"/>
  <c r="M31" i="53" s="1"/>
  <c r="J31" i="63" s="1"/>
  <c r="M31" i="63" s="1"/>
  <c r="M31" i="54"/>
  <c r="J31" i="55" s="1"/>
  <c r="M31" i="55" s="1"/>
  <c r="M36" i="54"/>
  <c r="J36" i="55" s="1"/>
  <c r="M36" i="55" s="1"/>
  <c r="J36" i="53"/>
  <c r="M36" i="53" s="1"/>
  <c r="J36" i="63" s="1"/>
  <c r="M36" i="63" s="1"/>
  <c r="M16" i="53"/>
  <c r="J16" i="63" s="1"/>
  <c r="E36" i="53"/>
  <c r="H36" i="53" s="1"/>
  <c r="E36" i="63" s="1"/>
  <c r="H36" i="63" s="1"/>
  <c r="N36" i="63" s="1"/>
  <c r="C36" i="40"/>
  <c r="E36" i="40" s="1"/>
  <c r="G36" i="40" s="1"/>
  <c r="N47" i="52"/>
  <c r="C47" i="40"/>
  <c r="E47" i="40" s="1"/>
  <c r="G47" i="40" s="1"/>
  <c r="H47" i="40" s="1"/>
  <c r="E47" i="53"/>
  <c r="H47" i="53" s="1"/>
  <c r="N41" i="52"/>
  <c r="E41" i="53"/>
  <c r="H41" i="53" s="1"/>
  <c r="C41" i="40"/>
  <c r="E41" i="40" s="1"/>
  <c r="G41" i="40" s="1"/>
  <c r="H41" i="40" s="1"/>
  <c r="N49" i="52"/>
  <c r="E49" i="53"/>
  <c r="H49" i="53" s="1"/>
  <c r="C49" i="40"/>
  <c r="E49" i="40" s="1"/>
  <c r="G49" i="40" s="1"/>
  <c r="H49" i="40" s="1"/>
  <c r="J51" i="55"/>
  <c r="M51" i="55" s="1"/>
  <c r="J53" i="55"/>
  <c r="M53" i="55" s="1"/>
  <c r="N26" i="52"/>
  <c r="C26" i="40"/>
  <c r="E26" i="40" s="1"/>
  <c r="G26" i="40" s="1"/>
  <c r="H26" i="40" s="1"/>
  <c r="E26" i="53"/>
  <c r="H26" i="53" s="1"/>
  <c r="E26" i="63" s="1"/>
  <c r="H26" i="63" s="1"/>
  <c r="N26" i="63" s="1"/>
  <c r="N42" i="52"/>
  <c r="C42" i="40"/>
  <c r="E42" i="40" s="1"/>
  <c r="G42" i="40" s="1"/>
  <c r="H42" i="40" s="1"/>
  <c r="E42" i="53"/>
  <c r="H42" i="53" s="1"/>
  <c r="E19" i="53"/>
  <c r="H19" i="53" s="1"/>
  <c r="E19" i="63" s="1"/>
  <c r="H19" i="63" s="1"/>
  <c r="C19" i="40"/>
  <c r="E19" i="40" s="1"/>
  <c r="G19" i="40" s="1"/>
  <c r="C31" i="40"/>
  <c r="E31" i="40" s="1"/>
  <c r="G31" i="40" s="1"/>
  <c r="E31" i="53"/>
  <c r="H31" i="53" s="1"/>
  <c r="E31" i="63" s="1"/>
  <c r="H31" i="63" s="1"/>
  <c r="E16" i="53"/>
  <c r="C16" i="40"/>
  <c r="E29" i="53"/>
  <c r="H29" i="53" s="1"/>
  <c r="C29" i="40"/>
  <c r="E29" i="40" s="1"/>
  <c r="G29" i="40" s="1"/>
  <c r="H29" i="40" s="1"/>
  <c r="N19" i="51"/>
  <c r="N23" i="51"/>
  <c r="N31" i="51"/>
  <c r="N34" i="52"/>
  <c r="N26" i="51"/>
  <c r="N37" i="51"/>
  <c r="N36" i="52"/>
  <c r="N21" i="52"/>
  <c r="N29" i="51"/>
  <c r="N38" i="52"/>
  <c r="I30" i="12"/>
  <c r="K30" i="12"/>
  <c r="N53" i="51"/>
  <c r="E53" i="52"/>
  <c r="H53" i="52" s="1"/>
  <c r="E53" i="54" s="1"/>
  <c r="H53" i="54" s="1"/>
  <c r="E53" i="55" s="1"/>
  <c r="H53" i="55" s="1"/>
  <c r="N16" i="51"/>
  <c r="J55" i="51"/>
  <c r="N19" i="52"/>
  <c r="N23" i="52"/>
  <c r="N31" i="52"/>
  <c r="N36" i="51"/>
  <c r="N16" i="52"/>
  <c r="N21" i="51"/>
  <c r="N29" i="52"/>
  <c r="N34" i="51"/>
  <c r="N38" i="51"/>
  <c r="N55" i="1"/>
  <c r="E18" i="52"/>
  <c r="M18" i="51"/>
  <c r="J18" i="52" s="1"/>
  <c r="H22" i="51"/>
  <c r="E22" i="52" s="1"/>
  <c r="H22" i="52" s="1"/>
  <c r="E22" i="54" s="1"/>
  <c r="H22" i="54" s="1"/>
  <c r="E55" i="51"/>
  <c r="F113" i="31"/>
  <c r="F120" i="31" s="1"/>
  <c r="G113" i="31"/>
  <c r="B26" i="49" l="1"/>
  <c r="C15" i="20" s="1"/>
  <c r="C19" i="20" s="1"/>
  <c r="N21" i="63"/>
  <c r="J30" i="63"/>
  <c r="M30" i="63" s="1"/>
  <c r="L51" i="49"/>
  <c r="E16" i="20"/>
  <c r="E19" i="20"/>
  <c r="F16" i="20"/>
  <c r="F19" i="20"/>
  <c r="D16" i="20"/>
  <c r="D19" i="20"/>
  <c r="E47" i="49"/>
  <c r="E48" i="49" s="1"/>
  <c r="G27" i="49"/>
  <c r="H15" i="20"/>
  <c r="N19" i="63"/>
  <c r="N34" i="63"/>
  <c r="N40" i="63"/>
  <c r="N23" i="63"/>
  <c r="N29" i="53"/>
  <c r="E29" i="63"/>
  <c r="H29" i="63" s="1"/>
  <c r="N29" i="63" s="1"/>
  <c r="N49" i="53"/>
  <c r="E49" i="63"/>
  <c r="H49" i="63" s="1"/>
  <c r="N49" i="63" s="1"/>
  <c r="M16" i="63"/>
  <c r="N37" i="53"/>
  <c r="E37" i="63"/>
  <c r="H37" i="63" s="1"/>
  <c r="N37" i="63" s="1"/>
  <c r="N38" i="53"/>
  <c r="E38" i="63"/>
  <c r="H38" i="63" s="1"/>
  <c r="N38" i="63" s="1"/>
  <c r="N24" i="53"/>
  <c r="E24" i="63"/>
  <c r="H24" i="63" s="1"/>
  <c r="N24" i="63" s="1"/>
  <c r="N43" i="53"/>
  <c r="E43" i="63"/>
  <c r="H43" i="63" s="1"/>
  <c r="N43" i="63" s="1"/>
  <c r="N46" i="53"/>
  <c r="E46" i="63"/>
  <c r="H46" i="63" s="1"/>
  <c r="N46" i="63" s="1"/>
  <c r="N35" i="53"/>
  <c r="E35" i="63"/>
  <c r="H35" i="63" s="1"/>
  <c r="N35" i="63" s="1"/>
  <c r="N32" i="53"/>
  <c r="E32" i="63"/>
  <c r="H32" i="63" s="1"/>
  <c r="N31" i="63"/>
  <c r="N42" i="53"/>
  <c r="E42" i="63"/>
  <c r="H42" i="63" s="1"/>
  <c r="N42" i="63" s="1"/>
  <c r="N41" i="53"/>
  <c r="E41" i="63"/>
  <c r="H41" i="63" s="1"/>
  <c r="N41" i="63" s="1"/>
  <c r="N47" i="53"/>
  <c r="E47" i="63"/>
  <c r="H47" i="63" s="1"/>
  <c r="N47" i="63" s="1"/>
  <c r="N48" i="53"/>
  <c r="E48" i="63"/>
  <c r="H48" i="63" s="1"/>
  <c r="N48" i="63" s="1"/>
  <c r="N44" i="53"/>
  <c r="E44" i="63"/>
  <c r="H44" i="63" s="1"/>
  <c r="N44" i="63" s="1"/>
  <c r="N33" i="53"/>
  <c r="E33" i="63"/>
  <c r="H33" i="63" s="1"/>
  <c r="N33" i="63" s="1"/>
  <c r="N30" i="53"/>
  <c r="E30" i="63"/>
  <c r="H30" i="63" s="1"/>
  <c r="N25" i="53"/>
  <c r="E25" i="63"/>
  <c r="H25" i="63" s="1"/>
  <c r="N25" i="63" s="1"/>
  <c r="N27" i="53"/>
  <c r="E27" i="63"/>
  <c r="H27" i="63" s="1"/>
  <c r="N27" i="63" s="1"/>
  <c r="N45" i="53"/>
  <c r="E45" i="63"/>
  <c r="H45" i="63" s="1"/>
  <c r="N45" i="63" s="1"/>
  <c r="N51" i="53"/>
  <c r="E51" i="63"/>
  <c r="H51" i="63" s="1"/>
  <c r="N51" i="63" s="1"/>
  <c r="N17" i="53"/>
  <c r="E17" i="63"/>
  <c r="H17" i="63" s="1"/>
  <c r="N17" i="63" s="1"/>
  <c r="N50" i="53"/>
  <c r="E50" i="63"/>
  <c r="H50" i="63" s="1"/>
  <c r="N50" i="63" s="1"/>
  <c r="N39" i="53"/>
  <c r="E39" i="63"/>
  <c r="H39" i="63" s="1"/>
  <c r="N39" i="63" s="1"/>
  <c r="N20" i="53"/>
  <c r="E20" i="63"/>
  <c r="H20" i="63" s="1"/>
  <c r="N20" i="63" s="1"/>
  <c r="H27" i="54"/>
  <c r="N27" i="54" s="1"/>
  <c r="N19" i="53"/>
  <c r="H46" i="49"/>
  <c r="D27" i="49"/>
  <c r="H45" i="54"/>
  <c r="E45" i="55" s="1"/>
  <c r="H45" i="55" s="1"/>
  <c r="N45" i="55" s="1"/>
  <c r="H35" i="54"/>
  <c r="E35" i="55" s="1"/>
  <c r="H35" i="55" s="1"/>
  <c r="N35" i="55" s="1"/>
  <c r="H42" i="54"/>
  <c r="E42" i="55" s="1"/>
  <c r="H42" i="55" s="1"/>
  <c r="N42" i="55" s="1"/>
  <c r="H47" i="54"/>
  <c r="N47" i="54" s="1"/>
  <c r="H41" i="54"/>
  <c r="N41" i="54" s="1"/>
  <c r="H51" i="54"/>
  <c r="E51" i="55" s="1"/>
  <c r="H51" i="55" s="1"/>
  <c r="N51" i="55" s="1"/>
  <c r="H43" i="54"/>
  <c r="N43" i="54" s="1"/>
  <c r="H25" i="54"/>
  <c r="E25" i="55" s="1"/>
  <c r="H25" i="55" s="1"/>
  <c r="N25" i="55" s="1"/>
  <c r="H17" i="54"/>
  <c r="N17" i="54" s="1"/>
  <c r="H49" i="54"/>
  <c r="N49" i="54" s="1"/>
  <c r="N34" i="53"/>
  <c r="E27" i="49"/>
  <c r="F27" i="49"/>
  <c r="B46" i="49"/>
  <c r="D41" i="49"/>
  <c r="D46" i="49" s="1"/>
  <c r="G50" i="49"/>
  <c r="G49" i="49"/>
  <c r="K47" i="49"/>
  <c r="N26" i="53"/>
  <c r="N36" i="53"/>
  <c r="G52" i="49"/>
  <c r="G47" i="49"/>
  <c r="G48" i="49" s="1"/>
  <c r="I47" i="49"/>
  <c r="I48" i="49" s="1"/>
  <c r="B36" i="49"/>
  <c r="N21" i="53"/>
  <c r="N28" i="53"/>
  <c r="J46" i="49"/>
  <c r="F46" i="49"/>
  <c r="E37" i="49"/>
  <c r="F37" i="49"/>
  <c r="N31" i="53"/>
  <c r="L28" i="54"/>
  <c r="M28" i="54" s="1"/>
  <c r="J28" i="55" s="1"/>
  <c r="M28" i="55" s="1"/>
  <c r="G28" i="54"/>
  <c r="L29" i="54"/>
  <c r="M29" i="54" s="1"/>
  <c r="J29" i="55" s="1"/>
  <c r="M29" i="55" s="1"/>
  <c r="G29" i="54"/>
  <c r="L37" i="54"/>
  <c r="M37" i="54" s="1"/>
  <c r="J37" i="55" s="1"/>
  <c r="M37" i="55" s="1"/>
  <c r="G37" i="54"/>
  <c r="L40" i="54"/>
  <c r="M40" i="54" s="1"/>
  <c r="J40" i="55" s="1"/>
  <c r="M40" i="55" s="1"/>
  <c r="G40" i="54"/>
  <c r="L24" i="54"/>
  <c r="M24" i="54" s="1"/>
  <c r="J24" i="55" s="1"/>
  <c r="M24" i="55" s="1"/>
  <c r="G24" i="54"/>
  <c r="N53" i="54"/>
  <c r="N40" i="53"/>
  <c r="G33" i="54"/>
  <c r="L33" i="54"/>
  <c r="M33" i="54" s="1"/>
  <c r="J33" i="55" s="1"/>
  <c r="M33" i="55" s="1"/>
  <c r="L30" i="54"/>
  <c r="M30" i="54" s="1"/>
  <c r="J30" i="55" s="1"/>
  <c r="M30" i="55" s="1"/>
  <c r="G30" i="54"/>
  <c r="E22" i="55"/>
  <c r="H22" i="55" s="1"/>
  <c r="N22" i="55" s="1"/>
  <c r="N22" i="54"/>
  <c r="N53" i="55"/>
  <c r="E27" i="55"/>
  <c r="H27" i="55" s="1"/>
  <c r="N27" i="55" s="1"/>
  <c r="L26" i="54"/>
  <c r="M26" i="54" s="1"/>
  <c r="J26" i="55" s="1"/>
  <c r="M26" i="55" s="1"/>
  <c r="G26" i="54"/>
  <c r="L16" i="54"/>
  <c r="G16" i="54"/>
  <c r="H19" i="54"/>
  <c r="J33" i="40"/>
  <c r="L33" i="40" s="1"/>
  <c r="I33" i="40"/>
  <c r="J30" i="40"/>
  <c r="L30" i="40" s="1"/>
  <c r="I30" i="40"/>
  <c r="H38" i="54"/>
  <c r="I43" i="40"/>
  <c r="J43" i="40"/>
  <c r="L43" i="40" s="1"/>
  <c r="N23" i="53"/>
  <c r="H50" i="54"/>
  <c r="H46" i="54"/>
  <c r="N53" i="52"/>
  <c r="E53" i="53"/>
  <c r="H53" i="53" s="1"/>
  <c r="C53" i="40"/>
  <c r="E53" i="40" s="1"/>
  <c r="G53" i="40" s="1"/>
  <c r="E16" i="40"/>
  <c r="H31" i="54"/>
  <c r="J26" i="40"/>
  <c r="L26" i="40" s="1"/>
  <c r="I26" i="40"/>
  <c r="J37" i="40"/>
  <c r="L37" i="40" s="1"/>
  <c r="I37" i="40"/>
  <c r="J25" i="40"/>
  <c r="L25" i="40" s="1"/>
  <c r="I25" i="40"/>
  <c r="J27" i="40"/>
  <c r="L27" i="40" s="1"/>
  <c r="I27" i="40"/>
  <c r="I45" i="40"/>
  <c r="J45" i="40"/>
  <c r="L45" i="40" s="1"/>
  <c r="H21" i="54"/>
  <c r="J28" i="40"/>
  <c r="L28" i="40" s="1"/>
  <c r="I28" i="40"/>
  <c r="N22" i="52"/>
  <c r="E22" i="53"/>
  <c r="H22" i="53" s="1"/>
  <c r="C22" i="40"/>
  <c r="E22" i="40" s="1"/>
  <c r="G22" i="40" s="1"/>
  <c r="H22" i="40" s="1"/>
  <c r="H16" i="53"/>
  <c r="J42" i="40"/>
  <c r="L42" i="40" s="1"/>
  <c r="I42" i="40"/>
  <c r="J41" i="40"/>
  <c r="L41" i="40" s="1"/>
  <c r="I41" i="40"/>
  <c r="J47" i="40"/>
  <c r="L47" i="40" s="1"/>
  <c r="I47" i="40"/>
  <c r="H36" i="54"/>
  <c r="J24" i="40"/>
  <c r="L24" i="40" s="1"/>
  <c r="I24" i="40"/>
  <c r="H34" i="54"/>
  <c r="H39" i="54"/>
  <c r="J35" i="40"/>
  <c r="L35" i="40" s="1"/>
  <c r="I35" i="40"/>
  <c r="H20" i="54"/>
  <c r="J29" i="40"/>
  <c r="L29" i="40" s="1"/>
  <c r="I29" i="40"/>
  <c r="I49" i="40"/>
  <c r="J49" i="40"/>
  <c r="L49" i="40" s="1"/>
  <c r="H48" i="54"/>
  <c r="H44" i="54"/>
  <c r="J40" i="40"/>
  <c r="L40" i="40" s="1"/>
  <c r="I40" i="40"/>
  <c r="I17" i="40"/>
  <c r="J17" i="40"/>
  <c r="L17" i="40" s="1"/>
  <c r="H23" i="54"/>
  <c r="H32" i="54"/>
  <c r="M55" i="51"/>
  <c r="H18" i="52"/>
  <c r="E54" i="52"/>
  <c r="N18" i="51"/>
  <c r="N22" i="51"/>
  <c r="H55" i="51"/>
  <c r="C16" i="20" l="1"/>
  <c r="N32" i="63"/>
  <c r="N30" i="63"/>
  <c r="H16" i="20"/>
  <c r="H19" i="20"/>
  <c r="E18" i="54"/>
  <c r="E16" i="63"/>
  <c r="H16" i="63" s="1"/>
  <c r="E49" i="55"/>
  <c r="H49" i="55" s="1"/>
  <c r="N49" i="55" s="1"/>
  <c r="N45" i="54"/>
  <c r="E43" i="55"/>
  <c r="H43" i="55" s="1"/>
  <c r="N43" i="55" s="1"/>
  <c r="N35" i="54"/>
  <c r="E47" i="55"/>
  <c r="H47" i="55" s="1"/>
  <c r="N47" i="55" s="1"/>
  <c r="N42" i="54"/>
  <c r="N22" i="53"/>
  <c r="E22" i="63"/>
  <c r="H22" i="63" s="1"/>
  <c r="N22" i="63" s="1"/>
  <c r="N53" i="53"/>
  <c r="E53" i="63"/>
  <c r="H53" i="63" s="1"/>
  <c r="N53" i="63" s="1"/>
  <c r="E17" i="55"/>
  <c r="H17" i="55" s="1"/>
  <c r="N17" i="55" s="1"/>
  <c r="E41" i="55"/>
  <c r="H41" i="55" s="1"/>
  <c r="N41" i="55" s="1"/>
  <c r="N25" i="54"/>
  <c r="N51" i="54"/>
  <c r="H30" i="54"/>
  <c r="N30" i="54" s="1"/>
  <c r="H24" i="54"/>
  <c r="N24" i="54" s="1"/>
  <c r="H40" i="54"/>
  <c r="E40" i="55" s="1"/>
  <c r="H40" i="55" s="1"/>
  <c r="N40" i="55" s="1"/>
  <c r="H37" i="54"/>
  <c r="E37" i="55" s="1"/>
  <c r="H37" i="55" s="1"/>
  <c r="N37" i="55" s="1"/>
  <c r="H29" i="54"/>
  <c r="E29" i="55" s="1"/>
  <c r="H29" i="55" s="1"/>
  <c r="N29" i="55" s="1"/>
  <c r="H28" i="54"/>
  <c r="N28" i="54" s="1"/>
  <c r="H26" i="54"/>
  <c r="E26" i="55" s="1"/>
  <c r="H26" i="55" s="1"/>
  <c r="N26" i="55" s="1"/>
  <c r="H33" i="54"/>
  <c r="E33" i="55" s="1"/>
  <c r="H33" i="55" s="1"/>
  <c r="N33" i="55" s="1"/>
  <c r="G51" i="49"/>
  <c r="K48" i="49"/>
  <c r="L50" i="49" s="1"/>
  <c r="H16" i="54"/>
  <c r="M16" i="54"/>
  <c r="J16" i="55" s="1"/>
  <c r="M16" i="55" s="1"/>
  <c r="E24" i="55"/>
  <c r="H24" i="55" s="1"/>
  <c r="N24" i="55" s="1"/>
  <c r="E44" i="55"/>
  <c r="H44" i="55" s="1"/>
  <c r="N44" i="55" s="1"/>
  <c r="N44" i="54"/>
  <c r="N34" i="54"/>
  <c r="E34" i="55"/>
  <c r="H34" i="55" s="1"/>
  <c r="N34" i="55" s="1"/>
  <c r="N36" i="54"/>
  <c r="E36" i="55"/>
  <c r="H36" i="55" s="1"/>
  <c r="N36" i="55" s="1"/>
  <c r="N32" i="54"/>
  <c r="E32" i="55"/>
  <c r="H32" i="55" s="1"/>
  <c r="E39" i="55"/>
  <c r="H39" i="55" s="1"/>
  <c r="N39" i="55" s="1"/>
  <c r="N39" i="54"/>
  <c r="J22" i="40"/>
  <c r="L22" i="40" s="1"/>
  <c r="I22" i="40"/>
  <c r="G16" i="40"/>
  <c r="N46" i="54"/>
  <c r="E46" i="55"/>
  <c r="H46" i="55" s="1"/>
  <c r="N46" i="55" s="1"/>
  <c r="N38" i="54"/>
  <c r="E38" i="55"/>
  <c r="H38" i="55" s="1"/>
  <c r="N38" i="55" s="1"/>
  <c r="E18" i="53"/>
  <c r="C18" i="40"/>
  <c r="N48" i="54"/>
  <c r="E48" i="55"/>
  <c r="H48" i="55" s="1"/>
  <c r="N48" i="55" s="1"/>
  <c r="E20" i="55"/>
  <c r="H20" i="55" s="1"/>
  <c r="N20" i="55" s="1"/>
  <c r="N20" i="54"/>
  <c r="N21" i="54"/>
  <c r="E21" i="55"/>
  <c r="H21" i="55" s="1"/>
  <c r="N21" i="55" s="1"/>
  <c r="N31" i="54"/>
  <c r="E31" i="55"/>
  <c r="H31" i="55" s="1"/>
  <c r="N31" i="55" s="1"/>
  <c r="N19" i="54"/>
  <c r="E19" i="55"/>
  <c r="H19" i="55" s="1"/>
  <c r="N19" i="55" s="1"/>
  <c r="N23" i="54"/>
  <c r="E23" i="55"/>
  <c r="H23" i="55" s="1"/>
  <c r="N23" i="55" s="1"/>
  <c r="N16" i="53"/>
  <c r="N50" i="54"/>
  <c r="E50" i="55"/>
  <c r="H50" i="55" s="1"/>
  <c r="N50" i="55" s="1"/>
  <c r="N55" i="51"/>
  <c r="H54" i="52"/>
  <c r="M18" i="52"/>
  <c r="J18" i="54" s="1"/>
  <c r="J54" i="52"/>
  <c r="N32" i="55" l="1"/>
  <c r="N26" i="54"/>
  <c r="E28" i="55"/>
  <c r="H28" i="55" s="1"/>
  <c r="N28" i="55" s="1"/>
  <c r="E30" i="55"/>
  <c r="H30" i="55" s="1"/>
  <c r="N30" i="55" s="1"/>
  <c r="N40" i="54"/>
  <c r="N16" i="63"/>
  <c r="N37" i="54"/>
  <c r="N29" i="54"/>
  <c r="N33" i="54"/>
  <c r="E16" i="55"/>
  <c r="H16" i="55" s="1"/>
  <c r="N16" i="54"/>
  <c r="L18" i="54"/>
  <c r="L54" i="54" s="1"/>
  <c r="G18" i="54"/>
  <c r="M54" i="52"/>
  <c r="J18" i="53"/>
  <c r="H18" i="53"/>
  <c r="E54" i="53"/>
  <c r="E54" i="54"/>
  <c r="H16" i="40"/>
  <c r="E18" i="40"/>
  <c r="C55" i="40"/>
  <c r="N18" i="52"/>
  <c r="N54" i="52" s="1"/>
  <c r="E22" i="47" s="1"/>
  <c r="E28" i="47" s="1"/>
  <c r="E18" i="63" l="1"/>
  <c r="E54" i="63" s="1"/>
  <c r="N16" i="55"/>
  <c r="H18" i="63"/>
  <c r="G54" i="54"/>
  <c r="H18" i="54"/>
  <c r="G18" i="40"/>
  <c r="G55" i="40" s="1"/>
  <c r="E55" i="40"/>
  <c r="H54" i="53"/>
  <c r="M18" i="54"/>
  <c r="N18" i="54" s="1"/>
  <c r="N54" i="54" s="1"/>
  <c r="J54" i="54"/>
  <c r="J16" i="40"/>
  <c r="I16" i="40"/>
  <c r="E18" i="55"/>
  <c r="M18" i="53"/>
  <c r="J54" i="53"/>
  <c r="H54" i="54" l="1"/>
  <c r="M54" i="53"/>
  <c r="J18" i="63"/>
  <c r="H54" i="63"/>
  <c r="E31" i="47"/>
  <c r="E37" i="47" s="1"/>
  <c r="L16" i="40"/>
  <c r="L55" i="40" s="1"/>
  <c r="J55" i="40"/>
  <c r="N18" i="53"/>
  <c r="N54" i="53" s="1"/>
  <c r="H18" i="55"/>
  <c r="E54" i="55"/>
  <c r="J18" i="55"/>
  <c r="M54" i="54"/>
  <c r="M18" i="63" l="1"/>
  <c r="J54" i="63"/>
  <c r="E39" i="47"/>
  <c r="H54" i="55"/>
  <c r="M18" i="55"/>
  <c r="M54" i="55" s="1"/>
  <c r="J54" i="55"/>
  <c r="M54" i="63" l="1"/>
  <c r="N18" i="63"/>
  <c r="N54" i="63" s="1"/>
  <c r="E43" i="47"/>
  <c r="E44" i="47" s="1"/>
  <c r="E46" i="47" s="1"/>
  <c r="F42" i="47" s="1"/>
  <c r="F44" i="47" s="1"/>
  <c r="F45" i="47"/>
  <c r="H45" i="47" s="1"/>
  <c r="F49" i="47"/>
  <c r="F50" i="47"/>
  <c r="N18" i="55"/>
  <c r="N54" i="55" s="1"/>
  <c r="G45" i="47" l="1"/>
  <c r="I45" i="47"/>
  <c r="F46" i="47"/>
  <c r="G42" i="47" s="1"/>
  <c r="G44" i="47" s="1"/>
  <c r="F51" i="47"/>
  <c r="G46" i="47" l="1"/>
  <c r="H42" i="47" s="1"/>
  <c r="H44" i="47" s="1"/>
  <c r="H46" i="47" s="1"/>
  <c r="I42" i="47" s="1"/>
  <c r="I44" i="47" s="1"/>
  <c r="I46" i="47" s="1"/>
  <c r="I16" i="39" l="1"/>
  <c r="J16" i="39"/>
  <c r="J55" i="39" s="1"/>
  <c r="E18" i="39"/>
  <c r="E55" i="39" s="1"/>
  <c r="D55" i="39"/>
  <c r="L16" i="39" l="1"/>
  <c r="L55" i="39" s="1"/>
  <c r="G18" i="39"/>
  <c r="G55" i="39" s="1"/>
</calcChain>
</file>

<file path=xl/sharedStrings.xml><?xml version="1.0" encoding="utf-8"?>
<sst xmlns="http://schemas.openxmlformats.org/spreadsheetml/2006/main" count="7071" uniqueCount="1249">
  <si>
    <t>Total Compensation (Salary, Wages, &amp; Benefits)</t>
  </si>
  <si>
    <t>Total Compensation</t>
  </si>
  <si>
    <t>Current Benefits</t>
  </si>
  <si>
    <t>Accrued Pension and Post-Retirement Benefits</t>
  </si>
  <si>
    <t>Employee Costs</t>
  </si>
  <si>
    <t>Depreciation and Amortization Expense</t>
  </si>
  <si>
    <t>Account</t>
  </si>
  <si>
    <t>(a)</t>
  </si>
  <si>
    <t>(d)</t>
  </si>
  <si>
    <t>Total for Depreciation</t>
  </si>
  <si>
    <t>Years</t>
  </si>
  <si>
    <t>(f)</t>
  </si>
  <si>
    <t>(g) = 1 / (f)</t>
  </si>
  <si>
    <t>(h) = (e) / (f)</t>
  </si>
  <si>
    <t>etc.</t>
  </si>
  <si>
    <t>(2)</t>
  </si>
  <si>
    <t>Notes:</t>
  </si>
  <si>
    <t>Consumption</t>
  </si>
  <si>
    <t xml:space="preserve"> kWh</t>
  </si>
  <si>
    <t>Current Board-Approved</t>
  </si>
  <si>
    <t>Proposed</t>
  </si>
  <si>
    <t>Impact</t>
  </si>
  <si>
    <t>Charge Unit</t>
  </si>
  <si>
    <t>Rate</t>
  </si>
  <si>
    <t>Volume</t>
  </si>
  <si>
    <t>Charge</t>
  </si>
  <si>
    <t>$ Change</t>
  </si>
  <si>
    <t>% Change</t>
  </si>
  <si>
    <t>Monthly Service Charge</t>
  </si>
  <si>
    <t>Smart Meter Rate Adder</t>
  </si>
  <si>
    <t>Distribution Volumetric Rate</t>
  </si>
  <si>
    <t>Smart Meter Disposition Rider</t>
  </si>
  <si>
    <t>RTSR - Network</t>
  </si>
  <si>
    <t>RTSR - Line and Transformation Connection</t>
  </si>
  <si>
    <t>Wholesale Market Service Charge (WMSC)</t>
  </si>
  <si>
    <t>Rural and Remote Rate Protection (RRRP)</t>
  </si>
  <si>
    <t>Standard Supply Service Charge</t>
  </si>
  <si>
    <t>Debt Retirement Charge (DRC)</t>
  </si>
  <si>
    <t>HST</t>
  </si>
  <si>
    <t>Loss Factor (%)</t>
  </si>
  <si>
    <t>Customer Class:</t>
  </si>
  <si>
    <t>Appendix 2-V</t>
  </si>
  <si>
    <t>Year</t>
  </si>
  <si>
    <t>Gross Asset Value</t>
  </si>
  <si>
    <t>Accumulated Amortization</t>
  </si>
  <si>
    <t>Net Asset</t>
  </si>
  <si>
    <t>Proceeds on Disposition</t>
  </si>
  <si>
    <t>Residual Net Book Value</t>
  </si>
  <si>
    <t>(A)</t>
  </si>
  <si>
    <t>(B)</t>
  </si>
  <si>
    <t>(D)</t>
  </si>
  <si>
    <t>(E)</t>
  </si>
  <si>
    <t>Capital Projects Table</t>
  </si>
  <si>
    <t>Appendix 2-A</t>
  </si>
  <si>
    <t>USoA #</t>
  </si>
  <si>
    <t>Appendix 2-B</t>
  </si>
  <si>
    <t>Other Operating Revenue</t>
  </si>
  <si>
    <t>Miscellaneous General Expenses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</si>
  <si>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</si>
  <si>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Specific Service Charges</t>
  </si>
  <si>
    <t>Late Payment Charges</t>
  </si>
  <si>
    <t>Retail Services Revenues</t>
  </si>
  <si>
    <t>Appendix 2-M</t>
  </si>
  <si>
    <t>Bill Impacts</t>
  </si>
  <si>
    <t>(3)</t>
  </si>
  <si>
    <t>(4)</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</si>
  <si>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</si>
  <si>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Revenue Reconciliation</t>
  </si>
  <si>
    <t>Rate Class</t>
  </si>
  <si>
    <t>Customers/ Connections</t>
  </si>
  <si>
    <t>Number of Customers/Connections</t>
  </si>
  <si>
    <t>Test Year Consumption</t>
  </si>
  <si>
    <t>Proposed Rates</t>
  </si>
  <si>
    <t>Revenues at Proposed Rates</t>
  </si>
  <si>
    <t>Transformer Allowance Credit</t>
  </si>
  <si>
    <t>Difference</t>
  </si>
  <si>
    <t>Start of Test Year</t>
  </si>
  <si>
    <t>End of Test Year</t>
  </si>
  <si>
    <t>Average</t>
  </si>
  <si>
    <t>kWh</t>
  </si>
  <si>
    <t>kW</t>
  </si>
  <si>
    <t>Volumetric</t>
  </si>
  <si>
    <t>Residential</t>
  </si>
  <si>
    <t>GS &lt; 50 kW</t>
  </si>
  <si>
    <t>Large Use</t>
  </si>
  <si>
    <t>Streetlighting</t>
  </si>
  <si>
    <t>Sentinel Lighting</t>
  </si>
  <si>
    <t>Unmetered Scattered Load</t>
  </si>
  <si>
    <t>Standby Power</t>
  </si>
  <si>
    <t>Appendix 2-T</t>
  </si>
  <si>
    <t>Operation Supervision and Engineering</t>
  </si>
  <si>
    <t>Load Dispatching</t>
  </si>
  <si>
    <t>Station Buildings and Fixtures Expense</t>
  </si>
  <si>
    <t>Transformer Station Equipment - Operation Labour</t>
  </si>
  <si>
    <t>Transformer Station Equipment - Operation Supplies and Expenses</t>
  </si>
  <si>
    <t>Distribution Station Equipment - Operation Labour</t>
  </si>
  <si>
    <t>Distribution Station Equipment - Operation Supplies and Expenses</t>
  </si>
  <si>
    <t>Overhead Distribution Lines and Feeders - Operation Labour</t>
  </si>
  <si>
    <t>Overhead Distribution Lines and Feeders - Operation Supplies and Expenses</t>
  </si>
  <si>
    <t>4305, 4310, 4315, 4320, 4325, 4330, 4335, 4340, 4345, 4350, 4355, 4360, 4365, 4370, 4375, 4380, 4385, 4390, 4395, 4398, 4405, 4415</t>
  </si>
  <si>
    <t>Adjustments for non-recoverable items</t>
  </si>
  <si>
    <t>Total Recoverable OM&amp;A</t>
  </si>
  <si>
    <r>
      <t xml:space="preserve">Summary of </t>
    </r>
    <r>
      <rPr>
        <b/>
        <u/>
        <sz val="14"/>
        <color indexed="10"/>
        <rFont val="Arial"/>
        <family val="2"/>
      </rPr>
      <t>Recoverable</t>
    </r>
    <r>
      <rPr>
        <b/>
        <sz val="14"/>
        <rFont val="Arial"/>
        <family val="2"/>
      </rPr>
      <t xml:space="preserve"> OM&amp;A Expenses</t>
    </r>
  </si>
  <si>
    <t>OM&amp;A Detailed Variance Analysis</t>
  </si>
  <si>
    <t>OEB Section 30 Costs (Applicant-originated)</t>
  </si>
  <si>
    <t>Recoverable OM&amp;A Cost per Customer and per FTEE</t>
  </si>
  <si>
    <t>Note</t>
  </si>
  <si>
    <t xml:space="preserve">Note that the "Charge $" columns provide breakdowns of the amounts that each bill component contributes to the total monthly bill at the referenced </t>
  </si>
  <si>
    <t>consumption level at existing and proposed rates.</t>
  </si>
  <si>
    <t>to their service territory, class by class. A general guideline of consumption levels follows:</t>
  </si>
  <si>
    <t>Residential (kWh) - 100, 250, 500, 800, 1000, 1500, 2000</t>
  </si>
  <si>
    <t>GS&lt;50kW (kWh) - 1000, 2000, 5000, 10000, 15000</t>
  </si>
  <si>
    <t>GS&gt;50kW (kW) - 60, 100, 500, 1000</t>
  </si>
  <si>
    <t>Large User - range appropriate for utility</t>
  </si>
  <si>
    <t>Lighting Classes and USL - 150 kWh and 1 kW, range appropriate for utility.</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</si>
  <si>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</si>
  <si>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</si>
  <si>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</si>
  <si>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</si>
  <si>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The following table should be completed based on the information requested below, in accordance with the notes following the table. An explanation should be provided for any blank entries.</t>
  </si>
  <si>
    <t>Large Corporation Tax grossed-up proxy from 2006 EDR application PILs model for the period from January 1, 2006 to April 30, 2006 (4/12ths of the approved grossed-up proxy), if not recorded in PILs account 1562</t>
  </si>
  <si>
    <t>Overhead Sub-transmission Feeders - Operation</t>
  </si>
  <si>
    <t>Overhead Distribution Transformers - Operation</t>
  </si>
  <si>
    <t>Underground Distribution Lines and Feeders - Operation Labour</t>
  </si>
  <si>
    <t>Underground Distribution Lines and Feeders - Operation Supplies and Expenses</t>
  </si>
  <si>
    <t>Underground Sub-transmission Feeders - Operation</t>
  </si>
  <si>
    <t>Underground Distribution Transformers - Operation</t>
  </si>
  <si>
    <t>Street Lighting and Signal System Expense</t>
  </si>
  <si>
    <t>Meter Expense</t>
  </si>
  <si>
    <t>Customer Premises - Operation Labour</t>
  </si>
  <si>
    <t>Customer Premises - Operation Materials and Expenses</t>
  </si>
  <si>
    <t>Miscellaneous Distribution Expenses</t>
  </si>
  <si>
    <t>Underground Distribution Lines and Feeders - Rental Paid</t>
  </si>
  <si>
    <t>Overhead Distribution Lines and Feeders - Rental Paid</t>
  </si>
  <si>
    <t>Other Rent</t>
  </si>
  <si>
    <t>Maintenance Supervision and Engineering</t>
  </si>
  <si>
    <t>Forecast</t>
  </si>
  <si>
    <t>required.</t>
  </si>
  <si>
    <t>For each year, a detailed explanation for each cost driver and associated amount is</t>
  </si>
  <si>
    <t>USoA Description</t>
  </si>
  <si>
    <t>1</t>
  </si>
  <si>
    <r>
      <t xml:space="preserve">Operating expenses associated with other resources allocated to regulatory matters </t>
    </r>
    <r>
      <rPr>
        <vertAlign val="superscript"/>
        <sz val="10"/>
        <rFont val="Arial"/>
        <family val="2"/>
      </rPr>
      <t>1</t>
    </r>
  </si>
  <si>
    <r>
      <t xml:space="preserve">Ongoing or One-time Cost? </t>
    </r>
    <r>
      <rPr>
        <b/>
        <vertAlign val="superscript"/>
        <sz val="10"/>
        <rFont val="Arial"/>
        <family val="2"/>
      </rPr>
      <t>2</t>
    </r>
  </si>
  <si>
    <r>
      <t xml:space="preserve">Sub-total - Ongoing Costs </t>
    </r>
    <r>
      <rPr>
        <vertAlign val="superscript"/>
        <sz val="10"/>
        <rFont val="Arial"/>
        <family val="2"/>
      </rPr>
      <t>3</t>
    </r>
  </si>
  <si>
    <r>
      <t xml:space="preserve">Sub-total - One-time Costs </t>
    </r>
    <r>
      <rPr>
        <vertAlign val="superscript"/>
        <sz val="10"/>
        <rFont val="Arial"/>
        <family val="2"/>
      </rPr>
      <t>4</t>
    </r>
  </si>
  <si>
    <t>2</t>
  </si>
  <si>
    <t>3</t>
  </si>
  <si>
    <t>4</t>
  </si>
  <si>
    <r>
      <t>Number of Employees (FTEs including Part-Time)</t>
    </r>
    <r>
      <rPr>
        <b/>
        <vertAlign val="superscript"/>
        <sz val="10"/>
        <rFont val="Arial"/>
        <family val="2"/>
      </rPr>
      <t>1</t>
    </r>
  </si>
  <si>
    <t>Costs Allocated in Test Year Study                    (Column 7A)</t>
  </si>
  <si>
    <t>(7C + 7E) / (7A)</t>
  </si>
  <si>
    <t>(7D + 7E) / (7A)</t>
  </si>
  <si>
    <t>(D ) = (A) - (B) - (C)</t>
  </si>
  <si>
    <t>Maintenance of Buildings and Fixtures - Distribution Stations</t>
  </si>
  <si>
    <t>Maintenance of Transformer Station Equipment</t>
  </si>
  <si>
    <t>Maintenance of Poles, Towers and Fixtures</t>
  </si>
  <si>
    <t>Maintenance of Distribution Station Equipment</t>
  </si>
  <si>
    <t>Maintenance of Overhead Conductors and Devices</t>
  </si>
  <si>
    <t>Maintenance of Overhead Services</t>
  </si>
  <si>
    <t>Overhead Distribution Lines and Feeders - Right of Way</t>
  </si>
  <si>
    <t>Maintenance of Underground Conduit</t>
  </si>
  <si>
    <t>Maintenance of Underground Conductors and Devices</t>
  </si>
  <si>
    <t>Maintenance of Underground Services</t>
  </si>
  <si>
    <t>Maintenance of Line Transformers</t>
  </si>
  <si>
    <t>Maintenance of Street Lighting and Signal Systems</t>
  </si>
  <si>
    <t>Sentinel Lights - Labour</t>
  </si>
  <si>
    <t>Sentinel Lights - Materials and Expenses</t>
  </si>
  <si>
    <t>Maintenance of Meters</t>
  </si>
  <si>
    <t>Customer Installations Expenses - Leased Property</t>
  </si>
  <si>
    <t>Billing and Collecting</t>
  </si>
  <si>
    <t>Detailed, Account by Account, OM&amp;A Expense Table</t>
  </si>
  <si>
    <t>OM&amp;A Cost Driver Table</t>
  </si>
  <si>
    <t>Regulatory Cost Schedule</t>
  </si>
  <si>
    <t xml:space="preserve">Year </t>
  </si>
  <si>
    <t>Reporting Basis</t>
  </si>
  <si>
    <t>CGAAP</t>
  </si>
  <si>
    <t>MIFRS</t>
  </si>
  <si>
    <t>The above table assumes adoption of MIFRS as of January 1, 2013.  If the adoption year differs, please adjust the table accordingly.</t>
  </si>
  <si>
    <t>Cost Allocation</t>
  </si>
  <si>
    <t>Loss Factors</t>
  </si>
  <si>
    <t>Cost of Service Rate Application Schematic</t>
  </si>
  <si>
    <t>Specific Service Charges:</t>
  </si>
  <si>
    <t>Account(s)</t>
  </si>
  <si>
    <t>Late Payment Charges:</t>
  </si>
  <si>
    <t>Other Distribution Revenues:</t>
  </si>
  <si>
    <t>Other Income and Expenses:</t>
  </si>
  <si>
    <t>Account 4405 - Interest and Dividend Income</t>
  </si>
  <si>
    <t>List and specify any other interest revenue</t>
  </si>
  <si>
    <t>Supervision</t>
  </si>
  <si>
    <t>Meter Reading Expense</t>
  </si>
  <si>
    <t>Customer Billing</t>
  </si>
  <si>
    <t>Collecting</t>
  </si>
  <si>
    <t>Collecting - Cash Over and Short</t>
  </si>
  <si>
    <t>Collection Charges</t>
  </si>
  <si>
    <t>Bad Debt Expense</t>
  </si>
  <si>
    <t>Miscellaneous Customer Accounts Expenses</t>
  </si>
  <si>
    <t>Maintenance of Other Installations on Customer Premises</t>
  </si>
  <si>
    <t>Community Relations - Sundry</t>
  </si>
  <si>
    <t>Energy Conservation</t>
  </si>
  <si>
    <t>Community Safety Program</t>
  </si>
  <si>
    <t>Miscellaneous Customer Service and Informational Expenses</t>
  </si>
  <si>
    <t>Demonstrating and Selling Expense</t>
  </si>
  <si>
    <t>Advertising Expenses</t>
  </si>
  <si>
    <t>Miscellaneous Sales Expense</t>
  </si>
  <si>
    <t>Administrative and General Expenses</t>
  </si>
  <si>
    <t>Executive Salaries and Expenses</t>
  </si>
  <si>
    <t>Management Salaries and Expenses</t>
  </si>
  <si>
    <t>General Administrative Salaries and Expenses</t>
  </si>
  <si>
    <t>Office Supplies and Expenses</t>
  </si>
  <si>
    <t>Administrative Expense Transferred - Credit</t>
  </si>
  <si>
    <t>Outside Services Employed</t>
  </si>
  <si>
    <t>Property Insurance</t>
  </si>
  <si>
    <t>Injuries and Damages</t>
  </si>
  <si>
    <t>Franchise Requirements</t>
  </si>
  <si>
    <t>Regulatory Expenses</t>
  </si>
  <si>
    <t>General Advertising Expenses</t>
  </si>
  <si>
    <t>Rent</t>
  </si>
  <si>
    <t>Maintenance of General Plant</t>
  </si>
  <si>
    <t>Electrical Safety Authority Fees</t>
  </si>
  <si>
    <t>Independent Electricity System Operator Fees and Penalties</t>
  </si>
  <si>
    <t>OM&amp;A Contra Account</t>
  </si>
  <si>
    <t>Appendix 2-F</t>
  </si>
  <si>
    <t>Operations</t>
  </si>
  <si>
    <t>(excluding Depreciation and Amortization)</t>
  </si>
  <si>
    <t>Total - Operations</t>
  </si>
  <si>
    <t>Maintenance</t>
  </si>
  <si>
    <t>Total - Maintenance</t>
  </si>
  <si>
    <t>Total - Billing and Collecting</t>
  </si>
  <si>
    <t>Community Relations</t>
  </si>
  <si>
    <t>Note:</t>
  </si>
  <si>
    <t>Appendix 2-G</t>
  </si>
  <si>
    <t>OM&amp;A</t>
  </si>
  <si>
    <t>The closing balance for each year becomes the opening balance for the next year.</t>
  </si>
  <si>
    <t>Regulatory Cost Category</t>
  </si>
  <si>
    <t>USoA Account</t>
  </si>
  <si>
    <t>Annual % Change</t>
  </si>
  <si>
    <t>(C )</t>
  </si>
  <si>
    <t>USoA Account Balance</t>
  </si>
  <si>
    <t>(F)</t>
  </si>
  <si>
    <t>(G)</t>
  </si>
  <si>
    <t>(I)</t>
  </si>
  <si>
    <t>(H) = [(G)-(F)]/(F)</t>
  </si>
  <si>
    <t>(J) = [(I)-(G)]/(G)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</si>
  <si>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</si>
  <si>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</si>
  <si>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</si>
  <si>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</si>
  <si>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</si>
  <si>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</si>
  <si>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Appendix 2-J</t>
  </si>
  <si>
    <t>Other regulatory agency fees or assessments</t>
  </si>
  <si>
    <t>Intervenor costs</t>
  </si>
  <si>
    <t>Sum of all ongoing costs identified in rows 1 to 11 inclusive.</t>
  </si>
  <si>
    <t>Sum of all one-time costs identified in rows 1 to 11 inclusive.</t>
  </si>
  <si>
    <t>Please identify the resources involved.</t>
  </si>
  <si>
    <t>Where a category's costs include both one-time and ongoing costs, the applicant should prove a separate breakdown between one-time and ongoing costs.</t>
  </si>
  <si>
    <t>Test Year Versus Last Rebasing</t>
  </si>
  <si>
    <t>Test Year Versus Most Current Actuals</t>
  </si>
  <si>
    <t>Variance ($)</t>
  </si>
  <si>
    <t>Percentage Change (%)</t>
  </si>
  <si>
    <t>Total OM&amp;A</t>
  </si>
  <si>
    <t>Total - Community Relations</t>
  </si>
  <si>
    <t>Total - Administrative and General Expenses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</si>
  <si>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</si>
  <si>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</si>
  <si>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</si>
  <si>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</si>
  <si>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</si>
  <si>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</si>
  <si>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</si>
  <si>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</si>
  <si>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</si>
  <si>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</si>
  <si>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</si>
  <si>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</si>
  <si>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</si>
  <si>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</si>
  <si>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</si>
  <si>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</si>
  <si>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</si>
  <si>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</si>
  <si>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</si>
  <si>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</si>
  <si>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</si>
  <si>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</si>
  <si>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</si>
  <si>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</si>
  <si>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</si>
  <si>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</si>
  <si>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</si>
  <si>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</si>
  <si>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</si>
  <si>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</si>
  <si>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Number of Customers</t>
  </si>
  <si>
    <t>OM&amp;A cost per customer</t>
  </si>
  <si>
    <t>Number of FTEEs</t>
  </si>
  <si>
    <t>Customers/FTEEs</t>
  </si>
  <si>
    <t>OM&amp;A Cost per FTEE</t>
  </si>
  <si>
    <t>The number of customers and the number of FTEEs should correspond to mid-year or average of January 1 and December 31 figures.</t>
  </si>
  <si>
    <t>Appendix 2-L</t>
  </si>
  <si>
    <t>Appendix 2-U</t>
  </si>
  <si>
    <t>Deferred PILs Account 1592 Balances</t>
  </si>
  <si>
    <t>Stranded Meter Treatment</t>
  </si>
  <si>
    <t>Tax Item</t>
  </si>
  <si>
    <t>Principal as of</t>
  </si>
  <si>
    <t>December 31,</t>
  </si>
  <si>
    <t>Large Corporation Tax grossed-up proxy from 2006 EDR application PILs model for the period from May 1, 2006 to April 30, 2007</t>
  </si>
  <si>
    <t>Ontario Capital Tax rate decrease and increase in capital deduction for 2007</t>
  </si>
  <si>
    <t>Ontario Capital Tax rate decrease and increase in capital deduction for 2008</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</si>
  <si>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</si>
  <si>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</si>
  <si>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</si>
  <si>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</si>
  <si>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</si>
  <si>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</si>
  <si>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any prior application not recorded above.  Please provide details and explanation separately.</t>
  </si>
  <si>
    <t>Insert description of additional item(s) and new rows if needed.</t>
  </si>
  <si>
    <t>Revise the deferral and variance account continuity schedule to include account 1592 as a group 2 account and enter all relevant information for transactions, adjustments, etc., for all relevant years.</t>
  </si>
  <si>
    <t>Describe each type of tax item that has been recorded in account 1592.</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</si>
  <si>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</si>
  <si>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</si>
  <si>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4080, 4082, 4084, 4090, 4205, 4210, 4215, 4220, 4240, 4245</t>
  </si>
  <si>
    <t>Complete the above table based on the answers to the previous.  Add rows as required to complete the analysis in an informative manner.  Please provide the completed table as a working Excel spreadsheet.</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</si>
  <si>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</si>
  <si>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</si>
  <si>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</si>
  <si>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</si>
  <si>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rPr>
      <t xml:space="preserve">  If the stranded meter costs were transferred to "Sub-account Stranded Meter Costs" of Account 1555, the above table should be completed and the following information should be provided.</t>
    </r>
  </si>
  <si>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</si>
  <si>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</si>
  <si>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</si>
  <si>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Applicants must provide bill impacts for residential at 800 kWh and GS&lt;50kW at 2000 kWh. In addition, their filing should cover the range that is relevant</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</si>
  <si>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</si>
  <si>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</si>
  <si>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</si>
  <si>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r>
      <t>Scenario B:</t>
    </r>
    <r>
      <rPr>
        <i/>
        <sz val="10"/>
        <rFont val="Arial"/>
        <family val="2"/>
      </rPr>
      <t xml:space="preserve">  If the stranded meter costs remained recorded in Account 1860, the above table should be completed and the following information should be provided:</t>
    </r>
  </si>
  <si>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</si>
  <si>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</si>
  <si>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</si>
  <si>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Appendix 2-S</t>
  </si>
  <si>
    <t>Class Specific Revenue Requirement</t>
  </si>
  <si>
    <t>The table may need to be customized for a utility's asset categories or for any new asset accounts announced or authorized by the Board.</t>
  </si>
  <si>
    <t>Pale green cells represent input cells.</t>
  </si>
  <si>
    <t>Please complete the following four tables.</t>
  </si>
  <si>
    <t>Classes</t>
  </si>
  <si>
    <t>Street Lighting</t>
  </si>
  <si>
    <t>Unmetered Scattered Load (USL)</t>
  </si>
  <si>
    <t>Costs Allocated from Previous Study</t>
  </si>
  <si>
    <t>Classes (same as previous table)</t>
  </si>
  <si>
    <t>Column 7B</t>
  </si>
  <si>
    <t>Column 7C</t>
  </si>
  <si>
    <t>Column 7D</t>
  </si>
  <si>
    <t>Column 7E</t>
  </si>
  <si>
    <t>Load Forecast (LF) X current approved rates</t>
  </si>
  <si>
    <t>LF X proposed rates</t>
  </si>
  <si>
    <t>Miscellaneous Revenue</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</si>
  <si>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</si>
  <si>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</si>
  <si>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</si>
  <si>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</si>
  <si>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</si>
  <si>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</si>
  <si>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</si>
  <si>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</si>
  <si>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</si>
  <si>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</si>
  <si>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</si>
  <si>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</si>
  <si>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</si>
  <si>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</si>
  <si>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Income or Deductions</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</si>
  <si>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</si>
  <si>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</si>
  <si>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</si>
  <si>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</si>
  <si>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</si>
  <si>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</si>
  <si>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</si>
  <si>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</si>
  <si>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</si>
  <si>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</si>
  <si>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Class</t>
  </si>
  <si>
    <t>Previously Approved Ratios</t>
  </si>
  <si>
    <t>Most Recent Year:</t>
  </si>
  <si>
    <t>Status Quo Ratios</t>
  </si>
  <si>
    <t>Proposed Ratios</t>
  </si>
  <si>
    <t>Policy Range</t>
  </si>
  <si>
    <t>85 - 115</t>
  </si>
  <si>
    <t>80 - 120</t>
  </si>
  <si>
    <t>70 - 120</t>
  </si>
  <si>
    <t>If partially embedded, kWh pertains to the sum of the above.</t>
  </si>
  <si>
    <t>These loss factors pertain to secondary-metered customers with demand less than 5,000 kW.</t>
  </si>
  <si>
    <t>Proposed Revenue-to-Cost Ratios</t>
  </si>
  <si>
    <t>CCA Class</t>
  </si>
  <si>
    <t>OEB</t>
  </si>
  <si>
    <t>Description</t>
  </si>
  <si>
    <t>Opening Balance</t>
  </si>
  <si>
    <t>Additions</t>
  </si>
  <si>
    <t>Please fill out the following table for all one-time costs related to this cost of service application</t>
  </si>
  <si>
    <t>Appendix 2-K</t>
  </si>
  <si>
    <t>L.F. X current approved rates X (1 + d)</t>
  </si>
  <si>
    <t>For 2012, please indicate whether the amounts provided are on a forecast or actual basis.</t>
  </si>
  <si>
    <t>Embedded Distributor Class</t>
  </si>
  <si>
    <t>Disposals</t>
  </si>
  <si>
    <t>Closing Balance</t>
  </si>
  <si>
    <t>Cost</t>
  </si>
  <si>
    <t>Accumulated Depreciation</t>
  </si>
  <si>
    <t>N/A</t>
  </si>
  <si>
    <t>Land</t>
  </si>
  <si>
    <t>Buildings</t>
  </si>
  <si>
    <t>Transformer Station Equipment &gt;50 kV</t>
  </si>
  <si>
    <t>Storage Battery Equipment</t>
  </si>
  <si>
    <t>Poles, Towers &amp; Fixtures</t>
  </si>
  <si>
    <t>Line Transformers</t>
  </si>
  <si>
    <t>Meters</t>
  </si>
  <si>
    <t>CEC</t>
  </si>
  <si>
    <t>Buildings &amp; Fixtures</t>
  </si>
  <si>
    <t>The method of calculating the number of customers must be identified.</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</si>
  <si>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</si>
  <si>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</si>
  <si>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</si>
  <si>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</si>
  <si>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</si>
  <si>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an actual or virtual meter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</si>
  <si>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</si>
  <si>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</si>
  <si>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G</t>
    </r>
    <r>
      <rPr>
        <sz val="10"/>
        <rFont val="Arial"/>
        <family val="2"/>
      </rPr>
      <t xml:space="preserve"> and </t>
    </r>
    <r>
      <rPr>
        <b/>
        <sz val="10"/>
        <rFont val="Arial"/>
        <family val="2"/>
      </rPr>
      <t>I</t>
    </r>
  </si>
  <si>
    <t>Distributors that wish to propose a different SFLF should provide appropriate justification for any such proposal including supporting</t>
  </si>
  <si>
    <t>calculations and any other relevant material.</t>
  </si>
  <si>
    <t xml:space="preserve">The Cost of Service Rate Application Schematic is a flowchart appended to Chapter 2 of the Filing Requirements as a guide for the components of an application and how demand and costs interrelate to derive the revenue requirement and then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 </t>
  </si>
  <si>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</si>
  <si>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</si>
  <si>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</si>
  <si>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</si>
  <si>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</si>
  <si>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</si>
  <si>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</si>
  <si>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</si>
  <si>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</si>
  <si>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</si>
  <si>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Depreciation Rate</t>
  </si>
  <si>
    <t>Fixed Asset Continuity Schedule</t>
  </si>
  <si>
    <t>Leasehold Improvements</t>
  </si>
  <si>
    <t>Net Book Value</t>
  </si>
  <si>
    <t>File Number:</t>
  </si>
  <si>
    <t>Exhibit:</t>
  </si>
  <si>
    <t>Tab:</t>
  </si>
  <si>
    <t>Schedule:</t>
  </si>
  <si>
    <t>Page:</t>
  </si>
  <si>
    <t>Date:</t>
  </si>
  <si>
    <t>Cost Rate</t>
  </si>
  <si>
    <t>(%)</t>
  </si>
  <si>
    <t>($)</t>
  </si>
  <si>
    <t>(1)</t>
  </si>
  <si>
    <t>Notes</t>
  </si>
  <si>
    <t>Last Rebasing Year</t>
  </si>
  <si>
    <t>Bridge Year</t>
  </si>
  <si>
    <t>Test Year</t>
  </si>
  <si>
    <t>Executive</t>
  </si>
  <si>
    <t>Management</t>
  </si>
  <si>
    <t>Non-Union</t>
  </si>
  <si>
    <t>Union</t>
  </si>
  <si>
    <t>Number of Part-Time Employees</t>
  </si>
  <si>
    <t xml:space="preserve">Utility Name   </t>
  </si>
  <si>
    <t>Service Territory</t>
  </si>
  <si>
    <t>Assigned EB Number</t>
  </si>
  <si>
    <t xml:space="preserve">Phone Number   </t>
  </si>
  <si>
    <t xml:space="preserve">Email Address   </t>
  </si>
  <si>
    <t>Algoma Power Inc.</t>
  </si>
  <si>
    <t>Atikokan Hydro Inc.</t>
  </si>
  <si>
    <t>Attawapiskat Power Corporation</t>
  </si>
  <si>
    <t>Bluewater Power Distribution Corp.</t>
  </si>
  <si>
    <t>Brant County Power</t>
  </si>
  <si>
    <t>Brantford Power Inc.</t>
  </si>
  <si>
    <t>Burlington Hydro Inc.</t>
  </si>
  <si>
    <t>Cambridge and North Dumfries Hydro</t>
  </si>
  <si>
    <t>Canadian Niagara Power Inc. – Eastern Ontario Power/Fort Erie/Port Colborne</t>
  </si>
  <si>
    <t>Centre Wellington Hydro Ltd.</t>
  </si>
  <si>
    <t>Chapleau Public Utilities Corporation</t>
  </si>
  <si>
    <t>COLLUS Power Corp.</t>
  </si>
  <si>
    <t>Cooperative Hydro Embrun Inc.</t>
  </si>
  <si>
    <t>E.L.K. Energy Inc.</t>
  </si>
  <si>
    <t>Enersource Hydro Mississauga Inc.</t>
  </si>
  <si>
    <t>Entegrus Powerlines Inc.</t>
  </si>
  <si>
    <t>ENWIN Utilities Ltd.</t>
  </si>
  <si>
    <t>Erie Thames Powerlines Corp.</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</si>
  <si>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</si>
  <si>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</si>
  <si>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</si>
  <si>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</si>
  <si>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</si>
  <si>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</si>
  <si>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</si>
  <si>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</si>
  <si>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</si>
  <si>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</si>
  <si>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 Ltd.</t>
  </si>
  <si>
    <t>Horizon Utilities Corporation</t>
  </si>
  <si>
    <t>Hydro 2000 Inc.</t>
  </si>
  <si>
    <t>Hydro Hawkesbury Inc.</t>
  </si>
  <si>
    <t>Hydro One Brampton Networks Inc.</t>
  </si>
  <si>
    <t>Hydro One Networks Inc.</t>
  </si>
  <si>
    <t>Hydro One Remote Communities Inc.</t>
  </si>
  <si>
    <t>Hydro Ottawa Limited</t>
  </si>
  <si>
    <t>Innisfil Hydro Dist. Systems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</si>
  <si>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</si>
  <si>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</si>
  <si>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</si>
  <si>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</si>
  <si>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</si>
  <si>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</si>
  <si>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</si>
  <si>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</si>
  <si>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</si>
  <si>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Newmarket – Tay Power Distribution Ltd.</t>
  </si>
  <si>
    <t>Niagara Peninsula Energy Inc.</t>
  </si>
  <si>
    <t>Niagara-on-the-Lake Hydro Inc.</t>
  </si>
  <si>
    <t>Norfolk Power Distribution Ltd.</t>
  </si>
  <si>
    <t>North Bay Hydro Distribution Limited</t>
  </si>
  <si>
    <t>Northern Ontario Wires Inc.</t>
  </si>
  <si>
    <t>Oakville Hydro Distribution Inc.</t>
  </si>
  <si>
    <t>Orangeville Hydro Limited</t>
  </si>
  <si>
    <t>Orillia Power Distribution Corp.</t>
  </si>
  <si>
    <t>Oshawa PUC Networks Inc.</t>
  </si>
  <si>
    <t>Ottawa River Power Corporation</t>
  </si>
  <si>
    <t>Parry Sound Power Corporation</t>
  </si>
  <si>
    <t>Peterborough Distribution Inc.</t>
  </si>
  <si>
    <t>PowerStream Inc.</t>
  </si>
  <si>
    <t>PUC Distribution Inc.</t>
  </si>
  <si>
    <t>Renfrew Hydro Inc.</t>
  </si>
  <si>
    <t>Rideau St. Lawrence Distribution Inc.</t>
  </si>
  <si>
    <t>St. Thomas Energy Inc.</t>
  </si>
  <si>
    <t>Sioux Lookout Hydro Inc.</t>
  </si>
  <si>
    <t>Thunder Bay Hydro Electricity Distribution</t>
  </si>
  <si>
    <t>Tillsonburg Hydro Inc.</t>
  </si>
  <si>
    <t>Toronto Hydro-Electric System Limited</t>
  </si>
  <si>
    <t>Veridian Connections Inc.</t>
  </si>
  <si>
    <t>Wasaga Distribution Inc.</t>
  </si>
  <si>
    <t>Waterloo North Hydro Inc.</t>
  </si>
  <si>
    <t>Welland Hydro Electric System Corp.</t>
  </si>
  <si>
    <t>Wellington North Power Inc.</t>
  </si>
  <si>
    <t>West Coast Huron Energy Inc.</t>
  </si>
  <si>
    <t>Westario Power Inc.</t>
  </si>
  <si>
    <t>Whitby Hydro Electric Corporation</t>
  </si>
  <si>
    <t>Woodstock Hydro Services Inc.</t>
  </si>
  <si>
    <t>Pale blue cells represent drop-down lists.  The applicant should select the appropriate item from the drop-down list.</t>
  </si>
  <si>
    <t>1   Please provide a breakdown of the major components of each capital project.  Please ensure that all projects below the materiality threshold are included in the miscellaneous line.  Add more projects as required.</t>
  </si>
  <si>
    <t>2   Amounts should be reported on a MIFRS basis for the adoption year and any subsequent years, only.</t>
  </si>
  <si>
    <t>Computer Software (Formally known as Account 1925)</t>
  </si>
  <si>
    <t>(m) = (h) - (l)</t>
  </si>
  <si>
    <r>
      <t xml:space="preserve">Average Remaining Life of Opening NBV </t>
    </r>
    <r>
      <rPr>
        <b/>
        <vertAlign val="superscript"/>
        <sz val="10"/>
        <rFont val="Arial"/>
        <family val="2"/>
      </rPr>
      <t>4</t>
    </r>
  </si>
  <si>
    <r>
      <t xml:space="preserve">Years (new additions only) </t>
    </r>
    <r>
      <rPr>
        <b/>
        <vertAlign val="superscript"/>
        <sz val="10"/>
        <rFont val="Arial"/>
        <family val="2"/>
      </rPr>
      <t>3</t>
    </r>
  </si>
  <si>
    <t>Depreciation Rate on New Additions</t>
  </si>
  <si>
    <t>Depreciation Expense on Opening NBV</t>
  </si>
  <si>
    <r>
      <t xml:space="preserve">Depreciation Expense on Additions </t>
    </r>
    <r>
      <rPr>
        <b/>
        <vertAlign val="superscript"/>
        <sz val="10"/>
        <rFont val="Arial"/>
        <family val="2"/>
      </rPr>
      <t>1</t>
    </r>
  </si>
  <si>
    <t>2011 Depreciation Expense</t>
  </si>
  <si>
    <r>
      <t xml:space="preserve">Variance </t>
    </r>
    <r>
      <rPr>
        <b/>
        <vertAlign val="superscript"/>
        <sz val="10"/>
        <rFont val="Arial"/>
        <family val="2"/>
      </rPr>
      <t>2</t>
    </r>
  </si>
  <si>
    <t>(i)</t>
  </si>
  <si>
    <t>(j) = (a) / (i)</t>
  </si>
  <si>
    <t xml:space="preserve">(h)=((d)*0.5)/(f) </t>
  </si>
  <si>
    <t>(k) = (j) + (h)</t>
  </si>
  <si>
    <t>(m) = (k) - (l)</t>
  </si>
  <si>
    <t>Years (new additions only)</t>
  </si>
  <si>
    <t>Depreciation Expense on 2012 Full Year Additions</t>
  </si>
  <si>
    <t xml:space="preserve">(n)=((d))/(f) </t>
  </si>
  <si>
    <r>
      <t xml:space="preserve">2013 Depreciation Expense </t>
    </r>
    <r>
      <rPr>
        <b/>
        <vertAlign val="superscript"/>
        <sz val="10"/>
        <rFont val="Arial"/>
        <family val="2"/>
      </rPr>
      <t>1</t>
    </r>
  </si>
  <si>
    <t>Total Depreciation expense to be included in the test year revenue requirement</t>
  </si>
  <si>
    <r>
      <t xml:space="preserve">Assumes the applicant adopted IFRS for financial reporting purposes January 1, </t>
    </r>
    <r>
      <rPr>
        <b/>
        <sz val="10"/>
        <color indexed="10"/>
        <rFont val="Arial"/>
        <family val="2"/>
      </rPr>
      <t>2013</t>
    </r>
  </si>
  <si>
    <t>2012 Depreciation Expense</t>
  </si>
  <si>
    <r>
      <t xml:space="preserve">Opening NBV as at Jan 1, 2012 </t>
    </r>
    <r>
      <rPr>
        <b/>
        <vertAlign val="superscript"/>
        <sz val="10"/>
        <rFont val="Arial"/>
        <family val="2"/>
      </rPr>
      <t>5</t>
    </r>
  </si>
  <si>
    <t>The following table should be completed based on the information requested below. An explanation should be provided for any blank entries.  The entries should include overhead costs that are currently capitalized on self-constructed assets under MIFRS or an alternate accounting standard.</t>
  </si>
  <si>
    <r>
      <t xml:space="preserve">(A) </t>
    </r>
    <r>
      <rPr>
        <b/>
        <vertAlign val="superscript"/>
        <sz val="10"/>
        <rFont val="Arial"/>
        <family val="2"/>
      </rPr>
      <t>1</t>
    </r>
  </si>
  <si>
    <r>
      <t xml:space="preserve">(E) </t>
    </r>
    <r>
      <rPr>
        <b/>
        <vertAlign val="superscript"/>
        <sz val="10"/>
        <rFont val="Arial"/>
        <family val="2"/>
      </rPr>
      <t>1</t>
    </r>
  </si>
  <si>
    <t>Nature of the Overhead Costs</t>
  </si>
  <si>
    <t>Dollar</t>
  </si>
  <si>
    <t xml:space="preserve">Dollar Impact - </t>
  </si>
  <si>
    <t>Directly</t>
  </si>
  <si>
    <t>Reasons why the overhead costs are allowed to be</t>
  </si>
  <si>
    <t>Impact on PP&amp;E</t>
  </si>
  <si>
    <t>PP&amp;E Variance</t>
  </si>
  <si>
    <t>Attributable?</t>
  </si>
  <si>
    <t>capitalized under MIFRS or an alternate accounting</t>
  </si>
  <si>
    <t>Historic Year</t>
  </si>
  <si>
    <t>Test versus Bridge</t>
  </si>
  <si>
    <t>Test versus Historic</t>
  </si>
  <si>
    <t>(Y/N)</t>
  </si>
  <si>
    <t>standard given limitations on capitalized overhead</t>
  </si>
  <si>
    <t>employee benefits</t>
  </si>
  <si>
    <t>costs of site preparation</t>
  </si>
  <si>
    <t>initial delivery and handling costs</t>
  </si>
  <si>
    <t>costs of testing whether the asset is functioning properly</t>
  </si>
  <si>
    <t>professional fees</t>
  </si>
  <si>
    <t>costs of opening a new facility</t>
  </si>
  <si>
    <t>costs of introducing a new product or service (including costs of advertising and promotional activities)</t>
  </si>
  <si>
    <t>costs of conducting business in a new location or with a new class of customer (including costs of staff training)</t>
  </si>
  <si>
    <t>administration and other general overhead costs</t>
  </si>
  <si>
    <t>The following table should be completed based on the information requested below. An explanation should be provided for any blank entries.  The entries should include overhead costs that were capitalized on self-constructed assets under CGAAP but are no longer capitalized under MIFRS or an alternate accounting standard and are included in OM&amp;A.</t>
  </si>
  <si>
    <t>Reasons why the overhead costs are not allowed to be</t>
  </si>
  <si>
    <t>Impact on OM&amp;A</t>
  </si>
  <si>
    <t>OM&amp;A Variance</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</si>
  <si>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</si>
  <si>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</si>
  <si>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</si>
  <si>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t>
  </si>
  <si>
    <t>Audited Carrying</t>
  </si>
  <si>
    <t>Total Audited</t>
  </si>
  <si>
    <t>RRR 2.1.7</t>
  </si>
  <si>
    <t>Reasons why the costs recorded meet the criteria of one-time IFRS administrative incremental costs</t>
  </si>
  <si>
    <t>Costs Incurred</t>
  </si>
  <si>
    <t>Charges</t>
  </si>
  <si>
    <t>Actual Costs</t>
  </si>
  <si>
    <t>Balance</t>
  </si>
  <si>
    <t>to Dec 31, 2011</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</si>
  <si>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</si>
  <si>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</si>
  <si>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</si>
  <si>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</si>
  <si>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</si>
  <si>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</si>
  <si>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Applicants are to provide an explanation of material variances in evidence</t>
  </si>
  <si>
    <t>IFRS-CGAAP Transitional PP&amp;E Amounts</t>
  </si>
  <si>
    <t>IRM</t>
  </si>
  <si>
    <t>Forecast vs. Actual Used in Rebasing Year</t>
  </si>
  <si>
    <t>Actual</t>
  </si>
  <si>
    <t>PP&amp;E Values under CGAAP</t>
  </si>
  <si>
    <t xml:space="preserve">            Opening net PP&amp;E - Note 1</t>
  </si>
  <si>
    <t xml:space="preserve">            Additions</t>
  </si>
  <si>
    <t xml:space="preserve">            Closing net PP&amp;E (1)</t>
  </si>
  <si>
    <t xml:space="preserve">            Opening net PP&amp;E  - Note 1</t>
  </si>
  <si>
    <t xml:space="preserve">            Closing net PP&amp;E (2)</t>
  </si>
  <si>
    <t>Difference in Closing net PP&amp;E, CGAAP vs. MIFRS (Shown as adjustment to rate base on rebasing)</t>
  </si>
  <si>
    <t>Account 1575 - IFRS-CGAAP Transitional PP&amp;E Amounts</t>
  </si>
  <si>
    <t xml:space="preserve">          Opening balance </t>
  </si>
  <si>
    <t xml:space="preserve">          Amounts added in the year</t>
  </si>
  <si>
    <t>Sub-total</t>
  </si>
  <si>
    <t xml:space="preserve">          Closing balance in deferral account</t>
  </si>
  <si>
    <t>Effect on Revenue Requirement</t>
  </si>
  <si>
    <t xml:space="preserve">        Amortization of deferred balance as above - Note 2</t>
  </si>
  <si>
    <t>WACC</t>
  </si>
  <si>
    <t>Disposition Period - Note 4</t>
  </si>
  <si>
    <t xml:space="preserve">     Amount included in Revenue Requirement on rebasing</t>
  </si>
  <si>
    <t xml:space="preserve">    Assume the utility requests for a certain disposition period, the amortization that should be included in the depreciation expense is calculated as:</t>
  </si>
  <si>
    <t xml:space="preserve">   the opening balance of Account 1575 / the approved disposition period</t>
  </si>
  <si>
    <t xml:space="preserve">     * Please note that the calculation should be adjusted once WACC is updated and finalized in the rate application.</t>
  </si>
  <si>
    <t>2013 Adopters of IFRS for Financial Reporting Purposes</t>
  </si>
  <si>
    <t xml:space="preserve">Note: this sheet should be filled out if the applicant adopts IFRS for its financial reporting purpose as of January 1, 2013. </t>
  </si>
  <si>
    <t>PP&amp;E Values under MIFRS (Starts from 2012, the transition year)</t>
  </si>
  <si>
    <t xml:space="preserve">     the deferred account opening balance as of 2013 rebasing year x WACC </t>
  </si>
  <si>
    <t>The depreciation column (D) is not required as the relevant information will be provided in the following 2-C series of appendices.</t>
  </si>
  <si>
    <t>NBV must exclude assets still on the books but which have been fully amortized or depreciated.</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</si>
  <si>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</si>
  <si>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</si>
  <si>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 xml:space="preserve">The applicant should ensure that the years for new additions of assets are the asset useful lives determined by management in accordance with IFRS. </t>
  </si>
  <si>
    <t>Appendix 2-CE</t>
  </si>
  <si>
    <t>Appendix 2-CF</t>
  </si>
  <si>
    <t>Appendix 2-CG</t>
  </si>
  <si>
    <t>A recalculation should be performed to determine the average remaining life of opening balance of assets (i.e. excluding 2012 additions) under IFRS.  For example, Asset A had a useful life of 20 years under CGAAP.  On January 1, 2012, the date of transition, Asset A was 3 years depreciated. As a result, Asset A would have a remaining service life of 17 years (20 years less 3 years) under CGAAP as of January 1, 2012.  Due to the transition to IFRS, management re-assessed the asset useful lives under IFRS principles and concluded that the revised useful life of Asset A is now 30 years. Therefore, the average remaining useful life of opening balance of Asset A is determined to be 27 years (30 years less 3 years) under IFRS as of January 1, 2012.</t>
  </si>
  <si>
    <t>Appendix 2-CH</t>
  </si>
  <si>
    <t>Overhead Expense</t>
  </si>
  <si>
    <t>If the applicant chooses to adopt IFRS or an alternate accounting standard for financial reporting purposes in 2013, the applicant does not need to complete Columns A, E.  If the applicant adopts IFRS or an alternate accounting standard for financial reporting purposes in 2012, the applicant must complete all columns.</t>
  </si>
  <si>
    <t>2009 Rebasing Year</t>
  </si>
  <si>
    <t>2013 Rebasing Year</t>
  </si>
  <si>
    <t>Amount of amortization, included in  depreciation expense  - Note 2</t>
  </si>
  <si>
    <t xml:space="preserve">2  Amortization of the deferred balance in Account 1575 will start from the rebasing year. </t>
  </si>
  <si>
    <t>3  Return on rate base associated with deferred balance is calculated as:</t>
  </si>
  <si>
    <t xml:space="preserve">1  For an applicant that adopts IFRS on January 1, 2013, the PP&amp;E values as of January 1, 2012 under both CGAAP and MIFRS should be the same. </t>
  </si>
  <si>
    <t>Appendix 2-D</t>
  </si>
  <si>
    <t>Appendix 2-EB</t>
  </si>
  <si>
    <t>Appendix 2-H</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</si>
  <si>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</si>
  <si>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</si>
  <si>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</si>
  <si>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</si>
  <si>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</si>
  <si>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</si>
  <si>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</si>
  <si>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Total OM&amp;A Expenses </t>
  </si>
  <si>
    <t xml:space="preserve">Variance from previous year </t>
  </si>
  <si>
    <t xml:space="preserve">Percent change (year over year) </t>
  </si>
  <si>
    <t xml:space="preserve">Percent Change:                                                    Test year vs. Most Current Actual </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</si>
  <si>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</si>
  <si>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</si>
  <si>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Appendix 2-R</t>
  </si>
  <si>
    <t>A)  Allocated Costs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</si>
  <si>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</si>
  <si>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 xml:space="preserve">  </t>
  </si>
  <si>
    <t>B)  Calculated Class Revenues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</si>
  <si>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</si>
  <si>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</si>
  <si>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</si>
  <si>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</si>
  <si>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</si>
  <si>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1     Previously Approved Revenue-to-Cost Ratios - For most applicants, Most Recent Year would be the third year of the IRM 3 period,  e.g. if the applicant rebased in 2009 with further adjustments over 2 years, the Most recent year is 2011.  For applicants that have had rates adjusted only under IRM 2, the Most Recent Year is 2006, and the applicant should enter the ratios from their Informational Filing.</t>
  </si>
  <si>
    <t>2     Status Quo Ratios - The Board's updated Cost Allocation Model yields the Status Quo Ratios in Worksheet O-1.  Status Quo means "Before Rebalancing".</t>
  </si>
  <si>
    <t>D)  Proposed Revenue-to-Cost Ratios</t>
  </si>
  <si>
    <t>Appendix 2-W</t>
  </si>
  <si>
    <t>Appendix 2-X</t>
  </si>
  <si>
    <t>1       The class specific revenue requirements in column N must be the amounts used in the final rate design process.  The total of column N should equate to the proposed base revenue requirement</t>
  </si>
  <si>
    <t>Sub-Total A</t>
  </si>
  <si>
    <t>Sub-Total B - Distribution (includes Sub-Total A)</t>
  </si>
  <si>
    <t>Sub-Total C - Delivery (including Sub-Total B)</t>
  </si>
  <si>
    <t>Smart Meter Entity Charge</t>
  </si>
  <si>
    <t>Land Rights (Formally known as Account 1906)</t>
  </si>
  <si>
    <t>If the applicant is adopting IFRS or an alternate accounting standard as of January 1, 2013 for financial reporting purposes, Column D "Most Current Actual Year" must be provided on CGAAP.</t>
  </si>
  <si>
    <t>If the applicant is adopting IFRS or an alternate accounting standard as of January 1, 2012 for financial reporting purposes, Column D "Most Current Actual Year" must be provided on that standard.</t>
  </si>
  <si>
    <t>If the applicant is adopting IFRS or an alternate accounting standard as of January 1, 2012 for financial reporting purposes, 2011 must be presented on both a CGAAP and MIFRS (or alternate accounting standard) basis.</t>
  </si>
  <si>
    <t>If the applicant is adopting IFRS or an alternate accounting standard as of January 1, 2013 for financial reporting purposes, 2012 must be presented on both a CGAAP and MIFRS (or alternate accounting standard) basis.</t>
  </si>
  <si>
    <t>OMERS Pensions and Benefits</t>
  </si>
  <si>
    <t>Employee Pensions and OPEB</t>
  </si>
  <si>
    <t>Employee Sick Leave</t>
  </si>
  <si>
    <t>Lease Payment Charge</t>
  </si>
  <si>
    <t>Special Purpose Charge Expense</t>
  </si>
  <si>
    <t>Donations, Sub-account LEAP Funding</t>
  </si>
  <si>
    <t>Donations</t>
  </si>
  <si>
    <r>
      <t>Donations</t>
    </r>
    <r>
      <rPr>
        <vertAlign val="superscript"/>
        <sz val="10"/>
        <rFont val="Arial"/>
        <family val="2"/>
      </rPr>
      <t>1</t>
    </r>
  </si>
  <si>
    <r>
      <rPr>
        <vertAlign val="superscript"/>
        <sz val="10"/>
        <rFont val="Arial"/>
        <family val="2"/>
      </rPr>
      <t xml:space="preserve">1 </t>
    </r>
    <r>
      <rPr>
        <sz val="10"/>
        <rFont val="Arial"/>
        <family val="2"/>
      </rPr>
      <t>Account 6205 - Donations is generally non-recoverable.  However, the sub-account LEAP funding of account 6205 is generally recoverable.</t>
    </r>
  </si>
  <si>
    <t>Appendix 2-P</t>
  </si>
  <si>
    <t>Index</t>
  </si>
  <si>
    <t>LDC Information Sheet</t>
  </si>
  <si>
    <t>Appendix 2-A Capital Projects</t>
  </si>
  <si>
    <t>Appendix 2-B Fixed Asset Continuity</t>
  </si>
  <si>
    <t>Appendix 2-CA CGAAP Depreciation Expense 2011</t>
  </si>
  <si>
    <t>Appendix 2-CB MIFRS Depreciation Expense 2011</t>
  </si>
  <si>
    <t>Appendix 2-CC MIFRS Depreciation Expense 2012</t>
  </si>
  <si>
    <t>Appendix 2-CD MIFRS Depreciation Expense 2013</t>
  </si>
  <si>
    <t>Appendix 2-CE CGAAP Depreciation Expense 2011</t>
  </si>
  <si>
    <t>Appendix 2-CF CGAAP Depreciation Expense 2012</t>
  </si>
  <si>
    <t>Appendix 2-CG MIFRS Depreciation Expense 2012</t>
  </si>
  <si>
    <t>Appendix 2-CH MIFRS Depreciation Expense 2013</t>
  </si>
  <si>
    <t>Appendix 2-CI Alternative Accounting Standards Depreciation Expense</t>
  </si>
  <si>
    <t>Appendix 2-D Overhead</t>
  </si>
  <si>
    <t>Appendix 2-F Other Operating Revenue</t>
  </si>
  <si>
    <t>Appendix 2-G Detailed OM&amp;A Expenses</t>
  </si>
  <si>
    <t>Appendix 2-H OM&amp;A Detailed Analysis</t>
  </si>
  <si>
    <t>Appendix 2-I OM&amp;A Summary Analysis</t>
  </si>
  <si>
    <t>Appendix 2-J OM&amp;A Cost  Drivers</t>
  </si>
  <si>
    <t>Appendix 2-M Regulatory Costs</t>
  </si>
  <si>
    <t>Appendix 2-N Corp Cost Allocation</t>
  </si>
  <si>
    <t>Appendix 2-P Cost Allocation</t>
  </si>
  <si>
    <t>Appendix 2-Q Cost of Service Embedded Distributor</t>
  </si>
  <si>
    <t>Appendix 2-R Loss Factors</t>
  </si>
  <si>
    <t>Appendix 2-S Stranded Meters</t>
  </si>
  <si>
    <t>Appendix 2-U IFRS Transition Costs</t>
  </si>
  <si>
    <t>Appendix 2-V Rev Reconciliation</t>
  </si>
  <si>
    <t>Appendix 2-W Bill Impacts</t>
  </si>
  <si>
    <t>Appendix 2-X CoS Flowchart</t>
  </si>
  <si>
    <t>Lender</t>
  </si>
  <si>
    <t>Affiliated or Third-Party Debt?</t>
  </si>
  <si>
    <t>Fixed or Variable-Rate?</t>
  </si>
  <si>
    <t>Start Date</t>
  </si>
  <si>
    <t>Interest ($)       (Note 1)</t>
  </si>
  <si>
    <t>If financing is in place only part of the year, calculate the pro-rated interest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</si>
  <si>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t>
    </r>
  </si>
  <si>
    <t>Add more lines above row 12 if necessary.</t>
  </si>
  <si>
    <t>Debt Instruments</t>
  </si>
  <si>
    <t>Rate (%)                     (Note 2)</t>
  </si>
  <si>
    <t>Row</t>
  </si>
  <si>
    <t>Principal                         ($)</t>
  </si>
  <si>
    <t>Term              (years)</t>
  </si>
  <si>
    <t>kWh corresponding to D should equal metered or estimated kWh at the customer’s delivery point.</t>
  </si>
  <si>
    <t xml:space="preserve">Return on Rate Base Associated with deferred PP&amp;E balance at WACC  - Note 3 </t>
  </si>
  <si>
    <r>
      <t xml:space="preserve">For applicants that adopt IFRS on </t>
    </r>
    <r>
      <rPr>
        <b/>
        <sz val="10"/>
        <color rgb="FFFF0000"/>
        <rFont val="Arial"/>
        <family val="2"/>
      </rPr>
      <t>January 1, 2013</t>
    </r>
    <r>
      <rPr>
        <b/>
        <sz val="10"/>
        <color indexed="8"/>
        <rFont val="Arial"/>
        <family val="2"/>
      </rPr>
      <t xml:space="preserve"> for financial reporting purposes</t>
    </r>
  </si>
  <si>
    <t>3     Recoverable OM&amp;A that is included on these tables should be identical to the recoverable OM&amp;A that is shown for the corresponding periods on Appendix 2-H.</t>
  </si>
  <si>
    <t>Compound Annual Growth Rate for all years</t>
  </si>
  <si>
    <t>Embedded distributor class</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</si>
  <si>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</si>
  <si>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 xml:space="preserve">1     The applicant should complete Table D if it is applying for approval of a revenue to cost ratio in 2012 that is outside the Board’s policy range for any customer class. Table (d) will show the information that the distributor would likely enter in the IRM model) in 2013.  In 2013 Table (d), enter the planned ratios for the classes that will be ‘Change’ and ‘No Change’ in 2013 (in the current Revenue Cost Ratio Adjustment Workform, Worksheet C1.1 ‘Decision – Cost Revenue Adjustment’, column d), and enter TBD for class(es) that will be entered as ‘Rebalance’. </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</si>
  <si>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</si>
  <si>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Depreciation (amounts should be negative)</t>
  </si>
  <si>
    <t>2009 Actuals</t>
  </si>
  <si>
    <t>Opening Balance for "Last Rebasing Year" (cell B15) should be equal to the Board-Approved amount.</t>
  </si>
  <si>
    <t>Appendix 2-T 1592 Tax Variance</t>
  </si>
  <si>
    <t>Appendix 2-K Employee Costs</t>
  </si>
  <si>
    <t>Appendix 2-L OM&amp;A per Cust FTEE</t>
  </si>
  <si>
    <t>The method of calculating the number of FTEEs must be identified.  See also Appendix 2-K</t>
  </si>
  <si>
    <t>4  Consistent with the 4 year normal rate cycle, the model is using a 4 year amortization period as a default selection to "clear" the PP&amp;E deferral account through a one-time adjustment to ratebase to capture and remove the impact of the accounting policy changes as caused by the transition from CGAAP to MIFRS.</t>
  </si>
  <si>
    <t>Most Current Actuals               Year 2011</t>
  </si>
  <si>
    <t>Energy - RPP - Tier 1</t>
  </si>
  <si>
    <t>Energy - RPP - Tier 2</t>
  </si>
  <si>
    <t>TOU - Off Peak</t>
  </si>
  <si>
    <t>TOU - Mid Peak</t>
  </si>
  <si>
    <t>TOU - On Peak</t>
  </si>
  <si>
    <t>Total Bill on RPP (before Taxes)</t>
  </si>
  <si>
    <t>Total Bill on TOU (before Taxes)</t>
  </si>
  <si>
    <t>Total Bill on TOU (including OCEB)</t>
  </si>
  <si>
    <t>Total Bill on RPP (including OCEB)</t>
  </si>
  <si>
    <t>Total Recoverable OM&amp;A from Appendix 2-I</t>
  </si>
  <si>
    <t>This table must be completed for the required years of all historical years, the bridge year and the test year.</t>
  </si>
  <si>
    <t>Capital Structure and Cost of Capital</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</si>
  <si>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</si>
  <si>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</si>
  <si>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</si>
  <si>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</si>
  <si>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</si>
  <si>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</si>
  <si>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</si>
  <si>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</si>
  <si>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</si>
  <si>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</si>
  <si>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</si>
  <si>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</si>
  <si>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</si>
  <si>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</si>
  <si>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</si>
  <si>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Appendix 2-OA Capital Structure and Cost of Capital</t>
  </si>
  <si>
    <t>Appendix 2-OB Debt Instruments</t>
  </si>
  <si>
    <t>Capital Cost Allowance class changes from 2006 EDR application for 2011</t>
  </si>
  <si>
    <t>Identify the account balance as of December 31, 2011 as per the 2011 Audited Financial Statements.  Identify the account balance as of December 31, 2011 as per the April 2012 2.1.7 RRR filing to the Board.  Provide a reconciliation if the balances provided are not identical to each other and to the total shown on the continuity schedule.</t>
  </si>
  <si>
    <t>Low Voltage Service Charge</t>
  </si>
  <si>
    <r>
      <t xml:space="preserve">Appendix 2-EA PP&amp;E Deferral Account - </t>
    </r>
    <r>
      <rPr>
        <b/>
        <sz val="10"/>
        <rFont val="Arial"/>
        <family val="2"/>
      </rPr>
      <t>2012 IFRS Adopters</t>
    </r>
  </si>
  <si>
    <r>
      <t xml:space="preserve">Appendix 2-EB PP&amp;E Deferral Account - </t>
    </r>
    <r>
      <rPr>
        <b/>
        <sz val="10"/>
        <rFont val="Arial"/>
        <family val="2"/>
      </rPr>
      <t>2013 IFRS Adopters</t>
    </r>
  </si>
  <si>
    <t>Name of Contact and Title</t>
  </si>
  <si>
    <t xml:space="preserve">White cells contain fixed values, automatically generated values or formulae. </t>
  </si>
  <si>
    <t>2013 Depreciation Expense per Appendix 2-B Fixed Assets, Column K
 (l)</t>
  </si>
  <si>
    <t>2011 Depreciation Expense per Appendix 2-B Fixed Assets, Column K
 (l)</t>
  </si>
  <si>
    <t>2012 Depreciation Expense per Appendix 2-B Fixed Assets, Column K
 (l)</t>
  </si>
  <si>
    <t>Less Fully Depreciated</t>
  </si>
  <si>
    <t>Net for Depreciation</t>
  </si>
  <si>
    <t>(b)</t>
  </si>
  <si>
    <t>(c)</t>
  </si>
  <si>
    <t>(p) = (j) + (n) - (o)</t>
  </si>
  <si>
    <r>
      <t xml:space="preserve">(e) = (c) + ½ x (d) </t>
    </r>
    <r>
      <rPr>
        <b/>
        <vertAlign val="superscript"/>
        <sz val="10"/>
        <rFont val="Arial"/>
        <family val="2"/>
      </rPr>
      <t>1</t>
    </r>
  </si>
  <si>
    <t>Opening Regulatory Gross PP&amp;E as at Jan 1, 2011</t>
  </si>
  <si>
    <t>Opening Regulatory Gross PP&amp;E as at Jan 1, 2012</t>
  </si>
  <si>
    <r>
      <t>(h)=2012 Full Year Depreciation</t>
    </r>
    <r>
      <rPr>
        <b/>
        <sz val="10"/>
        <rFont val="Arial"/>
        <family val="2"/>
      </rPr>
      <t xml:space="preserve"> + ((d)*0.5)/(f) </t>
    </r>
  </si>
  <si>
    <t>This column refers to the calculated full year depreciation but excludes the depreciation expense on assets fully depreciated during the year.  This column is used for the purpose of calculating depreciation expense in the following year on the next worksheet.</t>
  </si>
  <si>
    <r>
      <t xml:space="preserve">2012 Full Year Depreciation </t>
    </r>
    <r>
      <rPr>
        <b/>
        <vertAlign val="superscript"/>
        <sz val="10"/>
        <rFont val="Arial"/>
        <family val="2"/>
      </rPr>
      <t>6</t>
    </r>
  </si>
  <si>
    <t>Less Depreciation Expense on Assets Fully Depreciated during the year
(o)</t>
  </si>
  <si>
    <t>Version 1.1</t>
  </si>
  <si>
    <t>Bluewater Power:  Scenario B applies and all amounts are on an actual basis.</t>
  </si>
  <si>
    <t>Bluewater Power:  Refer to chart above</t>
  </si>
  <si>
    <t>Bluewater Power:  not applicable</t>
  </si>
  <si>
    <t>Carrying</t>
  </si>
  <si>
    <t>2012 to Apr 30, 2013</t>
  </si>
  <si>
    <t>Estimated</t>
  </si>
  <si>
    <t>Costs</t>
  </si>
  <si>
    <t>2013</t>
  </si>
  <si>
    <t>to Apr 30, 2013</t>
  </si>
  <si>
    <r>
      <rPr>
        <u/>
        <sz val="10"/>
        <rFont val="Arial"/>
        <family val="2"/>
      </rPr>
      <t xml:space="preserve">estimated </t>
    </r>
    <r>
      <rPr>
        <sz val="10"/>
        <rFont val="Arial"/>
        <family val="2"/>
      </rPr>
      <t>audit fees related to the opening IFRS balance sheet audit and the CGAAP-IFRS conversion audit for the 2012 comparative year</t>
    </r>
  </si>
  <si>
    <t>2009 Q1</t>
  </si>
  <si>
    <t>2011 Q1</t>
  </si>
  <si>
    <t>2009 Q2</t>
  </si>
  <si>
    <t>2011 Q2</t>
  </si>
  <si>
    <t>2009 Q3</t>
  </si>
  <si>
    <t>2011 Q3</t>
  </si>
  <si>
    <t>2009 Q4</t>
  </si>
  <si>
    <t>2011 Q4</t>
  </si>
  <si>
    <t>2010 Q1</t>
  </si>
  <si>
    <t>2012 Q1</t>
  </si>
  <si>
    <t>2010 Q2</t>
  </si>
  <si>
    <t>2012 Q2</t>
  </si>
  <si>
    <t>2010 Q3</t>
  </si>
  <si>
    <t>2012 Q3</t>
  </si>
  <si>
    <t>2010 Q4</t>
  </si>
  <si>
    <t>2012 Q4</t>
  </si>
  <si>
    <t>Cumulative</t>
  </si>
  <si>
    <t>Acctg Fees</t>
  </si>
  <si>
    <t>Legal Fees</t>
  </si>
  <si>
    <t>Training</t>
  </si>
  <si>
    <t>= 2009 average</t>
  </si>
  <si>
    <t>= 2010 average</t>
  </si>
  <si>
    <t>= 2011 average</t>
  </si>
  <si>
    <t>= 2012 average</t>
  </si>
  <si>
    <t>Land Rights (Formally known as Account 1806)</t>
  </si>
  <si>
    <t>Load Management Controls - Customer Premises</t>
  </si>
  <si>
    <t>Other Tangible Property</t>
  </si>
  <si>
    <t>EB-2012-0107</t>
  </si>
  <si>
    <t>Leslie Dugas, Manager of Regulatory Affairs</t>
  </si>
  <si>
    <t>519-337-8201 Ext 2255</t>
  </si>
  <si>
    <t>ldugas@bluewaterpower.com</t>
  </si>
  <si>
    <t>On-Going</t>
  </si>
  <si>
    <t>On-Time</t>
  </si>
  <si>
    <t>Legal Costs</t>
  </si>
  <si>
    <t>OEB Hearing Costs</t>
  </si>
  <si>
    <t>Total Incremental Rebasing Costs for 2013</t>
  </si>
  <si>
    <t>5a</t>
  </si>
  <si>
    <t>6a</t>
  </si>
  <si>
    <t>n/a</t>
  </si>
  <si>
    <t>Response:  Bluewater Power was not subject to LCT and therefore no proxy was included in the 2006 EDR rate application.</t>
  </si>
  <si>
    <t>Response:  Account 1592 has been included as a Group 2 Account in the continuity schedule.</t>
  </si>
  <si>
    <t>Response:  Bluewater Power has followed the guidance provided in the FAQ of July 2007.</t>
  </si>
  <si>
    <t>Response:  The balance in the 2011 audited financial statements and the 2.1.7 RRR filing were both NIL.  Bluewater Power completed its calculations and recorded the result to Account 1592 for the first time in 2012 in conjunction with the preparation of the 2013 COS rate application.</t>
  </si>
  <si>
    <t>Response:  Completed.</t>
  </si>
  <si>
    <t>Response:  Refer to Note 7.</t>
  </si>
  <si>
    <t>Response:  Refer to Note 8.</t>
  </si>
  <si>
    <t>Ontario Capital Tax rate decrease and increase in capital deduction for calendar 2007:</t>
  </si>
  <si>
    <t>Ontario Capital Tax rate decrease and increase in capital deduction for calendar 2008:</t>
  </si>
  <si>
    <t>Ontario Capital Tax rate decrease and increase in capital deduction for Jan to Apr 2009:</t>
  </si>
  <si>
    <t>2006 EDR</t>
  </si>
  <si>
    <t>Deduction</t>
  </si>
  <si>
    <t>Taxable Capital - per 2006 EDR</t>
  </si>
  <si>
    <t>Ontario capital tax rate</t>
  </si>
  <si>
    <t>Capital tax</t>
  </si>
  <si>
    <t>Difference = credit entry to Account 1592 (not grossed-up) for the year</t>
  </si>
  <si>
    <t xml:space="preserve">Net Taxable Capital </t>
  </si>
  <si>
    <t>Net Taxable Capital</t>
  </si>
  <si>
    <t>/12 x 4</t>
  </si>
  <si>
    <t>Capital tax for Jan to Apr 2009</t>
  </si>
  <si>
    <t>Difference = credit entry to Account 1592 (not grossed-up) for Jan to Apr 2009</t>
  </si>
  <si>
    <t>Corporate income tax rate</t>
  </si>
  <si>
    <t>Income tax</t>
  </si>
  <si>
    <t xml:space="preserve">Income tax (grossed-up) </t>
  </si>
  <si>
    <t>Income tax rate decrease from 36.12% to 33.50% for 2008</t>
  </si>
  <si>
    <t>Ontario Capital Tax rate decrease and increase in capital deduction for 2009 (Jan to Apr)</t>
  </si>
  <si>
    <t>Income tax rate decrease from 33.50% to 33.00% for 2009 (Jan to Apr)</t>
  </si>
  <si>
    <t>Response:  Refer to Note 9.  (FYI - Bluewater Power rebased May 1, 2009)</t>
  </si>
  <si>
    <t>2008 IRM</t>
  </si>
  <si>
    <t>Regulatory taxable income - per 2006 EDR</t>
  </si>
  <si>
    <t>Income tax decrease from 33.50% to 33.00% for Jan to Apr 2009:</t>
  </si>
  <si>
    <t>Income tax decrease from 36.12% to 33.5% for Jan to Apr 2008:</t>
  </si>
  <si>
    <t>Divide by 12 months and multiply by 4 months</t>
  </si>
  <si>
    <t>Income tax (grossed-up) for Jan to Apr 2008</t>
  </si>
  <si>
    <t>Difference = credit entry to Account 1592 for Jan to Apr 2008</t>
  </si>
  <si>
    <t>Income tax (grossed-up) for Jan to Apr 2009</t>
  </si>
  <si>
    <t>Difference = credit entry to Account 1592 for Jan to Apr 2009</t>
  </si>
  <si>
    <t>2012 MIFRS</t>
  </si>
  <si>
    <t>2012 CGAAP</t>
  </si>
  <si>
    <t>Grand Total</t>
  </si>
  <si>
    <t xml:space="preserve">Response:  Refer to Note 10. </t>
  </si>
  <si>
    <t>Response:  Refer to Note 11.  (FYI - Bluewater Power rebased May 1, 2009)</t>
  </si>
  <si>
    <t>Response:  Refer to Notes (7) to (11)</t>
  </si>
  <si>
    <t>2013 MIFRS</t>
  </si>
  <si>
    <t xml:space="preserve">            Smart Meter Transfer In</t>
  </si>
  <si>
    <t xml:space="preserve">            Stranded meters</t>
  </si>
  <si>
    <t>Distribution Service Revenue</t>
  </si>
  <si>
    <t>STR Revenue</t>
  </si>
  <si>
    <t>Rent from Electric property</t>
  </si>
  <si>
    <t>Other Electric Revenue</t>
  </si>
  <si>
    <t>Revenues from Jobbing</t>
  </si>
  <si>
    <t>Expenses from Jobbing</t>
  </si>
  <si>
    <t>Misc. non-operating income</t>
  </si>
  <si>
    <t>Interest and dividend income</t>
  </si>
  <si>
    <t>Gain on disposition</t>
  </si>
  <si>
    <t>Loss on disposition</t>
  </si>
  <si>
    <t>Investment Income</t>
  </si>
  <si>
    <t>2011</t>
  </si>
  <si>
    <t>Depreciation expense adjustment resulting from amortization of Account 1575</t>
  </si>
  <si>
    <t>Depreciation expense adjustment resulting from Account 4357 - Gain on Retirement</t>
  </si>
  <si>
    <t>2009 Board Approved</t>
  </si>
  <si>
    <t>Interest on bank accounts</t>
  </si>
  <si>
    <t>Interest on advances to affiliates</t>
  </si>
  <si>
    <t>Y</t>
  </si>
  <si>
    <t>Directly attibutable</t>
  </si>
  <si>
    <t>audited FS =</t>
  </si>
  <si>
    <t>.</t>
  </si>
  <si>
    <t xml:space="preserve">GS &gt; 50 -999 kW </t>
  </si>
  <si>
    <t>GS &gt;1000-4999 kW</t>
  </si>
  <si>
    <t>Large User</t>
  </si>
  <si>
    <t>2012 IRM</t>
  </si>
  <si>
    <t>Depreciation expense adjustment resulting from Account 4357 - Gain on Retirement =</t>
  </si>
  <si>
    <t>2013 CGAAP</t>
  </si>
  <si>
    <t>Promissory Note to Shareholder</t>
  </si>
  <si>
    <t>Village of Point Edward</t>
  </si>
  <si>
    <t>Town of Petrolia</t>
  </si>
  <si>
    <t>Village of Alvinston</t>
  </si>
  <si>
    <t>Township of Warwick</t>
  </si>
  <si>
    <t>City of Sarnia</t>
  </si>
  <si>
    <t>Affiliated</t>
  </si>
  <si>
    <t>Fixed Rate</t>
  </si>
  <si>
    <t>Oct 30, 2000</t>
  </si>
  <si>
    <t>Actual ($)       (Note 4)</t>
  </si>
  <si>
    <t>Bluewater Power - the actual interest in 2009 was a combination of 7.25% rate from Jan to Apr and 7.62% from May to December.</t>
  </si>
  <si>
    <t>Infrastructure Ontario</t>
  </si>
  <si>
    <t>Advances</t>
  </si>
  <si>
    <t>Third-Party</t>
  </si>
  <si>
    <t>Variable Rate</t>
  </si>
  <si>
    <t>Sep 20, 2010</t>
  </si>
  <si>
    <t>Debenture</t>
  </si>
  <si>
    <t>Sep 15, 2011</t>
  </si>
  <si>
    <t>2013 Test Year</t>
  </si>
  <si>
    <t>2012 Bridge Year</t>
  </si>
  <si>
    <t>The rate base of $47,830,944 is the amount approved as part of 2009 rebasing.</t>
  </si>
  <si>
    <t xml:space="preserve">2010 IRM </t>
  </si>
  <si>
    <t>The 2010 IRM was the last adjustment for debt/equity modifications.</t>
  </si>
  <si>
    <t xml:space="preserve">            Other</t>
  </si>
  <si>
    <t>Bluewater Power:  Refer to Exhibit 9, Tab 1, Schedule 3</t>
  </si>
  <si>
    <t>BWP note:  Proposed to include the amounts capitalized in the year not necessarily what was spent, and footnote accordingly……</t>
  </si>
  <si>
    <t>contributed capital addback</t>
  </si>
  <si>
    <t>major spare parts addback</t>
  </si>
  <si>
    <t>less:  beginning AUC</t>
  </si>
  <si>
    <t>add:  ending AUC</t>
  </si>
  <si>
    <t>gross cost per above (excludes AUC)</t>
  </si>
  <si>
    <t>Other Tangible Property (major spare parts)</t>
  </si>
  <si>
    <t>a</t>
  </si>
  <si>
    <t>b</t>
  </si>
  <si>
    <t>a-b</t>
  </si>
  <si>
    <t>agrees to audited FS</t>
  </si>
  <si>
    <t>capitalized per Exh 2, Tab 4, Sch 3, Att 1</t>
  </si>
  <si>
    <t>rounding/variance</t>
  </si>
  <si>
    <t>Sep 15, 2013</t>
  </si>
  <si>
    <t>Unfunded deemed portion</t>
  </si>
  <si>
    <t>Customers</t>
  </si>
  <si>
    <t>Connections</t>
  </si>
  <si>
    <t>GS &gt; 50 to 999 kW</t>
  </si>
  <si>
    <t>GS &gt; 1000 to 4,999 kW</t>
  </si>
  <si>
    <t xml:space="preserve">2.  Bluewater Power notes that the number of customers presented in the 'End of Test Year' column are the 'normalized' customer counts presented in the load forecast document at Exhibit 3, Tab 1, Schedule 2, Attachment 1 which are representative of 'average' </t>
  </si>
  <si>
    <t xml:space="preserve">   customer counts for the Test Year</t>
  </si>
  <si>
    <t>The rate base value of $66,800,816 includes the IFRS adjustment of $364,881.</t>
  </si>
  <si>
    <t>c = b - a = overhead =</t>
  </si>
  <si>
    <t>Bluewater Power Notes</t>
  </si>
  <si>
    <t>Interest on promissory note recievable</t>
  </si>
  <si>
    <t>Carrying Charges Income</t>
  </si>
  <si>
    <r>
      <t>1</t>
    </r>
    <r>
      <rPr>
        <b/>
        <sz val="10"/>
        <rFont val="Arial"/>
        <family val="2"/>
      </rPr>
      <t xml:space="preserve"> If an applicant wishes to use headcount, it must also file the same schedule on an FTE basis.</t>
    </r>
  </si>
  <si>
    <t>Total Compensation Capitalized</t>
  </si>
  <si>
    <t>Total Compensation Billable</t>
  </si>
  <si>
    <t>Total Compensation Smart Meter</t>
  </si>
  <si>
    <t>Total Compensation Charged to OM&amp;A</t>
  </si>
  <si>
    <t>Retirees</t>
  </si>
  <si>
    <t>Students</t>
  </si>
  <si>
    <t>Contract</t>
  </si>
  <si>
    <t>Director's</t>
  </si>
  <si>
    <t>Compensation - Equivalent Annual Average Yearly Benefits</t>
  </si>
  <si>
    <t xml:space="preserve">Compensation - Total Yearly Incentive Pay (represents 90% of gross) </t>
  </si>
  <si>
    <t>Compensation - Total Yearly Overtime</t>
  </si>
  <si>
    <t>Compensation - Equivalent Annual Average Yearly Base Wages</t>
  </si>
  <si>
    <t>Students = FTE</t>
  </si>
  <si>
    <t>Total Gross Benefits (Current + Accrued)</t>
  </si>
  <si>
    <t>Total Salary and Wages - note the numbers in this category reflect regular gross earnings only</t>
  </si>
  <si>
    <t>Total Compensation Affiliates</t>
  </si>
  <si>
    <t>2.  The number of FTEE does not include the Directors.</t>
  </si>
  <si>
    <t>BWP Notes:</t>
  </si>
  <si>
    <t>1.  Removed the donations expense from account 6205 from this table as it is excluded from Appendix 2-H.</t>
  </si>
  <si>
    <t>Decline in Overtime</t>
  </si>
  <si>
    <t>Smart Meter and Stranded Meters</t>
  </si>
  <si>
    <t>Opening Balance CGAAP</t>
  </si>
  <si>
    <t>Closing Balance under MIFRS</t>
  </si>
  <si>
    <t>Conversion to MIFRS &amp; Smart Meter</t>
  </si>
  <si>
    <t>Monthly Billing</t>
  </si>
  <si>
    <t>Employee Future Benefit Obligation</t>
  </si>
  <si>
    <t>OMERS Rate Increase</t>
  </si>
  <si>
    <t>Benefit Increases attributed to payroll changes</t>
  </si>
  <si>
    <t>Progression and Cost of Living changes</t>
  </si>
  <si>
    <t>Net Smart Metering Incremental OM&amp;A</t>
  </si>
  <si>
    <t>Other</t>
  </si>
  <si>
    <t>Net Change in FTE's</t>
  </si>
  <si>
    <t>Attachment</t>
  </si>
  <si>
    <t>Attachment:</t>
  </si>
  <si>
    <t>2009 Rebasing Costs</t>
  </si>
  <si>
    <t>UT11 New Connections (OEB Requirements)</t>
  </si>
  <si>
    <t>1820 Distribution Station Equipment &lt;50 kV</t>
  </si>
  <si>
    <t>1830 Poles, Towers &amp; Fixtures</t>
  </si>
  <si>
    <t>1835 Overhead Conductors &amp; Devices</t>
  </si>
  <si>
    <t>1840 Underground Conduit</t>
  </si>
  <si>
    <t>1845 Underground Conductors &amp; Devices</t>
  </si>
  <si>
    <t>1850 Line Transformers</t>
  </si>
  <si>
    <t>1855 Services (Overhead &amp; Underground)</t>
  </si>
  <si>
    <t>1860 Meters</t>
  </si>
  <si>
    <t>O1 Building Renovations/Expansion</t>
  </si>
  <si>
    <t>1908 Buildings &amp; Fixtures</t>
  </si>
  <si>
    <t>1915 Office Furniture &amp; Equipment (10 years)</t>
  </si>
  <si>
    <t xml:space="preserve">UT 10 Vehicle Replacement - Lines </t>
  </si>
  <si>
    <t>1930 Transportation Equipment</t>
  </si>
  <si>
    <t>IT16 SAP Upgrade</t>
  </si>
  <si>
    <t>1920 Computer Equipment - Hardware</t>
  </si>
  <si>
    <t>1925 Computer Software (Formally known as Account 1925)</t>
  </si>
  <si>
    <t>IT5 Legislated Business Application Upgrades</t>
  </si>
  <si>
    <t>IT1 Data Centre Lifecycle</t>
  </si>
  <si>
    <t>1980 System Supervisor Equipment</t>
  </si>
  <si>
    <t>UT15 Wood Pole Replacement Program</t>
  </si>
  <si>
    <t>UT18 Emergency System Improvement Fund</t>
  </si>
  <si>
    <t>1805 Land</t>
  </si>
  <si>
    <t>1940 Tools, Shop &amp; Garage Equipment</t>
  </si>
  <si>
    <t>1945 Measurement &amp; Testing Equipment</t>
  </si>
  <si>
    <t>1955 Communications Equipment</t>
  </si>
  <si>
    <t>UT24 Storm Restoration</t>
  </si>
  <si>
    <t>UT12 Transformers</t>
  </si>
  <si>
    <t>IT6 Software-Upgrades and Additions</t>
  </si>
  <si>
    <t>IT2 Computer Infrastructure Lifecycle</t>
  </si>
  <si>
    <t>IT Staff Capitalization</t>
  </si>
  <si>
    <t>UT21 27.6 Kv Feeder Extensions</t>
  </si>
  <si>
    <t>UT19 Service Centre</t>
  </si>
  <si>
    <t>IT13 System Upgrade</t>
  </si>
  <si>
    <t>UT26 Primary Underground Cable Replacements</t>
  </si>
  <si>
    <t>IT21 IFRS System Upgrade</t>
  </si>
  <si>
    <t>UT5 27.6 Feeder - Petrolia</t>
  </si>
  <si>
    <t>UT14 Cross Arm/Cap &amp; Pin Insulator Replacement Program</t>
  </si>
  <si>
    <t>UT7 4KV Load Conversion</t>
  </si>
  <si>
    <t>UT4 27.6kV Neutral Program</t>
  </si>
  <si>
    <t>IT3 Corporate IT Security</t>
  </si>
  <si>
    <t>UT1 Substation Building</t>
  </si>
  <si>
    <t>UT22 8 kv Load Conversion</t>
  </si>
  <si>
    <t>M7 Trans Station Meter Upgrade - Modeland</t>
  </si>
  <si>
    <t>UT16 Watford</t>
  </si>
  <si>
    <t>M2 Poly Phase mechanical demand replacement</t>
  </si>
  <si>
    <t>UT25 Remote Load Break Switches</t>
  </si>
  <si>
    <t>UT34 27.6kV Lines Upgrades</t>
  </si>
  <si>
    <t>IT10 SAP Customer Self Services and Electronic Billing</t>
  </si>
  <si>
    <t>UT35 Substation Transformer Replacements</t>
  </si>
  <si>
    <t>UT42 Manhole Structure Re-builds</t>
  </si>
  <si>
    <t>UT31 Pad Mount Transformer Replacements</t>
  </si>
  <si>
    <t>M1 Single Phase 100 Amp Meter Replacement</t>
  </si>
  <si>
    <t>M8 Smart Meter Remote Disconnect</t>
  </si>
  <si>
    <t>IT9 Disaster Recovery Plan Upgrade Phase III</t>
  </si>
  <si>
    <t>St. Andrews Meter Upgrade</t>
  </si>
  <si>
    <t>IT7 IP Telephony and Messaging Upgrade</t>
  </si>
  <si>
    <t>UT2 27.6 Load Break Switch Replacement</t>
  </si>
  <si>
    <t>UT46 5kV Protective Relay Replacement</t>
  </si>
  <si>
    <t>UT28 Asset Condition Assessment (feeder &amp; substn)</t>
  </si>
  <si>
    <t>UT17 Load Balancing</t>
  </si>
  <si>
    <t>UT9 Tools (Vehicle and others)</t>
  </si>
  <si>
    <t>O6 CN Land Rights</t>
  </si>
  <si>
    <t>UT8 Pt Edward upgrades</t>
  </si>
  <si>
    <t>O7 Building Petrolia</t>
  </si>
  <si>
    <t>IT8 SCADA / ODS / OMS / GIS Integration</t>
  </si>
  <si>
    <t>UT20 Overhead Line - Back Lot Rebuild</t>
  </si>
  <si>
    <t>Deloitte/SAP AMO</t>
  </si>
  <si>
    <t>UT40 Guy Guard/Down Guy  Replacement</t>
  </si>
  <si>
    <t>UT33 Animal Protection</t>
  </si>
  <si>
    <t>M3 New Meters</t>
  </si>
  <si>
    <t>IT17 Disaster Recovery Plan Upgrade Phase II</t>
  </si>
  <si>
    <t>UT27 Remote Terminal Unit Upgrades</t>
  </si>
  <si>
    <t>UT50 Management Labour</t>
  </si>
  <si>
    <t>UT48 Transformer Replacements (PCB Units)</t>
  </si>
  <si>
    <t>IT14 Document Management</t>
  </si>
  <si>
    <t>UT52 Reclosers</t>
  </si>
  <si>
    <t>Special Projects/Business Development</t>
  </si>
  <si>
    <t xml:space="preserve">1960 Miscellaneous Equipment </t>
  </si>
  <si>
    <t>UT47 Sub #2 Conversion - Phase III</t>
  </si>
  <si>
    <t>IT18 Data Center Network Lifecycle Replacement</t>
  </si>
  <si>
    <t>UT23 Transformer Cover Replacements</t>
  </si>
  <si>
    <t>UT3 Street Widening</t>
  </si>
  <si>
    <t xml:space="preserve">UT32 Data radio infrastructure upgrade </t>
  </si>
  <si>
    <t>UT36 Downtown Cable Replacement - Cromwell St. to Front St. - Phase 1</t>
  </si>
  <si>
    <t>Miscellaneous Projects</t>
  </si>
  <si>
    <t>1935 Stores Equipment</t>
  </si>
  <si>
    <t>Assets under Construction</t>
  </si>
  <si>
    <t>2055 Assets under Construction Capitalized</t>
  </si>
  <si>
    <t>1611 Computer Software (Formally known as Account 1925)</t>
  </si>
  <si>
    <t>1612 Land Rights (Formally known as Account 1806)</t>
  </si>
  <si>
    <t>1 of 27</t>
  </si>
  <si>
    <t>Monthly</t>
  </si>
  <si>
    <t>Rate Rider for Tax change</t>
  </si>
  <si>
    <t>LRAM 2011</t>
  </si>
  <si>
    <t>LRAM 2012</t>
  </si>
  <si>
    <t>LRAM 2013</t>
  </si>
  <si>
    <t xml:space="preserve">Stranded Meters Recovery </t>
  </si>
  <si>
    <t>Rate Rider for Deferral/Variance Account Disposition 2011</t>
  </si>
  <si>
    <t>Rate Rider for Deferral/Variance Account Disposition 2012</t>
  </si>
  <si>
    <t>Rate Rider for Deferral/Variance Account Disposition 2013 (for 2011 balances)</t>
  </si>
  <si>
    <t>Total Bill (including HST)</t>
  </si>
  <si>
    <t>Ontario Clean Energy Benefit 1</t>
  </si>
  <si>
    <t>1 Applicable to eligible customers only.  Refer to the Ontario Clean Energy Benefit Act, 2010.</t>
  </si>
  <si>
    <t>2 of 27</t>
  </si>
  <si>
    <t>3 of 27</t>
  </si>
  <si>
    <t>4 of 27</t>
  </si>
  <si>
    <t>5 of 27</t>
  </si>
  <si>
    <t>General Service &lt; 50 kW</t>
  </si>
  <si>
    <t>6 of 27</t>
  </si>
  <si>
    <t>7 of 27</t>
  </si>
  <si>
    <t>8 of 27</t>
  </si>
  <si>
    <t>9 of 27</t>
  </si>
  <si>
    <t>General Service &gt; 50 to 999 kW</t>
  </si>
  <si>
    <t>10 of 27</t>
  </si>
  <si>
    <t>11 of 27</t>
  </si>
  <si>
    <t>12 of 27</t>
  </si>
  <si>
    <t>13 of 27</t>
  </si>
  <si>
    <t>General Service 1000 to 4999 kW</t>
  </si>
  <si>
    <t>14 of 27</t>
  </si>
  <si>
    <t>15 of 27</t>
  </si>
  <si>
    <t>16 of 27</t>
  </si>
  <si>
    <t>17 of 27</t>
  </si>
  <si>
    <t>18 of 27</t>
  </si>
  <si>
    <t>19 of 27</t>
  </si>
  <si>
    <t>20 of 27</t>
  </si>
  <si>
    <t>21 of 27</t>
  </si>
  <si>
    <t>22 of 27</t>
  </si>
  <si>
    <t>23 of 27</t>
  </si>
  <si>
    <t>24 of 27</t>
  </si>
  <si>
    <t>25 of 27</t>
  </si>
  <si>
    <t>26 of 27</t>
  </si>
  <si>
    <t>Wholesale Market Participants GS &gt; 50</t>
  </si>
  <si>
    <t>kw</t>
  </si>
  <si>
    <t>Rate Rider for Deferral/Variance Account Disposition 2013 - GEN WMP</t>
  </si>
  <si>
    <t>27 of 27</t>
  </si>
  <si>
    <t>Wholesale Market Participants LU</t>
  </si>
  <si>
    <t>Rate Rider for Deferral/Variance Account disposition 2011- ONLY TO Large WMP</t>
  </si>
  <si>
    <t>Rate Rider for Deferral/Variance Account disposition 2012 - ONLY TO Large WMP</t>
  </si>
  <si>
    <t>Rate Rider for Deferral/Variance Account Disposition 2013 - Large WMP</t>
  </si>
  <si>
    <t>Distco - OPA = non-utility OPA program costs</t>
  </si>
  <si>
    <t>BPREI = Bluewater Power Renewable Energy Inc.</t>
  </si>
  <si>
    <t>Genco = Bluewater Power Generation Corporation</t>
  </si>
  <si>
    <t>Electek = Electek Power Services Inc.</t>
  </si>
  <si>
    <t>BPSC = Bluewater Power Distribution Corporation</t>
  </si>
  <si>
    <t>Distco = Bluewater Power Distribution Corporation</t>
  </si>
  <si>
    <t>This appendix must be completed in relation to each service provided or received for the Historical (actuals), Bridge and Test years.</t>
  </si>
  <si>
    <t xml:space="preserve">Note: </t>
  </si>
  <si>
    <t>Board of Directors</t>
  </si>
  <si>
    <t>Electek</t>
  </si>
  <si>
    <t>Distco</t>
  </si>
  <si>
    <t>BPSC</t>
  </si>
  <si>
    <t>BPREI</t>
  </si>
  <si>
    <t>Genco</t>
  </si>
  <si>
    <t>To</t>
  </si>
  <si>
    <t>From</t>
  </si>
  <si>
    <t>Amount Allocated</t>
  </si>
  <si>
    <t>% of Corporate Costs Allocated</t>
  </si>
  <si>
    <t>Pricing Methodology</t>
  </si>
  <si>
    <t>Service Offered</t>
  </si>
  <si>
    <t>Name of Company</t>
  </si>
  <si>
    <t>Corporate Cost Allocation</t>
  </si>
  <si>
    <t>Sub-Total</t>
  </si>
  <si>
    <t>market value</t>
  </si>
  <si>
    <t>3rd Party Billable</t>
  </si>
  <si>
    <t>Repair &amp; Maintenance Work</t>
  </si>
  <si>
    <t>Capital</t>
  </si>
  <si>
    <t>building rent</t>
  </si>
  <si>
    <t>fully allocated cost</t>
  </si>
  <si>
    <t>Shared Staff</t>
  </si>
  <si>
    <t>commercial meter reading</t>
  </si>
  <si>
    <t>OPA programs</t>
  </si>
  <si>
    <t>Distco - OPA</t>
  </si>
  <si>
    <t>Pass Through -Streetlight Install</t>
  </si>
  <si>
    <t>HyrdoVac</t>
  </si>
  <si>
    <t>Asset sales-vehicle &amp; stock</t>
  </si>
  <si>
    <t>Capital Work</t>
  </si>
  <si>
    <t>Water Billing costs</t>
  </si>
  <si>
    <t xml:space="preserve">Water ROIC </t>
  </si>
  <si>
    <t>Interest on Advances</t>
  </si>
  <si>
    <t>vehicle rental</t>
  </si>
  <si>
    <t>management services</t>
  </si>
  <si>
    <t>Cost for the Service</t>
  </si>
  <si>
    <t>Price for the Service</t>
  </si>
  <si>
    <t>Shared Services</t>
  </si>
  <si>
    <t>Year:</t>
  </si>
  <si>
    <t>Shared Services and Corporate Cost Allocation</t>
  </si>
  <si>
    <t>Appendix 2-N</t>
  </si>
  <si>
    <t>Fixed Asset Continuity Schedule 2012 MIFRS (with breakdown of MIFRS Conversion and Smart/Stranded Meters)</t>
  </si>
  <si>
    <t>2012 MIFRS (Details)</t>
  </si>
  <si>
    <t>Cost Adjustment</t>
  </si>
  <si>
    <t>Accumulated Depreciation Adjustment</t>
  </si>
  <si>
    <t>2011 Accumulated Depreciation</t>
  </si>
  <si>
    <t>2011 Contributed Capital</t>
  </si>
  <si>
    <t>Smart Meter and Stranded Meter</t>
  </si>
  <si>
    <t>This worksheet provides a breakdown of the adjustment figures which appear on App.2-B_Fixed Asset 2012 MIFRS</t>
  </si>
  <si>
    <t>Columns "Conversion to MIFRS &amp; Smart Meter" of -$58,146,873 for costs and $ 62,848,282 for accumulated depreciation are in App.2-B_Fixed Asset 2012 MIFRS</t>
  </si>
  <si>
    <r>
      <t>Any other costs for regulatory matters (</t>
    </r>
    <r>
      <rPr>
        <sz val="10"/>
        <color rgb="FFFF0000"/>
        <rFont val="Arial"/>
        <family val="2"/>
      </rPr>
      <t>LEAP costs)</t>
    </r>
  </si>
  <si>
    <t>Municipal Affiliates</t>
  </si>
  <si>
    <t>2009 Actual</t>
  </si>
  <si>
    <t>2010 Actual</t>
  </si>
  <si>
    <t>2011 Actual</t>
  </si>
  <si>
    <t>Allocation to Smart Meter Project</t>
  </si>
  <si>
    <t>Allocation to Billable Work</t>
  </si>
  <si>
    <t>Change to capitalization of overhead</t>
  </si>
  <si>
    <t>Allocation of labour and costs to Capital Projects</t>
  </si>
  <si>
    <t>1.  The number of customers is reported on the number of customers, not the number of connections.   The number of customers</t>
  </si>
  <si>
    <t xml:space="preserve">   correspond to the number of customers reported in the load forecast and is the average number of customers in the year.  </t>
  </si>
  <si>
    <t>Please Note:  The values presented above for each capital project do not include 'Assets Under Construction' in order to make all years comparable with 2013 Test</t>
  </si>
  <si>
    <t xml:space="preserve">Year.  The net assets under construction for the applicable years are added at the bottom of this schedule to ensure the grand total reconciles to that presented </t>
  </si>
  <si>
    <t xml:space="preserve">in Exhibit 2, Tab 4, Schedule 3, Attachment 1 - Table of Capital Expenditures 2009 to 2013. </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</si>
</sst>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5" formatCode="&quot;$&quot;#,##0;\-&quot;$&quot;#,##0"/>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quot;$&quot;* #,##0_-;_-&quot;$&quot;* &quot;-&quot;??_-;_-@_-"/>
    <numFmt numFmtId="170" formatCode="_-* #,##0_-;\-* #,##0_-;_-* &quot;-&quot;??_-;_-@_-"/>
    <numFmt numFmtId="171" formatCode="_-&quot;$&quot;* #,##0.0000_-;\-&quot;$&quot;* #,##0.0000_-;_-&quot;$&quot;* &quot;-&quot;??_-;_-@_-"/>
    <numFmt numFmtId="172" formatCode="[$-1009]mmmm\ d\,\ yyyy;@"/>
    <numFmt numFmtId="173" formatCode="0_ ;\-0\ "/>
    <numFmt numFmtId="174" formatCode="[$-1009]d\-mmm\-yy;@"/>
    <numFmt numFmtId="175" formatCode="\(#\)"/>
    <numFmt numFmtId="176" formatCode="&quot;$&quot;#,##0_);[Red]\(&quot;$&quot;#,##0\);&quot;$&quot;\ \-"/>
    <numFmt numFmtId="177" formatCode="0.00000"/>
    <numFmt numFmtId="178" formatCode="0.0000"/>
    <numFmt numFmtId="179" formatCode="0.000%"/>
    <numFmt numFmtId="180" formatCode="_-* #,##0.0_-;\-* #,##0.0_-;_-* &quot;-&quot;??_-;_-@_-"/>
    <numFmt numFmtId="181" formatCode="#,##0.00_ ;[Red]\-#,##0.00\ "/>
    <numFmt numFmtId="182" formatCode="_(&quot;$&quot;* #,##0_);_(&quot;$&quot;* \(#,##0\);_(&quot;$&quot;* &quot;-&quot;??_);_(@_)"/>
    <numFmt numFmtId="183" formatCode="0.0000%"/>
    <numFmt numFmtId="184" formatCode="dd/mm/yyyy;@"/>
    <numFmt numFmtId="185" formatCode="_(* #,##0_);_(* \(#,##0\);_(* &quot;-&quot;??_);_(@_)"/>
    <numFmt numFmtId="186" formatCode="0.0"/>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6"/>
      <color indexed="12"/>
      <name val="Algerian"/>
      <family val="5"/>
    </font>
    <font>
      <sz val="14"/>
      <name val="Arial"/>
      <family val="2"/>
    </font>
    <font>
      <i/>
      <sz val="10"/>
      <name val="Arial"/>
      <family val="2"/>
    </font>
    <font>
      <b/>
      <i/>
      <sz val="10"/>
      <name val="Arial"/>
      <family val="2"/>
    </font>
    <font>
      <sz val="10"/>
      <color indexed="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u/>
      <sz val="14"/>
      <color indexed="10"/>
      <name val="Arial"/>
      <family val="2"/>
    </font>
    <font>
      <strike/>
      <sz val="10"/>
      <name val="Arial"/>
      <family val="2"/>
    </font>
    <font>
      <sz val="10"/>
      <color indexed="8"/>
      <name val="Arial"/>
      <family val="2"/>
    </font>
    <font>
      <sz val="10"/>
      <color rgb="FF000000"/>
      <name val="Arial"/>
      <family val="2"/>
    </font>
    <font>
      <b/>
      <sz val="11"/>
      <color theme="1"/>
      <name val="Arial"/>
      <family val="2"/>
    </font>
    <font>
      <sz val="20"/>
      <name val="Arial"/>
      <family val="2"/>
    </font>
    <font>
      <b/>
      <sz val="10"/>
      <color indexed="8"/>
      <name val="Arial"/>
      <family val="2"/>
    </font>
    <font>
      <b/>
      <sz val="10"/>
      <color indexed="8"/>
      <name val="Calibri"/>
      <family val="2"/>
    </font>
    <font>
      <sz val="10"/>
      <color indexed="8"/>
      <name val="Calibri"/>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0"/>
      <color rgb="FFFF0000"/>
      <name val="Arial"/>
      <family val="2"/>
    </font>
    <font>
      <b/>
      <i/>
      <sz val="10"/>
      <color rgb="FFFF0000"/>
      <name val="Arial"/>
      <family val="2"/>
    </font>
    <font>
      <sz val="7"/>
      <color rgb="FFFF0000"/>
      <name val="Arial"/>
      <family val="2"/>
    </font>
    <font>
      <b/>
      <i/>
      <sz val="9"/>
      <color rgb="FFFF0000"/>
      <name val="Arial"/>
      <family val="2"/>
    </font>
    <font>
      <sz val="10"/>
      <color rgb="FFFF0000"/>
      <name val="Arial"/>
      <family val="2"/>
    </font>
    <font>
      <b/>
      <sz val="10"/>
      <color theme="3"/>
      <name val="Arial"/>
      <family val="2"/>
    </font>
    <font>
      <sz val="10"/>
      <color rgb="FFC00000"/>
      <name val="Arial"/>
      <family val="2"/>
    </font>
    <font>
      <b/>
      <sz val="18"/>
      <name val="Arial"/>
      <family val="2"/>
    </font>
    <font>
      <u/>
      <sz val="7.5"/>
      <color indexed="12"/>
      <name val="Arial"/>
      <family val="2"/>
    </font>
    <font>
      <sz val="10"/>
      <name val="MS Sans Serif"/>
      <family val="2"/>
    </font>
    <font>
      <sz val="10"/>
      <color theme="1"/>
      <name val="Courier"/>
      <family val="2"/>
    </font>
  </fonts>
  <fills count="7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lightUp">
        <bgColor indexed="22"/>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22"/>
      </patternFill>
    </fill>
    <fill>
      <patternFill patternType="lightDown">
        <bgColor indexed="55"/>
      </patternFill>
    </fill>
    <fill>
      <patternFill patternType="lightUp">
        <bgColor theme="0" tint="-0.24997711111789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lightDown">
        <bgColor theme="0" tint="-0.34998626667073579"/>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indexed="31"/>
        <bgColor indexed="64"/>
      </patternFill>
    </fill>
    <fill>
      <patternFill patternType="solid">
        <fgColor indexed="23"/>
        <bgColor indexed="64"/>
      </patternFill>
    </fill>
    <fill>
      <patternFill patternType="solid">
        <fgColor indexed="47"/>
        <bgColor indexed="64"/>
      </patternFill>
    </fill>
    <fill>
      <patternFill patternType="solid">
        <fgColor theme="0" tint="-0.14999847407452621"/>
        <bgColor indexed="64"/>
      </patternFill>
    </fill>
  </fills>
  <borders count="1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style="thin">
        <color indexed="64"/>
      </left>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double">
        <color indexed="64"/>
      </top>
      <bottom style="double">
        <color indexed="64"/>
      </bottom>
      <diagonal/>
    </border>
    <border>
      <left/>
      <right/>
      <top style="double">
        <color indexed="0"/>
      </top>
      <bottom/>
      <diagonal/>
    </border>
    <border>
      <left/>
      <right/>
      <top/>
      <bottom style="thin">
        <color theme="4" tint="0.39997558519241921"/>
      </bottom>
      <diagonal/>
    </border>
    <border>
      <left style="medium">
        <color indexed="64"/>
      </left>
      <right/>
      <top/>
      <bottom style="thin">
        <color theme="4" tint="0.39997558519241921"/>
      </bottom>
      <diagonal/>
    </border>
    <border>
      <left/>
      <right style="medium">
        <color indexed="64"/>
      </right>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bottom style="thin">
        <color indexed="9"/>
      </bottom>
      <diagonal/>
    </border>
  </borders>
  <cellStyleXfs count="255">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43" fontId="15" fillId="0" borderId="0" applyFont="0" applyFill="0" applyBorder="0" applyAlignment="0" applyProtection="0"/>
    <xf numFmtId="44" fontId="15"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16" fillId="0" borderId="0" applyNumberFormat="0" applyFill="0" applyBorder="0" applyAlignment="0" applyProtection="0">
      <alignment vertical="top"/>
      <protection locked="0"/>
    </xf>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38" fillId="23" borderId="7" applyNumberFormat="0" applyFont="0" applyAlignment="0" applyProtection="0"/>
    <xf numFmtId="0" fontId="39" fillId="20" borderId="8" applyNumberFormat="0" applyAlignment="0" applyProtection="0"/>
    <xf numFmtId="9" fontId="15" fillId="0" borderId="0" applyFon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15" fillId="0" borderId="0"/>
    <xf numFmtId="0" fontId="25" fillId="0" borderId="0"/>
    <xf numFmtId="0" fontId="67" fillId="0" borderId="0" applyNumberFormat="0" applyFill="0" applyBorder="0" applyAlignment="0" applyProtection="0"/>
    <xf numFmtId="0" fontId="69" fillId="0" borderId="120" applyNumberFormat="0" applyFill="0" applyAlignment="0" applyProtection="0"/>
    <xf numFmtId="0" fontId="68" fillId="0" borderId="119" applyNumberFormat="0" applyFill="0" applyAlignment="0" applyProtection="0"/>
    <xf numFmtId="0" fontId="14" fillId="0" borderId="0"/>
    <xf numFmtId="0" fontId="70" fillId="0" borderId="121" applyNumberFormat="0" applyFill="0" applyAlignment="0" applyProtection="0"/>
    <xf numFmtId="0" fontId="70" fillId="0" borderId="0" applyNumberFormat="0" applyFill="0" applyBorder="0" applyAlignment="0" applyProtection="0"/>
    <xf numFmtId="0" fontId="71" fillId="34" borderId="0" applyNumberFormat="0" applyBorder="0" applyAlignment="0" applyProtection="0"/>
    <xf numFmtId="0" fontId="72" fillId="35" borderId="0" applyNumberFormat="0" applyBorder="0" applyAlignment="0" applyProtection="0"/>
    <xf numFmtId="0" fontId="73" fillId="36" borderId="0" applyNumberFormat="0" applyBorder="0" applyAlignment="0" applyProtection="0"/>
    <xf numFmtId="0" fontId="74" fillId="37" borderId="122" applyNumberFormat="0" applyAlignment="0" applyProtection="0"/>
    <xf numFmtId="0" fontId="75" fillId="38" borderId="123" applyNumberFormat="0" applyAlignment="0" applyProtection="0"/>
    <xf numFmtId="0" fontId="76" fillId="38" borderId="122" applyNumberFormat="0" applyAlignment="0" applyProtection="0"/>
    <xf numFmtId="0" fontId="77" fillId="0" borderId="124" applyNumberFormat="0" applyFill="0" applyAlignment="0" applyProtection="0"/>
    <xf numFmtId="0" fontId="78" fillId="39" borderId="125" applyNumberFormat="0" applyAlignment="0" applyProtection="0"/>
    <xf numFmtId="0" fontId="79" fillId="0" borderId="0" applyNumberFormat="0" applyFill="0" applyBorder="0" applyAlignment="0" applyProtection="0"/>
    <xf numFmtId="0" fontId="14" fillId="40" borderId="126" applyNumberFormat="0" applyFont="0" applyAlignment="0" applyProtection="0"/>
    <xf numFmtId="0" fontId="80" fillId="0" borderId="0" applyNumberFormat="0" applyFill="0" applyBorder="0" applyAlignment="0" applyProtection="0"/>
    <xf numFmtId="0" fontId="81" fillId="0" borderId="127" applyNumberFormat="0" applyFill="0" applyAlignment="0" applyProtection="0"/>
    <xf numFmtId="0" fontId="82"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82" fillId="44" borderId="0" applyNumberFormat="0" applyBorder="0" applyAlignment="0" applyProtection="0"/>
    <xf numFmtId="0" fontId="82"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82" fillId="52" borderId="0" applyNumberFormat="0" applyBorder="0" applyAlignment="0" applyProtection="0"/>
    <xf numFmtId="0" fontId="82"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82" fillId="56" borderId="0" applyNumberFormat="0" applyBorder="0" applyAlignment="0" applyProtection="0"/>
    <xf numFmtId="0" fontId="82" fillId="57"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82" fillId="60" borderId="0" applyNumberFormat="0" applyBorder="0" applyAlignment="0" applyProtection="0"/>
    <xf numFmtId="0" fontId="82"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82" fillId="64" borderId="0" applyNumberFormat="0" applyBorder="0" applyAlignment="0" applyProtection="0"/>
    <xf numFmtId="0" fontId="13" fillId="0" borderId="0"/>
    <xf numFmtId="167" fontId="13"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3" fillId="0" borderId="0" applyFont="0" applyFill="0" applyBorder="0" applyAlignment="0" applyProtection="0"/>
    <xf numFmtId="5" fontId="25" fillId="0" borderId="0" applyFont="0" applyFill="0" applyBorder="0" applyAlignment="0" applyProtection="0"/>
    <xf numFmtId="0" fontId="13"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3" fillId="0" borderId="0" applyFont="0" applyFill="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2" fillId="0" borderId="0" applyFont="0" applyFill="0" applyBorder="0" applyAlignment="0" applyProtection="0"/>
    <xf numFmtId="167"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4" fontId="15" fillId="0" borderId="0" applyFont="0" applyFill="0" applyBorder="0" applyAlignment="0" applyProtection="0"/>
    <xf numFmtId="14" fontId="15" fillId="0" borderId="0" applyFont="0" applyFill="0" applyBorder="0" applyAlignment="0" applyProtection="0"/>
    <xf numFmtId="14" fontId="15" fillId="0" borderId="0" applyFont="0" applyFill="0" applyBorder="0" applyAlignment="0" applyProtection="0"/>
    <xf numFmtId="0" fontId="30" fillId="0" borderId="0" applyNumberForma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0" fontId="31" fillId="4" borderId="0" applyNumberFormat="0" applyBorder="0" applyAlignment="0" applyProtection="0"/>
    <xf numFmtId="0" fontId="93" fillId="0" borderId="0" applyNumberFormat="0" applyFont="0" applyFill="0" applyAlignment="0" applyProtection="0"/>
    <xf numFmtId="0" fontId="20" fillId="0" borderId="0" applyNumberFormat="0" applyFon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94" fillId="0" borderId="0" applyNumberFormat="0" applyFill="0" applyBorder="0" applyAlignment="0" applyProtection="0">
      <alignment vertical="top"/>
      <protection locked="0"/>
    </xf>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96" fillId="0" borderId="0"/>
    <xf numFmtId="0" fontId="12" fillId="0" borderId="0"/>
    <xf numFmtId="0" fontId="15" fillId="0" borderId="0"/>
    <xf numFmtId="0" fontId="15" fillId="23" borderId="7" applyNumberFormat="0" applyFont="0" applyAlignment="0" applyProtection="0"/>
    <xf numFmtId="0" fontId="15" fillId="23" borderId="7" applyNumberFormat="0" applyFont="0" applyAlignment="0" applyProtection="0"/>
    <xf numFmtId="0" fontId="39" fillId="20" borderId="8" applyNumberFormat="0" applyAlignment="0" applyProtection="0"/>
    <xf numFmtId="9" fontId="2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95" fillId="0" borderId="0" applyNumberFormat="0" applyFont="0" applyFill="0" applyBorder="0" applyAlignment="0" applyProtection="0">
      <alignment horizontal="left"/>
    </xf>
    <xf numFmtId="0" fontId="40" fillId="0" borderId="0" applyNumberFormat="0" applyFill="0" applyBorder="0" applyAlignment="0" applyProtection="0"/>
    <xf numFmtId="0" fontId="15" fillId="0" borderId="132" applyNumberFormat="0" applyFont="0" applyBorder="0" applyAlignment="0" applyProtection="0"/>
    <xf numFmtId="0" fontId="15" fillId="0" borderId="132" applyNumberFormat="0" applyFont="0" applyBorder="0" applyAlignment="0" applyProtection="0"/>
    <xf numFmtId="0" fontId="15" fillId="0" borderId="132" applyNumberFormat="0" applyFont="0" applyBorder="0" applyAlignment="0" applyProtection="0"/>
    <xf numFmtId="0" fontId="42" fillId="0" borderId="0" applyNumberFormat="0" applyFill="0" applyBorder="0" applyAlignment="0" applyProtection="0"/>
    <xf numFmtId="167" fontId="11" fillId="0" borderId="0" applyFont="0" applyFill="0" applyBorder="0" applyAlignment="0" applyProtection="0"/>
    <xf numFmtId="0" fontId="11" fillId="0" borderId="0"/>
    <xf numFmtId="167" fontId="10" fillId="0" borderId="0" applyFont="0" applyFill="0" applyBorder="0" applyAlignment="0" applyProtection="0"/>
    <xf numFmtId="0" fontId="10" fillId="0" borderId="0"/>
    <xf numFmtId="167" fontId="9" fillId="0" borderId="0" applyFont="0" applyFill="0" applyBorder="0" applyAlignment="0" applyProtection="0"/>
    <xf numFmtId="0" fontId="9" fillId="0" borderId="0"/>
    <xf numFmtId="0" fontId="8" fillId="0" borderId="0"/>
    <xf numFmtId="166" fontId="8" fillId="0" borderId="0" applyFont="0" applyFill="0" applyBorder="0" applyAlignment="0" applyProtection="0"/>
    <xf numFmtId="167" fontId="8" fillId="0" borderId="0" applyFont="0" applyFill="0" applyBorder="0" applyAlignment="0" applyProtection="0"/>
    <xf numFmtId="0" fontId="15" fillId="0" borderId="0">
      <alignment vertical="top"/>
    </xf>
    <xf numFmtId="0" fontId="7" fillId="0" borderId="0"/>
    <xf numFmtId="166" fontId="7"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0" fontId="6" fillId="42"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6" fillId="62" borderId="0" applyNumberFormat="0" applyBorder="0" applyAlignment="0" applyProtection="0"/>
    <xf numFmtId="0" fontId="6" fillId="43" borderId="0" applyNumberFormat="0" applyBorder="0" applyAlignment="0" applyProtection="0"/>
    <xf numFmtId="0" fontId="6" fillId="47" borderId="0" applyNumberFormat="0" applyBorder="0" applyAlignment="0" applyProtection="0"/>
    <xf numFmtId="0" fontId="6" fillId="51" borderId="0" applyNumberFormat="0" applyBorder="0" applyAlignment="0" applyProtection="0"/>
    <xf numFmtId="0" fontId="6" fillId="55" borderId="0" applyNumberFormat="0" applyBorder="0" applyAlignment="0" applyProtection="0"/>
    <xf numFmtId="0" fontId="6" fillId="59" borderId="0" applyNumberFormat="0" applyBorder="0" applyAlignment="0" applyProtection="0"/>
    <xf numFmtId="0" fontId="6" fillId="63" borderId="0" applyNumberFormat="0" applyBorder="0" applyAlignment="0" applyProtection="0"/>
    <xf numFmtId="0" fontId="6" fillId="0" borderId="0"/>
    <xf numFmtId="0" fontId="6" fillId="40" borderId="126" applyNumberFormat="0" applyFont="0" applyAlignment="0" applyProtection="0"/>
    <xf numFmtId="167" fontId="6" fillId="0" borderId="0" applyFont="0" applyFill="0" applyBorder="0" applyAlignment="0" applyProtection="0"/>
    <xf numFmtId="0" fontId="6" fillId="42"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6" fillId="62" borderId="0" applyNumberFormat="0" applyBorder="0" applyAlignment="0" applyProtection="0"/>
    <xf numFmtId="0" fontId="6" fillId="43" borderId="0" applyNumberFormat="0" applyBorder="0" applyAlignment="0" applyProtection="0"/>
    <xf numFmtId="0" fontId="6" fillId="47" borderId="0" applyNumberFormat="0" applyBorder="0" applyAlignment="0" applyProtection="0"/>
    <xf numFmtId="0" fontId="6" fillId="51" borderId="0" applyNumberFormat="0" applyBorder="0" applyAlignment="0" applyProtection="0"/>
    <xf numFmtId="0" fontId="6" fillId="55" borderId="0" applyNumberFormat="0" applyBorder="0" applyAlignment="0" applyProtection="0"/>
    <xf numFmtId="0" fontId="6" fillId="59" borderId="0" applyNumberFormat="0" applyBorder="0" applyAlignment="0" applyProtection="0"/>
    <xf numFmtId="0" fontId="6" fillId="63" borderId="0" applyNumberFormat="0" applyBorder="0" applyAlignment="0" applyProtection="0"/>
    <xf numFmtId="0" fontId="6" fillId="0" borderId="0"/>
    <xf numFmtId="0" fontId="6" fillId="40" borderId="126" applyNumberFormat="0" applyFont="0" applyAlignment="0" applyProtection="0"/>
    <xf numFmtId="9" fontId="15" fillId="0" borderId="0" applyFont="0" applyFill="0" applyBorder="0" applyAlignment="0" applyProtection="0"/>
    <xf numFmtId="44" fontId="15" fillId="0" borderId="0" applyFont="0" applyFill="0" applyBorder="0" applyAlignment="0" applyProtection="0"/>
    <xf numFmtId="167" fontId="5" fillId="0" borderId="0" applyFont="0" applyFill="0" applyBorder="0" applyAlignment="0" applyProtection="0"/>
    <xf numFmtId="44"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4" fontId="15" fillId="0" borderId="0" applyFont="0" applyFill="0" applyBorder="0" applyAlignment="0" applyProtection="0"/>
    <xf numFmtId="14"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25" fillId="0" borderId="0" applyFont="0" applyFill="0" applyBorder="0" applyAlignment="0" applyProtection="0"/>
    <xf numFmtId="0" fontId="15" fillId="0" borderId="132" applyNumberFormat="0" applyFont="0" applyBorder="0" applyAlignment="0" applyProtection="0"/>
    <xf numFmtId="167" fontId="4" fillId="0" borderId="0" applyFont="0" applyFill="0" applyBorder="0" applyAlignment="0" applyProtection="0"/>
    <xf numFmtId="167" fontId="3"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cellStyleXfs>
  <cellXfs count="1629">
    <xf numFmtId="0" fontId="0" fillId="0" borderId="0" xfId="0"/>
    <xf numFmtId="0" fontId="0" fillId="0" borderId="0" xfId="0" applyAlignment="1">
      <alignment horizontal="center"/>
    </xf>
    <xf numFmtId="0" fontId="0" fillId="0" borderId="10" xfId="0" applyBorder="1"/>
    <xf numFmtId="0" fontId="0" fillId="0" borderId="0" xfId="0" applyBorder="1"/>
    <xf numFmtId="0" fontId="0" fillId="0" borderId="11" xfId="0" applyBorder="1"/>
    <xf numFmtId="0" fontId="0" fillId="0" borderId="10" xfId="0" applyBorder="1" applyAlignment="1">
      <alignment horizontal="center"/>
    </xf>
    <xf numFmtId="0" fontId="19" fillId="0" borderId="0" xfId="0" applyFont="1" applyAlignment="1">
      <alignment horizontal="center"/>
    </xf>
    <xf numFmtId="0" fontId="0" fillId="0" borderId="0" xfId="0" applyProtection="1"/>
    <xf numFmtId="0" fontId="18" fillId="0" borderId="0" xfId="0" applyFont="1" applyProtection="1"/>
    <xf numFmtId="0" fontId="18" fillId="0" borderId="10" xfId="0" applyFont="1" applyBorder="1"/>
    <xf numFmtId="169" fontId="0" fillId="0" borderId="10" xfId="29" applyNumberFormat="1" applyFont="1" applyBorder="1"/>
    <xf numFmtId="169" fontId="0" fillId="0" borderId="10" xfId="0" applyNumberFormat="1" applyBorder="1"/>
    <xf numFmtId="170" fontId="15" fillId="0" borderId="10" xfId="28" applyNumberFormat="1" applyBorder="1"/>
    <xf numFmtId="169" fontId="15" fillId="0" borderId="10" xfId="29" applyNumberFormat="1" applyBorder="1"/>
    <xf numFmtId="169" fontId="18" fillId="0" borderId="10" xfId="0" applyNumberFormat="1" applyFont="1" applyBorder="1"/>
    <xf numFmtId="0" fontId="0" fillId="0" borderId="0" xfId="0" applyFill="1" applyBorder="1"/>
    <xf numFmtId="0" fontId="18" fillId="0" borderId="0" xfId="0" applyFont="1"/>
    <xf numFmtId="0" fontId="0" fillId="0" borderId="15" xfId="0" applyBorder="1"/>
    <xf numFmtId="0" fontId="0" fillId="0" borderId="16" xfId="0" applyBorder="1"/>
    <xf numFmtId="0" fontId="18" fillId="0" borderId="0" xfId="0" applyFont="1" applyAlignment="1" applyProtection="1"/>
    <xf numFmtId="0" fontId="18" fillId="0" borderId="0" xfId="0" applyFont="1" applyAlignment="1" applyProtection="1">
      <alignment horizontal="center"/>
    </xf>
    <xf numFmtId="0" fontId="18" fillId="0" borderId="17" xfId="0" applyFont="1" applyBorder="1" applyAlignment="1" applyProtection="1">
      <alignment horizontal="center"/>
    </xf>
    <xf numFmtId="0" fontId="18" fillId="0" borderId="15" xfId="0" applyFont="1" applyBorder="1" applyAlignment="1" applyProtection="1">
      <alignment horizontal="center"/>
    </xf>
    <xf numFmtId="0" fontId="18" fillId="0" borderId="18" xfId="0" applyFont="1" applyBorder="1" applyAlignment="1" applyProtection="1">
      <alignment horizontal="center"/>
    </xf>
    <xf numFmtId="0" fontId="18" fillId="0" borderId="19" xfId="0" quotePrefix="1" applyFont="1" applyBorder="1" applyAlignment="1" applyProtection="1">
      <alignment horizontal="center"/>
    </xf>
    <xf numFmtId="0" fontId="18" fillId="0" borderId="16" xfId="0" quotePrefix="1" applyFont="1" applyBorder="1" applyAlignment="1" applyProtection="1">
      <alignment horizontal="center"/>
    </xf>
    <xf numFmtId="0" fontId="0" fillId="0" borderId="0" xfId="0" applyAlignment="1" applyProtection="1">
      <alignment vertical="top"/>
    </xf>
    <xf numFmtId="0" fontId="0" fillId="0" borderId="0" xfId="0" applyFill="1" applyAlignment="1" applyProtection="1">
      <alignment vertical="top"/>
    </xf>
    <xf numFmtId="0" fontId="0" fillId="0" borderId="0" xfId="0" applyAlignment="1" applyProtection="1">
      <alignment vertical="top" wrapText="1"/>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11" xfId="0" applyFill="1" applyBorder="1" applyAlignment="1" applyProtection="1">
      <alignment vertical="center"/>
    </xf>
    <xf numFmtId="0" fontId="0" fillId="0" borderId="15" xfId="0" applyFill="1" applyBorder="1" applyAlignment="1" applyProtection="1">
      <alignment vertical="center"/>
    </xf>
    <xf numFmtId="44" fontId="0" fillId="0" borderId="11" xfId="0" applyNumberFormat="1" applyBorder="1" applyAlignment="1" applyProtection="1">
      <alignment vertical="center"/>
    </xf>
    <xf numFmtId="0" fontId="0" fillId="0" borderId="0" xfId="0" applyAlignment="1" applyProtection="1">
      <alignment vertical="center" wrapText="1"/>
    </xf>
    <xf numFmtId="0" fontId="18" fillId="0" borderId="0" xfId="0" applyFont="1" applyFill="1" applyAlignment="1" applyProtection="1">
      <alignment vertical="top"/>
    </xf>
    <xf numFmtId="0" fontId="0" fillId="25" borderId="0" xfId="0" applyFill="1" applyBorder="1" applyProtection="1"/>
    <xf numFmtId="0" fontId="0" fillId="25" borderId="0" xfId="0" applyFill="1" applyBorder="1" applyAlignment="1" applyProtection="1">
      <alignment horizontal="left" indent="1"/>
    </xf>
    <xf numFmtId="0" fontId="20" fillId="25" borderId="0" xfId="0" applyFont="1" applyFill="1" applyBorder="1" applyAlignment="1" applyProtection="1"/>
    <xf numFmtId="0" fontId="44" fillId="25" borderId="0" xfId="0" applyFont="1" applyFill="1" applyBorder="1" applyAlignment="1" applyProtection="1"/>
    <xf numFmtId="0" fontId="43" fillId="25" borderId="0" xfId="0" applyFont="1" applyFill="1" applyAlignment="1" applyProtection="1">
      <alignment vertical="top" wrapText="1"/>
    </xf>
    <xf numFmtId="0" fontId="20" fillId="0" borderId="0" xfId="0" applyFont="1" applyAlignment="1" applyProtection="1">
      <alignment horizontal="center"/>
    </xf>
    <xf numFmtId="0" fontId="18" fillId="0" borderId="0" xfId="0" applyFont="1" applyAlignment="1" applyProtection="1">
      <alignment horizontal="right"/>
    </xf>
    <xf numFmtId="0" fontId="0" fillId="0" borderId="0" xfId="0" quotePrefix="1"/>
    <xf numFmtId="169" fontId="0" fillId="0" borderId="25" xfId="29" applyNumberFormat="1" applyFont="1" applyBorder="1"/>
    <xf numFmtId="169" fontId="0" fillId="0" borderId="26" xfId="29" applyNumberFormat="1" applyFont="1" applyBorder="1"/>
    <xf numFmtId="0" fontId="45" fillId="0" borderId="0" xfId="0" applyFont="1"/>
    <xf numFmtId="0" fontId="0" fillId="0" borderId="27" xfId="0" applyBorder="1" applyAlignment="1">
      <alignment horizontal="center"/>
    </xf>
    <xf numFmtId="0" fontId="0" fillId="0" borderId="28" xfId="0" applyBorder="1" applyAlignment="1">
      <alignment horizontal="center"/>
    </xf>
    <xf numFmtId="0" fontId="0" fillId="0" borderId="26" xfId="0" quotePrefix="1" applyBorder="1" applyAlignment="1">
      <alignment horizontal="center"/>
    </xf>
    <xf numFmtId="0" fontId="0" fillId="0" borderId="29" xfId="0" applyBorder="1"/>
    <xf numFmtId="0" fontId="0" fillId="0" borderId="31" xfId="0" applyBorder="1"/>
    <xf numFmtId="0" fontId="18" fillId="0" borderId="32" xfId="0" applyFont="1" applyBorder="1"/>
    <xf numFmtId="0" fontId="18" fillId="0" borderId="24" xfId="0" applyFont="1" applyBorder="1"/>
    <xf numFmtId="0" fontId="21" fillId="0" borderId="0" xfId="0" applyFont="1"/>
    <xf numFmtId="169" fontId="0" fillId="0" borderId="25" xfId="0" applyNumberFormat="1" applyBorder="1"/>
    <xf numFmtId="169" fontId="0" fillId="0" borderId="34" xfId="29" applyNumberFormat="1" applyFont="1" applyBorder="1"/>
    <xf numFmtId="0" fontId="0" fillId="0" borderId="41" xfId="0" applyBorder="1"/>
    <xf numFmtId="0" fontId="0" fillId="0" borderId="40" xfId="0" applyBorder="1"/>
    <xf numFmtId="0" fontId="0" fillId="0" borderId="42" xfId="0" applyBorder="1" applyAlignment="1">
      <alignment horizontal="center"/>
    </xf>
    <xf numFmtId="0" fontId="0" fillId="0" borderId="43" xfId="0" applyBorder="1"/>
    <xf numFmtId="0" fontId="0" fillId="0" borderId="42" xfId="0" applyBorder="1"/>
    <xf numFmtId="0" fontId="18" fillId="0" borderId="41" xfId="0" applyFont="1" applyBorder="1"/>
    <xf numFmtId="44" fontId="0" fillId="0" borderId="40" xfId="0" applyNumberFormat="1" applyBorder="1"/>
    <xf numFmtId="44" fontId="0" fillId="0" borderId="41" xfId="0" applyNumberFormat="1" applyBorder="1"/>
    <xf numFmtId="0" fontId="47" fillId="0" borderId="0" xfId="0" applyFont="1"/>
    <xf numFmtId="0" fontId="18" fillId="0" borderId="45" xfId="0" applyFont="1" applyBorder="1"/>
    <xf numFmtId="43" fontId="15" fillId="0" borderId="40" xfId="28" applyBorder="1"/>
    <xf numFmtId="44" fontId="15" fillId="0" borderId="40" xfId="29" applyNumberFormat="1" applyBorder="1"/>
    <xf numFmtId="169" fontId="15" fillId="0" borderId="40" xfId="29" applyNumberFormat="1" applyBorder="1"/>
    <xf numFmtId="169" fontId="15" fillId="0" borderId="29" xfId="29" applyNumberFormat="1" applyBorder="1"/>
    <xf numFmtId="44" fontId="15" fillId="0" borderId="46" xfId="29" applyNumberFormat="1" applyBorder="1"/>
    <xf numFmtId="169" fontId="15" fillId="0" borderId="46" xfId="29" applyNumberFormat="1" applyBorder="1"/>
    <xf numFmtId="0" fontId="0" fillId="0" borderId="47" xfId="0" applyBorder="1"/>
    <xf numFmtId="169" fontId="0" fillId="0" borderId="41" xfId="0" applyNumberFormat="1" applyBorder="1"/>
    <xf numFmtId="169" fontId="0" fillId="0" borderId="31" xfId="0" applyNumberFormat="1" applyBorder="1"/>
    <xf numFmtId="0" fontId="24" fillId="0" borderId="0" xfId="0" applyFont="1"/>
    <xf numFmtId="0" fontId="46" fillId="0" borderId="0" xfId="0" applyFont="1"/>
    <xf numFmtId="0" fontId="0" fillId="0" borderId="0" xfId="0" applyAlignment="1">
      <alignment horizontal="left"/>
    </xf>
    <xf numFmtId="0" fontId="0" fillId="0" borderId="48" xfId="0" applyBorder="1"/>
    <xf numFmtId="0" fontId="0" fillId="0" borderId="33" xfId="0" applyBorder="1"/>
    <xf numFmtId="0" fontId="0" fillId="0" borderId="49" xfId="0" applyBorder="1"/>
    <xf numFmtId="0" fontId="0" fillId="0" borderId="50" xfId="0" applyBorder="1"/>
    <xf numFmtId="169" fontId="0" fillId="0" borderId="31" xfId="29" applyNumberFormat="1" applyFont="1" applyBorder="1"/>
    <xf numFmtId="0" fontId="0" fillId="0" borderId="52" xfId="0" applyBorder="1"/>
    <xf numFmtId="0" fontId="18" fillId="0" borderId="49" xfId="0" applyFont="1" applyBorder="1"/>
    <xf numFmtId="0" fontId="18" fillId="0" borderId="50" xfId="0" applyFont="1" applyBorder="1"/>
    <xf numFmtId="0" fontId="0" fillId="0" borderId="54" xfId="0" applyBorder="1"/>
    <xf numFmtId="0" fontId="0" fillId="0" borderId="55" xfId="0" applyBorder="1"/>
    <xf numFmtId="0" fontId="0" fillId="0" borderId="56" xfId="0" applyBorder="1"/>
    <xf numFmtId="0" fontId="0" fillId="0" borderId="57" xfId="0" applyBorder="1"/>
    <xf numFmtId="169" fontId="0" fillId="0" borderId="61" xfId="29" applyNumberFormat="1" applyFont="1" applyBorder="1"/>
    <xf numFmtId="169" fontId="0" fillId="0" borderId="30" xfId="29" applyNumberFormat="1" applyFont="1" applyBorder="1"/>
    <xf numFmtId="0" fontId="18" fillId="0" borderId="24" xfId="0" applyFont="1" applyFill="1" applyBorder="1" applyAlignment="1">
      <alignment horizontal="center" wrapText="1"/>
    </xf>
    <xf numFmtId="0" fontId="0" fillId="0" borderId="62" xfId="0" applyBorder="1"/>
    <xf numFmtId="169" fontId="0" fillId="0" borderId="64" xfId="29" applyNumberFormat="1" applyFont="1" applyBorder="1"/>
    <xf numFmtId="0" fontId="18" fillId="0" borderId="65" xfId="0" applyFont="1" applyBorder="1"/>
    <xf numFmtId="0" fontId="0" fillId="0" borderId="0" xfId="0" applyAlignment="1">
      <alignment vertical="top"/>
    </xf>
    <xf numFmtId="0" fontId="18" fillId="0" borderId="0" xfId="0" applyFont="1" applyAlignment="1">
      <alignment vertical="top"/>
    </xf>
    <xf numFmtId="0" fontId="0" fillId="0" borderId="0" xfId="0" applyFill="1"/>
    <xf numFmtId="0" fontId="0" fillId="0" borderId="25" xfId="0" applyBorder="1"/>
    <xf numFmtId="0" fontId="0" fillId="0" borderId="10" xfId="0" quotePrefix="1" applyBorder="1" applyAlignment="1">
      <alignment horizontal="center"/>
    </xf>
    <xf numFmtId="0" fontId="0" fillId="0" borderId="10" xfId="0" applyBorder="1" applyAlignment="1">
      <alignment vertical="top" wrapText="1"/>
    </xf>
    <xf numFmtId="0" fontId="0" fillId="0" borderId="25" xfId="0" quotePrefix="1" applyBorder="1" applyAlignment="1">
      <alignment horizontal="center"/>
    </xf>
    <xf numFmtId="0" fontId="0" fillId="0" borderId="34" xfId="0" applyBorder="1" applyAlignment="1">
      <alignment vertical="top" wrapText="1"/>
    </xf>
    <xf numFmtId="169" fontId="0" fillId="0" borderId="34" xfId="29" applyNumberFormat="1" applyFont="1" applyBorder="1" applyAlignment="1">
      <alignment vertical="top"/>
    </xf>
    <xf numFmtId="0" fontId="0" fillId="0" borderId="36" xfId="0" applyBorder="1" applyAlignment="1">
      <alignment vertical="top" wrapText="1"/>
    </xf>
    <xf numFmtId="169" fontId="0" fillId="0" borderId="36" xfId="29" applyNumberFormat="1" applyFont="1" applyBorder="1" applyAlignment="1">
      <alignment vertical="top"/>
    </xf>
    <xf numFmtId="0" fontId="0" fillId="0" borderId="19" xfId="0" applyBorder="1" applyAlignment="1">
      <alignment vertical="top" wrapText="1"/>
    </xf>
    <xf numFmtId="169" fontId="0" fillId="0" borderId="19" xfId="29" applyNumberFormat="1" applyFont="1" applyBorder="1" applyAlignment="1">
      <alignment vertical="top"/>
    </xf>
    <xf numFmtId="10" fontId="0" fillId="0" borderId="10" xfId="42" applyNumberFormat="1" applyFont="1" applyBorder="1" applyAlignment="1">
      <alignment vertical="top"/>
    </xf>
    <xf numFmtId="10" fontId="0" fillId="0" borderId="25" xfId="42" applyNumberFormat="1" applyFont="1" applyBorder="1" applyAlignment="1">
      <alignment vertical="top"/>
    </xf>
    <xf numFmtId="10" fontId="0" fillId="0" borderId="19" xfId="42" applyNumberFormat="1" applyFont="1" applyBorder="1" applyAlignment="1">
      <alignment vertical="top"/>
    </xf>
    <xf numFmtId="10" fontId="0" fillId="0" borderId="36" xfId="42" applyNumberFormat="1" applyFont="1" applyBorder="1" applyAlignment="1">
      <alignment vertical="top"/>
    </xf>
    <xf numFmtId="10" fontId="0" fillId="0" borderId="34" xfId="42" applyNumberFormat="1" applyFont="1" applyBorder="1" applyAlignment="1">
      <alignment vertical="top"/>
    </xf>
    <xf numFmtId="10" fontId="0" fillId="0" borderId="68" xfId="42" applyNumberFormat="1" applyFont="1" applyBorder="1" applyAlignment="1">
      <alignment vertical="top"/>
    </xf>
    <xf numFmtId="10" fontId="0" fillId="0" borderId="37" xfId="42" applyNumberFormat="1" applyFont="1" applyBorder="1" applyAlignment="1">
      <alignment vertical="top"/>
    </xf>
    <xf numFmtId="10" fontId="0" fillId="0" borderId="35" xfId="42" applyNumberFormat="1" applyFont="1" applyBorder="1" applyAlignment="1">
      <alignment vertical="top"/>
    </xf>
    <xf numFmtId="169" fontId="15" fillId="0" borderId="61" xfId="29" applyNumberFormat="1" applyBorder="1"/>
    <xf numFmtId="169" fontId="15" fillId="0" borderId="30" xfId="29" applyNumberFormat="1" applyBorder="1"/>
    <xf numFmtId="169" fontId="15" fillId="0" borderId="64" xfId="29" applyNumberFormat="1" applyBorder="1"/>
    <xf numFmtId="169" fontId="15" fillId="0" borderId="69" xfId="29" applyNumberFormat="1" applyBorder="1"/>
    <xf numFmtId="169" fontId="15" fillId="0" borderId="70" xfId="29" applyNumberFormat="1" applyBorder="1"/>
    <xf numFmtId="169" fontId="15" fillId="0" borderId="71" xfId="29" applyNumberFormat="1" applyBorder="1"/>
    <xf numFmtId="169" fontId="15" fillId="0" borderId="16" xfId="29" applyNumberFormat="1" applyFill="1" applyBorder="1"/>
    <xf numFmtId="169" fontId="15" fillId="0" borderId="33" xfId="29" applyNumberFormat="1" applyFill="1" applyBorder="1"/>
    <xf numFmtId="169" fontId="15" fillId="0" borderId="15" xfId="29" applyNumberFormat="1" applyFill="1" applyBorder="1"/>
    <xf numFmtId="169" fontId="15" fillId="0" borderId="54" xfId="29" applyNumberFormat="1" applyFill="1" applyBorder="1"/>
    <xf numFmtId="10" fontId="15" fillId="0" borderId="25" xfId="42" applyNumberFormat="1" applyFill="1" applyBorder="1"/>
    <xf numFmtId="10" fontId="15" fillId="0" borderId="58" xfId="42" applyNumberFormat="1" applyFill="1" applyBorder="1"/>
    <xf numFmtId="10" fontId="15" fillId="0" borderId="51" xfId="42" applyNumberFormat="1" applyFill="1" applyBorder="1"/>
    <xf numFmtId="10" fontId="15" fillId="0" borderId="72" xfId="42" applyNumberFormat="1" applyFill="1" applyBorder="1"/>
    <xf numFmtId="10" fontId="15" fillId="0" borderId="29" xfId="42" applyNumberFormat="1" applyFill="1" applyBorder="1"/>
    <xf numFmtId="10" fontId="15" fillId="0" borderId="73" xfId="42" applyNumberFormat="1" applyFill="1" applyBorder="1"/>
    <xf numFmtId="10" fontId="15" fillId="0" borderId="60" xfId="42" applyNumberFormat="1" applyFill="1" applyBorder="1"/>
    <xf numFmtId="169" fontId="15" fillId="0" borderId="57" xfId="29" applyNumberFormat="1" applyFill="1" applyBorder="1"/>
    <xf numFmtId="10" fontId="15" fillId="0" borderId="64" xfId="42" applyNumberFormat="1" applyFill="1" applyBorder="1"/>
    <xf numFmtId="10" fontId="15" fillId="0" borderId="31" xfId="42" applyNumberFormat="1" applyFill="1" applyBorder="1"/>
    <xf numFmtId="10" fontId="15" fillId="0" borderId="61" xfId="42" applyNumberFormat="1" applyFill="1" applyBorder="1"/>
    <xf numFmtId="10" fontId="15" fillId="0" borderId="63" xfId="42" applyNumberFormat="1" applyFill="1" applyBorder="1"/>
    <xf numFmtId="10" fontId="15" fillId="0" borderId="37" xfId="42" applyNumberFormat="1" applyFill="1" applyBorder="1"/>
    <xf numFmtId="169" fontId="15" fillId="0" borderId="69" xfId="29" applyNumberFormat="1" applyFill="1" applyBorder="1"/>
    <xf numFmtId="10" fontId="15" fillId="0" borderId="71" xfId="42" applyNumberFormat="1" applyFill="1" applyBorder="1"/>
    <xf numFmtId="0" fontId="0" fillId="0" borderId="28" xfId="0" applyBorder="1" applyAlignment="1">
      <alignment vertical="top"/>
    </xf>
    <xf numFmtId="0" fontId="18" fillId="0" borderId="27" xfId="0" applyFont="1" applyBorder="1" applyAlignment="1">
      <alignment vertical="top"/>
    </xf>
    <xf numFmtId="0" fontId="0" fillId="0" borderId="0" xfId="0" applyAlignment="1">
      <alignment wrapText="1"/>
    </xf>
    <xf numFmtId="10" fontId="0" fillId="0" borderId="25" xfId="42" applyNumberFormat="1" applyFont="1" applyBorder="1"/>
    <xf numFmtId="0" fontId="38" fillId="0" borderId="0" xfId="0" applyFont="1"/>
    <xf numFmtId="44" fontId="18" fillId="0" borderId="10" xfId="29" applyFont="1" applyBorder="1"/>
    <xf numFmtId="0" fontId="18" fillId="0" borderId="0" xfId="0" applyFont="1" applyFill="1" applyBorder="1"/>
    <xf numFmtId="0" fontId="18" fillId="0" borderId="0" xfId="0" applyFont="1" applyAlignment="1">
      <alignment horizontal="right"/>
    </xf>
    <xf numFmtId="0" fontId="18" fillId="0" borderId="0" xfId="0" applyFont="1" applyAlignment="1">
      <alignment wrapText="1"/>
    </xf>
    <xf numFmtId="0" fontId="0" fillId="0" borderId="75" xfId="0" applyBorder="1"/>
    <xf numFmtId="0" fontId="0" fillId="0" borderId="34" xfId="0" applyBorder="1"/>
    <xf numFmtId="0" fontId="46" fillId="0" borderId="0" xfId="0" applyFont="1" applyAlignment="1">
      <alignment horizontal="center"/>
    </xf>
    <xf numFmtId="10" fontId="0" fillId="0" borderId="26" xfId="0" applyNumberFormat="1" applyBorder="1"/>
    <xf numFmtId="10" fontId="0" fillId="0" borderId="67" xfId="0" applyNumberFormat="1" applyBorder="1"/>
    <xf numFmtId="0" fontId="18" fillId="0" borderId="0" xfId="0" applyFont="1" applyAlignment="1">
      <alignment horizontal="center"/>
    </xf>
    <xf numFmtId="43" fontId="0" fillId="0" borderId="10" xfId="0" applyNumberFormat="1" applyBorder="1"/>
    <xf numFmtId="43" fontId="0" fillId="0" borderId="26" xfId="0" applyNumberFormat="1" applyBorder="1"/>
    <xf numFmtId="0" fontId="0" fillId="0" borderId="25" xfId="0" applyBorder="1" applyAlignment="1">
      <alignment horizontal="center"/>
    </xf>
    <xf numFmtId="0" fontId="48" fillId="0" borderId="0" xfId="36" quotePrefix="1" applyFont="1" applyAlignment="1" applyProtection="1">
      <alignment horizontal="center"/>
    </xf>
    <xf numFmtId="0" fontId="18" fillId="26" borderId="42" xfId="0" applyFont="1" applyFill="1" applyBorder="1"/>
    <xf numFmtId="0" fontId="18" fillId="26" borderId="40" xfId="0" applyFont="1" applyFill="1" applyBorder="1"/>
    <xf numFmtId="0" fontId="0" fillId="26" borderId="40" xfId="0" applyFill="1" applyBorder="1"/>
    <xf numFmtId="0" fontId="0" fillId="26" borderId="41" xfId="0" applyFill="1" applyBorder="1"/>
    <xf numFmtId="0" fontId="38" fillId="0" borderId="0" xfId="0" applyFont="1" applyAlignment="1">
      <alignment horizontal="center"/>
    </xf>
    <xf numFmtId="0" fontId="15" fillId="0" borderId="10" xfId="0" applyFont="1" applyBorder="1"/>
    <xf numFmtId="0" fontId="15" fillId="0" borderId="0" xfId="0" applyFont="1"/>
    <xf numFmtId="0" fontId="15" fillId="0" borderId="0" xfId="0" applyFont="1" applyAlignment="1">
      <alignment wrapText="1"/>
    </xf>
    <xf numFmtId="0" fontId="50" fillId="0" borderId="0" xfId="0" applyFont="1"/>
    <xf numFmtId="0" fontId="51" fillId="0" borderId="0" xfId="0" applyFont="1"/>
    <xf numFmtId="0" fontId="18" fillId="25" borderId="10" xfId="0" applyFont="1" applyFill="1" applyBorder="1" applyAlignment="1">
      <alignment horizontal="center" wrapText="1"/>
    </xf>
    <xf numFmtId="0" fontId="18" fillId="25" borderId="10" xfId="0" applyFont="1" applyFill="1" applyBorder="1" applyAlignment="1">
      <alignment horizontal="center"/>
    </xf>
    <xf numFmtId="0" fontId="18" fillId="25" borderId="10" xfId="0" applyFont="1" applyFill="1" applyBorder="1"/>
    <xf numFmtId="0" fontId="0" fillId="25" borderId="11" xfId="0" applyFill="1" applyBorder="1"/>
    <xf numFmtId="0" fontId="18" fillId="25" borderId="16" xfId="0" applyFont="1" applyFill="1" applyBorder="1" applyAlignment="1">
      <alignment horizontal="center" wrapText="1"/>
    </xf>
    <xf numFmtId="0" fontId="18" fillId="25" borderId="19" xfId="0" applyFont="1" applyFill="1" applyBorder="1" applyAlignment="1">
      <alignment horizontal="center"/>
    </xf>
    <xf numFmtId="0" fontId="18" fillId="25" borderId="19" xfId="0" applyFont="1" applyFill="1" applyBorder="1" applyAlignment="1">
      <alignment horizontal="center" wrapText="1"/>
    </xf>
    <xf numFmtId="0" fontId="18" fillId="25" borderId="13" xfId="0" applyFont="1" applyFill="1" applyBorder="1" applyAlignment="1"/>
    <xf numFmtId="0" fontId="0" fillId="25" borderId="81" xfId="0" applyFill="1" applyBorder="1"/>
    <xf numFmtId="0" fontId="18" fillId="25" borderId="33" xfId="0" applyFont="1" applyFill="1" applyBorder="1" applyAlignment="1"/>
    <xf numFmtId="0" fontId="18" fillId="0" borderId="27" xfId="0" applyFont="1" applyBorder="1" applyAlignment="1">
      <alignment horizontal="center"/>
    </xf>
    <xf numFmtId="0" fontId="18" fillId="0" borderId="27" xfId="0" applyFont="1" applyBorder="1" applyAlignment="1">
      <alignment horizontal="center" vertical="top"/>
    </xf>
    <xf numFmtId="0" fontId="18" fillId="0" borderId="82" xfId="0" applyFont="1" applyBorder="1" applyAlignment="1">
      <alignment horizontal="center" vertical="top"/>
    </xf>
    <xf numFmtId="0" fontId="18" fillId="0" borderId="78" xfId="0" applyFont="1" applyBorder="1" applyAlignment="1">
      <alignment horizontal="center" vertical="top"/>
    </xf>
    <xf numFmtId="0" fontId="18" fillId="0" borderId="38" xfId="0" applyFont="1" applyBorder="1" applyAlignment="1">
      <alignment horizontal="center" vertical="top"/>
    </xf>
    <xf numFmtId="0" fontId="23" fillId="0" borderId="0" xfId="0" quotePrefix="1" applyFont="1"/>
    <xf numFmtId="0" fontId="18" fillId="0" borderId="24" xfId="0" applyFont="1" applyFill="1" applyBorder="1" applyAlignment="1">
      <alignment horizontal="center" vertical="center" wrapText="1"/>
    </xf>
    <xf numFmtId="0" fontId="0" fillId="0" borderId="66" xfId="0" applyFill="1" applyBorder="1" applyAlignment="1">
      <alignment horizontal="center" vertical="center" wrapText="1"/>
    </xf>
    <xf numFmtId="0" fontId="18" fillId="0" borderId="80" xfId="0" applyFont="1" applyFill="1" applyBorder="1" applyAlignment="1">
      <alignment horizontal="center"/>
    </xf>
    <xf numFmtId="0" fontId="18" fillId="0" borderId="10" xfId="0" applyFont="1" applyFill="1" applyBorder="1" applyAlignment="1">
      <alignment horizontal="center" vertical="top" wrapText="1"/>
    </xf>
    <xf numFmtId="0" fontId="18" fillId="0" borderId="66" xfId="0" applyFont="1" applyFill="1" applyBorder="1" applyAlignment="1">
      <alignment horizontal="center"/>
    </xf>
    <xf numFmtId="0" fontId="18" fillId="0" borderId="19" xfId="0" applyFont="1" applyFill="1" applyBorder="1" applyAlignment="1">
      <alignment horizontal="center"/>
    </xf>
    <xf numFmtId="0" fontId="18" fillId="0" borderId="25" xfId="0" applyFont="1" applyFill="1" applyBorder="1" applyAlignment="1">
      <alignment horizontal="center" vertical="top" wrapText="1"/>
    </xf>
    <xf numFmtId="0" fontId="18" fillId="0" borderId="17" xfId="0" applyFont="1" applyFill="1" applyBorder="1" applyAlignment="1">
      <alignment horizontal="center" vertical="center" wrapText="1"/>
    </xf>
    <xf numFmtId="0" fontId="18" fillId="0" borderId="10" xfId="0" applyFont="1" applyFill="1" applyBorder="1" applyAlignment="1">
      <alignment horizontal="center"/>
    </xf>
    <xf numFmtId="0" fontId="18" fillId="0" borderId="25" xfId="0" applyFont="1" applyFill="1" applyBorder="1" applyAlignment="1">
      <alignment horizontal="center"/>
    </xf>
    <xf numFmtId="0" fontId="0" fillId="0" borderId="27" xfId="0" applyFill="1" applyBorder="1"/>
    <xf numFmtId="0" fontId="0" fillId="0" borderId="27" xfId="0" applyFill="1" applyBorder="1" applyAlignment="1">
      <alignment vertical="top"/>
    </xf>
    <xf numFmtId="0" fontId="38" fillId="0" borderId="0" xfId="0" applyFont="1" applyProtection="1"/>
    <xf numFmtId="10" fontId="0" fillId="0" borderId="15" xfId="42" applyNumberFormat="1" applyFont="1" applyBorder="1" applyAlignment="1" applyProtection="1">
      <alignment vertical="center"/>
    </xf>
    <xf numFmtId="0" fontId="18" fillId="0" borderId="27" xfId="0" applyFont="1" applyFill="1" applyBorder="1" applyAlignment="1">
      <alignment horizontal="center"/>
    </xf>
    <xf numFmtId="0" fontId="18" fillId="0" borderId="76"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41" xfId="0" applyFont="1" applyFill="1" applyBorder="1" applyAlignment="1">
      <alignment horizontal="center" vertical="center" wrapText="1"/>
    </xf>
    <xf numFmtId="0" fontId="18" fillId="0" borderId="41"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10" xfId="0" quotePrefix="1" applyFont="1" applyFill="1" applyBorder="1" applyAlignment="1">
      <alignment horizontal="center"/>
    </xf>
    <xf numFmtId="0" fontId="18" fillId="0" borderId="25" xfId="0" quotePrefix="1" applyFont="1" applyFill="1" applyBorder="1" applyAlignment="1">
      <alignment horizontal="center"/>
    </xf>
    <xf numFmtId="169" fontId="0" fillId="0" borderId="67" xfId="29" applyNumberFormat="1" applyFont="1" applyBorder="1"/>
    <xf numFmtId="0" fontId="18" fillId="0" borderId="72" xfId="0" applyFont="1" applyFill="1" applyBorder="1" applyAlignment="1">
      <alignment horizontal="center"/>
    </xf>
    <xf numFmtId="0" fontId="55" fillId="0" borderId="0" xfId="0" applyFont="1"/>
    <xf numFmtId="0" fontId="53" fillId="0" borderId="0" xfId="0" applyFont="1" applyProtection="1"/>
    <xf numFmtId="10" fontId="0" fillId="28" borderId="10" xfId="0" applyNumberFormat="1" applyFill="1" applyBorder="1"/>
    <xf numFmtId="0" fontId="18" fillId="0" borderId="82" xfId="0" applyFont="1" applyBorder="1"/>
    <xf numFmtId="0" fontId="18" fillId="0" borderId="19" xfId="0" applyFont="1" applyBorder="1"/>
    <xf numFmtId="169" fontId="0" fillId="0" borderId="10" xfId="0" applyNumberFormat="1" applyFill="1" applyBorder="1"/>
    <xf numFmtId="0" fontId="18" fillId="0" borderId="11" xfId="0" applyFont="1" applyFill="1" applyBorder="1" applyAlignment="1">
      <alignment horizontal="center"/>
    </xf>
    <xf numFmtId="10" fontId="15" fillId="0" borderId="66" xfId="42" applyNumberFormat="1" applyFill="1" applyBorder="1"/>
    <xf numFmtId="10" fontId="15" fillId="0" borderId="67" xfId="42" applyNumberFormat="1" applyFill="1" applyBorder="1"/>
    <xf numFmtId="169" fontId="15" fillId="0" borderId="50" xfId="29" applyNumberFormat="1" applyFill="1" applyBorder="1"/>
    <xf numFmtId="169" fontId="15" fillId="0" borderId="87" xfId="29" applyNumberFormat="1" applyFill="1" applyBorder="1"/>
    <xf numFmtId="169" fontId="15" fillId="0" borderId="32" xfId="29" applyNumberFormat="1" applyFill="1" applyBorder="1"/>
    <xf numFmtId="169" fontId="15" fillId="0" borderId="27" xfId="29" applyNumberFormat="1" applyFill="1" applyBorder="1"/>
    <xf numFmtId="169" fontId="15" fillId="0" borderId="28" xfId="29" applyNumberFormat="1" applyFill="1" applyBorder="1"/>
    <xf numFmtId="10" fontId="15" fillId="0" borderId="53" xfId="42" applyNumberFormat="1" applyFill="1" applyBorder="1"/>
    <xf numFmtId="10" fontId="15" fillId="0" borderId="88" xfId="42" applyNumberFormat="1" applyFill="1" applyBorder="1"/>
    <xf numFmtId="0" fontId="54" fillId="25" borderId="48" xfId="0" applyFont="1" applyFill="1" applyBorder="1" applyAlignment="1">
      <alignment horizontal="left"/>
    </xf>
    <xf numFmtId="0" fontId="54" fillId="25" borderId="0" xfId="0" applyFont="1" applyFill="1" applyBorder="1" applyAlignment="1">
      <alignment horizontal="left"/>
    </xf>
    <xf numFmtId="0" fontId="18" fillId="25" borderId="66" xfId="0" applyFont="1" applyFill="1" applyBorder="1" applyAlignment="1">
      <alignment horizontal="center"/>
    </xf>
    <xf numFmtId="0" fontId="18" fillId="25" borderId="83" xfId="0" applyFont="1" applyFill="1" applyBorder="1" applyAlignment="1">
      <alignment horizontal="center"/>
    </xf>
    <xf numFmtId="0" fontId="18" fillId="25" borderId="68" xfId="0" applyFont="1" applyFill="1" applyBorder="1" applyAlignment="1">
      <alignment horizontal="center"/>
    </xf>
    <xf numFmtId="44" fontId="15" fillId="0" borderId="0" xfId="29" applyBorder="1"/>
    <xf numFmtId="0" fontId="59" fillId="0" borderId="0" xfId="0" applyFont="1" applyFill="1" applyBorder="1" applyAlignment="1">
      <alignment vertical="top"/>
    </xf>
    <xf numFmtId="0" fontId="0" fillId="30" borderId="43" xfId="0" applyFill="1" applyBorder="1"/>
    <xf numFmtId="0" fontId="0" fillId="29" borderId="43" xfId="0" applyFill="1" applyBorder="1"/>
    <xf numFmtId="0" fontId="0" fillId="0" borderId="0" xfId="0" applyFill="1" applyBorder="1" applyAlignment="1">
      <alignment wrapText="1"/>
    </xf>
    <xf numFmtId="0" fontId="60" fillId="0" borderId="0" xfId="0" applyFont="1" applyAlignment="1" applyProtection="1">
      <alignment horizontal="right" vertical="center"/>
    </xf>
    <xf numFmtId="0" fontId="38" fillId="0" borderId="0" xfId="0" applyFont="1" applyAlignment="1" applyProtection="1">
      <alignment horizontal="right" vertical="center"/>
    </xf>
    <xf numFmtId="0" fontId="60" fillId="0" borderId="0" xfId="0" applyFont="1" applyAlignment="1" applyProtection="1">
      <alignment horizontal="right" vertical="center" indent="1"/>
    </xf>
    <xf numFmtId="0" fontId="38" fillId="0" borderId="0" xfId="0" applyFont="1" applyAlignment="1">
      <alignment horizontal="right" indent="1"/>
    </xf>
    <xf numFmtId="0" fontId="61" fillId="0" borderId="0" xfId="0" applyFont="1" applyAlignment="1">
      <alignment horizontal="left" vertical="top" indent="1"/>
    </xf>
    <xf numFmtId="0" fontId="18" fillId="29" borderId="19" xfId="0" applyFont="1" applyFill="1" applyBorder="1" applyAlignment="1">
      <alignment horizontal="center"/>
    </xf>
    <xf numFmtId="0" fontId="22" fillId="0" borderId="0" xfId="0" applyFont="1" applyAlignment="1"/>
    <xf numFmtId="169" fontId="0" fillId="30" borderId="10" xfId="29" applyNumberFormat="1" applyFont="1" applyFill="1" applyBorder="1"/>
    <xf numFmtId="0" fontId="0" fillId="30" borderId="10" xfId="0" applyFill="1" applyBorder="1"/>
    <xf numFmtId="169" fontId="0" fillId="30" borderId="33" xfId="29" applyNumberFormat="1" applyFont="1" applyFill="1" applyBorder="1"/>
    <xf numFmtId="169" fontId="0" fillId="30" borderId="0" xfId="29" applyNumberFormat="1" applyFont="1" applyFill="1"/>
    <xf numFmtId="0" fontId="17" fillId="0" borderId="0" xfId="0" applyFont="1" applyAlignment="1">
      <alignment horizontal="right" vertical="top"/>
    </xf>
    <xf numFmtId="0" fontId="17" fillId="30" borderId="107" xfId="0" applyFont="1" applyFill="1" applyBorder="1" applyAlignment="1">
      <alignment horizontal="right" vertical="top"/>
    </xf>
    <xf numFmtId="0" fontId="17" fillId="30" borderId="0" xfId="0" applyFont="1" applyFill="1" applyAlignment="1">
      <alignment horizontal="right" vertical="top"/>
    </xf>
    <xf numFmtId="0" fontId="15" fillId="0" borderId="0" xfId="46"/>
    <xf numFmtId="0" fontId="18" fillId="0" borderId="0" xfId="46" applyFont="1"/>
    <xf numFmtId="0" fontId="18" fillId="0" borderId="0" xfId="46" applyFont="1" applyFill="1"/>
    <xf numFmtId="0" fontId="15" fillId="0" borderId="0" xfId="46" applyFill="1"/>
    <xf numFmtId="172" fontId="15" fillId="0" borderId="0" xfId="46" applyNumberFormat="1" applyFill="1"/>
    <xf numFmtId="0" fontId="22" fillId="0" borderId="0" xfId="46" applyFont="1" applyAlignment="1">
      <alignment horizontal="center"/>
    </xf>
    <xf numFmtId="0" fontId="18" fillId="25" borderId="79" xfId="46" applyFont="1" applyFill="1" applyBorder="1" applyAlignment="1">
      <alignment horizontal="center" vertical="center" wrapText="1"/>
    </xf>
    <xf numFmtId="0" fontId="18" fillId="25" borderId="80" xfId="46" applyFont="1" applyFill="1" applyBorder="1" applyAlignment="1">
      <alignment horizontal="center" vertical="center" wrapText="1"/>
    </xf>
    <xf numFmtId="0" fontId="18" fillId="25" borderId="19" xfId="46" quotePrefix="1" applyFont="1" applyFill="1" applyBorder="1" applyAlignment="1">
      <alignment horizontal="center"/>
    </xf>
    <xf numFmtId="0" fontId="18" fillId="25" borderId="19" xfId="46" quotePrefix="1" applyFont="1" applyFill="1" applyBorder="1" applyAlignment="1">
      <alignment horizontal="center" wrapText="1"/>
    </xf>
    <xf numFmtId="44" fontId="15" fillId="0" borderId="10" xfId="29" applyBorder="1"/>
    <xf numFmtId="44" fontId="15" fillId="0" borderId="25" xfId="29" applyBorder="1"/>
    <xf numFmtId="0" fontId="15" fillId="0" borderId="27" xfId="46" applyFont="1" applyBorder="1" applyAlignment="1">
      <alignment horizontal="center"/>
    </xf>
    <xf numFmtId="0" fontId="15" fillId="0" borderId="10" xfId="46" applyFont="1" applyBorder="1"/>
    <xf numFmtId="44" fontId="15" fillId="0" borderId="25" xfId="29" applyFont="1" applyBorder="1"/>
    <xf numFmtId="0" fontId="15" fillId="0" borderId="78" xfId="46" applyFont="1" applyBorder="1" applyAlignment="1">
      <alignment horizontal="center"/>
    </xf>
    <xf numFmtId="0" fontId="15" fillId="0" borderId="36" xfId="46" applyFont="1" applyBorder="1"/>
    <xf numFmtId="0" fontId="15" fillId="0" borderId="38" xfId="46" applyFont="1" applyBorder="1" applyAlignment="1">
      <alignment horizontal="center"/>
    </xf>
    <xf numFmtId="0" fontId="18" fillId="0" borderId="34" xfId="46" applyFont="1" applyBorder="1"/>
    <xf numFmtId="44" fontId="15" fillId="0" borderId="34" xfId="29" applyBorder="1"/>
    <xf numFmtId="43" fontId="15" fillId="0" borderId="34" xfId="28" applyBorder="1"/>
    <xf numFmtId="44" fontId="15" fillId="0" borderId="61" xfId="29" applyBorder="1"/>
    <xf numFmtId="0" fontId="15" fillId="0" borderId="0" xfId="46" applyFont="1"/>
    <xf numFmtId="0" fontId="18" fillId="0" borderId="0" xfId="46" applyFont="1" applyAlignment="1">
      <alignment vertical="top" wrapText="1"/>
    </xf>
    <xf numFmtId="0" fontId="15" fillId="0" borderId="0" xfId="46" applyFont="1" applyAlignment="1">
      <alignment vertical="top" wrapText="1"/>
    </xf>
    <xf numFmtId="0" fontId="15" fillId="0" borderId="0" xfId="46" applyAlignment="1">
      <alignment wrapText="1"/>
    </xf>
    <xf numFmtId="0" fontId="15" fillId="0" borderId="0" xfId="46" applyFont="1" applyAlignment="1">
      <alignment wrapText="1"/>
    </xf>
    <xf numFmtId="44" fontId="18" fillId="0" borderId="36" xfId="29" applyFont="1" applyBorder="1"/>
    <xf numFmtId="44" fontId="15" fillId="0" borderId="64" xfId="29" applyBorder="1"/>
    <xf numFmtId="0" fontId="53" fillId="0" borderId="0" xfId="46" applyFont="1" applyAlignment="1">
      <alignment wrapText="1"/>
    </xf>
    <xf numFmtId="0" fontId="15" fillId="0" borderId="0" xfId="46" applyFont="1" applyBorder="1" applyAlignment="1">
      <alignment horizontal="center"/>
    </xf>
    <xf numFmtId="0" fontId="15" fillId="0" borderId="0" xfId="29" applyNumberFormat="1" applyBorder="1"/>
    <xf numFmtId="44" fontId="15" fillId="0" borderId="0" xfId="46" applyNumberFormat="1" applyBorder="1"/>
    <xf numFmtId="0" fontId="15" fillId="0" borderId="0" xfId="46" applyAlignment="1">
      <alignment horizontal="center"/>
    </xf>
    <xf numFmtId="0" fontId="15" fillId="0" borderId="0" xfId="46" applyAlignment="1"/>
    <xf numFmtId="0" fontId="18" fillId="0" borderId="0" xfId="46" applyFont="1" applyAlignment="1">
      <alignment horizontal="center"/>
    </xf>
    <xf numFmtId="0" fontId="15" fillId="0" borderId="75" xfId="46" applyBorder="1"/>
    <xf numFmtId="0" fontId="18" fillId="0" borderId="80" xfId="46" applyFont="1" applyFill="1" applyBorder="1" applyAlignment="1">
      <alignment horizontal="center"/>
    </xf>
    <xf numFmtId="0" fontId="15" fillId="0" borderId="15" xfId="46" applyBorder="1"/>
    <xf numFmtId="0" fontId="18" fillId="0" borderId="72" xfId="46" applyFont="1" applyFill="1" applyBorder="1" applyAlignment="1">
      <alignment horizontal="center"/>
    </xf>
    <xf numFmtId="0" fontId="18" fillId="0" borderId="68" xfId="46" applyFont="1" applyFill="1" applyBorder="1" applyAlignment="1">
      <alignment horizontal="center"/>
    </xf>
    <xf numFmtId="0" fontId="15" fillId="0" borderId="11" xfId="46" applyBorder="1"/>
    <xf numFmtId="169" fontId="15" fillId="0" borderId="25" xfId="29" applyNumberFormat="1" applyFill="1" applyBorder="1"/>
    <xf numFmtId="0" fontId="15" fillId="0" borderId="56" xfId="46" applyBorder="1" applyAlignment="1">
      <alignment horizontal="left" wrapText="1"/>
    </xf>
    <xf numFmtId="0" fontId="15" fillId="0" borderId="13" xfId="46" applyBorder="1" applyAlignment="1">
      <alignment horizontal="left" wrapText="1"/>
    </xf>
    <xf numFmtId="0" fontId="15" fillId="0" borderId="34" xfId="46" applyBorder="1"/>
    <xf numFmtId="0" fontId="18" fillId="0" borderId="0" xfId="46" applyFont="1" applyBorder="1" applyAlignment="1">
      <alignment horizontal="left" wrapText="1"/>
    </xf>
    <xf numFmtId="0" fontId="15" fillId="0" borderId="0" xfId="46" applyBorder="1"/>
    <xf numFmtId="169" fontId="15" fillId="0" borderId="0" xfId="29" applyNumberFormat="1" applyBorder="1"/>
    <xf numFmtId="0" fontId="15" fillId="0" borderId="0" xfId="46" applyAlignment="1">
      <alignment horizontal="left" wrapText="1"/>
    </xf>
    <xf numFmtId="0" fontId="15" fillId="0" borderId="0" xfId="46" applyAlignment="1">
      <alignment horizontal="left"/>
    </xf>
    <xf numFmtId="0" fontId="18" fillId="30" borderId="80" xfId="46" applyFont="1" applyFill="1" applyBorder="1" applyAlignment="1">
      <alignment horizontal="center"/>
    </xf>
    <xf numFmtId="0" fontId="18" fillId="30" borderId="72" xfId="46" applyFont="1" applyFill="1" applyBorder="1" applyAlignment="1">
      <alignment horizontal="center"/>
    </xf>
    <xf numFmtId="0" fontId="18" fillId="30" borderId="68" xfId="46" applyFont="1" applyFill="1" applyBorder="1" applyAlignment="1">
      <alignment horizontal="center"/>
    </xf>
    <xf numFmtId="15" fontId="18" fillId="0" borderId="68" xfId="46" applyNumberFormat="1" applyFont="1" applyFill="1" applyBorder="1" applyAlignment="1">
      <alignment horizontal="center"/>
    </xf>
    <xf numFmtId="15" fontId="18" fillId="30" borderId="68" xfId="46" applyNumberFormat="1" applyFont="1" applyFill="1" applyBorder="1" applyAlignment="1">
      <alignment horizontal="center"/>
    </xf>
    <xf numFmtId="169" fontId="15" fillId="30" borderId="25" xfId="29" applyNumberFormat="1" applyFont="1" applyFill="1" applyBorder="1"/>
    <xf numFmtId="169" fontId="15" fillId="30" borderId="25" xfId="29" applyNumberFormat="1" applyFill="1" applyBorder="1"/>
    <xf numFmtId="169" fontId="15" fillId="30" borderId="74" xfId="29" applyNumberFormat="1" applyFill="1" applyBorder="1"/>
    <xf numFmtId="169" fontId="15" fillId="30" borderId="109" xfId="29" applyNumberFormat="1" applyFill="1" applyBorder="1" applyAlignment="1"/>
    <xf numFmtId="169" fontId="15" fillId="0" borderId="109" xfId="29" applyNumberFormat="1" applyFill="1" applyBorder="1" applyAlignment="1"/>
    <xf numFmtId="169" fontId="15" fillId="30" borderId="67" xfId="29" applyNumberFormat="1" applyFill="1" applyBorder="1"/>
    <xf numFmtId="0" fontId="25" fillId="0" borderId="0" xfId="47"/>
    <xf numFmtId="0" fontId="62" fillId="0" borderId="0" xfId="47" applyFont="1"/>
    <xf numFmtId="0" fontId="63" fillId="0" borderId="0" xfId="47" applyFont="1"/>
    <xf numFmtId="0" fontId="41" fillId="0" borderId="0" xfId="47" applyFont="1"/>
    <xf numFmtId="0" fontId="58" fillId="0" borderId="0" xfId="47" applyFont="1"/>
    <xf numFmtId="0" fontId="64" fillId="0" borderId="0" xfId="47" applyFont="1"/>
    <xf numFmtId="3" fontId="58" fillId="0" borderId="0" xfId="47" applyNumberFormat="1" applyFont="1" applyAlignment="1"/>
    <xf numFmtId="0" fontId="62" fillId="0" borderId="0" xfId="47" applyFont="1" applyAlignment="1">
      <alignment wrapText="1"/>
    </xf>
    <xf numFmtId="3" fontId="58" fillId="0" borderId="0" xfId="47" applyNumberFormat="1" applyFont="1"/>
    <xf numFmtId="0" fontId="62" fillId="0" borderId="0" xfId="47" applyFont="1" applyAlignment="1">
      <alignment horizontal="right"/>
    </xf>
    <xf numFmtId="0" fontId="25" fillId="0" borderId="0" xfId="47" applyFont="1"/>
    <xf numFmtId="0" fontId="52" fillId="30" borderId="0" xfId="0" applyFont="1" applyFill="1" applyAlignment="1"/>
    <xf numFmtId="0" fontId="15" fillId="0" borderId="0" xfId="0" applyFont="1" applyAlignment="1"/>
    <xf numFmtId="0" fontId="15" fillId="0" borderId="0" xfId="0" applyFont="1" applyAlignment="1">
      <alignment horizontal="left"/>
    </xf>
    <xf numFmtId="0" fontId="18" fillId="0" borderId="0" xfId="0" applyFont="1" applyAlignment="1">
      <alignment horizontal="left"/>
    </xf>
    <xf numFmtId="0" fontId="15" fillId="0" borderId="0" xfId="0" applyFont="1" applyAlignment="1">
      <alignment vertical="top" wrapText="1"/>
    </xf>
    <xf numFmtId="44" fontId="15" fillId="30" borderId="10" xfId="29" applyFill="1" applyBorder="1"/>
    <xf numFmtId="43" fontId="15" fillId="30" borderId="10" xfId="28" applyFill="1" applyBorder="1"/>
    <xf numFmtId="43" fontId="15" fillId="30" borderId="36" xfId="28" applyFill="1" applyBorder="1"/>
    <xf numFmtId="0" fontId="20" fillId="0" borderId="0" xfId="46" applyFont="1" applyAlignment="1">
      <alignment horizontal="center"/>
    </xf>
    <xf numFmtId="0" fontId="15" fillId="0" borderId="0" xfId="46" applyAlignment="1">
      <alignment horizontal="center" vertical="center"/>
    </xf>
    <xf numFmtId="0" fontId="15" fillId="0" borderId="0" xfId="46" applyFont="1" applyAlignment="1">
      <alignment horizontal="center"/>
    </xf>
    <xf numFmtId="0" fontId="15" fillId="0" borderId="0" xfId="46" applyAlignment="1">
      <alignment horizontal="center" vertical="top"/>
    </xf>
    <xf numFmtId="44" fontId="15" fillId="0" borderId="35" xfId="29" applyBorder="1"/>
    <xf numFmtId="43" fontId="15" fillId="30" borderId="17" xfId="28" applyFill="1" applyBorder="1"/>
    <xf numFmtId="43" fontId="15" fillId="0" borderId="61" xfId="28" applyBorder="1"/>
    <xf numFmtId="44" fontId="15" fillId="30" borderId="19" xfId="29" applyFill="1" applyBorder="1"/>
    <xf numFmtId="43" fontId="15" fillId="30" borderId="19" xfId="28" applyFill="1" applyBorder="1"/>
    <xf numFmtId="44" fontId="15" fillId="0" borderId="19" xfId="29" applyBorder="1"/>
    <xf numFmtId="0" fontId="18" fillId="25" borderId="34" xfId="46" quotePrefix="1" applyFont="1" applyFill="1" applyBorder="1" applyAlignment="1">
      <alignment horizontal="center"/>
    </xf>
    <xf numFmtId="0" fontId="18" fillId="25" borderId="35" xfId="46" quotePrefix="1" applyFont="1" applyFill="1" applyBorder="1" applyAlignment="1">
      <alignment horizontal="center" wrapText="1"/>
    </xf>
    <xf numFmtId="0" fontId="18" fillId="25" borderId="35" xfId="46" quotePrefix="1" applyFont="1" applyFill="1" applyBorder="1" applyAlignment="1">
      <alignment horizontal="center"/>
    </xf>
    <xf numFmtId="0" fontId="0" fillId="0" borderId="10" xfId="0" applyBorder="1" applyAlignment="1">
      <alignment horizontal="center" vertical="center"/>
    </xf>
    <xf numFmtId="0" fontId="0" fillId="0" borderId="10" xfId="0" applyFill="1" applyBorder="1" applyAlignment="1">
      <alignment horizontal="center" vertical="center"/>
    </xf>
    <xf numFmtId="0" fontId="15" fillId="0" borderId="10" xfId="0" applyFont="1" applyBorder="1" applyAlignment="1">
      <alignment horizontal="center" vertical="center"/>
    </xf>
    <xf numFmtId="0" fontId="15" fillId="0" borderId="10" xfId="0" applyFont="1" applyFill="1" applyBorder="1" applyAlignment="1">
      <alignment horizontal="center" vertical="center"/>
    </xf>
    <xf numFmtId="0" fontId="38" fillId="0" borderId="10" xfId="0" applyFont="1" applyBorder="1" applyAlignment="1">
      <alignment vertical="center" wrapText="1"/>
    </xf>
    <xf numFmtId="0" fontId="0" fillId="0" borderId="10" xfId="0" applyFill="1" applyBorder="1" applyAlignment="1">
      <alignment vertical="center" wrapText="1"/>
    </xf>
    <xf numFmtId="0" fontId="0" fillId="0" borderId="10" xfId="0" applyBorder="1" applyAlignment="1">
      <alignment vertical="center" wrapText="1"/>
    </xf>
    <xf numFmtId="0" fontId="15" fillId="0" borderId="10" xfId="0" applyFont="1" applyBorder="1" applyAlignment="1">
      <alignment vertical="center" wrapText="1"/>
    </xf>
    <xf numFmtId="0" fontId="15" fillId="0" borderId="10" xfId="0" applyFont="1" applyFill="1" applyBorder="1" applyAlignment="1">
      <alignment vertical="center" wrapText="1"/>
    </xf>
    <xf numFmtId="0" fontId="15" fillId="0" borderId="0" xfId="46" applyFont="1" applyAlignment="1">
      <alignment horizontal="center" vertical="center"/>
    </xf>
    <xf numFmtId="0" fontId="38" fillId="0" borderId="19" xfId="0" applyFont="1" applyBorder="1" applyAlignment="1">
      <alignment vertical="center" wrapText="1"/>
    </xf>
    <xf numFmtId="44" fontId="15" fillId="0" borderId="36" xfId="29" applyBorder="1"/>
    <xf numFmtId="0" fontId="0" fillId="0" borderId="27" xfId="0" applyBorder="1" applyAlignment="1">
      <alignment horizontal="center" vertical="center"/>
    </xf>
    <xf numFmtId="0" fontId="0" fillId="0" borderId="27" xfId="0" applyFill="1" applyBorder="1" applyAlignment="1">
      <alignment horizontal="center" vertical="center"/>
    </xf>
    <xf numFmtId="0" fontId="15" fillId="0" borderId="27" xfId="0" applyFont="1" applyBorder="1" applyAlignment="1">
      <alignment horizontal="center" vertical="center"/>
    </xf>
    <xf numFmtId="0" fontId="15" fillId="0" borderId="27" xfId="0" applyFont="1" applyFill="1" applyBorder="1" applyAlignment="1">
      <alignment horizontal="center" vertical="center"/>
    </xf>
    <xf numFmtId="44" fontId="15" fillId="0" borderId="37" xfId="29" applyFont="1" applyBorder="1"/>
    <xf numFmtId="44" fontId="15" fillId="0" borderId="37" xfId="29" applyBorder="1"/>
    <xf numFmtId="0" fontId="0" fillId="0" borderId="82" xfId="0" applyBorder="1" applyAlignment="1">
      <alignment horizontal="center" vertical="center"/>
    </xf>
    <xf numFmtId="44" fontId="15" fillId="0" borderId="68" xfId="29" applyBorder="1"/>
    <xf numFmtId="0" fontId="18" fillId="25" borderId="34" xfId="46" applyFont="1" applyFill="1" applyBorder="1" applyAlignment="1">
      <alignment horizontal="center" wrapText="1"/>
    </xf>
    <xf numFmtId="0" fontId="18" fillId="25" borderId="35" xfId="46" applyFont="1" applyFill="1" applyBorder="1" applyAlignment="1">
      <alignment horizontal="center"/>
    </xf>
    <xf numFmtId="0" fontId="20" fillId="0" borderId="0" xfId="46" applyFont="1"/>
    <xf numFmtId="0" fontId="15" fillId="0" borderId="39" xfId="46" applyBorder="1"/>
    <xf numFmtId="0" fontId="15" fillId="0" borderId="51" xfId="46" applyBorder="1" applyAlignment="1">
      <alignment horizontal="left" wrapText="1"/>
    </xf>
    <xf numFmtId="169" fontId="15" fillId="30" borderId="109" xfId="29" applyNumberFormat="1" applyFill="1" applyBorder="1"/>
    <xf numFmtId="169" fontId="15" fillId="0" borderId="74" xfId="29" applyNumberFormat="1" applyFill="1" applyBorder="1"/>
    <xf numFmtId="169" fontId="15" fillId="30" borderId="112" xfId="29" applyNumberFormat="1" applyFill="1" applyBorder="1"/>
    <xf numFmtId="0" fontId="15" fillId="0" borderId="117" xfId="46" applyBorder="1"/>
    <xf numFmtId="0" fontId="18" fillId="0" borderId="0" xfId="46" applyFont="1" applyBorder="1" applyAlignment="1">
      <alignment horizontal="left"/>
    </xf>
    <xf numFmtId="0" fontId="15" fillId="0" borderId="0" xfId="46" applyFont="1" applyAlignment="1"/>
    <xf numFmtId="169" fontId="15" fillId="29" borderId="25" xfId="29" applyNumberFormat="1" applyFill="1" applyBorder="1"/>
    <xf numFmtId="169" fontId="15" fillId="29" borderId="74" xfId="29" applyNumberFormat="1" applyFill="1" applyBorder="1"/>
    <xf numFmtId="169" fontId="15" fillId="31" borderId="111" xfId="29" applyNumberFormat="1" applyFill="1" applyBorder="1" applyAlignment="1"/>
    <xf numFmtId="0" fontId="15" fillId="31" borderId="40" xfId="46" applyFill="1" applyBorder="1" applyAlignment="1"/>
    <xf numFmtId="10" fontId="58" fillId="30" borderId="107" xfId="47" applyNumberFormat="1" applyFont="1" applyFill="1" applyBorder="1"/>
    <xf numFmtId="0" fontId="62" fillId="0" borderId="10" xfId="47" applyFont="1" applyBorder="1" applyAlignment="1">
      <alignment horizontal="center" wrapText="1"/>
    </xf>
    <xf numFmtId="0" fontId="62" fillId="0" borderId="10" xfId="47" applyFont="1" applyBorder="1"/>
    <xf numFmtId="0" fontId="58" fillId="0" borderId="10" xfId="47" applyFont="1" applyBorder="1"/>
    <xf numFmtId="0" fontId="58" fillId="32" borderId="10" xfId="47" applyFont="1" applyFill="1" applyBorder="1"/>
    <xf numFmtId="0" fontId="58" fillId="0" borderId="10" xfId="47" applyFont="1" applyBorder="1" applyAlignment="1">
      <alignment horizontal="center"/>
    </xf>
    <xf numFmtId="0" fontId="62" fillId="0" borderId="10" xfId="47" applyFont="1" applyBorder="1" applyAlignment="1">
      <alignment wrapText="1"/>
    </xf>
    <xf numFmtId="0" fontId="58" fillId="0" borderId="10" xfId="47" applyFont="1" applyBorder="1" applyAlignment="1">
      <alignment horizontal="left" wrapText="1" indent="3"/>
    </xf>
    <xf numFmtId="0" fontId="58" fillId="0" borderId="12" xfId="47" applyFont="1" applyBorder="1" applyAlignment="1">
      <alignment horizontal="left" wrapText="1" indent="4"/>
    </xf>
    <xf numFmtId="0" fontId="58" fillId="0" borderId="12" xfId="47" applyFont="1" applyBorder="1"/>
    <xf numFmtId="0" fontId="62" fillId="0" borderId="10" xfId="47" applyFont="1" applyBorder="1" applyAlignment="1">
      <alignment horizontal="center" vertical="center"/>
    </xf>
    <xf numFmtId="0" fontId="62" fillId="0" borderId="10" xfId="47" applyFont="1" applyBorder="1" applyAlignment="1">
      <alignment horizontal="right"/>
    </xf>
    <xf numFmtId="0" fontId="58" fillId="0" borderId="12" xfId="47" applyFont="1" applyBorder="1" applyAlignment="1">
      <alignment wrapText="1"/>
    </xf>
    <xf numFmtId="0" fontId="58" fillId="0" borderId="13" xfId="47" applyFont="1" applyBorder="1"/>
    <xf numFmtId="0" fontId="62" fillId="0" borderId="13" xfId="47" applyFont="1" applyBorder="1"/>
    <xf numFmtId="3" fontId="58" fillId="32" borderId="10" xfId="47" applyNumberFormat="1" applyFont="1" applyFill="1" applyBorder="1" applyAlignment="1"/>
    <xf numFmtId="3" fontId="58" fillId="32" borderId="10" xfId="47" applyNumberFormat="1" applyFont="1" applyFill="1" applyBorder="1"/>
    <xf numFmtId="2" fontId="58" fillId="32" borderId="10" xfId="47" applyNumberFormat="1" applyFont="1" applyFill="1" applyBorder="1"/>
    <xf numFmtId="0" fontId="18" fillId="29" borderId="83" xfId="0" applyFont="1" applyFill="1" applyBorder="1" applyAlignment="1">
      <alignment horizontal="center"/>
    </xf>
    <xf numFmtId="0" fontId="18" fillId="29" borderId="68" xfId="0" applyFont="1" applyFill="1" applyBorder="1" applyAlignment="1">
      <alignment horizontal="center"/>
    </xf>
    <xf numFmtId="0" fontId="38" fillId="30" borderId="27" xfId="0" applyFont="1" applyFill="1" applyBorder="1" applyAlignment="1">
      <alignment horizontal="center"/>
    </xf>
    <xf numFmtId="169" fontId="0" fillId="30" borderId="81" xfId="29" applyNumberFormat="1" applyFont="1" applyFill="1" applyBorder="1"/>
    <xf numFmtId="169" fontId="0" fillId="30" borderId="25" xfId="29" applyNumberFormat="1" applyFont="1" applyFill="1" applyBorder="1"/>
    <xf numFmtId="0" fontId="0" fillId="30" borderId="25" xfId="0" applyFill="1" applyBorder="1"/>
    <xf numFmtId="169" fontId="0" fillId="30" borderId="13" xfId="29" applyNumberFormat="1" applyFont="1" applyFill="1" applyBorder="1"/>
    <xf numFmtId="169" fontId="0" fillId="30" borderId="11" xfId="29" applyNumberFormat="1" applyFont="1" applyFill="1" applyBorder="1"/>
    <xf numFmtId="169" fontId="0" fillId="30" borderId="0" xfId="29" applyNumberFormat="1" applyFont="1" applyFill="1" applyBorder="1"/>
    <xf numFmtId="169" fontId="0" fillId="30" borderId="72" xfId="29" applyNumberFormat="1" applyFont="1" applyFill="1" applyBorder="1"/>
    <xf numFmtId="169" fontId="0" fillId="30" borderId="36" xfId="29" applyNumberFormat="1" applyFont="1" applyFill="1" applyBorder="1"/>
    <xf numFmtId="169" fontId="0" fillId="30" borderId="14" xfId="29" applyNumberFormat="1" applyFont="1" applyFill="1" applyBorder="1"/>
    <xf numFmtId="169" fontId="0" fillId="30" borderId="37" xfId="29" applyNumberFormat="1" applyFont="1" applyFill="1" applyBorder="1"/>
    <xf numFmtId="0" fontId="0" fillId="0" borderId="0" xfId="0" applyAlignment="1">
      <alignment horizontal="center" vertical="center"/>
    </xf>
    <xf numFmtId="0" fontId="46" fillId="0" borderId="19" xfId="0" applyFont="1" applyBorder="1"/>
    <xf numFmtId="169" fontId="0" fillId="30" borderId="19" xfId="29" applyNumberFormat="1" applyFont="1" applyFill="1" applyBorder="1"/>
    <xf numFmtId="169" fontId="0" fillId="30" borderId="58" xfId="29" applyNumberFormat="1" applyFont="1" applyFill="1" applyBorder="1"/>
    <xf numFmtId="169" fontId="0" fillId="30" borderId="51" xfId="29" applyNumberFormat="1" applyFont="1" applyFill="1" applyBorder="1"/>
    <xf numFmtId="169" fontId="0" fillId="30" borderId="29" xfId="29" applyNumberFormat="1" applyFont="1" applyFill="1" applyBorder="1"/>
    <xf numFmtId="169" fontId="0" fillId="30" borderId="59" xfId="29" applyNumberFormat="1" applyFont="1" applyFill="1" applyBorder="1"/>
    <xf numFmtId="169" fontId="0" fillId="30" borderId="60" xfId="29" applyNumberFormat="1" applyFont="1" applyFill="1" applyBorder="1"/>
    <xf numFmtId="169" fontId="0" fillId="30" borderId="17" xfId="29" applyNumberFormat="1" applyFont="1" applyFill="1" applyBorder="1"/>
    <xf numFmtId="169" fontId="0" fillId="30" borderId="63" xfId="29" applyNumberFormat="1" applyFont="1" applyFill="1" applyBorder="1"/>
    <xf numFmtId="169" fontId="0" fillId="0" borderId="70" xfId="29" applyNumberFormat="1" applyFont="1" applyFill="1" applyBorder="1"/>
    <xf numFmtId="169" fontId="0" fillId="0" borderId="21" xfId="29" applyNumberFormat="1" applyFont="1" applyFill="1" applyBorder="1"/>
    <xf numFmtId="169" fontId="0" fillId="0" borderId="71" xfId="29" applyNumberFormat="1" applyFont="1" applyFill="1" applyBorder="1"/>
    <xf numFmtId="169" fontId="0" fillId="30" borderId="24" xfId="29" applyNumberFormat="1" applyFont="1" applyFill="1" applyBorder="1"/>
    <xf numFmtId="169" fontId="0" fillId="30" borderId="53" xfId="29" applyNumberFormat="1" applyFont="1" applyFill="1" applyBorder="1"/>
    <xf numFmtId="169" fontId="0" fillId="30" borderId="26" xfId="29" applyNumberFormat="1" applyFont="1" applyFill="1" applyBorder="1"/>
    <xf numFmtId="169" fontId="0" fillId="30" borderId="88" xfId="29" applyNumberFormat="1" applyFont="1" applyFill="1" applyBorder="1"/>
    <xf numFmtId="0" fontId="0" fillId="0" borderId="0" xfId="0" applyAlignment="1">
      <alignment horizontal="left" vertical="center" wrapText="1"/>
    </xf>
    <xf numFmtId="0" fontId="0" fillId="0" borderId="75" xfId="0" applyBorder="1" applyAlignment="1"/>
    <xf numFmtId="0" fontId="18" fillId="0" borderId="76" xfId="0" applyFont="1" applyBorder="1" applyAlignment="1"/>
    <xf numFmtId="0" fontId="18" fillId="0" borderId="80" xfId="0" applyFont="1" applyFill="1" applyBorder="1" applyAlignment="1">
      <alignment horizontal="center" vertical="center" wrapText="1"/>
    </xf>
    <xf numFmtId="0" fontId="18" fillId="29" borderId="24" xfId="0" applyFont="1" applyFill="1" applyBorder="1" applyAlignment="1">
      <alignment horizontal="center" vertical="top" wrapText="1"/>
    </xf>
    <xf numFmtId="169" fontId="15" fillId="30" borderId="19" xfId="29" applyNumberFormat="1" applyFill="1" applyBorder="1"/>
    <xf numFmtId="169" fontId="15" fillId="30" borderId="10" xfId="29" applyNumberFormat="1" applyFill="1" applyBorder="1"/>
    <xf numFmtId="169" fontId="15" fillId="30" borderId="24" xfId="29" applyNumberFormat="1" applyFill="1" applyBorder="1"/>
    <xf numFmtId="169" fontId="15" fillId="30" borderId="85" xfId="29" applyNumberFormat="1" applyFill="1" applyBorder="1"/>
    <xf numFmtId="169" fontId="15" fillId="30" borderId="81" xfId="29" applyNumberFormat="1" applyFill="1" applyBorder="1"/>
    <xf numFmtId="169" fontId="15" fillId="30" borderId="26" xfId="29" applyNumberFormat="1" applyFill="1" applyBorder="1"/>
    <xf numFmtId="169" fontId="15" fillId="30" borderId="86" xfId="29" applyNumberFormat="1" applyFill="1" applyBorder="1"/>
    <xf numFmtId="169" fontId="0" fillId="0" borderId="21" xfId="0" applyNumberFormat="1" applyBorder="1"/>
    <xf numFmtId="0" fontId="18" fillId="0" borderId="0" xfId="0" applyFont="1" applyAlignment="1">
      <alignment horizontal="left" vertical="top"/>
    </xf>
    <xf numFmtId="0" fontId="15" fillId="0" borderId="0" xfId="0" applyFont="1" applyAlignment="1">
      <alignment horizontal="center"/>
    </xf>
    <xf numFmtId="0" fontId="15" fillId="0" borderId="0" xfId="0" applyFont="1" applyAlignment="1">
      <alignment horizontal="center" vertical="top"/>
    </xf>
    <xf numFmtId="0" fontId="18" fillId="0" borderId="53" xfId="0" applyFont="1" applyFill="1" applyBorder="1" applyAlignment="1">
      <alignment horizontal="center"/>
    </xf>
    <xf numFmtId="0" fontId="18" fillId="0" borderId="53" xfId="0" applyFont="1" applyFill="1" applyBorder="1" applyAlignment="1">
      <alignment horizontal="center" vertical="center" wrapText="1"/>
    </xf>
    <xf numFmtId="0" fontId="18" fillId="33" borderId="0" xfId="0" applyFont="1" applyFill="1" applyBorder="1" applyAlignment="1">
      <alignment horizontal="center" wrapText="1"/>
    </xf>
    <xf numFmtId="0" fontId="18" fillId="33" borderId="89" xfId="0" applyFont="1" applyFill="1" applyBorder="1" applyAlignment="1">
      <alignment horizontal="center" wrapText="1"/>
    </xf>
    <xf numFmtId="0" fontId="18" fillId="33" borderId="29" xfId="0" applyFont="1" applyFill="1" applyBorder="1" applyAlignment="1">
      <alignment horizontal="center" wrapText="1"/>
    </xf>
    <xf numFmtId="0" fontId="18" fillId="0" borderId="66" xfId="0" applyFont="1" applyFill="1" applyBorder="1" applyAlignment="1">
      <alignment horizontal="center" vertical="center" wrapText="1"/>
    </xf>
    <xf numFmtId="0" fontId="18" fillId="0" borderId="79" xfId="0" applyFont="1" applyFill="1" applyBorder="1" applyAlignment="1">
      <alignment horizontal="center" vertical="center" wrapText="1"/>
    </xf>
    <xf numFmtId="169" fontId="18" fillId="30" borderId="10" xfId="29" applyNumberFormat="1" applyFont="1" applyFill="1" applyBorder="1"/>
    <xf numFmtId="0" fontId="15" fillId="0" borderId="0" xfId="0" quotePrefix="1" applyFont="1" applyAlignment="1">
      <alignment horizontal="center"/>
    </xf>
    <xf numFmtId="0" fontId="18" fillId="0" borderId="21" xfId="0" applyFont="1" applyFill="1" applyBorder="1" applyAlignment="1">
      <alignment horizontal="center" vertical="center" wrapText="1"/>
    </xf>
    <xf numFmtId="0" fontId="18" fillId="0" borderId="71" xfId="0" applyFont="1" applyFill="1" applyBorder="1" applyAlignment="1">
      <alignment horizontal="center" vertical="center" wrapText="1"/>
    </xf>
    <xf numFmtId="0" fontId="0" fillId="0" borderId="27" xfId="0" applyBorder="1"/>
    <xf numFmtId="170" fontId="15" fillId="0" borderId="25" xfId="28" applyNumberFormat="1" applyBorder="1"/>
    <xf numFmtId="169" fontId="15" fillId="0" borderId="25" xfId="29" applyNumberFormat="1" applyBorder="1"/>
    <xf numFmtId="0" fontId="57" fillId="0" borderId="0" xfId="0" applyFont="1"/>
    <xf numFmtId="0" fontId="83" fillId="0" borderId="0" xfId="0" applyFont="1"/>
    <xf numFmtId="0" fontId="0" fillId="0" borderId="0" xfId="0" applyAlignment="1">
      <alignment vertical="center" wrapText="1"/>
    </xf>
    <xf numFmtId="168" fontId="65" fillId="0" borderId="10" xfId="42" applyNumberFormat="1" applyFont="1" applyBorder="1" applyAlignment="1">
      <alignment vertical="center" wrapText="1"/>
    </xf>
    <xf numFmtId="168" fontId="65" fillId="0" borderId="81" xfId="42" applyNumberFormat="1" applyFont="1" applyBorder="1" applyAlignment="1">
      <alignment vertical="center" wrapText="1"/>
    </xf>
    <xf numFmtId="168" fontId="65" fillId="0" borderId="13" xfId="42" applyNumberFormat="1" applyFont="1" applyBorder="1" applyAlignment="1">
      <alignment vertical="center" wrapText="1"/>
    </xf>
    <xf numFmtId="168" fontId="65" fillId="0" borderId="33" xfId="42" applyNumberFormat="1" applyFont="1" applyBorder="1" applyAlignment="1">
      <alignment vertical="center" wrapText="1"/>
    </xf>
    <xf numFmtId="0" fontId="15" fillId="0" borderId="0" xfId="46" applyAlignment="1">
      <alignment vertical="center" wrapText="1"/>
    </xf>
    <xf numFmtId="170" fontId="15" fillId="0" borderId="0" xfId="28" applyNumberFormat="1" applyFont="1" applyAlignment="1">
      <alignment vertical="center" wrapText="1"/>
    </xf>
    <xf numFmtId="170" fontId="17" fillId="0" borderId="0" xfId="28" applyNumberFormat="1" applyFont="1" applyAlignment="1">
      <alignment vertical="center" wrapText="1"/>
    </xf>
    <xf numFmtId="0" fontId="65" fillId="0" borderId="27" xfId="46" applyFont="1" applyBorder="1" applyAlignment="1">
      <alignment vertical="center" wrapText="1"/>
    </xf>
    <xf numFmtId="0" fontId="66" fillId="0" borderId="27" xfId="46" applyFont="1" applyBorder="1" applyAlignment="1">
      <alignment vertical="center" wrapText="1"/>
    </xf>
    <xf numFmtId="0" fontId="65" fillId="0" borderId="28" xfId="46" applyFont="1" applyBorder="1" applyAlignment="1">
      <alignment vertical="center" wrapText="1"/>
    </xf>
    <xf numFmtId="168" fontId="65" fillId="0" borderId="26" xfId="42" applyNumberFormat="1" applyFont="1" applyBorder="1" applyAlignment="1">
      <alignment vertical="center" wrapText="1"/>
    </xf>
    <xf numFmtId="168" fontId="65" fillId="0" borderId="67" xfId="42" applyNumberFormat="1" applyFont="1" applyBorder="1" applyAlignment="1">
      <alignment vertical="center" wrapText="1"/>
    </xf>
    <xf numFmtId="0" fontId="66" fillId="0" borderId="0" xfId="46" applyFont="1" applyFill="1" applyBorder="1" applyAlignment="1">
      <alignment horizontal="center" vertical="center" wrapText="1"/>
    </xf>
    <xf numFmtId="3" fontId="65" fillId="0" borderId="0" xfId="46" applyNumberFormat="1" applyFont="1" applyFill="1" applyBorder="1" applyAlignment="1">
      <alignment vertical="center" wrapText="1"/>
    </xf>
    <xf numFmtId="3" fontId="66" fillId="0" borderId="0" xfId="28" applyNumberFormat="1" applyFont="1" applyFill="1" applyBorder="1" applyAlignment="1">
      <alignment vertical="center" wrapText="1"/>
    </xf>
    <xf numFmtId="3" fontId="65" fillId="0" borderId="0" xfId="42" applyNumberFormat="1" applyFont="1" applyFill="1" applyBorder="1" applyAlignment="1">
      <alignment vertical="center" wrapText="1"/>
    </xf>
    <xf numFmtId="0" fontId="0" fillId="0" borderId="0" xfId="0" applyFill="1" applyBorder="1" applyAlignment="1">
      <alignment vertical="center" wrapText="1"/>
    </xf>
    <xf numFmtId="168" fontId="65" fillId="0" borderId="25" xfId="42" applyNumberFormat="1" applyFont="1" applyBorder="1" applyAlignment="1">
      <alignment vertical="center" wrapText="1"/>
    </xf>
    <xf numFmtId="0" fontId="65" fillId="0" borderId="32" xfId="46" applyFont="1" applyBorder="1" applyAlignment="1">
      <alignment vertical="center" wrapText="1"/>
    </xf>
    <xf numFmtId="0" fontId="66" fillId="0" borderId="24" xfId="46" applyFont="1" applyFill="1" applyBorder="1" applyAlignment="1">
      <alignment horizontal="center" vertical="center" wrapText="1"/>
    </xf>
    <xf numFmtId="0" fontId="66" fillId="0" borderId="66" xfId="46" applyFont="1" applyFill="1" applyBorder="1" applyAlignment="1">
      <alignment horizontal="center" vertical="center" wrapText="1"/>
    </xf>
    <xf numFmtId="0" fontId="65" fillId="0" borderId="99" xfId="46" applyFont="1" applyFill="1" applyBorder="1" applyAlignment="1">
      <alignment vertical="center" wrapText="1"/>
    </xf>
    <xf numFmtId="0" fontId="66" fillId="0" borderId="79" xfId="46" applyFont="1" applyFill="1" applyBorder="1" applyAlignment="1">
      <alignment horizontal="center" vertical="center" wrapText="1"/>
    </xf>
    <xf numFmtId="0" fontId="65" fillId="0" borderId="32" xfId="46" applyFont="1" applyFill="1" applyBorder="1" applyAlignment="1">
      <alignment vertical="center" wrapText="1"/>
    </xf>
    <xf numFmtId="3" fontId="65" fillId="65" borderId="26" xfId="28" applyNumberFormat="1" applyFont="1" applyFill="1" applyBorder="1" applyAlignment="1">
      <alignment vertical="center" wrapText="1"/>
    </xf>
    <xf numFmtId="168" fontId="65" fillId="65" borderId="26" xfId="42" applyNumberFormat="1" applyFont="1" applyFill="1" applyBorder="1" applyAlignment="1">
      <alignment vertical="center" wrapText="1"/>
    </xf>
    <xf numFmtId="168" fontId="65" fillId="65" borderId="10" xfId="42" applyNumberFormat="1" applyFont="1" applyFill="1" applyBorder="1" applyAlignment="1">
      <alignment vertical="center" wrapText="1"/>
    </xf>
    <xf numFmtId="0" fontId="84" fillId="0" borderId="20" xfId="51" applyFont="1" applyBorder="1" applyAlignment="1">
      <alignment horizontal="center" vertical="center" wrapText="1"/>
    </xf>
    <xf numFmtId="0" fontId="85" fillId="0" borderId="21" xfId="51" applyFont="1" applyBorder="1" applyAlignment="1">
      <alignment horizontal="center" vertical="center" wrapText="1"/>
    </xf>
    <xf numFmtId="0" fontId="85" fillId="0" borderId="71" xfId="51" applyFont="1" applyBorder="1" applyAlignment="1">
      <alignment horizontal="center" vertical="center" wrapText="1"/>
    </xf>
    <xf numFmtId="9" fontId="84" fillId="0" borderId="10" xfId="42" applyFont="1" applyBorder="1" applyAlignment="1">
      <alignment vertical="center" wrapText="1"/>
    </xf>
    <xf numFmtId="10" fontId="84" fillId="0" borderId="10" xfId="51" applyNumberFormat="1" applyFont="1" applyBorder="1" applyAlignment="1">
      <alignment vertical="center" wrapText="1"/>
    </xf>
    <xf numFmtId="10" fontId="84" fillId="0" borderId="26" xfId="51" applyNumberFormat="1" applyFont="1" applyBorder="1" applyAlignment="1">
      <alignment vertical="center" wrapText="1"/>
    </xf>
    <xf numFmtId="0" fontId="84" fillId="0" borderId="18" xfId="51" applyFont="1" applyFill="1" applyBorder="1" applyAlignment="1">
      <alignment vertical="center" wrapText="1"/>
    </xf>
    <xf numFmtId="0" fontId="84" fillId="0" borderId="15" xfId="51" applyFont="1" applyFill="1" applyBorder="1" applyAlignment="1">
      <alignment vertical="center" wrapText="1"/>
    </xf>
    <xf numFmtId="0" fontId="84" fillId="0" borderId="39" xfId="51" applyFont="1" applyFill="1" applyBorder="1" applyAlignment="1">
      <alignment vertical="center" wrapText="1"/>
    </xf>
    <xf numFmtId="0" fontId="84" fillId="0" borderId="30" xfId="51" applyFont="1" applyFill="1" applyBorder="1" applyAlignment="1">
      <alignment vertical="center" wrapText="1"/>
    </xf>
    <xf numFmtId="10" fontId="84" fillId="0" borderId="113" xfId="51" applyNumberFormat="1" applyFont="1" applyFill="1" applyBorder="1" applyAlignment="1">
      <alignment vertical="center" wrapText="1"/>
    </xf>
    <xf numFmtId="10" fontId="84" fillId="0" borderId="89" xfId="51" applyNumberFormat="1" applyFont="1" applyFill="1" applyBorder="1" applyAlignment="1">
      <alignment vertical="center" wrapText="1"/>
    </xf>
    <xf numFmtId="10" fontId="84" fillId="0" borderId="118" xfId="51" applyNumberFormat="1" applyFont="1" applyFill="1" applyBorder="1" applyAlignment="1">
      <alignment vertical="center" wrapText="1"/>
    </xf>
    <xf numFmtId="10" fontId="84" fillId="0" borderId="0" xfId="51" applyNumberFormat="1" applyFont="1" applyFill="1" applyBorder="1" applyAlignment="1">
      <alignment vertical="center" wrapText="1"/>
    </xf>
    <xf numFmtId="10" fontId="84" fillId="0" borderId="84" xfId="51" applyNumberFormat="1" applyFont="1" applyFill="1" applyBorder="1" applyAlignment="1">
      <alignment vertical="center" wrapText="1"/>
    </xf>
    <xf numFmtId="10" fontId="84" fillId="0" borderId="30" xfId="51" applyNumberFormat="1" applyFont="1" applyFill="1" applyBorder="1" applyAlignment="1">
      <alignment vertical="center" wrapText="1"/>
    </xf>
    <xf numFmtId="10" fontId="84" fillId="0" borderId="83" xfId="51" applyNumberFormat="1" applyFont="1" applyFill="1" applyBorder="1" applyAlignment="1">
      <alignment vertical="center" wrapText="1"/>
    </xf>
    <xf numFmtId="10" fontId="84" fillId="0" borderId="12" xfId="51" applyNumberFormat="1" applyFont="1" applyFill="1" applyBorder="1" applyAlignment="1">
      <alignment vertical="center" wrapText="1"/>
    </xf>
    <xf numFmtId="0" fontId="84" fillId="0" borderId="13" xfId="51" applyFont="1" applyFill="1" applyBorder="1" applyAlignment="1">
      <alignment vertical="center" wrapText="1"/>
    </xf>
    <xf numFmtId="0" fontId="84" fillId="0" borderId="16" xfId="51" applyFont="1" applyFill="1" applyBorder="1" applyAlignment="1">
      <alignment vertical="center" wrapText="1"/>
    </xf>
    <xf numFmtId="0" fontId="84" fillId="0" borderId="12" xfId="51" applyFont="1" applyFill="1" applyBorder="1" applyAlignment="1">
      <alignment vertical="center" wrapText="1"/>
    </xf>
    <xf numFmtId="0" fontId="85" fillId="0" borderId="82" xfId="51" applyFont="1" applyBorder="1" applyAlignment="1">
      <alignment vertical="center" wrapText="1"/>
    </xf>
    <xf numFmtId="0" fontId="85" fillId="0" borderId="27" xfId="51" applyFont="1" applyBorder="1" applyAlignment="1">
      <alignment vertical="center" wrapText="1"/>
    </xf>
    <xf numFmtId="0" fontId="85" fillId="0" borderId="28" xfId="51" applyFont="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vertical="center" wrapText="1"/>
    </xf>
    <xf numFmtId="0" fontId="0" fillId="29" borderId="10" xfId="0" applyFill="1" applyBorder="1" applyAlignment="1">
      <alignment vertical="top"/>
    </xf>
    <xf numFmtId="0" fontId="0" fillId="30" borderId="10" xfId="0" applyFill="1" applyBorder="1" applyAlignment="1">
      <alignment vertical="top"/>
    </xf>
    <xf numFmtId="169" fontId="0" fillId="30" borderId="10" xfId="29" applyNumberFormat="1" applyFont="1" applyFill="1" applyBorder="1" applyAlignment="1">
      <alignment vertical="top"/>
    </xf>
    <xf numFmtId="0" fontId="0" fillId="65" borderId="19" xfId="0" applyFill="1" applyBorder="1" applyAlignment="1">
      <alignment vertical="top"/>
    </xf>
    <xf numFmtId="0" fontId="0" fillId="65" borderId="36" xfId="0" applyFill="1" applyBorder="1" applyAlignment="1">
      <alignment vertical="top"/>
    </xf>
    <xf numFmtId="0" fontId="0" fillId="65" borderId="34" xfId="0" applyFill="1" applyBorder="1" applyAlignment="1">
      <alignment vertical="top"/>
    </xf>
    <xf numFmtId="0" fontId="18" fillId="0" borderId="24"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0" xfId="0" applyFont="1" applyFill="1" applyBorder="1" applyAlignment="1">
      <alignment horizontal="center" vertical="top"/>
    </xf>
    <xf numFmtId="0" fontId="18" fillId="0" borderId="32" xfId="0" applyFont="1" applyBorder="1" applyAlignment="1">
      <alignment horizontal="center" vertical="top"/>
    </xf>
    <xf numFmtId="169" fontId="0" fillId="0" borderId="24" xfId="0" applyNumberFormat="1" applyFill="1" applyBorder="1" applyAlignment="1">
      <alignment horizontal="right" vertical="center"/>
    </xf>
    <xf numFmtId="169" fontId="0" fillId="0" borderId="10" xfId="0" applyNumberFormat="1" applyFill="1" applyBorder="1" applyAlignment="1">
      <alignment horizontal="right" vertical="center"/>
    </xf>
    <xf numFmtId="0" fontId="0" fillId="0" borderId="85" xfId="0" applyBorder="1" applyAlignment="1">
      <alignment vertical="top" wrapText="1"/>
    </xf>
    <xf numFmtId="0" fontId="0" fillId="0" borderId="81" xfId="0" applyBorder="1" applyAlignment="1">
      <alignment vertical="top" wrapText="1"/>
    </xf>
    <xf numFmtId="0" fontId="0" fillId="30" borderId="26" xfId="0" applyFill="1" applyBorder="1"/>
    <xf numFmtId="43" fontId="0" fillId="30" borderId="10" xfId="28" applyFont="1" applyFill="1" applyBorder="1"/>
    <xf numFmtId="0" fontId="18" fillId="0" borderId="0" xfId="0" applyFont="1" applyAlignment="1"/>
    <xf numFmtId="10" fontId="0" fillId="0" borderId="10" xfId="42" applyNumberFormat="1" applyFont="1" applyBorder="1"/>
    <xf numFmtId="169" fontId="0" fillId="0" borderId="90" xfId="29" applyNumberFormat="1" applyFont="1" applyBorder="1"/>
    <xf numFmtId="169" fontId="0" fillId="0" borderId="91" xfId="29" applyNumberFormat="1" applyFont="1" applyBorder="1"/>
    <xf numFmtId="43" fontId="0" fillId="0" borderId="10" xfId="28" applyFont="1" applyBorder="1"/>
    <xf numFmtId="43" fontId="0" fillId="0" borderId="26" xfId="28" applyFont="1" applyBorder="1"/>
    <xf numFmtId="0" fontId="18" fillId="0" borderId="49" xfId="0" applyFont="1" applyFill="1" applyBorder="1" applyAlignment="1">
      <alignment vertical="center" wrapText="1"/>
    </xf>
    <xf numFmtId="0" fontId="18" fillId="0" borderId="97" xfId="0" applyFont="1" applyBorder="1" applyAlignment="1"/>
    <xf numFmtId="0" fontId="0" fillId="0" borderId="56" xfId="0" applyBorder="1" applyAlignment="1">
      <alignment horizontal="left" vertical="center" wrapText="1"/>
    </xf>
    <xf numFmtId="0" fontId="0" fillId="30" borderId="56" xfId="0" applyFill="1" applyBorder="1" applyAlignment="1">
      <alignment horizontal="left" vertical="center" wrapText="1"/>
    </xf>
    <xf numFmtId="0" fontId="15" fillId="0" borderId="0" xfId="0" applyFont="1" applyFill="1" applyAlignment="1">
      <alignment vertical="top" wrapText="1"/>
    </xf>
    <xf numFmtId="0" fontId="0" fillId="0" borderId="0" xfId="0" applyFill="1" applyAlignment="1">
      <alignment horizontal="left" vertical="top" wrapText="1"/>
    </xf>
    <xf numFmtId="169" fontId="0" fillId="30" borderId="74" xfId="29" applyNumberFormat="1" applyFont="1" applyFill="1" applyBorder="1"/>
    <xf numFmtId="0" fontId="47" fillId="0" borderId="0" xfId="0" applyFont="1" applyFill="1"/>
    <xf numFmtId="0" fontId="18" fillId="30" borderId="19" xfId="0" applyFont="1" applyFill="1" applyBorder="1" applyAlignment="1">
      <alignment horizontal="center" vertical="center"/>
    </xf>
    <xf numFmtId="43" fontId="0" fillId="30" borderId="26" xfId="28" applyFont="1" applyFill="1" applyBorder="1"/>
    <xf numFmtId="0" fontId="18" fillId="0" borderId="0" xfId="0" applyFont="1" applyAlignment="1">
      <alignment horizontal="left" vertical="center"/>
    </xf>
    <xf numFmtId="44" fontId="15" fillId="30" borderId="40" xfId="29" applyFill="1" applyBorder="1"/>
    <xf numFmtId="0" fontId="15" fillId="0" borderId="0" xfId="0" applyFont="1" applyFill="1"/>
    <xf numFmtId="0" fontId="18" fillId="30" borderId="1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24" xfId="0" applyFont="1" applyFill="1" applyBorder="1" applyAlignment="1">
      <alignment horizontal="center" vertical="center"/>
    </xf>
    <xf numFmtId="0" fontId="18" fillId="30" borderId="68" xfId="0" applyFont="1" applyFill="1" applyBorder="1" applyAlignment="1">
      <alignment horizontal="center"/>
    </xf>
    <xf numFmtId="0" fontId="0" fillId="30" borderId="40" xfId="0" applyFill="1" applyBorder="1"/>
    <xf numFmtId="43" fontId="15" fillId="30" borderId="40" xfId="28" applyFill="1" applyBorder="1"/>
    <xf numFmtId="170" fontId="15" fillId="30" borderId="40" xfId="28" applyNumberFormat="1" applyFill="1" applyBorder="1"/>
    <xf numFmtId="170" fontId="15" fillId="30" borderId="29" xfId="28" applyNumberFormat="1" applyFill="1" applyBorder="1"/>
    <xf numFmtId="171" fontId="15" fillId="30" borderId="40" xfId="29" applyNumberFormat="1" applyFill="1" applyBorder="1"/>
    <xf numFmtId="169" fontId="15" fillId="30" borderId="40" xfId="29" applyNumberFormat="1" applyFill="1" applyBorder="1"/>
    <xf numFmtId="0" fontId="0" fillId="29" borderId="40" xfId="0" applyFill="1" applyBorder="1" applyAlignment="1">
      <alignment vertical="center"/>
    </xf>
    <xf numFmtId="0" fontId="18" fillId="0" borderId="0" xfId="0" applyFont="1" applyAlignment="1">
      <alignment horizontal="left" vertical="center" wrapText="1"/>
    </xf>
    <xf numFmtId="0" fontId="15" fillId="0" borderId="0" xfId="0" applyFont="1" applyAlignment="1" applyProtection="1">
      <alignment vertical="top"/>
    </xf>
    <xf numFmtId="10" fontId="15" fillId="0" borderId="15" xfId="42" applyNumberFormat="1" applyBorder="1" applyAlignment="1" applyProtection="1">
      <alignment vertical="center"/>
    </xf>
    <xf numFmtId="0" fontId="0" fillId="0" borderId="0" xfId="0" applyAlignment="1">
      <alignment wrapText="1"/>
    </xf>
    <xf numFmtId="0" fontId="18" fillId="0" borderId="12" xfId="0" applyFont="1" applyBorder="1"/>
    <xf numFmtId="0" fontId="87" fillId="0" borderId="55" xfId="0" applyFont="1" applyBorder="1"/>
    <xf numFmtId="0" fontId="18" fillId="29" borderId="19" xfId="0" applyFont="1" applyFill="1" applyBorder="1" applyAlignment="1">
      <alignment horizontal="center" vertical="top" wrapText="1"/>
    </xf>
    <xf numFmtId="0" fontId="18" fillId="29" borderId="68" xfId="0" applyFont="1" applyFill="1" applyBorder="1" applyAlignment="1">
      <alignment horizontal="center" vertical="top" wrapText="1"/>
    </xf>
    <xf numFmtId="0" fontId="18" fillId="0" borderId="93" xfId="0" applyFont="1" applyBorder="1"/>
    <xf numFmtId="0" fontId="18" fillId="0" borderId="23" xfId="0" applyFont="1" applyBorder="1"/>
    <xf numFmtId="0" fontId="18" fillId="29" borderId="83" xfId="0" applyFont="1" applyFill="1" applyBorder="1" applyAlignment="1">
      <alignment horizontal="center" vertical="top" wrapText="1"/>
    </xf>
    <xf numFmtId="0" fontId="15" fillId="0" borderId="16" xfId="0" applyFont="1" applyBorder="1"/>
    <xf numFmtId="0" fontId="15" fillId="0" borderId="55" xfId="0" applyFont="1" applyBorder="1"/>
    <xf numFmtId="0" fontId="15" fillId="0" borderId="15" xfId="0" applyFont="1" applyBorder="1"/>
    <xf numFmtId="0" fontId="0" fillId="30" borderId="56" xfId="0" applyFill="1" applyBorder="1" applyAlignment="1"/>
    <xf numFmtId="0" fontId="0" fillId="30" borderId="33" xfId="0" applyFill="1" applyBorder="1" applyAlignment="1"/>
    <xf numFmtId="0" fontId="0" fillId="30" borderId="97" xfId="0" applyFill="1" applyBorder="1" applyAlignment="1"/>
    <xf numFmtId="0" fontId="0" fillId="30" borderId="87" xfId="0" applyFill="1" applyBorder="1" applyAlignment="1"/>
    <xf numFmtId="0" fontId="53" fillId="0" borderId="0" xfId="0" applyFont="1"/>
    <xf numFmtId="0" fontId="0" fillId="30" borderId="56" xfId="0" applyFill="1" applyBorder="1" applyAlignment="1">
      <alignment horizontal="left" vertical="center"/>
    </xf>
    <xf numFmtId="0" fontId="0" fillId="30" borderId="33" xfId="0" applyFill="1" applyBorder="1" applyAlignment="1">
      <alignment horizontal="left" vertical="center"/>
    </xf>
    <xf numFmtId="0" fontId="0" fillId="30" borderId="97" xfId="0" applyFill="1" applyBorder="1" applyAlignment="1">
      <alignment horizontal="left" vertical="center"/>
    </xf>
    <xf numFmtId="0" fontId="0" fillId="30" borderId="87" xfId="0" applyFill="1" applyBorder="1" applyAlignment="1">
      <alignment horizontal="left" vertical="center"/>
    </xf>
    <xf numFmtId="0" fontId="18" fillId="29" borderId="21" xfId="0" applyFont="1" applyFill="1" applyBorder="1" applyAlignment="1">
      <alignment horizontal="center" vertical="top" wrapText="1"/>
    </xf>
    <xf numFmtId="0" fontId="18" fillId="29" borderId="71" xfId="0" applyFont="1" applyFill="1" applyBorder="1" applyAlignment="1">
      <alignment horizontal="center" vertical="top" wrapText="1"/>
    </xf>
    <xf numFmtId="0" fontId="89" fillId="0" borderId="20" xfId="46" applyFont="1" applyFill="1" applyBorder="1" applyAlignment="1">
      <alignment vertical="center" wrapText="1"/>
    </xf>
    <xf numFmtId="0" fontId="89" fillId="0" borderId="0" xfId="46" applyFont="1" applyFill="1" applyBorder="1" applyAlignment="1">
      <alignment vertical="center" wrapText="1"/>
    </xf>
    <xf numFmtId="0" fontId="64" fillId="0" borderId="0" xfId="47" applyFont="1" applyAlignment="1">
      <alignment vertical="center"/>
    </xf>
    <xf numFmtId="0" fontId="18" fillId="0" borderId="0" xfId="0" applyFont="1" applyAlignment="1">
      <alignment horizontal="left" indent="4"/>
    </xf>
    <xf numFmtId="0" fontId="0" fillId="0" borderId="24" xfId="0" applyBorder="1" applyAlignment="1">
      <alignment horizontal="left" vertical="top"/>
    </xf>
    <xf numFmtId="0" fontId="0" fillId="0" borderId="24" xfId="0" applyBorder="1" applyAlignment="1">
      <alignment horizontal="center" vertical="top"/>
    </xf>
    <xf numFmtId="0" fontId="0" fillId="0" borderId="24" xfId="0" applyBorder="1" applyAlignment="1">
      <alignment horizontal="center" vertical="top" wrapText="1"/>
    </xf>
    <xf numFmtId="0" fontId="0" fillId="0" borderId="78" xfId="0" applyBorder="1"/>
    <xf numFmtId="0" fontId="0" fillId="0" borderId="38" xfId="0" applyBorder="1"/>
    <xf numFmtId="0" fontId="0" fillId="0" borderId="61" xfId="0" applyBorder="1"/>
    <xf numFmtId="0" fontId="15" fillId="0" borderId="32" xfId="0" applyFont="1" applyBorder="1" applyAlignment="1">
      <alignment horizontal="right" vertical="top"/>
    </xf>
    <xf numFmtId="0" fontId="0" fillId="29" borderId="10" xfId="0" applyFill="1" applyBorder="1"/>
    <xf numFmtId="0" fontId="15" fillId="0" borderId="24" xfId="0" applyFont="1" applyBorder="1" applyAlignment="1">
      <alignment horizontal="center" vertical="top" wrapText="1"/>
    </xf>
    <xf numFmtId="0" fontId="18" fillId="25" borderId="79" xfId="0" applyFont="1" applyFill="1" applyBorder="1" applyAlignment="1">
      <alignment horizontal="center" vertical="center" wrapText="1"/>
    </xf>
    <xf numFmtId="0" fontId="18" fillId="0" borderId="24" xfId="0" applyFont="1" applyFill="1" applyBorder="1" applyAlignment="1">
      <alignment horizontal="center"/>
    </xf>
    <xf numFmtId="0" fontId="15" fillId="0" borderId="0" xfId="0" applyFont="1" applyFill="1" applyAlignment="1">
      <alignment horizontal="left" vertical="top"/>
    </xf>
    <xf numFmtId="0" fontId="15" fillId="0" borderId="0" xfId="0" applyFont="1" applyFill="1" applyAlignment="1">
      <alignment horizontal="left" vertical="top" wrapText="1"/>
    </xf>
    <xf numFmtId="0" fontId="15" fillId="0" borderId="0" xfId="0" applyFont="1" applyAlignment="1">
      <alignment vertical="top" wrapText="1"/>
    </xf>
    <xf numFmtId="0" fontId="18" fillId="30" borderId="99" xfId="0" applyFont="1" applyFill="1" applyBorder="1" applyAlignment="1">
      <alignment horizontal="center" vertical="center" wrapText="1"/>
    </xf>
    <xf numFmtId="0" fontId="84" fillId="0" borderId="63" xfId="51" applyFont="1" applyFill="1" applyBorder="1" applyAlignment="1">
      <alignment vertical="center" wrapText="1"/>
    </xf>
    <xf numFmtId="0" fontId="84" fillId="0" borderId="29" xfId="51" applyFont="1" applyFill="1" applyBorder="1" applyAlignment="1">
      <alignment vertical="center" wrapText="1"/>
    </xf>
    <xf numFmtId="0" fontId="84" fillId="0" borderId="31" xfId="51" applyFont="1" applyFill="1" applyBorder="1" applyAlignment="1">
      <alignment vertical="center" wrapText="1"/>
    </xf>
    <xf numFmtId="0" fontId="84" fillId="0" borderId="89" xfId="51" applyFont="1" applyFill="1" applyBorder="1" applyAlignment="1">
      <alignment vertical="center" wrapText="1"/>
    </xf>
    <xf numFmtId="0" fontId="84" fillId="0" borderId="0" xfId="51" applyFont="1" applyFill="1" applyBorder="1" applyAlignment="1">
      <alignment vertical="center" wrapText="1"/>
    </xf>
    <xf numFmtId="0" fontId="84" fillId="0" borderId="113" xfId="51" applyFont="1" applyFill="1" applyBorder="1" applyAlignment="1">
      <alignment vertical="center" wrapText="1"/>
    </xf>
    <xf numFmtId="0" fontId="84" fillId="0" borderId="118" xfId="51" applyFont="1" applyFill="1" applyBorder="1" applyAlignment="1">
      <alignment vertical="center" wrapText="1"/>
    </xf>
    <xf numFmtId="0" fontId="84" fillId="0" borderId="84" xfId="51" applyFont="1" applyFill="1" applyBorder="1" applyAlignment="1">
      <alignment vertical="center" wrapText="1"/>
    </xf>
    <xf numFmtId="0" fontId="84" fillId="0" borderId="83" xfId="51" applyFont="1" applyFill="1" applyBorder="1" applyAlignment="1">
      <alignment vertical="center" wrapText="1"/>
    </xf>
    <xf numFmtId="0" fontId="84" fillId="0" borderId="58" xfId="51" applyFont="1" applyFill="1" applyBorder="1" applyAlignment="1">
      <alignment vertical="center" wrapText="1"/>
    </xf>
    <xf numFmtId="10" fontId="84" fillId="0" borderId="13" xfId="51" applyNumberFormat="1" applyFont="1" applyBorder="1" applyAlignment="1">
      <alignment vertical="center" wrapText="1"/>
    </xf>
    <xf numFmtId="9" fontId="84" fillId="0" borderId="25" xfId="42" applyFont="1" applyFill="1" applyBorder="1" applyAlignment="1">
      <alignment vertical="center" wrapText="1"/>
    </xf>
    <xf numFmtId="168" fontId="84" fillId="0" borderId="25" xfId="42" applyNumberFormat="1" applyFont="1" applyFill="1" applyBorder="1" applyAlignment="1">
      <alignment vertical="center" wrapText="1"/>
    </xf>
    <xf numFmtId="0" fontId="0" fillId="32" borderId="67" xfId="0" applyFill="1" applyBorder="1"/>
    <xf numFmtId="0" fontId="0" fillId="0" borderId="25" xfId="0" applyFill="1" applyBorder="1" applyAlignment="1">
      <alignment horizontal="center"/>
    </xf>
    <xf numFmtId="0" fontId="15" fillId="30" borderId="56" xfId="0" applyFont="1" applyFill="1" applyBorder="1" applyAlignment="1">
      <alignment horizontal="left" vertical="center" wrapText="1"/>
    </xf>
    <xf numFmtId="0" fontId="0" fillId="66" borderId="67" xfId="0" applyFill="1" applyBorder="1" applyAlignment="1">
      <alignment horizontal="center"/>
    </xf>
    <xf numFmtId="10" fontId="15" fillId="0" borderId="10" xfId="42" applyNumberFormat="1" applyBorder="1"/>
    <xf numFmtId="10" fontId="15" fillId="0" borderId="17" xfId="42" applyNumberFormat="1" applyBorder="1"/>
    <xf numFmtId="10" fontId="15" fillId="0" borderId="34" xfId="42" applyNumberFormat="1" applyBorder="1"/>
    <xf numFmtId="10" fontId="15" fillId="0" borderId="36" xfId="42" applyNumberFormat="1" applyBorder="1"/>
    <xf numFmtId="10" fontId="15" fillId="0" borderId="19" xfId="42" applyNumberFormat="1" applyBorder="1"/>
    <xf numFmtId="44" fontId="15" fillId="30" borderId="36" xfId="29" applyFill="1" applyBorder="1"/>
    <xf numFmtId="10" fontId="15" fillId="0" borderId="61" xfId="42" applyNumberFormat="1" applyBorder="1"/>
    <xf numFmtId="44" fontId="15" fillId="30" borderId="17" xfId="29" applyFill="1" applyBorder="1"/>
    <xf numFmtId="169" fontId="65" fillId="0" borderId="19" xfId="29" applyNumberFormat="1" applyFont="1" applyBorder="1" applyAlignment="1">
      <alignment vertical="center" wrapText="1"/>
    </xf>
    <xf numFmtId="169" fontId="84" fillId="0" borderId="19" xfId="29" applyNumberFormat="1" applyFont="1" applyBorder="1" applyAlignment="1">
      <alignment vertical="center" wrapText="1"/>
    </xf>
    <xf numFmtId="169" fontId="84" fillId="0" borderId="68" xfId="29" applyNumberFormat="1" applyFont="1" applyBorder="1" applyAlignment="1">
      <alignment vertical="center" wrapText="1"/>
    </xf>
    <xf numFmtId="169" fontId="65" fillId="0" borderId="10" xfId="29" applyNumberFormat="1" applyFont="1" applyBorder="1" applyAlignment="1">
      <alignment vertical="center" wrapText="1"/>
    </xf>
    <xf numFmtId="169" fontId="84" fillId="0" borderId="10" xfId="29" applyNumberFormat="1" applyFont="1" applyBorder="1" applyAlignment="1">
      <alignment vertical="center" wrapText="1"/>
    </xf>
    <xf numFmtId="169" fontId="84" fillId="0" borderId="25" xfId="29" applyNumberFormat="1" applyFont="1" applyBorder="1" applyAlignment="1">
      <alignment vertical="center" wrapText="1"/>
    </xf>
    <xf numFmtId="169" fontId="65" fillId="0" borderId="25" xfId="29" applyNumberFormat="1" applyFont="1" applyBorder="1" applyAlignment="1">
      <alignment vertical="center" wrapText="1"/>
    </xf>
    <xf numFmtId="169" fontId="66" fillId="0" borderId="10" xfId="29" applyNumberFormat="1" applyFont="1" applyBorder="1" applyAlignment="1">
      <alignment vertical="center" wrapText="1"/>
    </xf>
    <xf numFmtId="169" fontId="66" fillId="0" borderId="25" xfId="29" applyNumberFormat="1" applyFont="1" applyBorder="1" applyAlignment="1">
      <alignment vertical="center" wrapText="1"/>
    </xf>
    <xf numFmtId="169" fontId="65" fillId="30" borderId="10" xfId="29" applyNumberFormat="1" applyFont="1" applyFill="1" applyBorder="1" applyAlignment="1">
      <alignment vertical="center" wrapText="1"/>
    </xf>
    <xf numFmtId="169" fontId="65" fillId="30" borderId="24" xfId="29" applyNumberFormat="1" applyFont="1" applyFill="1" applyBorder="1" applyAlignment="1">
      <alignment vertical="center" wrapText="1"/>
    </xf>
    <xf numFmtId="0" fontId="18" fillId="0" borderId="70" xfId="0" applyFont="1" applyFill="1" applyBorder="1" applyAlignment="1">
      <alignment horizontal="center" vertical="center" wrapText="1"/>
    </xf>
    <xf numFmtId="0" fontId="18" fillId="25" borderId="12" xfId="0" applyFont="1" applyFill="1" applyBorder="1" applyAlignment="1">
      <alignment horizontal="center" vertical="center" wrapText="1"/>
    </xf>
    <xf numFmtId="0" fontId="18" fillId="25" borderId="56" xfId="0" applyFont="1" applyFill="1" applyBorder="1" applyAlignment="1">
      <alignment horizontal="center" vertical="center" wrapText="1"/>
    </xf>
    <xf numFmtId="0" fontId="18" fillId="25" borderId="58" xfId="0" applyFont="1" applyFill="1" applyBorder="1" applyAlignment="1">
      <alignment horizontal="center" vertical="center" wrapText="1"/>
    </xf>
    <xf numFmtId="0" fontId="15" fillId="0" borderId="0" xfId="0" applyFont="1" applyProtection="1"/>
    <xf numFmtId="0" fontId="15" fillId="0" borderId="11" xfId="0" applyFont="1" applyFill="1" applyBorder="1" applyAlignment="1" applyProtection="1">
      <alignment vertical="center"/>
    </xf>
    <xf numFmtId="9" fontId="0" fillId="0" borderId="11" xfId="0" applyNumberFormat="1" applyFill="1" applyBorder="1" applyAlignment="1" applyProtection="1">
      <alignment vertical="top"/>
      <protection locked="0"/>
    </xf>
    <xf numFmtId="0" fontId="15" fillId="0" borderId="0" xfId="0" applyFont="1" applyFill="1" applyAlignment="1" applyProtection="1">
      <alignment horizontal="left" vertical="top" indent="1"/>
    </xf>
    <xf numFmtId="0" fontId="18" fillId="0" borderId="0" xfId="0" applyFont="1" applyAlignment="1" applyProtection="1">
      <alignment horizontal="left" vertical="top" wrapText="1" indent="1"/>
    </xf>
    <xf numFmtId="9"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18" fillId="0" borderId="0" xfId="0" applyFont="1" applyFill="1" applyBorder="1" applyAlignment="1" applyProtection="1">
      <alignment vertical="center"/>
    </xf>
    <xf numFmtId="44" fontId="18" fillId="0" borderId="15" xfId="0" applyNumberFormat="1" applyFont="1" applyFill="1" applyBorder="1" applyAlignment="1" applyProtection="1">
      <alignment vertical="center"/>
    </xf>
    <xf numFmtId="44" fontId="18" fillId="0" borderId="118" xfId="0" applyNumberFormat="1" applyFont="1" applyFill="1" applyBorder="1" applyAlignment="1" applyProtection="1">
      <alignment vertical="center"/>
    </xf>
    <xf numFmtId="10" fontId="18" fillId="0" borderId="15" xfId="42" applyNumberFormat="1" applyFont="1" applyFill="1" applyBorder="1" applyAlignment="1" applyProtection="1">
      <alignment vertical="center"/>
    </xf>
    <xf numFmtId="0" fontId="0" fillId="0" borderId="11" xfId="0" applyFill="1" applyBorder="1" applyAlignment="1" applyProtection="1">
      <alignment vertical="top"/>
    </xf>
    <xf numFmtId="44" fontId="18" fillId="0" borderId="11" xfId="0" applyNumberFormat="1" applyFont="1" applyFill="1" applyBorder="1" applyAlignment="1" applyProtection="1">
      <alignment vertical="center"/>
    </xf>
    <xf numFmtId="0" fontId="18" fillId="0" borderId="11" xfId="0" applyFont="1" applyFill="1" applyBorder="1" applyAlignment="1" applyProtection="1">
      <alignment vertical="center"/>
    </xf>
    <xf numFmtId="9" fontId="18" fillId="0" borderId="11" xfId="0" applyNumberFormat="1" applyFont="1" applyFill="1" applyBorder="1" applyAlignment="1" applyProtection="1">
      <alignment vertical="center"/>
    </xf>
    <xf numFmtId="9" fontId="0" fillId="0" borderId="11" xfId="0" applyNumberFormat="1" applyFill="1" applyBorder="1" applyAlignment="1" applyProtection="1">
      <alignment vertical="top"/>
    </xf>
    <xf numFmtId="0" fontId="16" fillId="0" borderId="0" xfId="36" applyAlignment="1" applyProtection="1"/>
    <xf numFmtId="0" fontId="46" fillId="0" borderId="0" xfId="0" applyFont="1" applyFill="1" applyBorder="1"/>
    <xf numFmtId="0" fontId="15" fillId="0" borderId="0" xfId="36" applyFont="1" applyAlignment="1" applyProtection="1"/>
    <xf numFmtId="44" fontId="18" fillId="0" borderId="79" xfId="0" applyNumberFormat="1" applyFont="1" applyFill="1" applyBorder="1" applyAlignment="1" applyProtection="1">
      <alignment vertical="center"/>
    </xf>
    <xf numFmtId="1" fontId="0" fillId="0" borderId="11" xfId="0" applyNumberFormat="1" applyFill="1" applyBorder="1" applyAlignment="1" applyProtection="1">
      <alignment vertical="center"/>
    </xf>
    <xf numFmtId="1" fontId="0" fillId="0" borderId="15" xfId="0" applyNumberFormat="1" applyFill="1" applyBorder="1" applyAlignment="1" applyProtection="1">
      <alignment vertical="center"/>
    </xf>
    <xf numFmtId="1" fontId="15" fillId="0" borderId="11" xfId="0" applyNumberFormat="1" applyFont="1" applyFill="1" applyBorder="1" applyAlignment="1" applyProtection="1">
      <alignment vertical="center"/>
    </xf>
    <xf numFmtId="44" fontId="15" fillId="0" borderId="118" xfId="0" applyNumberFormat="1" applyFont="1" applyFill="1" applyBorder="1" applyAlignment="1" applyProtection="1">
      <alignment vertical="center"/>
    </xf>
    <xf numFmtId="9" fontId="15" fillId="0" borderId="11" xfId="0" applyNumberFormat="1" applyFont="1" applyFill="1" applyBorder="1" applyAlignment="1" applyProtection="1">
      <alignment vertical="center"/>
      <protection locked="0"/>
    </xf>
    <xf numFmtId="44" fontId="15" fillId="0" borderId="15" xfId="0" applyNumberFormat="1" applyFont="1" applyFill="1" applyBorder="1" applyAlignment="1" applyProtection="1">
      <alignment vertical="center"/>
    </xf>
    <xf numFmtId="0" fontId="15" fillId="0" borderId="0" xfId="0" applyFont="1" applyFill="1" applyBorder="1" applyAlignment="1" applyProtection="1">
      <alignment vertical="center"/>
    </xf>
    <xf numFmtId="44" fontId="15" fillId="0" borderId="11" xfId="0" applyNumberFormat="1" applyFont="1" applyFill="1" applyBorder="1" applyAlignment="1" applyProtection="1">
      <alignment vertical="center"/>
    </xf>
    <xf numFmtId="10" fontId="15" fillId="0" borderId="15" xfId="42" applyNumberFormat="1" applyFont="1" applyFill="1" applyBorder="1" applyAlignment="1" applyProtection="1">
      <alignment vertical="center"/>
    </xf>
    <xf numFmtId="9" fontId="15" fillId="0" borderId="11" xfId="0" applyNumberFormat="1" applyFont="1" applyFill="1" applyBorder="1" applyAlignment="1" applyProtection="1">
      <alignment vertical="top"/>
      <protection locked="0"/>
    </xf>
    <xf numFmtId="9" fontId="15" fillId="0" borderId="11" xfId="0" applyNumberFormat="1" applyFont="1" applyFill="1" applyBorder="1" applyAlignment="1" applyProtection="1">
      <alignment vertical="center"/>
    </xf>
    <xf numFmtId="44" fontId="0" fillId="0" borderId="0" xfId="0" applyNumberFormat="1" applyProtection="1"/>
    <xf numFmtId="0" fontId="22" fillId="0" borderId="0" xfId="0" applyFont="1" applyAlignment="1">
      <alignment horizontal="center"/>
    </xf>
    <xf numFmtId="0" fontId="62" fillId="30" borderId="0" xfId="47" applyFont="1" applyFill="1" applyAlignment="1">
      <alignment horizontal="center" vertical="center"/>
    </xf>
    <xf numFmtId="0" fontId="20" fillId="0" borderId="0" xfId="0" applyFont="1" applyAlignment="1">
      <alignment horizontal="center" vertical="center"/>
    </xf>
    <xf numFmtId="0" fontId="15" fillId="0" borderId="0" xfId="46" applyProtection="1"/>
    <xf numFmtId="0" fontId="15" fillId="0" borderId="0" xfId="46" applyBorder="1" applyProtection="1"/>
    <xf numFmtId="0" fontId="18" fillId="0" borderId="0" xfId="46" applyFont="1" applyBorder="1" applyAlignment="1" applyProtection="1">
      <alignment vertical="center"/>
    </xf>
    <xf numFmtId="0" fontId="18" fillId="0" borderId="0" xfId="46" applyFont="1" applyBorder="1" applyAlignment="1" applyProtection="1">
      <alignment horizontal="center" vertical="center"/>
    </xf>
    <xf numFmtId="0" fontId="18" fillId="0" borderId="0" xfId="46" applyFont="1" applyProtection="1"/>
    <xf numFmtId="0" fontId="15" fillId="0" borderId="0" xfId="46" applyBorder="1" applyAlignment="1" applyProtection="1">
      <alignment horizontal="center"/>
    </xf>
    <xf numFmtId="0" fontId="18" fillId="0" borderId="0" xfId="46" applyFont="1" applyBorder="1" applyProtection="1"/>
    <xf numFmtId="49" fontId="15" fillId="0" borderId="0" xfId="46" applyNumberFormat="1" applyBorder="1" applyProtection="1"/>
    <xf numFmtId="0" fontId="15" fillId="0" borderId="0" xfId="46" quotePrefix="1" applyBorder="1" applyAlignment="1" applyProtection="1">
      <alignment horizontal="center"/>
    </xf>
    <xf numFmtId="0" fontId="15" fillId="0" borderId="0" xfId="46" quotePrefix="1" applyBorder="1" applyAlignment="1" applyProtection="1">
      <alignment horizontal="right"/>
    </xf>
    <xf numFmtId="0" fontId="18" fillId="0" borderId="12" xfId="46" applyFont="1" applyBorder="1" applyProtection="1"/>
    <xf numFmtId="0" fontId="15" fillId="0" borderId="0" xfId="46" quotePrefix="1" applyBorder="1" applyProtection="1"/>
    <xf numFmtId="10" fontId="15" fillId="0" borderId="0" xfId="42" applyNumberFormat="1" applyFont="1" applyFill="1" applyBorder="1" applyProtection="1"/>
    <xf numFmtId="175" fontId="15" fillId="0" borderId="0" xfId="46" applyNumberFormat="1" applyFill="1" applyBorder="1" applyProtection="1">
      <protection locked="0"/>
    </xf>
    <xf numFmtId="176" fontId="15" fillId="0" borderId="0" xfId="29" applyNumberFormat="1" applyFont="1" applyBorder="1" applyProtection="1"/>
    <xf numFmtId="175" fontId="15" fillId="0" borderId="0" xfId="46" quotePrefix="1" applyNumberFormat="1" applyFill="1" applyBorder="1" applyProtection="1">
      <protection locked="0"/>
    </xf>
    <xf numFmtId="176" fontId="15" fillId="0" borderId="12" xfId="29" applyNumberFormat="1" applyFont="1" applyBorder="1" applyProtection="1"/>
    <xf numFmtId="168" fontId="15" fillId="0" borderId="14" xfId="42" applyNumberFormat="1" applyFont="1" applyBorder="1" applyProtection="1"/>
    <xf numFmtId="168" fontId="15" fillId="0" borderId="14" xfId="42" applyNumberFormat="1" applyFont="1" applyFill="1" applyBorder="1" applyProtection="1"/>
    <xf numFmtId="176" fontId="15" fillId="0" borderId="14" xfId="29" applyNumberFormat="1" applyFont="1" applyBorder="1" applyProtection="1"/>
    <xf numFmtId="10" fontId="15" fillId="0" borderId="14" xfId="42" applyNumberFormat="1" applyFont="1" applyBorder="1" applyProtection="1"/>
    <xf numFmtId="0" fontId="15" fillId="0" borderId="0" xfId="46" applyFill="1" applyBorder="1" applyProtection="1"/>
    <xf numFmtId="168" fontId="15" fillId="0" borderId="0" xfId="42" applyNumberFormat="1" applyFont="1" applyBorder="1" applyProtection="1"/>
    <xf numFmtId="168" fontId="15" fillId="0" borderId="0" xfId="42" applyNumberFormat="1" applyFont="1" applyFill="1" applyBorder="1" applyProtection="1"/>
    <xf numFmtId="176" fontId="15" fillId="0" borderId="0" xfId="46" applyNumberFormat="1" applyBorder="1" applyProtection="1"/>
    <xf numFmtId="10" fontId="15" fillId="0" borderId="0" xfId="42" applyNumberFormat="1" applyFont="1" applyBorder="1" applyProtection="1"/>
    <xf numFmtId="0" fontId="18" fillId="0" borderId="0" xfId="46" applyFont="1" applyBorder="1" applyAlignment="1" applyProtection="1"/>
    <xf numFmtId="0" fontId="15" fillId="0" borderId="0" xfId="46" applyBorder="1" applyAlignment="1" applyProtection="1"/>
    <xf numFmtId="0" fontId="15" fillId="0" borderId="0" xfId="46" quotePrefix="1" applyBorder="1" applyAlignment="1" applyProtection="1"/>
    <xf numFmtId="10" fontId="15" fillId="0" borderId="0" xfId="42" applyNumberFormat="1" applyFont="1" applyFill="1" applyBorder="1" applyAlignment="1" applyProtection="1"/>
    <xf numFmtId="176" fontId="15" fillId="0" borderId="0" xfId="29" applyNumberFormat="1" applyFont="1" applyBorder="1" applyAlignment="1" applyProtection="1"/>
    <xf numFmtId="176" fontId="15" fillId="0" borderId="12" xfId="29" applyNumberFormat="1" applyFont="1" applyBorder="1" applyAlignment="1" applyProtection="1"/>
    <xf numFmtId="168" fontId="15" fillId="0" borderId="128" xfId="46" applyNumberFormat="1" applyBorder="1" applyProtection="1"/>
    <xf numFmtId="9" fontId="15" fillId="0" borderId="128" xfId="46" applyNumberFormat="1" applyBorder="1" applyProtection="1"/>
    <xf numFmtId="10" fontId="15" fillId="0" borderId="128" xfId="42" applyNumberFormat="1" applyFont="1" applyBorder="1" applyProtection="1"/>
    <xf numFmtId="176" fontId="15" fillId="0" borderId="128" xfId="29" applyNumberFormat="1" applyFont="1" applyBorder="1" applyProtection="1"/>
    <xf numFmtId="10" fontId="15" fillId="30" borderId="0" xfId="42" applyNumberFormat="1" applyFont="1" applyFill="1" applyBorder="1" applyProtection="1"/>
    <xf numFmtId="10" fontId="15" fillId="30" borderId="12" xfId="42" applyNumberFormat="1" applyFont="1" applyFill="1" applyBorder="1" applyProtection="1"/>
    <xf numFmtId="10" fontId="15" fillId="30" borderId="0" xfId="42" applyNumberFormat="1" applyFont="1" applyFill="1" applyBorder="1" applyAlignment="1" applyProtection="1"/>
    <xf numFmtId="10" fontId="15" fillId="30" borderId="12" xfId="42" applyNumberFormat="1" applyFont="1" applyFill="1" applyBorder="1" applyAlignment="1" applyProtection="1"/>
    <xf numFmtId="175" fontId="15" fillId="30" borderId="0" xfId="46" applyNumberFormat="1" applyFill="1" applyBorder="1" applyProtection="1">
      <protection locked="0"/>
    </xf>
    <xf numFmtId="176" fontId="15" fillId="30" borderId="128" xfId="29" applyNumberFormat="1" applyFont="1" applyFill="1" applyBorder="1" applyProtection="1"/>
    <xf numFmtId="0" fontId="15" fillId="67" borderId="0" xfId="46" applyFill="1" applyBorder="1" applyProtection="1"/>
    <xf numFmtId="175" fontId="15" fillId="30" borderId="0" xfId="46" applyNumberFormat="1" applyFill="1" applyAlignment="1" applyProtection="1">
      <alignment horizontal="center" vertical="center"/>
      <protection locked="0"/>
    </xf>
    <xf numFmtId="0" fontId="15" fillId="0" borderId="0" xfId="46" applyFont="1" applyAlignment="1">
      <alignment vertical="top" wrapText="1"/>
    </xf>
    <xf numFmtId="0" fontId="18" fillId="0" borderId="0" xfId="46" applyFont="1" applyAlignment="1">
      <alignment vertical="top" wrapText="1"/>
    </xf>
    <xf numFmtId="0" fontId="91" fillId="0" borderId="0" xfId="0" applyFont="1"/>
    <xf numFmtId="173" fontId="20" fillId="0" borderId="0" xfId="29" applyNumberFormat="1" applyFont="1" applyFill="1" applyBorder="1" applyAlignment="1">
      <alignment horizontal="center" vertical="center"/>
    </xf>
    <xf numFmtId="0" fontId="0" fillId="0" borderId="0" xfId="0" applyAlignment="1">
      <alignment horizontal="left"/>
    </xf>
    <xf numFmtId="0" fontId="0" fillId="0" borderId="0" xfId="0" applyAlignment="1">
      <alignment vertical="top" wrapText="1"/>
    </xf>
    <xf numFmtId="0" fontId="15" fillId="0" borderId="0" xfId="0" applyFont="1" applyAlignment="1">
      <alignment wrapText="1"/>
    </xf>
    <xf numFmtId="0" fontId="15" fillId="68" borderId="0" xfId="0" applyFont="1" applyFill="1" applyAlignment="1"/>
    <xf numFmtId="0" fontId="0" fillId="68" borderId="0" xfId="0" applyFill="1"/>
    <xf numFmtId="0" fontId="15" fillId="68" borderId="0" xfId="0" applyFont="1" applyFill="1" applyAlignment="1">
      <alignment vertical="top"/>
    </xf>
    <xf numFmtId="0" fontId="0" fillId="68" borderId="0" xfId="0" applyFill="1" applyAlignment="1">
      <alignment vertical="top" wrapText="1"/>
    </xf>
    <xf numFmtId="0" fontId="15" fillId="68" borderId="0" xfId="0" applyFont="1" applyFill="1" applyAlignment="1">
      <alignment wrapText="1"/>
    </xf>
    <xf numFmtId="0" fontId="15" fillId="0" borderId="0" xfId="46" applyAlignment="1">
      <alignment wrapText="1"/>
    </xf>
    <xf numFmtId="0" fontId="17" fillId="30" borderId="0" xfId="0" applyFont="1" applyFill="1" applyBorder="1" applyAlignment="1">
      <alignment horizontal="right" vertical="top"/>
    </xf>
    <xf numFmtId="0" fontId="15" fillId="0" borderId="0" xfId="46" applyAlignment="1">
      <alignment horizontal="right"/>
    </xf>
    <xf numFmtId="10" fontId="15" fillId="0" borderId="0" xfId="42" applyNumberFormat="1" applyFont="1"/>
    <xf numFmtId="0" fontId="15" fillId="0" borderId="0" xfId="46" applyAlignment="1">
      <alignment horizontal="right" wrapText="1"/>
    </xf>
    <xf numFmtId="10" fontId="15" fillId="0" borderId="0" xfId="42" applyNumberFormat="1" applyFont="1" applyAlignment="1">
      <alignment wrapText="1"/>
    </xf>
    <xf numFmtId="10" fontId="15" fillId="0" borderId="0" xfId="46" applyNumberFormat="1"/>
    <xf numFmtId="0" fontId="15" fillId="0" borderId="0" xfId="46" quotePrefix="1"/>
    <xf numFmtId="169" fontId="15" fillId="0" borderId="0" xfId="46" applyNumberFormat="1"/>
    <xf numFmtId="0" fontId="15" fillId="0" borderId="0" xfId="46" quotePrefix="1" applyAlignment="1">
      <alignment wrapText="1"/>
    </xf>
    <xf numFmtId="169" fontId="15" fillId="30" borderId="98" xfId="29" applyNumberFormat="1" applyFill="1" applyBorder="1"/>
    <xf numFmtId="169" fontId="15" fillId="30" borderId="130" xfId="29" applyNumberFormat="1" applyFill="1" applyBorder="1"/>
    <xf numFmtId="0" fontId="15" fillId="0" borderId="0" xfId="0" applyFont="1" applyAlignment="1">
      <alignment horizontal="left"/>
    </xf>
    <xf numFmtId="0" fontId="18" fillId="25" borderId="10" xfId="0" applyFont="1" applyFill="1" applyBorder="1" applyAlignment="1">
      <alignment horizontal="center" wrapText="1"/>
    </xf>
    <xf numFmtId="169" fontId="0" fillId="0" borderId="0" xfId="0" applyNumberFormat="1"/>
    <xf numFmtId="170" fontId="0" fillId="30" borderId="10" xfId="28" applyNumberFormat="1" applyFont="1" applyFill="1" applyBorder="1" applyAlignment="1">
      <alignment vertical="top"/>
    </xf>
    <xf numFmtId="170" fontId="0" fillId="0" borderId="25" xfId="28" applyNumberFormat="1" applyFont="1" applyBorder="1" applyAlignment="1">
      <alignment vertical="top"/>
    </xf>
    <xf numFmtId="170" fontId="0" fillId="0" borderId="10" xfId="28" applyNumberFormat="1" applyFont="1" applyFill="1" applyBorder="1" applyAlignment="1">
      <alignment vertical="top"/>
    </xf>
    <xf numFmtId="170" fontId="0" fillId="0" borderId="25" xfId="28" applyNumberFormat="1" applyFont="1" applyFill="1" applyBorder="1" applyAlignment="1">
      <alignment vertical="top"/>
    </xf>
    <xf numFmtId="177" fontId="0" fillId="0" borderId="10" xfId="0" applyNumberFormat="1" applyFill="1" applyBorder="1" applyAlignment="1">
      <alignment vertical="top"/>
    </xf>
    <xf numFmtId="177" fontId="0" fillId="0" borderId="25" xfId="0" applyNumberFormat="1" applyFill="1" applyBorder="1" applyAlignment="1">
      <alignment vertical="top"/>
    </xf>
    <xf numFmtId="178" fontId="0" fillId="0" borderId="10" xfId="0" applyNumberFormat="1" applyBorder="1" applyAlignment="1">
      <alignment vertical="top" wrapText="1"/>
    </xf>
    <xf numFmtId="178" fontId="0" fillId="30" borderId="10" xfId="0" applyNumberFormat="1" applyFill="1" applyBorder="1" applyAlignment="1">
      <alignment vertical="top"/>
    </xf>
    <xf numFmtId="178" fontId="0" fillId="0" borderId="25" xfId="0" applyNumberFormat="1" applyBorder="1" applyAlignment="1">
      <alignment vertical="top"/>
    </xf>
    <xf numFmtId="178" fontId="0" fillId="0" borderId="26" xfId="0" applyNumberFormat="1" applyBorder="1" applyAlignment="1">
      <alignment vertical="top" wrapText="1"/>
    </xf>
    <xf numFmtId="178" fontId="0" fillId="0" borderId="26" xfId="0" applyNumberFormat="1" applyBorder="1" applyAlignment="1">
      <alignment vertical="top"/>
    </xf>
    <xf numFmtId="178" fontId="0" fillId="0" borderId="67" xfId="0" applyNumberFormat="1" applyBorder="1" applyAlignment="1">
      <alignment vertical="top"/>
    </xf>
    <xf numFmtId="169" fontId="0" fillId="0" borderId="0" xfId="0" applyNumberFormat="1" applyFill="1"/>
    <xf numFmtId="0" fontId="18" fillId="0" borderId="96" xfId="0" applyFont="1" applyBorder="1" applyAlignment="1">
      <alignment horizontal="center" vertical="top"/>
    </xf>
    <xf numFmtId="0" fontId="0" fillId="0" borderId="113" xfId="0" applyBorder="1" applyAlignment="1">
      <alignment vertical="top" wrapText="1"/>
    </xf>
    <xf numFmtId="169" fontId="0" fillId="0" borderId="17" xfId="0" applyNumberFormat="1" applyFill="1" applyBorder="1" applyAlignment="1">
      <alignment horizontal="right" vertical="center"/>
    </xf>
    <xf numFmtId="0" fontId="18" fillId="25" borderId="108" xfId="0" applyFont="1" applyFill="1" applyBorder="1" applyAlignment="1">
      <alignment horizontal="center" vertical="center" wrapText="1"/>
    </xf>
    <xf numFmtId="169" fontId="0" fillId="0" borderId="94" xfId="0" applyNumberFormat="1" applyFill="1" applyBorder="1" applyAlignment="1">
      <alignment horizontal="right" vertical="center"/>
    </xf>
    <xf numFmtId="169" fontId="0" fillId="0" borderId="13" xfId="0" applyNumberFormat="1" applyFill="1" applyBorder="1" applyAlignment="1">
      <alignment horizontal="right" vertical="center"/>
    </xf>
    <xf numFmtId="169" fontId="0" fillId="0" borderId="89" xfId="0" applyNumberFormat="1" applyFill="1" applyBorder="1" applyAlignment="1">
      <alignment horizontal="right" vertical="center"/>
    </xf>
    <xf numFmtId="0" fontId="0" fillId="0" borderId="0" xfId="0" applyBorder="1" applyAlignment="1">
      <alignment wrapText="1"/>
    </xf>
    <xf numFmtId="169" fontId="18" fillId="0" borderId="0" xfId="0" applyNumberFormat="1" applyFont="1" applyBorder="1"/>
    <xf numFmtId="0" fontId="18" fillId="0" borderId="81" xfId="0" applyFont="1" applyFill="1" applyBorder="1" applyAlignment="1">
      <alignment vertical="top" wrapText="1"/>
    </xf>
    <xf numFmtId="169" fontId="0" fillId="69" borderId="32" xfId="29" applyNumberFormat="1" applyFont="1" applyFill="1" applyBorder="1" applyAlignment="1">
      <alignment horizontal="right" vertical="center"/>
    </xf>
    <xf numFmtId="169" fontId="0" fillId="69" borderId="27" xfId="29" applyNumberFormat="1" applyFont="1" applyFill="1" applyBorder="1" applyAlignment="1">
      <alignment horizontal="right" vertical="center"/>
    </xf>
    <xf numFmtId="169" fontId="0" fillId="69" borderId="96" xfId="29" applyNumberFormat="1" applyFont="1" applyFill="1" applyBorder="1" applyAlignment="1">
      <alignment horizontal="right" vertical="center"/>
    </xf>
    <xf numFmtId="169" fontId="18" fillId="69" borderId="10" xfId="29" applyNumberFormat="1" applyFont="1" applyFill="1" applyBorder="1" applyAlignment="1">
      <alignment horizontal="right" vertical="center"/>
    </xf>
    <xf numFmtId="0" fontId="15" fillId="0" borderId="10" xfId="0" applyFont="1" applyBorder="1" applyAlignment="1">
      <alignment vertical="top" wrapText="1"/>
    </xf>
    <xf numFmtId="169" fontId="15" fillId="30" borderId="25" xfId="29" applyNumberFormat="1" applyFont="1" applyFill="1" applyBorder="1" applyAlignment="1">
      <alignment horizontal="center"/>
    </xf>
    <xf numFmtId="179" fontId="0" fillId="0" borderId="0" xfId="42" applyNumberFormat="1" applyFont="1"/>
    <xf numFmtId="169" fontId="0" fillId="0" borderId="0" xfId="29" applyNumberFormat="1" applyFont="1"/>
    <xf numFmtId="169" fontId="0" fillId="0" borderId="14" xfId="29" applyNumberFormat="1" applyFont="1" applyBorder="1"/>
    <xf numFmtId="169" fontId="0" fillId="0" borderId="0" xfId="29" applyNumberFormat="1" applyFont="1" applyBorder="1"/>
    <xf numFmtId="179" fontId="0" fillId="0" borderId="12" xfId="42" applyNumberFormat="1" applyFont="1" applyBorder="1"/>
    <xf numFmtId="0" fontId="15" fillId="0" borderId="0" xfId="0" applyFont="1" applyAlignment="1">
      <alignment vertical="top"/>
    </xf>
    <xf numFmtId="0" fontId="15" fillId="0" borderId="12" xfId="0" applyFont="1" applyBorder="1"/>
    <xf numFmtId="165" fontId="0" fillId="0" borderId="12" xfId="29" applyNumberFormat="1" applyFont="1" applyBorder="1"/>
    <xf numFmtId="0" fontId="15" fillId="0" borderId="12" xfId="0" applyFont="1" applyBorder="1" applyAlignment="1">
      <alignment horizontal="right"/>
    </xf>
    <xf numFmtId="170" fontId="15" fillId="0" borderId="12" xfId="28" quotePrefix="1" applyNumberFormat="1" applyFont="1" applyFill="1" applyBorder="1" applyAlignment="1">
      <alignment horizontal="right"/>
    </xf>
    <xf numFmtId="10" fontId="0" fillId="0" borderId="12" xfId="42" applyNumberFormat="1" applyFont="1" applyBorder="1"/>
    <xf numFmtId="165" fontId="0" fillId="0" borderId="131" xfId="29" applyNumberFormat="1" applyFont="1" applyBorder="1"/>
    <xf numFmtId="0" fontId="0" fillId="0" borderId="118" xfId="0" applyBorder="1"/>
    <xf numFmtId="165" fontId="18" fillId="0" borderId="64" xfId="29" applyNumberFormat="1" applyFont="1" applyBorder="1"/>
    <xf numFmtId="169" fontId="15" fillId="30" borderId="25" xfId="29" applyNumberFormat="1" applyFont="1" applyFill="1" applyBorder="1" applyAlignment="1">
      <alignment horizontal="center" vertical="center"/>
    </xf>
    <xf numFmtId="165" fontId="0" fillId="0" borderId="0" xfId="0" applyNumberFormat="1"/>
    <xf numFmtId="0" fontId="15" fillId="0" borderId="0" xfId="0" applyFont="1" applyAlignment="1">
      <alignment horizontal="left"/>
    </xf>
    <xf numFmtId="0" fontId="18" fillId="25" borderId="10" xfId="0" applyFont="1" applyFill="1" applyBorder="1" applyAlignment="1">
      <alignment horizontal="center" wrapText="1"/>
    </xf>
    <xf numFmtId="169" fontId="15" fillId="0" borderId="10" xfId="29" applyNumberFormat="1" applyFill="1" applyBorder="1"/>
    <xf numFmtId="169" fontId="15" fillId="30" borderId="36" xfId="29" applyNumberFormat="1" applyFill="1" applyBorder="1"/>
    <xf numFmtId="169" fontId="15" fillId="0" borderId="36" xfId="29" applyNumberFormat="1" applyFill="1" applyBorder="1"/>
    <xf numFmtId="169" fontId="15" fillId="0" borderId="36" xfId="29" applyNumberFormat="1" applyBorder="1"/>
    <xf numFmtId="169" fontId="15" fillId="0" borderId="34" xfId="29" applyNumberFormat="1" applyBorder="1"/>
    <xf numFmtId="169" fontId="15" fillId="0" borderId="68" xfId="29" applyNumberFormat="1" applyBorder="1"/>
    <xf numFmtId="169" fontId="15" fillId="0" borderId="19" xfId="29" applyNumberFormat="1" applyFill="1" applyBorder="1"/>
    <xf numFmtId="169" fontId="15" fillId="0" borderId="19" xfId="29" applyNumberFormat="1" applyBorder="1"/>
    <xf numFmtId="169" fontId="18" fillId="25" borderId="79" xfId="46" applyNumberFormat="1" applyFont="1" applyFill="1" applyBorder="1" applyAlignment="1">
      <alignment horizontal="center" vertical="center" wrapText="1"/>
    </xf>
    <xf numFmtId="169" fontId="18" fillId="25" borderId="34" xfId="46" quotePrefix="1" applyNumberFormat="1" applyFont="1" applyFill="1" applyBorder="1" applyAlignment="1">
      <alignment horizontal="center" wrapText="1"/>
    </xf>
    <xf numFmtId="169" fontId="15" fillId="0" borderId="0" xfId="46" applyNumberFormat="1" applyFont="1"/>
    <xf numFmtId="169" fontId="18" fillId="0" borderId="0" xfId="46" applyNumberFormat="1" applyFont="1" applyAlignment="1">
      <alignment vertical="top" wrapText="1"/>
    </xf>
    <xf numFmtId="169" fontId="15" fillId="30" borderId="10" xfId="29" applyNumberFormat="1" applyFont="1" applyFill="1" applyBorder="1"/>
    <xf numFmtId="169" fontId="22" fillId="0" borderId="0" xfId="46" applyNumberFormat="1" applyFont="1" applyAlignment="1">
      <alignment horizontal="center"/>
    </xf>
    <xf numFmtId="169" fontId="18" fillId="25" borderId="80" xfId="46" applyNumberFormat="1" applyFont="1" applyFill="1" applyBorder="1" applyAlignment="1">
      <alignment horizontal="center" vertical="center" wrapText="1"/>
    </xf>
    <xf numFmtId="169" fontId="18" fillId="25" borderId="35" xfId="46" quotePrefix="1" applyNumberFormat="1" applyFont="1" applyFill="1" applyBorder="1" applyAlignment="1">
      <alignment horizontal="center"/>
    </xf>
    <xf numFmtId="169" fontId="15" fillId="0" borderId="25" xfId="29" applyNumberFormat="1" applyFont="1" applyBorder="1"/>
    <xf numFmtId="169" fontId="15" fillId="0" borderId="37" xfId="29" applyNumberFormat="1" applyFont="1" applyBorder="1"/>
    <xf numFmtId="169" fontId="15" fillId="0" borderId="35" xfId="29" applyNumberFormat="1" applyBorder="1"/>
    <xf numFmtId="169" fontId="18" fillId="0" borderId="0" xfId="0" applyNumberFormat="1" applyFont="1"/>
    <xf numFmtId="170" fontId="15" fillId="0" borderId="19" xfId="28" applyNumberFormat="1" applyBorder="1"/>
    <xf numFmtId="170" fontId="15" fillId="0" borderId="83" xfId="28" applyNumberFormat="1" applyBorder="1"/>
    <xf numFmtId="170" fontId="15" fillId="30" borderId="19" xfId="28" applyNumberFormat="1" applyFill="1" applyBorder="1"/>
    <xf numFmtId="170" fontId="15" fillId="0" borderId="68" xfId="28" applyNumberFormat="1" applyBorder="1"/>
    <xf numFmtId="170" fontId="15" fillId="30" borderId="81" xfId="28" applyNumberFormat="1" applyFill="1" applyBorder="1"/>
    <xf numFmtId="170" fontId="15" fillId="0" borderId="81" xfId="28" applyNumberFormat="1" applyBorder="1"/>
    <xf numFmtId="170" fontId="15" fillId="30" borderId="10" xfId="28" applyNumberFormat="1" applyFill="1" applyBorder="1"/>
    <xf numFmtId="170" fontId="15" fillId="0" borderId="17" xfId="28" applyNumberFormat="1" applyBorder="1"/>
    <xf numFmtId="170" fontId="15" fillId="0" borderId="113" xfId="28" applyNumberFormat="1" applyBorder="1"/>
    <xf numFmtId="170" fontId="15" fillId="30" borderId="17" xfId="28" applyNumberFormat="1" applyFill="1" applyBorder="1"/>
    <xf numFmtId="170" fontId="15" fillId="0" borderId="74" xfId="28" applyNumberFormat="1" applyBorder="1"/>
    <xf numFmtId="180" fontId="15" fillId="30" borderId="10" xfId="28" applyNumberFormat="1" applyFill="1" applyBorder="1"/>
    <xf numFmtId="180" fontId="15" fillId="30" borderId="19" xfId="28" applyNumberFormat="1" applyFill="1" applyBorder="1"/>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15" fillId="0" borderId="0" xfId="0" applyFont="1" applyAlignment="1">
      <alignment wrapText="1"/>
    </xf>
    <xf numFmtId="0" fontId="15" fillId="0" borderId="0" xfId="0" applyFont="1" applyAlignment="1">
      <alignment horizontal="center" vertical="top"/>
    </xf>
    <xf numFmtId="0" fontId="15" fillId="0" borderId="0" xfId="0" applyFont="1" applyAlignment="1">
      <alignment horizontal="center" vertical="top" wrapText="1"/>
    </xf>
    <xf numFmtId="0" fontId="0" fillId="0" borderId="18" xfId="0" applyBorder="1" applyAlignment="1">
      <alignment horizontal="left" wrapText="1"/>
    </xf>
    <xf numFmtId="181" fontId="0" fillId="0" borderId="0" xfId="0" applyNumberFormat="1"/>
    <xf numFmtId="170" fontId="0" fillId="0" borderId="0" xfId="28" applyNumberFormat="1" applyFont="1"/>
    <xf numFmtId="37" fontId="0" fillId="0" borderId="0" xfId="0" applyNumberFormat="1"/>
    <xf numFmtId="43" fontId="15" fillId="0" borderId="25" xfId="28" applyBorder="1"/>
    <xf numFmtId="0" fontId="15" fillId="30" borderId="10" xfId="0" applyFont="1" applyFill="1" applyBorder="1"/>
    <xf numFmtId="0" fontId="18" fillId="0" borderId="48" xfId="0" applyFont="1" applyBorder="1" applyAlignment="1">
      <alignment horizontal="left"/>
    </xf>
    <xf numFmtId="0" fontId="18" fillId="0" borderId="15" xfId="0" applyFont="1" applyBorder="1" applyAlignment="1">
      <alignment horizontal="left"/>
    </xf>
    <xf numFmtId="0" fontId="90" fillId="0" borderId="0" xfId="0" applyFont="1"/>
    <xf numFmtId="0" fontId="38" fillId="70" borderId="27" xfId="0" applyFont="1" applyFill="1" applyBorder="1" applyAlignment="1">
      <alignment horizontal="center"/>
    </xf>
    <xf numFmtId="0" fontId="18" fillId="71" borderId="27" xfId="0" applyFont="1" applyFill="1" applyBorder="1" applyAlignment="1">
      <alignment horizontal="center"/>
    </xf>
    <xf numFmtId="0" fontId="38" fillId="71" borderId="27" xfId="0" applyFont="1" applyFill="1" applyBorder="1" applyAlignment="1">
      <alignment horizontal="center"/>
    </xf>
    <xf numFmtId="0" fontId="0" fillId="0" borderId="0" xfId="0" applyAlignment="1">
      <alignment horizontal="left"/>
    </xf>
    <xf numFmtId="0" fontId="18" fillId="25" borderId="24" xfId="0" applyFont="1" applyFill="1" applyBorder="1" applyAlignment="1">
      <alignment horizontal="center"/>
    </xf>
    <xf numFmtId="0" fontId="18" fillId="0" borderId="24" xfId="0" applyFont="1" applyFill="1" applyBorder="1" applyAlignment="1">
      <alignment horizontal="center"/>
    </xf>
    <xf numFmtId="0" fontId="15" fillId="0" borderId="0" xfId="0" applyFont="1" applyAlignment="1">
      <alignment wrapText="1"/>
    </xf>
    <xf numFmtId="37" fontId="0" fillId="0" borderId="14" xfId="28" applyNumberFormat="1" applyFont="1" applyBorder="1"/>
    <xf numFmtId="37" fontId="0" fillId="0" borderId="0" xfId="28" applyNumberFormat="1" applyFont="1" applyBorder="1"/>
    <xf numFmtId="37" fontId="0" fillId="0" borderId="0" xfId="28" applyNumberFormat="1" applyFont="1"/>
    <xf numFmtId="37" fontId="0" fillId="0" borderId="12" xfId="28" applyNumberFormat="1" applyFont="1" applyBorder="1"/>
    <xf numFmtId="169" fontId="15" fillId="0" borderId="10" xfId="28" applyNumberFormat="1" applyBorder="1"/>
    <xf numFmtId="169" fontId="15" fillId="0" borderId="25" xfId="28" applyNumberFormat="1" applyBorder="1"/>
    <xf numFmtId="169" fontId="15" fillId="0" borderId="68" xfId="28" applyNumberFormat="1" applyBorder="1"/>
    <xf numFmtId="170" fontId="15" fillId="0" borderId="0" xfId="46" applyNumberFormat="1"/>
    <xf numFmtId="170" fontId="22" fillId="0" borderId="0" xfId="46" applyNumberFormat="1" applyFont="1" applyAlignment="1">
      <alignment horizontal="center"/>
    </xf>
    <xf numFmtId="170" fontId="18" fillId="25" borderId="108" xfId="46" applyNumberFormat="1" applyFont="1" applyFill="1" applyBorder="1" applyAlignment="1">
      <alignment horizontal="center" vertical="center" wrapText="1"/>
    </xf>
    <xf numFmtId="170" fontId="18" fillId="25" borderId="80" xfId="46" applyNumberFormat="1" applyFont="1" applyFill="1" applyBorder="1" applyAlignment="1">
      <alignment horizontal="center" vertical="center" wrapText="1"/>
    </xf>
    <xf numFmtId="170" fontId="18" fillId="25" borderId="84" xfId="46" applyNumberFormat="1" applyFont="1" applyFill="1" applyBorder="1" applyAlignment="1">
      <alignment horizontal="center"/>
    </xf>
    <xf numFmtId="170" fontId="18" fillId="25" borderId="35" xfId="46" quotePrefix="1" applyNumberFormat="1" applyFont="1" applyFill="1" applyBorder="1" applyAlignment="1">
      <alignment horizontal="center"/>
    </xf>
    <xf numFmtId="170" fontId="18" fillId="25" borderId="35" xfId="46" applyNumberFormat="1" applyFont="1" applyFill="1" applyBorder="1" applyAlignment="1">
      <alignment horizontal="center"/>
    </xf>
    <xf numFmtId="170" fontId="15" fillId="0" borderId="61" xfId="29" applyNumberFormat="1" applyBorder="1"/>
    <xf numFmtId="170" fontId="15" fillId="0" borderId="0" xfId="46" applyNumberFormat="1" applyFont="1"/>
    <xf numFmtId="170" fontId="15" fillId="0" borderId="0" xfId="46" applyNumberFormat="1" applyAlignment="1">
      <alignment wrapText="1"/>
    </xf>
    <xf numFmtId="170" fontId="15" fillId="0" borderId="129" xfId="29" applyNumberFormat="1" applyBorder="1"/>
    <xf numFmtId="0" fontId="15" fillId="71" borderId="0" xfId="46" applyFill="1" applyAlignment="1">
      <alignment horizontal="right"/>
    </xf>
    <xf numFmtId="44" fontId="15" fillId="71" borderId="0" xfId="29" applyFill="1"/>
    <xf numFmtId="37" fontId="58" fillId="30" borderId="10" xfId="47" applyNumberFormat="1" applyFont="1" applyFill="1" applyBorder="1" applyAlignment="1"/>
    <xf numFmtId="37" fontId="58" fillId="0" borderId="10" xfId="47" applyNumberFormat="1" applyFont="1" applyBorder="1" applyAlignment="1"/>
    <xf numFmtId="37" fontId="58" fillId="0" borderId="0" xfId="47" applyNumberFormat="1" applyFont="1"/>
    <xf numFmtId="37" fontId="58" fillId="0" borderId="10" xfId="47" applyNumberFormat="1" applyFont="1" applyBorder="1"/>
    <xf numFmtId="37" fontId="58" fillId="0" borderId="10" xfId="28" applyNumberFormat="1" applyFont="1" applyBorder="1"/>
    <xf numFmtId="37" fontId="58" fillId="32" borderId="10" xfId="28" applyNumberFormat="1" applyFont="1" applyFill="1" applyBorder="1"/>
    <xf numFmtId="37" fontId="58" fillId="0" borderId="12" xfId="47" applyNumberFormat="1" applyFont="1" applyBorder="1"/>
    <xf numFmtId="37" fontId="58" fillId="0" borderId="13" xfId="47" applyNumberFormat="1" applyFont="1" applyBorder="1"/>
    <xf numFmtId="0" fontId="0" fillId="0" borderId="0" xfId="0" applyAlignment="1">
      <alignment horizontal="right"/>
    </xf>
    <xf numFmtId="167" fontId="0" fillId="0" borderId="0" xfId="0" applyNumberFormat="1"/>
    <xf numFmtId="37" fontId="64" fillId="0" borderId="0" xfId="47" applyNumberFormat="1" applyFont="1"/>
    <xf numFmtId="0" fontId="15" fillId="0" borderId="56" xfId="0" applyFont="1" applyBorder="1" applyAlignment="1">
      <alignment horizontal="left" vertical="center" wrapText="1"/>
    </xf>
    <xf numFmtId="182" fontId="15" fillId="0" borderId="0" xfId="46" applyNumberFormat="1" applyBorder="1" applyProtection="1"/>
    <xf numFmtId="44" fontId="15" fillId="0" borderId="0" xfId="29" applyBorder="1" applyProtection="1"/>
    <xf numFmtId="169" fontId="18" fillId="30" borderId="36" xfId="29" applyNumberFormat="1" applyFont="1" applyFill="1" applyBorder="1"/>
    <xf numFmtId="0" fontId="0" fillId="0" borderId="0" xfId="0" applyAlignment="1">
      <alignment horizontal="center"/>
    </xf>
    <xf numFmtId="0" fontId="15" fillId="0" borderId="0" xfId="0" applyFont="1" applyAlignment="1">
      <alignment horizontal="left"/>
    </xf>
    <xf numFmtId="0" fontId="18" fillId="25" borderId="10" xfId="0" applyFont="1" applyFill="1" applyBorder="1" applyAlignment="1">
      <alignment horizontal="center" wrapText="1"/>
    </xf>
    <xf numFmtId="0" fontId="0" fillId="0" borderId="0" xfId="0" applyAlignment="1">
      <alignment horizontal="left"/>
    </xf>
    <xf numFmtId="0" fontId="18" fillId="0" borderId="0" xfId="0" applyFont="1" applyBorder="1" applyAlignment="1">
      <alignment horizontal="left"/>
    </xf>
    <xf numFmtId="0" fontId="18" fillId="0" borderId="23" xfId="0" applyFont="1" applyBorder="1" applyAlignment="1">
      <alignment wrapText="1"/>
    </xf>
    <xf numFmtId="170" fontId="0" fillId="0" borderId="16" xfId="28" applyNumberFormat="1" applyFont="1" applyBorder="1"/>
    <xf numFmtId="10" fontId="0" fillId="30" borderId="10" xfId="42" applyNumberFormat="1" applyFont="1" applyFill="1" applyBorder="1"/>
    <xf numFmtId="172" fontId="15" fillId="30" borderId="10" xfId="0" quotePrefix="1" applyNumberFormat="1" applyFont="1" applyFill="1" applyBorder="1"/>
    <xf numFmtId="169" fontId="0" fillId="0" borderId="10" xfId="29" applyNumberFormat="1" applyFont="1" applyFill="1" applyBorder="1"/>
    <xf numFmtId="169" fontId="0" fillId="0" borderId="34" xfId="0" applyNumberFormat="1" applyBorder="1"/>
    <xf numFmtId="0" fontId="0" fillId="71" borderId="0" xfId="0" applyFill="1" applyAlignment="1">
      <alignment horizontal="center" vertical="center"/>
    </xf>
    <xf numFmtId="10" fontId="0" fillId="0" borderId="61" xfId="42" applyNumberFormat="1" applyFont="1" applyBorder="1"/>
    <xf numFmtId="0" fontId="18" fillId="29" borderId="10" xfId="0" applyFont="1" applyFill="1" applyBorder="1"/>
    <xf numFmtId="169" fontId="0" fillId="0" borderId="36" xfId="29" applyNumberFormat="1" applyFont="1" applyFill="1" applyBorder="1"/>
    <xf numFmtId="0" fontId="15" fillId="30" borderId="36" xfId="0" applyFont="1" applyFill="1" applyBorder="1"/>
    <xf numFmtId="174" fontId="15" fillId="30" borderId="36" xfId="0" quotePrefix="1" applyNumberFormat="1" applyFont="1" applyFill="1" applyBorder="1"/>
    <xf numFmtId="0" fontId="0" fillId="30" borderId="36" xfId="0" applyFill="1" applyBorder="1"/>
    <xf numFmtId="174" fontId="0" fillId="30" borderId="36" xfId="0" applyNumberFormat="1" applyFill="1" applyBorder="1"/>
    <xf numFmtId="44" fontId="0" fillId="0" borderId="36" xfId="29" applyFont="1" applyFill="1" applyBorder="1"/>
    <xf numFmtId="0" fontId="0" fillId="0" borderId="0" xfId="0" applyAlignment="1">
      <alignment horizontal="center" vertical="top"/>
    </xf>
    <xf numFmtId="0" fontId="18" fillId="0" borderId="12" xfId="46" applyFont="1" applyBorder="1" applyAlignment="1" applyProtection="1">
      <alignment horizontal="center" vertical="center"/>
    </xf>
    <xf numFmtId="0" fontId="18" fillId="0" borderId="0" xfId="46" applyFont="1" applyAlignment="1">
      <alignment horizontal="left"/>
    </xf>
    <xf numFmtId="0" fontId="17" fillId="0" borderId="0" xfId="46" applyFont="1" applyAlignment="1">
      <alignment horizontal="right" vertical="top"/>
    </xf>
    <xf numFmtId="0" fontId="17" fillId="30" borderId="107" xfId="46" applyFont="1" applyFill="1" applyBorder="1" applyAlignment="1">
      <alignment horizontal="right" vertical="top"/>
    </xf>
    <xf numFmtId="0" fontId="17" fillId="30" borderId="0" xfId="46" applyFont="1" applyFill="1" applyAlignment="1">
      <alignment horizontal="right" vertical="top"/>
    </xf>
    <xf numFmtId="0" fontId="86" fillId="0" borderId="0" xfId="46" quotePrefix="1" applyFont="1" applyAlignment="1" applyProtection="1">
      <alignment horizontal="center" vertical="center"/>
    </xf>
    <xf numFmtId="0" fontId="90" fillId="0" borderId="0" xfId="46" applyFont="1" applyProtection="1"/>
    <xf numFmtId="175" fontId="90" fillId="30" borderId="0" xfId="46" applyNumberFormat="1" applyFont="1" applyFill="1" applyAlignment="1" applyProtection="1">
      <alignment horizontal="center" vertical="center"/>
      <protection locked="0"/>
    </xf>
    <xf numFmtId="0" fontId="90" fillId="0" borderId="0" xfId="46" quotePrefix="1" applyFont="1" applyAlignment="1">
      <alignment horizontal="right"/>
    </xf>
    <xf numFmtId="0" fontId="90" fillId="0" borderId="0" xfId="46" applyFont="1"/>
    <xf numFmtId="175" fontId="15" fillId="30" borderId="0" xfId="46" quotePrefix="1" applyNumberFormat="1" applyFill="1" applyBorder="1" applyProtection="1">
      <protection locked="0"/>
    </xf>
    <xf numFmtId="0" fontId="15" fillId="0" borderId="0" xfId="0" applyFont="1" applyAlignment="1">
      <alignment horizontal="right"/>
    </xf>
    <xf numFmtId="170" fontId="58" fillId="0" borderId="0" xfId="28" applyNumberFormat="1" applyFont="1"/>
    <xf numFmtId="0" fontId="0" fillId="0" borderId="0" xfId="0" applyAlignment="1">
      <alignment horizontal="center"/>
    </xf>
    <xf numFmtId="169" fontId="15" fillId="0" borderId="0" xfId="0" applyNumberFormat="1" applyFont="1" applyAlignment="1">
      <alignment horizontal="right"/>
    </xf>
    <xf numFmtId="37" fontId="0" fillId="0" borderId="128" xfId="0" applyNumberFormat="1" applyBorder="1"/>
    <xf numFmtId="0" fontId="15" fillId="0" borderId="0" xfId="0" applyFont="1" applyFill="1" applyAlignment="1">
      <alignment horizontal="right"/>
    </xf>
    <xf numFmtId="0" fontId="0" fillId="29" borderId="11" xfId="0" applyFill="1" applyBorder="1"/>
    <xf numFmtId="43" fontId="0" fillId="30" borderId="11" xfId="28" applyFont="1" applyFill="1" applyBorder="1"/>
    <xf numFmtId="0" fontId="15" fillId="30" borderId="11" xfId="0" applyFont="1" applyFill="1" applyBorder="1" applyAlignment="1">
      <alignment horizontal="center"/>
    </xf>
    <xf numFmtId="0" fontId="15" fillId="30" borderId="40" xfId="0" applyFont="1" applyFill="1" applyBorder="1"/>
    <xf numFmtId="44" fontId="15" fillId="30" borderId="40" xfId="29" applyNumberFormat="1" applyFill="1" applyBorder="1"/>
    <xf numFmtId="15" fontId="17" fillId="30" borderId="0" xfId="46" applyNumberFormat="1" applyFont="1" applyFill="1" applyAlignment="1">
      <alignment horizontal="right" vertical="top"/>
    </xf>
    <xf numFmtId="15" fontId="17" fillId="30" borderId="0" xfId="0" applyNumberFormat="1" applyFont="1" applyFill="1" applyAlignment="1">
      <alignment horizontal="right" vertical="top"/>
    </xf>
    <xf numFmtId="168" fontId="15" fillId="0" borderId="0" xfId="46" applyNumberFormat="1" applyBorder="1" applyProtection="1"/>
    <xf numFmtId="9" fontId="15" fillId="0" borderId="0" xfId="46" applyNumberFormat="1" applyBorder="1" applyProtection="1"/>
    <xf numFmtId="176" fontId="15" fillId="30" borderId="0" xfId="29" applyNumberFormat="1" applyFont="1" applyFill="1" applyBorder="1" applyProtection="1"/>
    <xf numFmtId="169" fontId="0" fillId="0" borderId="0" xfId="29" applyNumberFormat="1" applyFont="1" applyFill="1" applyBorder="1"/>
    <xf numFmtId="169" fontId="15" fillId="0" borderId="0" xfId="29" applyNumberFormat="1" applyFont="1" applyFill="1" applyBorder="1" applyAlignment="1">
      <alignment horizontal="center"/>
    </xf>
    <xf numFmtId="169" fontId="0" fillId="0" borderId="14" xfId="0" applyNumberFormat="1" applyBorder="1"/>
    <xf numFmtId="170" fontId="18" fillId="30" borderId="19" xfId="28" applyNumberFormat="1" applyFont="1" applyFill="1" applyBorder="1"/>
    <xf numFmtId="170" fontId="18" fillId="30" borderId="68" xfId="28" applyNumberFormat="1" applyFont="1" applyFill="1" applyBorder="1"/>
    <xf numFmtId="170" fontId="18" fillId="0" borderId="26" xfId="28" applyNumberFormat="1" applyFont="1" applyBorder="1"/>
    <xf numFmtId="170" fontId="18" fillId="0" borderId="67" xfId="28" applyNumberFormat="1" applyFont="1" applyBorder="1"/>
    <xf numFmtId="0" fontId="15" fillId="68" borderId="0" xfId="0" applyFont="1" applyFill="1" applyAlignment="1">
      <alignment horizontal="left" vertical="top"/>
    </xf>
    <xf numFmtId="0" fontId="15" fillId="0" borderId="0" xfId="46"/>
    <xf numFmtId="0" fontId="17" fillId="0" borderId="0" xfId="46" applyFont="1" applyAlignment="1">
      <alignment horizontal="right" vertical="top"/>
    </xf>
    <xf numFmtId="0" fontId="17" fillId="30" borderId="107" xfId="46" applyFont="1" applyFill="1" applyBorder="1" applyAlignment="1">
      <alignment horizontal="right" vertical="top"/>
    </xf>
    <xf numFmtId="0" fontId="17" fillId="30" borderId="0" xfId="46" applyFont="1" applyFill="1" applyAlignment="1">
      <alignment horizontal="right" vertical="top"/>
    </xf>
    <xf numFmtId="0" fontId="18" fillId="0" borderId="0" xfId="46" applyFont="1" applyFill="1" applyBorder="1"/>
    <xf numFmtId="0" fontId="15" fillId="0" borderId="0" xfId="46" applyBorder="1"/>
    <xf numFmtId="0" fontId="18" fillId="25" borderId="10" xfId="0" applyFont="1" applyFill="1" applyBorder="1" applyAlignment="1">
      <alignment horizontal="center" wrapText="1"/>
    </xf>
    <xf numFmtId="0" fontId="18" fillId="68" borderId="10" xfId="0" applyFont="1" applyFill="1" applyBorder="1" applyAlignment="1">
      <alignment horizontal="center" wrapText="1"/>
    </xf>
    <xf numFmtId="0" fontId="22" fillId="0" borderId="0" xfId="46" applyFont="1" applyAlignment="1">
      <alignment horizontal="center"/>
    </xf>
    <xf numFmtId="0" fontId="18" fillId="0" borderId="0" xfId="46" applyFont="1" applyAlignment="1">
      <alignment vertical="top" wrapText="1"/>
    </xf>
    <xf numFmtId="0" fontId="15" fillId="0" borderId="0" xfId="46" applyAlignment="1">
      <alignment wrapText="1"/>
    </xf>
    <xf numFmtId="0" fontId="15" fillId="0" borderId="0" xfId="46" applyFont="1" applyAlignment="1">
      <alignment wrapText="1"/>
    </xf>
    <xf numFmtId="0" fontId="20" fillId="0" borderId="0" xfId="46" applyFont="1" applyAlignment="1">
      <alignment horizontal="center"/>
    </xf>
    <xf numFmtId="0" fontId="18" fillId="25" borderId="79" xfId="46" applyFont="1" applyFill="1" applyBorder="1" applyAlignment="1">
      <alignment horizontal="center" vertical="center" wrapText="1"/>
    </xf>
    <xf numFmtId="0" fontId="18" fillId="25" borderId="80" xfId="46" applyFont="1" applyFill="1" applyBorder="1" applyAlignment="1">
      <alignment horizontal="center" vertical="center" wrapText="1"/>
    </xf>
    <xf numFmtId="0" fontId="15" fillId="0" borderId="0" xfId="0" applyFont="1" applyAlignment="1">
      <alignment vertical="top" wrapText="1"/>
    </xf>
    <xf numFmtId="0" fontId="15" fillId="0" borderId="0" xfId="46" applyFont="1" applyAlignment="1">
      <alignment vertical="top" wrapText="1"/>
    </xf>
    <xf numFmtId="37" fontId="58" fillId="0" borderId="0" xfId="47" applyNumberFormat="1" applyFont="1" applyBorder="1"/>
    <xf numFmtId="0" fontId="25" fillId="0" borderId="0" xfId="47" applyBorder="1"/>
    <xf numFmtId="0" fontId="25" fillId="0" borderId="0" xfId="47" applyFill="1" applyBorder="1"/>
    <xf numFmtId="0" fontId="18" fillId="0" borderId="24" xfId="46" applyFont="1" applyFill="1" applyBorder="1" applyAlignment="1">
      <alignment horizontal="center" vertical="center" wrapText="1"/>
    </xf>
    <xf numFmtId="0" fontId="18" fillId="0" borderId="10" xfId="0" applyFont="1" applyBorder="1" applyAlignment="1">
      <alignment wrapText="1"/>
    </xf>
    <xf numFmtId="0" fontId="22" fillId="0" borderId="0" xfId="46" applyFont="1" applyAlignment="1"/>
    <xf numFmtId="0" fontId="18" fillId="0" borderId="32" xfId="46" applyFont="1" applyFill="1" applyBorder="1"/>
    <xf numFmtId="0" fontId="18" fillId="0" borderId="66" xfId="46" applyFont="1" applyFill="1" applyBorder="1" applyAlignment="1">
      <alignment horizontal="center" vertical="center" wrapText="1"/>
    </xf>
    <xf numFmtId="0" fontId="18" fillId="0" borderId="82" xfId="46" applyFont="1" applyFill="1" applyBorder="1"/>
    <xf numFmtId="0" fontId="18" fillId="29" borderId="19" xfId="46" applyFont="1" applyFill="1" applyBorder="1" applyAlignment="1">
      <alignment horizontal="center"/>
    </xf>
    <xf numFmtId="0" fontId="18" fillId="29" borderId="68" xfId="46" applyFont="1" applyFill="1" applyBorder="1" applyAlignment="1">
      <alignment horizontal="center"/>
    </xf>
    <xf numFmtId="0" fontId="81" fillId="0" borderId="134" xfId="46" applyFont="1" applyBorder="1" applyAlignment="1">
      <alignment horizontal="left"/>
    </xf>
    <xf numFmtId="170" fontId="81" fillId="0" borderId="133" xfId="46" applyNumberFormat="1" applyFont="1" applyBorder="1"/>
    <xf numFmtId="170" fontId="81" fillId="0" borderId="135" xfId="46" applyNumberFormat="1" applyFont="1" applyBorder="1"/>
    <xf numFmtId="0" fontId="15" fillId="0" borderId="48" xfId="46" applyBorder="1" applyAlignment="1">
      <alignment horizontal="left" indent="1"/>
    </xf>
    <xf numFmtId="170" fontId="15" fillId="0" borderId="0" xfId="46" applyNumberFormat="1" applyBorder="1"/>
    <xf numFmtId="170" fontId="15" fillId="0" borderId="29" xfId="46" applyNumberFormat="1" applyBorder="1"/>
    <xf numFmtId="0" fontId="18" fillId="30" borderId="0" xfId="46" applyFont="1" applyFill="1" applyBorder="1"/>
    <xf numFmtId="3" fontId="15" fillId="30" borderId="0" xfId="46" applyNumberFormat="1" applyFill="1" applyBorder="1"/>
    <xf numFmtId="3" fontId="0" fillId="30" borderId="0" xfId="232" applyNumberFormat="1" applyFont="1" applyFill="1" applyBorder="1"/>
    <xf numFmtId="3" fontId="15" fillId="0" borderId="0" xfId="46" applyNumberFormat="1" applyFill="1" applyBorder="1"/>
    <xf numFmtId="0" fontId="18" fillId="30" borderId="0" xfId="46" applyFont="1" applyFill="1" applyBorder="1" applyAlignment="1">
      <alignment wrapText="1"/>
    </xf>
    <xf numFmtId="3" fontId="0" fillId="0" borderId="0" xfId="232" applyNumberFormat="1" applyFont="1" applyFill="1" applyBorder="1"/>
    <xf numFmtId="3" fontId="18" fillId="0" borderId="0" xfId="46" applyNumberFormat="1" applyFont="1" applyFill="1" applyBorder="1"/>
    <xf numFmtId="0" fontId="81" fillId="72" borderId="136" xfId="46" applyFont="1" applyFill="1" applyBorder="1" applyAlignment="1">
      <alignment horizontal="left"/>
    </xf>
    <xf numFmtId="170" fontId="81" fillId="72" borderId="137" xfId="46" applyNumberFormat="1" applyFont="1" applyFill="1" applyBorder="1"/>
    <xf numFmtId="170" fontId="81" fillId="72" borderId="138" xfId="46" applyNumberFormat="1" applyFont="1" applyFill="1" applyBorder="1"/>
    <xf numFmtId="0" fontId="46" fillId="0" borderId="0" xfId="46" applyFont="1" applyAlignment="1">
      <alignment horizontal="left" vertical="top"/>
    </xf>
    <xf numFmtId="0" fontId="15" fillId="0" borderId="82" xfId="46" applyBorder="1" applyAlignment="1">
      <alignment horizontal="center" vertical="center"/>
    </xf>
    <xf numFmtId="0" fontId="15" fillId="0" borderId="19" xfId="46" applyFont="1" applyBorder="1" applyAlignment="1">
      <alignment vertical="center" wrapText="1"/>
    </xf>
    <xf numFmtId="0" fontId="15" fillId="0" borderId="27" xfId="46" applyBorder="1" applyAlignment="1">
      <alignment horizontal="center" vertical="center"/>
    </xf>
    <xf numFmtId="0" fontId="15" fillId="0" borderId="10" xfId="46" applyFont="1" applyBorder="1" applyAlignment="1">
      <alignment vertical="center" wrapText="1"/>
    </xf>
    <xf numFmtId="0" fontId="15" fillId="0" borderId="27" xfId="46" applyFill="1" applyBorder="1" applyAlignment="1">
      <alignment horizontal="center" vertical="center"/>
    </xf>
    <xf numFmtId="0" fontId="15" fillId="0" borderId="10" xfId="46" applyFill="1" applyBorder="1" applyAlignment="1">
      <alignment vertical="center" wrapText="1"/>
    </xf>
    <xf numFmtId="0" fontId="15" fillId="0" borderId="10" xfId="46" applyBorder="1" applyAlignment="1">
      <alignment vertical="center" wrapText="1"/>
    </xf>
    <xf numFmtId="0" fontId="15" fillId="0" borderId="27" xfId="46" applyFont="1" applyBorder="1" applyAlignment="1">
      <alignment horizontal="center" vertical="center"/>
    </xf>
    <xf numFmtId="0" fontId="15" fillId="0" borderId="27" xfId="46" applyFont="1" applyFill="1" applyBorder="1" applyAlignment="1">
      <alignment horizontal="center" vertical="center"/>
    </xf>
    <xf numFmtId="0" fontId="15" fillId="0" borderId="10" xfId="46" applyFont="1" applyFill="1" applyBorder="1" applyAlignment="1">
      <alignment vertical="center" wrapText="1"/>
    </xf>
    <xf numFmtId="0" fontId="17" fillId="24" borderId="139" xfId="0" applyFont="1" applyFill="1" applyBorder="1" applyAlignment="1">
      <alignment horizontal="right" vertical="top"/>
    </xf>
    <xf numFmtId="0" fontId="17" fillId="24" borderId="0" xfId="0" applyFont="1" applyFill="1" applyAlignment="1">
      <alignment horizontal="right" vertical="top"/>
    </xf>
    <xf numFmtId="0" fontId="15" fillId="0" borderId="0" xfId="0" applyFont="1" applyAlignment="1" applyProtection="1">
      <alignment horizontal="right"/>
    </xf>
    <xf numFmtId="0" fontId="18" fillId="24" borderId="10" xfId="0" applyFont="1" applyFill="1" applyBorder="1" applyProtection="1">
      <protection locked="0"/>
    </xf>
    <xf numFmtId="0" fontId="0" fillId="73" borderId="0" xfId="0" applyFill="1" applyAlignment="1" applyProtection="1">
      <alignment vertical="top"/>
      <protection locked="0"/>
    </xf>
    <xf numFmtId="171" fontId="15" fillId="24" borderId="11" xfId="148" applyNumberFormat="1" applyFont="1" applyFill="1" applyBorder="1" applyAlignment="1" applyProtection="1">
      <alignment vertical="top"/>
      <protection locked="0"/>
    </xf>
    <xf numFmtId="44" fontId="0" fillId="0" borderId="15" xfId="148" applyNumberFormat="1" applyFont="1" applyBorder="1" applyAlignment="1" applyProtection="1">
      <alignment vertical="center"/>
    </xf>
    <xf numFmtId="171" fontId="15" fillId="24" borderId="11" xfId="148" applyNumberFormat="1" applyFont="1" applyFill="1" applyBorder="1" applyAlignment="1" applyProtection="1">
      <alignment vertical="center"/>
      <protection locked="0"/>
    </xf>
    <xf numFmtId="0" fontId="0" fillId="24" borderId="0" xfId="0" applyFill="1" applyAlignment="1" applyProtection="1">
      <alignment vertical="top"/>
    </xf>
    <xf numFmtId="0" fontId="0" fillId="24" borderId="0" xfId="0" applyFill="1" applyAlignment="1" applyProtection="1">
      <alignment vertical="top"/>
      <protection locked="0"/>
    </xf>
    <xf numFmtId="0" fontId="18" fillId="27" borderId="81" xfId="0" applyFont="1" applyFill="1" applyBorder="1" applyAlignment="1" applyProtection="1">
      <alignment vertical="top"/>
      <protection locked="0"/>
    </xf>
    <xf numFmtId="0" fontId="0" fillId="27" borderId="13" xfId="0" applyFill="1" applyBorder="1" applyAlignment="1" applyProtection="1">
      <alignment vertical="top"/>
    </xf>
    <xf numFmtId="0" fontId="0" fillId="27" borderId="13" xfId="0" applyFill="1" applyBorder="1" applyAlignment="1" applyProtection="1">
      <alignment vertical="top"/>
      <protection locked="0"/>
    </xf>
    <xf numFmtId="171" fontId="15" fillId="27" borderId="10" xfId="148" applyNumberFormat="1" applyFont="1" applyFill="1" applyBorder="1" applyAlignment="1" applyProtection="1">
      <alignment vertical="top"/>
      <protection locked="0"/>
    </xf>
    <xf numFmtId="0" fontId="0" fillId="27" borderId="10" xfId="0" applyFill="1" applyBorder="1" applyAlignment="1" applyProtection="1">
      <alignment vertical="center"/>
      <protection locked="0"/>
    </xf>
    <xf numFmtId="44" fontId="15" fillId="27" borderId="33" xfId="148" applyNumberFormat="1" applyFont="1" applyFill="1" applyBorder="1" applyAlignment="1" applyProtection="1">
      <alignment vertical="center"/>
    </xf>
    <xf numFmtId="0" fontId="0" fillId="27" borderId="0" xfId="0" applyFill="1" applyAlignment="1" applyProtection="1">
      <alignment vertical="center"/>
    </xf>
    <xf numFmtId="171" fontId="15" fillId="27" borderId="10" xfId="148" applyNumberFormat="1" applyFont="1" applyFill="1" applyBorder="1" applyAlignment="1" applyProtection="1">
      <alignment vertical="center"/>
      <protection locked="0"/>
    </xf>
    <xf numFmtId="0" fontId="0" fillId="27" borderId="33" xfId="0" applyFill="1" applyBorder="1" applyAlignment="1" applyProtection="1">
      <alignment vertical="center"/>
      <protection locked="0"/>
    </xf>
    <xf numFmtId="44" fontId="18" fillId="27" borderId="10" xfId="0" applyNumberFormat="1" applyFont="1" applyFill="1" applyBorder="1" applyAlignment="1" applyProtection="1">
      <alignment vertical="center"/>
    </xf>
    <xf numFmtId="10" fontId="18" fillId="27" borderId="33" xfId="42" applyNumberFormat="1" applyFont="1" applyFill="1" applyBorder="1" applyAlignment="1" applyProtection="1">
      <alignment vertical="center"/>
    </xf>
    <xf numFmtId="0" fontId="15" fillId="24" borderId="0" xfId="0" applyFont="1" applyFill="1" applyAlignment="1" applyProtection="1">
      <alignment vertical="top" wrapText="1"/>
    </xf>
    <xf numFmtId="0" fontId="0" fillId="32" borderId="10" xfId="0" applyFill="1" applyBorder="1" applyAlignment="1" applyProtection="1">
      <alignment vertical="top"/>
    </xf>
    <xf numFmtId="0" fontId="0" fillId="32" borderId="10" xfId="0" applyFill="1" applyBorder="1" applyAlignment="1" applyProtection="1">
      <alignment vertical="center"/>
    </xf>
    <xf numFmtId="44" fontId="15" fillId="32" borderId="33" xfId="148" applyNumberFormat="1" applyFont="1" applyFill="1" applyBorder="1" applyAlignment="1" applyProtection="1">
      <alignment vertical="center"/>
    </xf>
    <xf numFmtId="0" fontId="18" fillId="27" borderId="81" xfId="0" applyFont="1" applyFill="1" applyBorder="1" applyAlignment="1" applyProtection="1">
      <alignment vertical="top" wrapText="1"/>
    </xf>
    <xf numFmtId="0" fontId="0" fillId="27" borderId="13" xfId="0" applyFill="1" applyBorder="1" applyProtection="1"/>
    <xf numFmtId="0" fontId="0" fillId="27" borderId="10" xfId="0" applyFill="1" applyBorder="1" applyProtection="1"/>
    <xf numFmtId="0" fontId="0" fillId="27" borderId="10" xfId="0" applyFill="1" applyBorder="1" applyAlignment="1" applyProtection="1">
      <alignment vertical="center"/>
    </xf>
    <xf numFmtId="44" fontId="18" fillId="27" borderId="33" xfId="0" applyNumberFormat="1" applyFont="1" applyFill="1" applyBorder="1" applyAlignment="1" applyProtection="1">
      <alignment vertical="center"/>
    </xf>
    <xf numFmtId="0" fontId="0" fillId="27" borderId="33" xfId="0" applyFill="1" applyBorder="1" applyAlignment="1" applyProtection="1">
      <alignment vertical="center"/>
    </xf>
    <xf numFmtId="0" fontId="0" fillId="73" borderId="0" xfId="0" applyFill="1" applyAlignment="1" applyProtection="1">
      <alignment vertical="center"/>
      <protection locked="0"/>
    </xf>
    <xf numFmtId="0" fontId="0" fillId="27" borderId="10" xfId="0" applyFill="1" applyBorder="1" applyAlignment="1" applyProtection="1">
      <alignment vertical="top"/>
    </xf>
    <xf numFmtId="0" fontId="18" fillId="27" borderId="0" xfId="0" applyFont="1" applyFill="1" applyAlignment="1" applyProtection="1">
      <alignment vertical="center"/>
    </xf>
    <xf numFmtId="0" fontId="18" fillId="27" borderId="10" xfId="0" applyFont="1" applyFill="1" applyBorder="1" applyAlignment="1" applyProtection="1">
      <alignment vertical="center"/>
    </xf>
    <xf numFmtId="0" fontId="18" fillId="27" borderId="33" xfId="0" applyFont="1" applyFill="1" applyBorder="1" applyAlignment="1" applyProtection="1">
      <alignment vertical="center"/>
    </xf>
    <xf numFmtId="171" fontId="15" fillId="24" borderId="11" xfId="148" applyNumberFormat="1" applyFill="1" applyBorder="1" applyAlignment="1" applyProtection="1">
      <alignment vertical="top"/>
      <protection locked="0"/>
    </xf>
    <xf numFmtId="44" fontId="15" fillId="0" borderId="15" xfId="148" applyNumberFormat="1" applyBorder="1" applyAlignment="1" applyProtection="1">
      <alignment vertical="center"/>
    </xf>
    <xf numFmtId="171" fontId="15" fillId="24" borderId="11" xfId="148" applyNumberFormat="1" applyFill="1" applyBorder="1" applyAlignment="1" applyProtection="1">
      <alignment vertical="center"/>
      <protection locked="0"/>
    </xf>
    <xf numFmtId="171" fontId="15" fillId="0" borderId="11" xfId="148" applyNumberFormat="1" applyFill="1" applyBorder="1" applyAlignment="1" applyProtection="1">
      <alignment vertical="top"/>
      <protection locked="0"/>
    </xf>
    <xf numFmtId="1" fontId="15" fillId="24" borderId="11" xfId="0" applyNumberFormat="1" applyFont="1" applyFill="1" applyBorder="1" applyAlignment="1" applyProtection="1">
      <alignment vertical="center"/>
    </xf>
    <xf numFmtId="0" fontId="15" fillId="74" borderId="93" xfId="0" applyFont="1" applyFill="1" applyBorder="1" applyProtection="1"/>
    <xf numFmtId="0" fontId="0" fillId="74" borderId="69" xfId="0" applyFill="1" applyBorder="1" applyAlignment="1" applyProtection="1">
      <alignment vertical="top"/>
    </xf>
    <xf numFmtId="0" fontId="0" fillId="74" borderId="69" xfId="0" applyFill="1" applyBorder="1" applyAlignment="1" applyProtection="1">
      <alignment vertical="top"/>
      <protection locked="0"/>
    </xf>
    <xf numFmtId="171" fontId="15" fillId="74" borderId="23" xfId="148" applyNumberFormat="1" applyFill="1" applyBorder="1" applyAlignment="1" applyProtection="1">
      <alignment vertical="top"/>
      <protection locked="0"/>
    </xf>
    <xf numFmtId="0" fontId="0" fillId="74" borderId="21" xfId="0" applyFill="1" applyBorder="1" applyAlignment="1" applyProtection="1">
      <alignment vertical="center"/>
      <protection locked="0"/>
    </xf>
    <xf numFmtId="44" fontId="15" fillId="74" borderId="69" xfId="148" applyNumberFormat="1" applyFill="1" applyBorder="1" applyAlignment="1" applyProtection="1">
      <alignment vertical="center"/>
    </xf>
    <xf numFmtId="0" fontId="0" fillId="74" borderId="69" xfId="0" applyFill="1" applyBorder="1" applyAlignment="1" applyProtection="1">
      <alignment vertical="center"/>
    </xf>
    <xf numFmtId="0" fontId="0" fillId="74" borderId="23" xfId="0" applyFill="1" applyBorder="1" applyAlignment="1" applyProtection="1">
      <alignment vertical="center"/>
      <protection locked="0"/>
    </xf>
    <xf numFmtId="44" fontId="0" fillId="74" borderId="23" xfId="0" applyNumberFormat="1" applyFill="1" applyBorder="1" applyAlignment="1" applyProtection="1">
      <alignment vertical="center"/>
    </xf>
    <xf numFmtId="10" fontId="15" fillId="74" borderId="22" xfId="42" applyNumberFormat="1" applyFill="1" applyBorder="1" applyAlignment="1" applyProtection="1">
      <alignment vertical="center"/>
    </xf>
    <xf numFmtId="44" fontId="47" fillId="0" borderId="118" xfId="0" applyNumberFormat="1" applyFont="1" applyFill="1" applyBorder="1" applyAlignment="1" applyProtection="1">
      <alignment vertical="center"/>
    </xf>
    <xf numFmtId="44" fontId="47" fillId="0" borderId="15" xfId="0" applyNumberFormat="1" applyFont="1" applyFill="1" applyBorder="1" applyAlignment="1" applyProtection="1">
      <alignment vertical="center"/>
    </xf>
    <xf numFmtId="44" fontId="47" fillId="0" borderId="11" xfId="0" applyNumberFormat="1" applyFont="1" applyFill="1" applyBorder="1" applyAlignment="1" applyProtection="1">
      <alignment vertical="center"/>
    </xf>
    <xf numFmtId="10" fontId="47" fillId="0" borderId="15" xfId="42" applyNumberFormat="1" applyFont="1" applyFill="1" applyBorder="1" applyAlignment="1" applyProtection="1">
      <alignment vertical="center"/>
    </xf>
    <xf numFmtId="0" fontId="0" fillId="75" borderId="0" xfId="0" applyFill="1" applyAlignment="1" applyProtection="1">
      <alignment vertical="top"/>
    </xf>
    <xf numFmtId="0" fontId="0" fillId="75" borderId="11" xfId="0" applyFill="1" applyBorder="1" applyAlignment="1" applyProtection="1">
      <alignment vertical="top"/>
    </xf>
    <xf numFmtId="0" fontId="0" fillId="75" borderId="0" xfId="0" applyFill="1" applyBorder="1" applyAlignment="1" applyProtection="1">
      <alignment vertical="center"/>
    </xf>
    <xf numFmtId="44" fontId="18" fillId="75" borderId="118" xfId="0" applyNumberFormat="1" applyFont="1" applyFill="1" applyBorder="1" applyAlignment="1" applyProtection="1">
      <alignment vertical="center"/>
    </xf>
    <xf numFmtId="0" fontId="18" fillId="75" borderId="11" xfId="0" applyFont="1" applyFill="1" applyBorder="1" applyAlignment="1" applyProtection="1">
      <alignment vertical="center"/>
    </xf>
    <xf numFmtId="44" fontId="18" fillId="75" borderId="15" xfId="0" applyNumberFormat="1" applyFont="1" applyFill="1" applyBorder="1" applyAlignment="1" applyProtection="1">
      <alignment vertical="center"/>
    </xf>
    <xf numFmtId="0" fontId="18" fillId="75" borderId="0" xfId="0" applyFont="1" applyFill="1" applyBorder="1" applyAlignment="1" applyProtection="1">
      <alignment vertical="center"/>
    </xf>
    <xf numFmtId="44" fontId="18" fillId="75" borderId="11" xfId="0" applyNumberFormat="1" applyFont="1" applyFill="1" applyBorder="1" applyAlignment="1" applyProtection="1">
      <alignment vertical="center"/>
    </xf>
    <xf numFmtId="10" fontId="18" fillId="75" borderId="15" xfId="42" applyNumberFormat="1" applyFont="1" applyFill="1" applyBorder="1" applyAlignment="1" applyProtection="1">
      <alignment vertical="center"/>
    </xf>
    <xf numFmtId="171" fontId="15" fillId="74" borderId="21" xfId="148" applyNumberFormat="1" applyFill="1" applyBorder="1" applyAlignment="1" applyProtection="1">
      <alignment vertical="top"/>
      <protection locked="0"/>
    </xf>
    <xf numFmtId="0" fontId="0" fillId="74" borderId="69" xfId="0" applyFill="1" applyBorder="1" applyAlignment="1" applyProtection="1">
      <alignment vertical="center"/>
      <protection locked="0"/>
    </xf>
    <xf numFmtId="44" fontId="15" fillId="74" borderId="70" xfId="148" applyNumberFormat="1" applyFill="1" applyBorder="1" applyAlignment="1" applyProtection="1">
      <alignment vertical="center"/>
    </xf>
    <xf numFmtId="0" fontId="0" fillId="74" borderId="21" xfId="0" applyFill="1" applyBorder="1" applyAlignment="1" applyProtection="1">
      <alignment vertical="center"/>
    </xf>
    <xf numFmtId="44" fontId="15" fillId="74" borderId="23" xfId="148" applyNumberFormat="1" applyFill="1" applyBorder="1" applyAlignment="1" applyProtection="1">
      <alignment vertical="center"/>
    </xf>
    <xf numFmtId="44" fontId="0" fillId="74" borderId="21" xfId="0" applyNumberFormat="1" applyFill="1" applyBorder="1" applyAlignment="1" applyProtection="1">
      <alignment vertical="center"/>
    </xf>
    <xf numFmtId="0" fontId="0" fillId="75" borderId="19" xfId="0" applyFill="1" applyBorder="1" applyAlignment="1" applyProtection="1">
      <alignment vertical="top"/>
    </xf>
    <xf numFmtId="0" fontId="0" fillId="75" borderId="12" xfId="0" applyFill="1" applyBorder="1" applyAlignment="1" applyProtection="1">
      <alignment vertical="center"/>
    </xf>
    <xf numFmtId="44" fontId="18" fillId="75" borderId="83" xfId="0" applyNumberFormat="1" applyFont="1" applyFill="1" applyBorder="1" applyAlignment="1" applyProtection="1">
      <alignment vertical="center"/>
    </xf>
    <xf numFmtId="0" fontId="18" fillId="75" borderId="19" xfId="0" applyFont="1" applyFill="1" applyBorder="1" applyAlignment="1" applyProtection="1">
      <alignment vertical="center"/>
    </xf>
    <xf numFmtId="44" fontId="18" fillId="75" borderId="16" xfId="0" applyNumberFormat="1" applyFont="1" applyFill="1" applyBorder="1" applyAlignment="1" applyProtection="1">
      <alignment vertical="center"/>
    </xf>
    <xf numFmtId="0" fontId="18" fillId="75" borderId="12" xfId="0" applyFont="1" applyFill="1" applyBorder="1" applyAlignment="1" applyProtection="1">
      <alignment vertical="center"/>
    </xf>
    <xf numFmtId="44" fontId="18" fillId="75" borderId="19" xfId="0" applyNumberFormat="1" applyFont="1" applyFill="1" applyBorder="1" applyAlignment="1" applyProtection="1">
      <alignment vertical="center"/>
    </xf>
    <xf numFmtId="10" fontId="18" fillId="75" borderId="16" xfId="42" applyNumberFormat="1" applyFont="1" applyFill="1" applyBorder="1" applyAlignment="1" applyProtection="1">
      <alignment vertical="center"/>
    </xf>
    <xf numFmtId="10" fontId="15" fillId="24" borderId="10" xfId="42" applyNumberFormat="1" applyFill="1" applyBorder="1" applyProtection="1">
      <protection locked="0"/>
    </xf>
    <xf numFmtId="183" fontId="15" fillId="24" borderId="10" xfId="42" applyNumberFormat="1" applyFill="1" applyBorder="1" applyProtection="1">
      <protection locked="0"/>
    </xf>
    <xf numFmtId="184" fontId="0" fillId="0" borderId="0" xfId="0" applyNumberFormat="1"/>
    <xf numFmtId="168" fontId="66" fillId="0" borderId="0" xfId="42" applyNumberFormat="1" applyFont="1" applyFill="1" applyBorder="1" applyAlignment="1">
      <alignment vertical="center" wrapText="1"/>
    </xf>
    <xf numFmtId="0" fontId="15" fillId="30" borderId="67" xfId="46" applyFill="1" applyBorder="1"/>
    <xf numFmtId="0" fontId="15" fillId="30" borderId="26" xfId="46" applyFill="1" applyBorder="1"/>
    <xf numFmtId="0" fontId="15" fillId="30" borderId="28" xfId="46" applyFill="1" applyBorder="1"/>
    <xf numFmtId="0" fontId="15" fillId="30" borderId="17" xfId="46" applyFill="1" applyBorder="1"/>
    <xf numFmtId="0" fontId="15" fillId="30" borderId="10" xfId="46" applyFill="1" applyBorder="1"/>
    <xf numFmtId="0" fontId="45" fillId="30" borderId="10" xfId="46" applyFont="1" applyFill="1" applyBorder="1"/>
    <xf numFmtId="0" fontId="45" fillId="30" borderId="27" xfId="46" applyFont="1" applyFill="1" applyBorder="1"/>
    <xf numFmtId="0" fontId="15" fillId="30" borderId="17" xfId="46" applyFill="1" applyBorder="1" applyAlignment="1">
      <alignment horizontal="left"/>
    </xf>
    <xf numFmtId="0" fontId="15" fillId="30" borderId="17" xfId="46" applyFill="1" applyBorder="1" applyAlignment="1">
      <alignment horizontal="right"/>
    </xf>
    <xf numFmtId="10" fontId="0" fillId="30" borderId="17" xfId="42" applyNumberFormat="1" applyFont="1" applyFill="1" applyBorder="1"/>
    <xf numFmtId="0" fontId="18" fillId="25" borderId="25" xfId="46" applyFont="1" applyFill="1" applyBorder="1" applyAlignment="1">
      <alignment horizontal="center"/>
    </xf>
    <xf numFmtId="0" fontId="18" fillId="25" borderId="10" xfId="46" applyFont="1" applyFill="1" applyBorder="1" applyAlignment="1">
      <alignment horizontal="center"/>
    </xf>
    <xf numFmtId="0" fontId="18" fillId="25" borderId="19" xfId="46" applyFont="1" applyFill="1" applyBorder="1" applyAlignment="1"/>
    <xf numFmtId="0" fontId="18" fillId="25" borderId="82" xfId="46" applyFont="1" applyFill="1" applyBorder="1" applyAlignment="1"/>
    <xf numFmtId="0" fontId="18" fillId="25" borderId="10" xfId="46" applyFont="1" applyFill="1" applyBorder="1" applyAlignment="1"/>
    <xf numFmtId="0" fontId="18" fillId="25" borderId="27" xfId="46" applyFont="1" applyFill="1" applyBorder="1" applyAlignment="1"/>
    <xf numFmtId="0" fontId="15" fillId="30" borderId="25" xfId="46" applyFill="1" applyBorder="1"/>
    <xf numFmtId="0" fontId="15" fillId="30" borderId="27" xfId="46" applyFill="1" applyBorder="1"/>
    <xf numFmtId="0" fontId="18" fillId="0" borderId="10" xfId="46" applyFont="1" applyFill="1" applyBorder="1" applyAlignment="1">
      <alignment horizontal="right"/>
    </xf>
    <xf numFmtId="0" fontId="18" fillId="0" borderId="10" xfId="46" applyFont="1" applyFill="1" applyBorder="1"/>
    <xf numFmtId="0" fontId="46" fillId="0" borderId="10" xfId="46" applyFont="1" applyFill="1" applyBorder="1"/>
    <xf numFmtId="0" fontId="46" fillId="0" borderId="27" xfId="46" applyFont="1" applyFill="1" applyBorder="1"/>
    <xf numFmtId="0" fontId="15" fillId="76" borderId="10" xfId="46" applyFill="1" applyBorder="1"/>
    <xf numFmtId="0" fontId="45" fillId="76" borderId="10" xfId="46" applyFont="1" applyFill="1" applyBorder="1"/>
    <xf numFmtId="0" fontId="45" fillId="76" borderId="27" xfId="46" applyFont="1" applyFill="1" applyBorder="1" applyAlignment="1">
      <alignment horizontal="right"/>
    </xf>
    <xf numFmtId="0" fontId="15" fillId="30" borderId="11" xfId="46" applyFill="1" applyBorder="1"/>
    <xf numFmtId="0" fontId="45" fillId="30" borderId="19" xfId="46" applyFont="1" applyFill="1" applyBorder="1"/>
    <xf numFmtId="0" fontId="45" fillId="30" borderId="82" xfId="46" applyFont="1" applyFill="1" applyBorder="1"/>
    <xf numFmtId="0" fontId="45" fillId="30" borderId="18" xfId="46" applyFont="1" applyFill="1" applyBorder="1"/>
    <xf numFmtId="0" fontId="45" fillId="30" borderId="96" xfId="46" applyFont="1" applyFill="1" applyBorder="1"/>
    <xf numFmtId="0" fontId="18" fillId="25" borderId="0" xfId="46" applyFont="1" applyFill="1" applyBorder="1" applyAlignment="1">
      <alignment horizontal="center"/>
    </xf>
    <xf numFmtId="0" fontId="49" fillId="25" borderId="0" xfId="46" applyFont="1" applyFill="1"/>
    <xf numFmtId="0" fontId="18" fillId="0" borderId="0" xfId="46" applyFont="1" applyAlignment="1">
      <alignment horizontal="right"/>
    </xf>
    <xf numFmtId="0" fontId="18" fillId="30" borderId="0" xfId="46" applyFont="1" applyFill="1" applyAlignment="1">
      <alignment horizontal="center"/>
    </xf>
    <xf numFmtId="0" fontId="18" fillId="76" borderId="10" xfId="46" applyFont="1" applyFill="1" applyBorder="1"/>
    <xf numFmtId="0" fontId="46" fillId="76" borderId="10" xfId="46" applyFont="1" applyFill="1" applyBorder="1"/>
    <xf numFmtId="0" fontId="46" fillId="76" borderId="27" xfId="46" applyFont="1" applyFill="1" applyBorder="1" applyAlignment="1">
      <alignment horizontal="right"/>
    </xf>
    <xf numFmtId="0" fontId="15" fillId="25" borderId="0" xfId="46" applyFill="1" applyBorder="1"/>
    <xf numFmtId="0" fontId="15" fillId="30" borderId="96" xfId="46" applyFill="1" applyBorder="1"/>
    <xf numFmtId="0" fontId="15" fillId="0" borderId="0" xfId="46" applyFill="1" applyBorder="1"/>
    <xf numFmtId="185" fontId="18" fillId="0" borderId="25" xfId="46" applyNumberFormat="1" applyFont="1" applyFill="1" applyBorder="1"/>
    <xf numFmtId="0" fontId="45" fillId="30" borderId="17" xfId="46" applyFont="1" applyFill="1" applyBorder="1"/>
    <xf numFmtId="0" fontId="15" fillId="30" borderId="19" xfId="46" applyFill="1" applyBorder="1"/>
    <xf numFmtId="0" fontId="45" fillId="30" borderId="117" xfId="46" applyFont="1" applyFill="1" applyBorder="1"/>
    <xf numFmtId="0" fontId="18" fillId="25" borderId="0" xfId="46" applyFont="1" applyFill="1" applyBorder="1"/>
    <xf numFmtId="185" fontId="15" fillId="0" borderId="0" xfId="46" applyNumberFormat="1" applyFill="1" applyBorder="1"/>
    <xf numFmtId="185" fontId="18" fillId="0" borderId="0" xfId="46" applyNumberFormat="1" applyFont="1" applyFill="1" applyBorder="1"/>
    <xf numFmtId="185" fontId="15" fillId="0" borderId="0" xfId="46" applyNumberFormat="1"/>
    <xf numFmtId="0" fontId="15" fillId="0" borderId="0" xfId="46" applyFill="1" applyBorder="1" applyAlignment="1">
      <alignment horizontal="right"/>
    </xf>
    <xf numFmtId="185" fontId="18" fillId="0" borderId="0" xfId="46" applyNumberFormat="1" applyFont="1" applyFill="1"/>
    <xf numFmtId="0" fontId="15" fillId="0" borderId="0" xfId="46" applyAlignment="1">
      <alignment horizontal="center"/>
    </xf>
    <xf numFmtId="0" fontId="18" fillId="25" borderId="10" xfId="46" applyFont="1" applyFill="1" applyBorder="1" applyAlignment="1">
      <alignment horizontal="center" wrapText="1"/>
    </xf>
    <xf numFmtId="0" fontId="18" fillId="25" borderId="19" xfId="46" applyFont="1" applyFill="1" applyBorder="1" applyAlignment="1">
      <alignment horizontal="center" wrapText="1"/>
    </xf>
    <xf numFmtId="0" fontId="18" fillId="25" borderId="10" xfId="46" applyFont="1" applyFill="1" applyBorder="1"/>
    <xf numFmtId="0" fontId="15" fillId="25" borderId="11" xfId="46" applyFill="1" applyBorder="1"/>
    <xf numFmtId="0" fontId="15" fillId="0" borderId="10" xfId="46" applyBorder="1" applyAlignment="1">
      <alignment horizontal="center" vertical="center"/>
    </xf>
    <xf numFmtId="10" fontId="15" fillId="28" borderId="10" xfId="46" applyNumberFormat="1" applyFill="1" applyBorder="1"/>
    <xf numFmtId="169" fontId="15" fillId="0" borderId="10" xfId="46" applyNumberFormat="1" applyBorder="1"/>
    <xf numFmtId="0" fontId="15" fillId="0" borderId="10" xfId="46" applyFill="1" applyBorder="1" applyAlignment="1">
      <alignment horizontal="center" vertical="center"/>
    </xf>
    <xf numFmtId="0" fontId="15" fillId="0" borderId="10" xfId="46" applyFont="1" applyBorder="1" applyAlignment="1">
      <alignment horizontal="center" vertical="center"/>
    </xf>
    <xf numFmtId="0" fontId="15" fillId="0" borderId="10" xfId="46" applyFont="1" applyFill="1" applyBorder="1" applyAlignment="1">
      <alignment horizontal="center" vertical="center"/>
    </xf>
    <xf numFmtId="0" fontId="15" fillId="0" borderId="10" xfId="46" applyBorder="1" applyAlignment="1">
      <alignment horizontal="center"/>
    </xf>
    <xf numFmtId="0" fontId="18" fillId="0" borderId="10" xfId="46" applyFont="1" applyBorder="1"/>
    <xf numFmtId="169" fontId="18" fillId="0" borderId="10" xfId="46" applyNumberFormat="1" applyFont="1" applyBorder="1"/>
    <xf numFmtId="0" fontId="15" fillId="68" borderId="0" xfId="46" applyFont="1" applyFill="1"/>
    <xf numFmtId="0" fontId="15" fillId="68" borderId="0" xfId="46" applyFill="1" applyBorder="1"/>
    <xf numFmtId="0" fontId="15" fillId="68" borderId="0" xfId="46" applyFont="1" applyFill="1" applyBorder="1" applyAlignment="1">
      <alignment horizontal="right"/>
    </xf>
    <xf numFmtId="37" fontId="0" fillId="68" borderId="0" xfId="28" applyNumberFormat="1" applyFont="1" applyFill="1" applyBorder="1"/>
    <xf numFmtId="0" fontId="15" fillId="68" borderId="0" xfId="46" applyFill="1"/>
    <xf numFmtId="0" fontId="15" fillId="68" borderId="0" xfId="46" applyFont="1" applyFill="1" applyAlignment="1">
      <alignment horizontal="left"/>
    </xf>
    <xf numFmtId="0" fontId="15" fillId="0" borderId="0" xfId="46" applyFont="1" applyBorder="1" applyAlignment="1">
      <alignment horizontal="right"/>
    </xf>
    <xf numFmtId="169" fontId="15" fillId="0" borderId="0" xfId="46" applyNumberFormat="1" applyFont="1" applyBorder="1" applyAlignment="1">
      <alignment horizontal="right"/>
    </xf>
    <xf numFmtId="0" fontId="15" fillId="0" borderId="0" xfId="46" applyFont="1" applyFill="1" applyBorder="1" applyAlignment="1">
      <alignment horizontal="right"/>
    </xf>
    <xf numFmtId="0" fontId="46" fillId="0" borderId="0" xfId="46" applyFont="1" applyAlignment="1">
      <alignment horizontal="center"/>
    </xf>
    <xf numFmtId="0" fontId="15" fillId="0" borderId="0" xfId="46" applyFont="1" applyAlignment="1">
      <alignment horizontal="left"/>
    </xf>
    <xf numFmtId="0" fontId="18" fillId="68" borderId="0" xfId="46" applyFont="1" applyFill="1" applyAlignment="1">
      <alignment horizontal="right"/>
    </xf>
    <xf numFmtId="0" fontId="52" fillId="68" borderId="0" xfId="46" applyFont="1" applyFill="1" applyAlignment="1"/>
    <xf numFmtId="0" fontId="19" fillId="68" borderId="0" xfId="46" applyFont="1" applyFill="1" applyAlignment="1">
      <alignment horizontal="center"/>
    </xf>
    <xf numFmtId="0" fontId="18" fillId="0" borderId="0" xfId="46" applyFont="1" applyAlignment="1">
      <alignment horizontal="left" vertical="top" wrapText="1"/>
    </xf>
    <xf numFmtId="0" fontId="18" fillId="0" borderId="0" xfId="46" applyFont="1" applyAlignment="1">
      <alignment vertical="top" wrapText="1"/>
    </xf>
    <xf numFmtId="0" fontId="18" fillId="0" borderId="0" xfId="46" applyFont="1" applyAlignment="1">
      <alignment horizontal="center" vertical="top" wrapText="1"/>
    </xf>
    <xf numFmtId="0" fontId="18" fillId="25" borderId="96" xfId="46" applyFont="1" applyFill="1" applyBorder="1" applyAlignment="1"/>
    <xf numFmtId="0" fontId="15" fillId="25" borderId="82" xfId="46" applyFill="1" applyBorder="1" applyAlignment="1"/>
    <xf numFmtId="0" fontId="18" fillId="25" borderId="17" xfId="46" applyFont="1" applyFill="1" applyBorder="1" applyAlignment="1"/>
    <xf numFmtId="0" fontId="15" fillId="25" borderId="19" xfId="46" applyFill="1" applyBorder="1" applyAlignment="1"/>
    <xf numFmtId="185" fontId="0" fillId="30" borderId="10" xfId="250" applyNumberFormat="1" applyFont="1" applyFill="1" applyBorder="1"/>
    <xf numFmtId="185" fontId="0" fillId="30" borderId="25" xfId="250" applyNumberFormat="1" applyFont="1" applyFill="1" applyBorder="1"/>
    <xf numFmtId="185" fontId="0" fillId="30" borderId="74" xfId="250" applyNumberFormat="1" applyFont="1" applyFill="1" applyBorder="1"/>
    <xf numFmtId="185" fontId="18" fillId="0" borderId="10" xfId="250" applyNumberFormat="1" applyFont="1" applyFill="1" applyBorder="1"/>
    <xf numFmtId="185" fontId="18" fillId="0" borderId="25" xfId="250" applyNumberFormat="1" applyFont="1" applyFill="1" applyBorder="1"/>
    <xf numFmtId="185" fontId="0" fillId="30" borderId="72" xfId="250" applyNumberFormat="1" applyFont="1" applyFill="1" applyBorder="1"/>
    <xf numFmtId="185" fontId="0" fillId="30" borderId="17" xfId="250" applyNumberFormat="1" applyFont="1" applyFill="1" applyBorder="1"/>
    <xf numFmtId="185" fontId="18" fillId="76" borderId="10" xfId="250" applyNumberFormat="1" applyFont="1" applyFill="1" applyBorder="1"/>
    <xf numFmtId="185" fontId="18" fillId="76" borderId="25" xfId="250" applyNumberFormat="1" applyFont="1" applyFill="1" applyBorder="1"/>
    <xf numFmtId="185" fontId="18" fillId="76" borderId="26" xfId="250" applyNumberFormat="1" applyFont="1" applyFill="1" applyBorder="1"/>
    <xf numFmtId="185" fontId="18" fillId="76" borderId="67" xfId="250" applyNumberFormat="1" applyFont="1" applyFill="1" applyBorder="1"/>
    <xf numFmtId="185" fontId="0" fillId="30" borderId="67" xfId="250" applyNumberFormat="1" applyFont="1" applyFill="1" applyBorder="1"/>
    <xf numFmtId="185" fontId="0" fillId="30" borderId="35" xfId="250" applyNumberFormat="1" applyFont="1" applyFill="1" applyBorder="1"/>
    <xf numFmtId="185" fontId="0" fillId="30" borderId="68" xfId="250" applyNumberFormat="1" applyFont="1" applyFill="1" applyBorder="1"/>
    <xf numFmtId="185" fontId="0" fillId="30" borderId="11" xfId="250" applyNumberFormat="1" applyFont="1" applyFill="1" applyBorder="1"/>
    <xf numFmtId="185" fontId="0" fillId="30" borderId="51" xfId="250" applyNumberFormat="1" applyFont="1" applyFill="1" applyBorder="1"/>
    <xf numFmtId="185" fontId="0" fillId="0" borderId="0" xfId="250" applyNumberFormat="1" applyFont="1" applyFill="1" applyBorder="1"/>
    <xf numFmtId="0" fontId="2" fillId="0" borderId="0" xfId="251"/>
    <xf numFmtId="0" fontId="18" fillId="0" borderId="0" xfId="251" applyFont="1"/>
    <xf numFmtId="0" fontId="2" fillId="24" borderId="0" xfId="251" applyFill="1"/>
    <xf numFmtId="172" fontId="2" fillId="24" borderId="0" xfId="251" applyNumberFormat="1" applyFill="1"/>
    <xf numFmtId="169" fontId="2" fillId="0" borderId="0" xfId="251" applyNumberFormat="1"/>
    <xf numFmtId="0" fontId="22" fillId="0" borderId="0" xfId="251" applyFont="1" applyAlignment="1">
      <alignment horizontal="center"/>
    </xf>
    <xf numFmtId="0" fontId="2" fillId="0" borderId="10" xfId="251" applyBorder="1"/>
    <xf numFmtId="0" fontId="18" fillId="24" borderId="10" xfId="251" applyFont="1" applyFill="1" applyBorder="1" applyAlignment="1">
      <alignment horizontal="center" vertical="center" wrapText="1"/>
    </xf>
    <xf numFmtId="0" fontId="2" fillId="0" borderId="0" xfId="251" applyAlignment="1">
      <alignment horizontal="center" vertical="center" wrapText="1"/>
    </xf>
    <xf numFmtId="2" fontId="2" fillId="24" borderId="10" xfId="252" applyNumberFormat="1" applyFill="1" applyBorder="1"/>
    <xf numFmtId="2" fontId="2" fillId="0" borderId="10" xfId="252" applyNumberFormat="1" applyBorder="1"/>
    <xf numFmtId="170" fontId="2" fillId="0" borderId="0" xfId="251" applyNumberFormat="1"/>
    <xf numFmtId="0" fontId="18" fillId="27" borderId="81" xfId="251" applyFont="1" applyFill="1" applyBorder="1" applyAlignment="1">
      <alignment horizontal="left"/>
    </xf>
    <xf numFmtId="0" fontId="18" fillId="27" borderId="13" xfId="251" applyFont="1" applyFill="1" applyBorder="1" applyAlignment="1">
      <alignment horizontal="left"/>
    </xf>
    <xf numFmtId="0" fontId="18" fillId="27" borderId="33" xfId="251" applyFont="1" applyFill="1" applyBorder="1" applyAlignment="1">
      <alignment horizontal="left"/>
    </xf>
    <xf numFmtId="170" fontId="2" fillId="24" borderId="10" xfId="252" applyNumberFormat="1" applyFill="1" applyBorder="1"/>
    <xf numFmtId="170" fontId="2" fillId="0" borderId="10" xfId="252" applyNumberFormat="1" applyBorder="1"/>
    <xf numFmtId="169" fontId="2" fillId="24" borderId="10" xfId="253" applyNumberFormat="1" applyFill="1" applyBorder="1"/>
    <xf numFmtId="169" fontId="2" fillId="0" borderId="10" xfId="253" applyNumberFormat="1" applyBorder="1"/>
    <xf numFmtId="169" fontId="79" fillId="0" borderId="0" xfId="251" applyNumberFormat="1" applyFont="1"/>
    <xf numFmtId="169" fontId="81" fillId="29" borderId="10" xfId="253" applyNumberFormat="1" applyFont="1" applyFill="1" applyBorder="1"/>
    <xf numFmtId="166" fontId="2" fillId="0" borderId="0" xfId="251" applyNumberFormat="1"/>
    <xf numFmtId="166" fontId="2" fillId="24" borderId="10" xfId="253" applyFill="1" applyBorder="1"/>
    <xf numFmtId="169" fontId="2" fillId="29" borderId="10" xfId="253" applyNumberFormat="1" applyFill="1" applyBorder="1"/>
    <xf numFmtId="0" fontId="18" fillId="0" borderId="10" xfId="251" applyFont="1" applyBorder="1"/>
    <xf numFmtId="0" fontId="18" fillId="0" borderId="0" xfId="251" applyFont="1" applyFill="1" applyBorder="1" applyAlignment="1">
      <alignment vertical="top"/>
    </xf>
    <xf numFmtId="0" fontId="23" fillId="0" borderId="0" xfId="251" applyFont="1" applyFill="1" applyBorder="1"/>
    <xf numFmtId="0" fontId="18" fillId="0" borderId="32" xfId="46" applyFont="1" applyBorder="1" applyAlignment="1">
      <alignment vertical="center"/>
    </xf>
    <xf numFmtId="0" fontId="18" fillId="0" borderId="79" xfId="46" applyFont="1" applyFill="1" applyBorder="1" applyAlignment="1">
      <alignment horizontal="center" vertical="center" wrapText="1"/>
    </xf>
    <xf numFmtId="0" fontId="18" fillId="29" borderId="21" xfId="46" applyFont="1" applyFill="1" applyBorder="1" applyAlignment="1">
      <alignment horizontal="center" vertical="top" wrapText="1"/>
    </xf>
    <xf numFmtId="0" fontId="18" fillId="29" borderId="71" xfId="46" applyFont="1" applyFill="1" applyBorder="1" applyAlignment="1">
      <alignment horizontal="center" vertical="top" wrapText="1"/>
    </xf>
    <xf numFmtId="0" fontId="18" fillId="0" borderId="56" xfId="46" applyFont="1" applyBorder="1"/>
    <xf numFmtId="182" fontId="0" fillId="30" borderId="43" xfId="29" applyNumberFormat="1" applyFont="1" applyFill="1" applyBorder="1"/>
    <xf numFmtId="182" fontId="0" fillId="0" borderId="33" xfId="29" applyNumberFormat="1" applyFont="1" applyBorder="1"/>
    <xf numFmtId="0" fontId="15" fillId="30" borderId="27" xfId="46" applyFont="1" applyFill="1" applyBorder="1"/>
    <xf numFmtId="182" fontId="0" fillId="30" borderId="19" xfId="29" applyNumberFormat="1" applyFont="1" applyFill="1" applyBorder="1"/>
    <xf numFmtId="182" fontId="0" fillId="30" borderId="10" xfId="29" applyNumberFormat="1" applyFont="1" applyFill="1" applyBorder="1"/>
    <xf numFmtId="182" fontId="0" fillId="30" borderId="25" xfId="29" applyNumberFormat="1" applyFont="1" applyFill="1" applyBorder="1"/>
    <xf numFmtId="0" fontId="15" fillId="30" borderId="96" xfId="46" applyFont="1" applyFill="1" applyBorder="1"/>
    <xf numFmtId="182" fontId="0" fillId="30" borderId="17" xfId="29" applyNumberFormat="1" applyFont="1" applyFill="1" applyBorder="1"/>
    <xf numFmtId="182" fontId="0" fillId="30" borderId="74" xfId="29" applyNumberFormat="1" applyFont="1" applyFill="1" applyBorder="1"/>
    <xf numFmtId="0" fontId="15" fillId="30" borderId="78" xfId="46" applyFont="1" applyFill="1" applyBorder="1"/>
    <xf numFmtId="182" fontId="0" fillId="30" borderId="36" xfId="29" applyNumberFormat="1" applyFont="1" applyFill="1" applyBorder="1"/>
    <xf numFmtId="182" fontId="0" fillId="30" borderId="37" xfId="29" applyNumberFormat="1" applyFont="1" applyFill="1" applyBorder="1"/>
    <xf numFmtId="0" fontId="18" fillId="0" borderId="38" xfId="46" applyFont="1" applyBorder="1"/>
    <xf numFmtId="182" fontId="0" fillId="0" borderId="61" xfId="29" applyNumberFormat="1" applyFont="1" applyBorder="1"/>
    <xf numFmtId="182" fontId="0" fillId="0" borderId="34" xfId="29" applyNumberFormat="1" applyFont="1" applyBorder="1"/>
    <xf numFmtId="182" fontId="0" fillId="0" borderId="35" xfId="29" applyNumberFormat="1" applyFont="1" applyBorder="1"/>
    <xf numFmtId="0" fontId="0" fillId="0" borderId="0" xfId="0"/>
    <xf numFmtId="186" fontId="18" fillId="30" borderId="10" xfId="0" applyNumberFormat="1" applyFont="1" applyFill="1" applyBorder="1"/>
    <xf numFmtId="180" fontId="18" fillId="0" borderId="10" xfId="28" applyNumberFormat="1" applyFont="1" applyBorder="1"/>
    <xf numFmtId="180" fontId="18" fillId="0" borderId="25" xfId="28" applyNumberFormat="1" applyFont="1" applyBorder="1"/>
    <xf numFmtId="0" fontId="15" fillId="30" borderId="104" xfId="0" applyFont="1" applyFill="1" applyBorder="1" applyAlignment="1" applyProtection="1">
      <alignment vertical="center"/>
      <protection locked="0"/>
    </xf>
    <xf numFmtId="0" fontId="0" fillId="30" borderId="105" xfId="0" applyFill="1" applyBorder="1" applyAlignment="1" applyProtection="1">
      <alignment vertical="center"/>
      <protection locked="0"/>
    </xf>
    <xf numFmtId="0" fontId="0" fillId="30" borderId="106" xfId="0" applyFill="1" applyBorder="1" applyAlignment="1" applyProtection="1">
      <alignment vertical="center"/>
      <protection locked="0"/>
    </xf>
    <xf numFmtId="0" fontId="0" fillId="0" borderId="0" xfId="0" applyAlignment="1">
      <alignment horizontal="left"/>
    </xf>
    <xf numFmtId="0" fontId="15" fillId="0" borderId="0" xfId="0" applyFont="1" applyAlignment="1">
      <alignment horizontal="left" wrapText="1"/>
    </xf>
    <xf numFmtId="0" fontId="0" fillId="0" borderId="0" xfId="0" applyAlignment="1">
      <alignment horizontal="left" wrapText="1"/>
    </xf>
    <xf numFmtId="0" fontId="0" fillId="29" borderId="101" xfId="0" applyFill="1" applyBorder="1" applyAlignment="1" applyProtection="1">
      <alignment horizontal="left" vertical="center" wrapText="1"/>
      <protection locked="0"/>
    </xf>
    <xf numFmtId="0" fontId="0" fillId="29" borderId="102" xfId="0" applyFill="1" applyBorder="1" applyAlignment="1" applyProtection="1">
      <alignment horizontal="left" vertical="center" wrapText="1"/>
      <protection locked="0"/>
    </xf>
    <xf numFmtId="0" fontId="0" fillId="29" borderId="103" xfId="0" applyFill="1" applyBorder="1" applyAlignment="1" applyProtection="1">
      <alignment horizontal="left" vertical="center" wrapText="1"/>
      <protection locked="0"/>
    </xf>
    <xf numFmtId="0" fontId="0" fillId="30" borderId="101" xfId="0" applyFill="1" applyBorder="1" applyAlignment="1" applyProtection="1">
      <alignment vertical="center"/>
      <protection locked="0"/>
    </xf>
    <xf numFmtId="0" fontId="0" fillId="30" borderId="102" xfId="0" applyFill="1" applyBorder="1" applyAlignment="1" applyProtection="1">
      <alignment vertical="center"/>
      <protection locked="0"/>
    </xf>
    <xf numFmtId="0" fontId="0" fillId="30" borderId="103" xfId="0" applyFill="1" applyBorder="1" applyAlignment="1" applyProtection="1">
      <alignment vertical="center"/>
      <protection locked="0"/>
    </xf>
    <xf numFmtId="0" fontId="15" fillId="30" borderId="101" xfId="0" applyFont="1" applyFill="1" applyBorder="1" applyAlignment="1" applyProtection="1">
      <alignment vertical="center"/>
      <protection locked="0"/>
    </xf>
    <xf numFmtId="0" fontId="16" fillId="30" borderId="101" xfId="36" applyNumberFormat="1" applyFill="1" applyBorder="1" applyAlignment="1" applyProtection="1">
      <alignment vertical="center"/>
      <protection locked="0"/>
    </xf>
    <xf numFmtId="0" fontId="0" fillId="30" borderId="102" xfId="0" applyNumberFormat="1" applyFill="1" applyBorder="1" applyAlignment="1" applyProtection="1">
      <alignment vertical="center"/>
      <protection locked="0"/>
    </xf>
    <xf numFmtId="0" fontId="0" fillId="30" borderId="103" xfId="0" applyNumberFormat="1" applyFill="1" applyBorder="1" applyAlignment="1" applyProtection="1">
      <alignment vertical="center"/>
      <protection locked="0"/>
    </xf>
    <xf numFmtId="0" fontId="0" fillId="29" borderId="101" xfId="0" applyNumberFormat="1" applyFill="1" applyBorder="1" applyAlignment="1" applyProtection="1">
      <alignment horizontal="center" vertical="center"/>
      <protection locked="0"/>
    </xf>
    <xf numFmtId="0" fontId="0" fillId="29" borderId="102" xfId="0" applyNumberFormat="1" applyFill="1" applyBorder="1" applyAlignment="1" applyProtection="1">
      <alignment horizontal="center" vertical="center"/>
      <protection locked="0"/>
    </xf>
    <xf numFmtId="0" fontId="0" fillId="29" borderId="103" xfId="0" applyNumberFormat="1" applyFill="1" applyBorder="1" applyAlignment="1" applyProtection="1">
      <alignment horizontal="center" vertical="center"/>
      <protection locked="0"/>
    </xf>
    <xf numFmtId="0" fontId="38" fillId="0" borderId="48" xfId="0" applyFont="1" applyBorder="1" applyAlignment="1">
      <alignment horizontal="left" vertical="top" wrapText="1"/>
    </xf>
    <xf numFmtId="0" fontId="38" fillId="0" borderId="0" xfId="0" applyFont="1" applyBorder="1" applyAlignment="1">
      <alignment horizontal="left" vertical="top" wrapText="1"/>
    </xf>
    <xf numFmtId="0" fontId="15" fillId="0" borderId="0" xfId="46" applyFont="1" applyAlignment="1">
      <alignment horizontal="left" vertical="top" wrapText="1"/>
    </xf>
    <xf numFmtId="0" fontId="22" fillId="0" borderId="0" xfId="46" applyFont="1" applyAlignment="1">
      <alignment horizontal="center" vertical="top"/>
    </xf>
    <xf numFmtId="0" fontId="15" fillId="0" borderId="0" xfId="46" applyAlignment="1">
      <alignment horizontal="left" wrapText="1"/>
    </xf>
    <xf numFmtId="0" fontId="86" fillId="68" borderId="0" xfId="46" applyFont="1" applyFill="1" applyAlignment="1">
      <alignment horizontal="left" wrapText="1"/>
    </xf>
    <xf numFmtId="0" fontId="22" fillId="0" borderId="0" xfId="0" applyFont="1" applyAlignment="1">
      <alignment horizontal="center" vertical="top"/>
    </xf>
    <xf numFmtId="0" fontId="0" fillId="0" borderId="0" xfId="0" applyAlignment="1">
      <alignment horizontal="left" vertical="top" wrapText="1"/>
    </xf>
    <xf numFmtId="0" fontId="18" fillId="25" borderId="81" xfId="0" applyFont="1" applyFill="1" applyBorder="1" applyAlignment="1">
      <alignment horizontal="center"/>
    </xf>
    <xf numFmtId="0" fontId="18" fillId="25" borderId="13" xfId="0" applyFont="1" applyFill="1" applyBorder="1" applyAlignment="1">
      <alignment horizontal="center"/>
    </xf>
    <xf numFmtId="0" fontId="18" fillId="25" borderId="33" xfId="0" applyFont="1" applyFill="1" applyBorder="1" applyAlignment="1">
      <alignment horizontal="center"/>
    </xf>
    <xf numFmtId="0" fontId="15" fillId="0" borderId="0" xfId="0" applyFont="1" applyAlignment="1">
      <alignment horizontal="left" vertical="top" wrapText="1"/>
    </xf>
    <xf numFmtId="0" fontId="18" fillId="25" borderId="81" xfId="46" applyFont="1" applyFill="1" applyBorder="1" applyAlignment="1">
      <alignment horizontal="center"/>
    </xf>
    <xf numFmtId="0" fontId="18" fillId="25" borderId="13" xfId="46" applyFont="1" applyFill="1" applyBorder="1" applyAlignment="1">
      <alignment horizontal="center"/>
    </xf>
    <xf numFmtId="0" fontId="18" fillId="25" borderId="33" xfId="46" applyFont="1" applyFill="1" applyBorder="1" applyAlignment="1">
      <alignment horizontal="center"/>
    </xf>
    <xf numFmtId="0" fontId="15" fillId="0" borderId="0" xfId="46" applyAlignment="1">
      <alignment horizontal="left" vertical="top" wrapText="1"/>
    </xf>
    <xf numFmtId="0" fontId="18" fillId="0" borderId="0" xfId="46" applyFont="1" applyAlignment="1">
      <alignment horizontal="left" vertical="top" wrapText="1"/>
    </xf>
    <xf numFmtId="0" fontId="22" fillId="0" borderId="0" xfId="46" applyFont="1" applyAlignment="1">
      <alignment horizontal="center" vertical="center"/>
    </xf>
    <xf numFmtId="0" fontId="15" fillId="0" borderId="0" xfId="46" applyFont="1" applyAlignment="1">
      <alignment horizontal="left" vertical="center" wrapText="1"/>
    </xf>
    <xf numFmtId="0" fontId="18" fillId="25" borderId="99" xfId="46" applyFont="1" applyFill="1" applyBorder="1" applyAlignment="1">
      <alignment vertical="center"/>
    </xf>
    <xf numFmtId="0" fontId="18" fillId="25" borderId="38" xfId="46" applyFont="1" applyFill="1" applyBorder="1" applyAlignment="1">
      <alignment vertical="center"/>
    </xf>
    <xf numFmtId="0" fontId="18" fillId="25" borderId="79" xfId="46" applyFont="1" applyFill="1" applyBorder="1" applyAlignment="1">
      <alignment vertical="center"/>
    </xf>
    <xf numFmtId="0" fontId="18" fillId="25" borderId="34" xfId="46" applyFont="1" applyFill="1" applyBorder="1" applyAlignment="1">
      <alignment vertical="center"/>
    </xf>
    <xf numFmtId="0" fontId="18" fillId="25" borderId="42" xfId="46" applyFont="1" applyFill="1" applyBorder="1" applyAlignment="1">
      <alignment horizontal="center" vertical="center" wrapText="1"/>
    </xf>
    <xf numFmtId="0" fontId="15" fillId="0" borderId="41" xfId="46" applyBorder="1" applyAlignment="1">
      <alignment horizontal="center" wrapText="1"/>
    </xf>
    <xf numFmtId="0" fontId="18" fillId="0" borderId="0" xfId="46" applyFont="1" applyAlignment="1">
      <alignment horizontal="center" vertical="center"/>
    </xf>
    <xf numFmtId="0" fontId="22" fillId="0" borderId="0" xfId="46" applyFont="1" applyAlignment="1">
      <alignment horizontal="center"/>
    </xf>
    <xf numFmtId="169" fontId="18" fillId="25" borderId="42" xfId="46" applyNumberFormat="1" applyFont="1" applyFill="1" applyBorder="1" applyAlignment="1">
      <alignment horizontal="center" vertical="center" wrapText="1"/>
    </xf>
    <xf numFmtId="169" fontId="15" fillId="0" borderId="41" xfId="46" applyNumberFormat="1" applyBorder="1" applyAlignment="1">
      <alignment horizontal="center" wrapText="1"/>
    </xf>
    <xf numFmtId="0" fontId="18" fillId="0" borderId="0" xfId="46" applyFont="1" applyAlignment="1">
      <alignment vertical="top" wrapText="1"/>
    </xf>
    <xf numFmtId="0" fontId="15" fillId="0" borderId="0" xfId="46" applyFont="1" applyAlignment="1">
      <alignment horizontal="left" vertical="center"/>
    </xf>
    <xf numFmtId="170" fontId="18" fillId="25" borderId="42" xfId="46" applyNumberFormat="1" applyFont="1" applyFill="1" applyBorder="1" applyAlignment="1">
      <alignment horizontal="center" vertical="center" wrapText="1"/>
    </xf>
    <xf numFmtId="170" fontId="15" fillId="0" borderId="41" xfId="46" applyNumberFormat="1" applyBorder="1" applyAlignment="1">
      <alignment horizontal="center" wrapText="1"/>
    </xf>
    <xf numFmtId="0" fontId="18" fillId="25" borderId="41" xfId="46" applyFont="1" applyFill="1" applyBorder="1" applyAlignment="1">
      <alignment horizontal="center" vertical="center" wrapText="1"/>
    </xf>
    <xf numFmtId="0" fontId="18" fillId="0" borderId="0" xfId="46" applyFont="1" applyAlignment="1">
      <alignment horizontal="left" vertical="center" wrapText="1"/>
    </xf>
    <xf numFmtId="0" fontId="18" fillId="0" borderId="15" xfId="46" applyFont="1" applyBorder="1" applyAlignment="1">
      <alignment horizontal="left" vertical="center" wrapText="1"/>
    </xf>
    <xf numFmtId="0" fontId="22" fillId="0" borderId="0" xfId="46" applyFont="1" applyAlignment="1">
      <alignment horizontal="center" vertical="center" wrapText="1"/>
    </xf>
    <xf numFmtId="0" fontId="18" fillId="0" borderId="0" xfId="46" applyFont="1" applyAlignment="1">
      <alignment horizontal="center" vertical="center" wrapText="1"/>
    </xf>
    <xf numFmtId="0" fontId="15" fillId="0" borderId="0" xfId="46" applyAlignment="1">
      <alignment wrapText="1"/>
    </xf>
    <xf numFmtId="0" fontId="18" fillId="0" borderId="76" xfId="46" applyFont="1" applyFill="1" applyBorder="1" applyAlignment="1">
      <alignment vertical="center" wrapText="1"/>
    </xf>
    <xf numFmtId="0" fontId="18" fillId="0" borderId="77" xfId="46" applyFont="1" applyFill="1" applyBorder="1" applyAlignment="1">
      <alignment vertical="center" wrapText="1"/>
    </xf>
    <xf numFmtId="0" fontId="18" fillId="0" borderId="44" xfId="46" applyFont="1" applyFill="1" applyBorder="1" applyAlignment="1">
      <alignment vertical="center" wrapText="1"/>
    </xf>
    <xf numFmtId="0" fontId="18" fillId="0" borderId="48" xfId="46" applyFont="1" applyFill="1" applyBorder="1" applyAlignment="1">
      <alignment vertical="center" wrapText="1"/>
    </xf>
    <xf numFmtId="0" fontId="18" fillId="0" borderId="0" xfId="46" applyFont="1" applyFill="1" applyBorder="1" applyAlignment="1">
      <alignment vertical="center" wrapText="1"/>
    </xf>
    <xf numFmtId="0" fontId="18" fillId="0" borderId="29" xfId="46" applyFont="1" applyFill="1" applyBorder="1" applyAlignment="1">
      <alignment vertical="center" wrapText="1"/>
    </xf>
    <xf numFmtId="0" fontId="18" fillId="0" borderId="55" xfId="46" applyFont="1" applyFill="1" applyBorder="1" applyAlignment="1">
      <alignment vertical="center" wrapText="1"/>
    </xf>
    <xf numFmtId="0" fontId="18" fillId="0" borderId="12" xfId="46" applyFont="1" applyFill="1" applyBorder="1" applyAlignment="1">
      <alignment vertical="center" wrapText="1"/>
    </xf>
    <xf numFmtId="0" fontId="18" fillId="0" borderId="58" xfId="46" applyFont="1" applyFill="1" applyBorder="1" applyAlignment="1">
      <alignment vertical="center" wrapText="1"/>
    </xf>
    <xf numFmtId="0" fontId="18" fillId="0" borderId="76" xfId="46" applyFont="1" applyFill="1" applyBorder="1" applyAlignment="1">
      <alignment horizontal="center"/>
    </xf>
    <xf numFmtId="0" fontId="15" fillId="0" borderId="77" xfId="46" applyFill="1" applyBorder="1" applyAlignment="1"/>
    <xf numFmtId="0" fontId="15" fillId="0" borderId="44" xfId="46" applyFill="1" applyBorder="1" applyAlignment="1"/>
    <xf numFmtId="0" fontId="18" fillId="0" borderId="48" xfId="46" applyFont="1" applyFill="1" applyBorder="1" applyAlignment="1">
      <alignment horizontal="center"/>
    </xf>
    <xf numFmtId="0" fontId="15" fillId="0" borderId="0" xfId="46" applyFill="1" applyBorder="1" applyAlignment="1"/>
    <xf numFmtId="0" fontId="15" fillId="0" borderId="29" xfId="46" applyFill="1" applyBorder="1" applyAlignment="1"/>
    <xf numFmtId="0" fontId="18" fillId="0" borderId="45" xfId="46" applyFont="1" applyFill="1" applyBorder="1" applyAlignment="1">
      <alignment horizontal="center"/>
    </xf>
    <xf numFmtId="0" fontId="15" fillId="0" borderId="30" xfId="46" applyFill="1" applyBorder="1" applyAlignment="1"/>
    <xf numFmtId="0" fontId="15" fillId="0" borderId="31" xfId="46" applyFill="1" applyBorder="1" applyAlignment="1"/>
    <xf numFmtId="0" fontId="15" fillId="0" borderId="48" xfId="46" applyBorder="1" applyAlignment="1">
      <alignment horizontal="left" wrapText="1"/>
    </xf>
    <xf numFmtId="0" fontId="15" fillId="0" borderId="0" xfId="46" applyBorder="1" applyAlignment="1">
      <alignment horizontal="left" wrapText="1"/>
    </xf>
    <xf numFmtId="0" fontId="15" fillId="0" borderId="29" xfId="46" applyBorder="1" applyAlignment="1">
      <alignment horizontal="left" wrapText="1"/>
    </xf>
    <xf numFmtId="169" fontId="15" fillId="30" borderId="56" xfId="29" applyNumberFormat="1" applyFill="1" applyBorder="1" applyAlignment="1"/>
    <xf numFmtId="0" fontId="15" fillId="30" borderId="13" xfId="46" applyFill="1" applyBorder="1" applyAlignment="1"/>
    <xf numFmtId="0" fontId="15" fillId="30" borderId="51" xfId="46" applyFill="1" applyBorder="1" applyAlignment="1"/>
    <xf numFmtId="169" fontId="15" fillId="30" borderId="55" xfId="29" applyNumberFormat="1" applyFill="1" applyBorder="1" applyAlignment="1"/>
    <xf numFmtId="0" fontId="15" fillId="30" borderId="12" xfId="46" applyFill="1" applyBorder="1" applyAlignment="1"/>
    <xf numFmtId="0" fontId="15" fillId="30" borderId="58" xfId="46" applyFill="1" applyBorder="1" applyAlignment="1"/>
    <xf numFmtId="0" fontId="15" fillId="0" borderId="56" xfId="46" applyBorder="1" applyAlignment="1">
      <alignment horizontal="left" wrapText="1"/>
    </xf>
    <xf numFmtId="0" fontId="15" fillId="0" borderId="13" xfId="46" applyBorder="1" applyAlignment="1">
      <alignment horizontal="left" wrapText="1"/>
    </xf>
    <xf numFmtId="0" fontId="15" fillId="0" borderId="51" xfId="46" applyBorder="1" applyAlignment="1">
      <alignment horizontal="left" wrapText="1"/>
    </xf>
    <xf numFmtId="0" fontId="15" fillId="0" borderId="95" xfId="46" applyBorder="1" applyAlignment="1">
      <alignment horizontal="left" wrapText="1"/>
    </xf>
    <xf numFmtId="0" fontId="15" fillId="0" borderId="89" xfId="46" applyBorder="1" applyAlignment="1">
      <alignment horizontal="left" wrapText="1"/>
    </xf>
    <xf numFmtId="0" fontId="15" fillId="0" borderId="63" xfId="46" applyBorder="1" applyAlignment="1">
      <alignment horizontal="left" wrapText="1"/>
    </xf>
    <xf numFmtId="0" fontId="18" fillId="0" borderId="77" xfId="46" applyFont="1" applyFill="1" applyBorder="1" applyAlignment="1">
      <alignment horizontal="center"/>
    </xf>
    <xf numFmtId="0" fontId="18" fillId="0" borderId="44" xfId="46" applyFont="1" applyFill="1" applyBorder="1" applyAlignment="1">
      <alignment horizontal="center"/>
    </xf>
    <xf numFmtId="0" fontId="18" fillId="0" borderId="0" xfId="46" applyFont="1" applyFill="1" applyBorder="1" applyAlignment="1">
      <alignment horizontal="center"/>
    </xf>
    <xf numFmtId="0" fontId="18" fillId="0" borderId="29" xfId="46" applyFont="1" applyFill="1" applyBorder="1" applyAlignment="1">
      <alignment horizontal="center"/>
    </xf>
    <xf numFmtId="0" fontId="18" fillId="0" borderId="30" xfId="46" applyFont="1" applyFill="1" applyBorder="1" applyAlignment="1">
      <alignment horizontal="center"/>
    </xf>
    <xf numFmtId="0" fontId="18" fillId="0" borderId="31" xfId="46" applyFont="1" applyFill="1" applyBorder="1" applyAlignment="1">
      <alignment horizontal="center"/>
    </xf>
    <xf numFmtId="0" fontId="15" fillId="30" borderId="95" xfId="46" applyFill="1" applyBorder="1" applyAlignment="1">
      <alignment horizontal="left" wrapText="1"/>
    </xf>
    <xf numFmtId="0" fontId="15" fillId="30" borderId="89" xfId="46" applyFill="1" applyBorder="1" applyAlignment="1">
      <alignment horizontal="left" wrapText="1"/>
    </xf>
    <xf numFmtId="0" fontId="15" fillId="30" borderId="63" xfId="46" applyFill="1" applyBorder="1" applyAlignment="1">
      <alignment horizontal="left" wrapText="1"/>
    </xf>
    <xf numFmtId="169" fontId="15" fillId="30" borderId="95" xfId="29" applyNumberFormat="1" applyFill="1" applyBorder="1" applyAlignment="1"/>
    <xf numFmtId="0" fontId="15" fillId="30" borderId="89" xfId="46" applyFill="1" applyBorder="1" applyAlignment="1"/>
    <xf numFmtId="0" fontId="15" fillId="30" borderId="63" xfId="46" applyFill="1" applyBorder="1" applyAlignment="1"/>
    <xf numFmtId="0" fontId="18" fillId="0" borderId="65" xfId="46" applyFont="1" applyBorder="1" applyAlignment="1">
      <alignment horizontal="left" wrapText="1"/>
    </xf>
    <xf numFmtId="0" fontId="18" fillId="0" borderId="115" xfId="46" applyFont="1" applyBorder="1" applyAlignment="1">
      <alignment horizontal="left" wrapText="1"/>
    </xf>
    <xf numFmtId="0" fontId="18" fillId="0" borderId="116" xfId="46" applyFont="1" applyBorder="1" applyAlignment="1">
      <alignment horizontal="left" wrapText="1"/>
    </xf>
    <xf numFmtId="169" fontId="15" fillId="30" borderId="65" xfId="29" applyNumberFormat="1" applyFill="1" applyBorder="1" applyAlignment="1"/>
    <xf numFmtId="0" fontId="15" fillId="30" borderId="115" xfId="46" applyFill="1" applyBorder="1" applyAlignment="1"/>
    <xf numFmtId="0" fontId="15" fillId="30" borderId="116" xfId="46" applyFill="1" applyBorder="1" applyAlignment="1"/>
    <xf numFmtId="0" fontId="15" fillId="30" borderId="62" xfId="46" applyFill="1" applyBorder="1" applyAlignment="1">
      <alignment horizontal="left" wrapText="1"/>
    </xf>
    <xf numFmtId="0" fontId="15" fillId="30" borderId="14" xfId="46" applyFill="1" applyBorder="1" applyAlignment="1">
      <alignment horizontal="left" wrapText="1"/>
    </xf>
    <xf numFmtId="0" fontId="15" fillId="30" borderId="114" xfId="46" applyFill="1" applyBorder="1" applyAlignment="1">
      <alignment horizontal="left" wrapText="1"/>
    </xf>
    <xf numFmtId="0" fontId="18" fillId="0" borderId="45" xfId="46" applyFont="1" applyBorder="1" applyAlignment="1">
      <alignment horizontal="left" wrapText="1"/>
    </xf>
    <xf numFmtId="0" fontId="18" fillId="0" borderId="30" xfId="46" applyFont="1" applyBorder="1" applyAlignment="1">
      <alignment horizontal="left" wrapText="1"/>
    </xf>
    <xf numFmtId="0" fontId="18" fillId="0" borderId="31" xfId="46" applyFont="1" applyBorder="1" applyAlignment="1">
      <alignment horizontal="left" wrapText="1"/>
    </xf>
    <xf numFmtId="169" fontId="15" fillId="30" borderId="97" xfId="29" applyNumberFormat="1" applyFill="1" applyBorder="1" applyAlignment="1"/>
    <xf numFmtId="0" fontId="15" fillId="30" borderId="110" xfId="46" applyFill="1" applyBorder="1" applyAlignment="1"/>
    <xf numFmtId="0" fontId="15" fillId="30" borderId="88" xfId="46" applyFill="1" applyBorder="1" applyAlignment="1"/>
    <xf numFmtId="0" fontId="18" fillId="0" borderId="0" xfId="46" applyFont="1" applyAlignment="1">
      <alignment horizontal="center" vertical="top"/>
    </xf>
    <xf numFmtId="0" fontId="15" fillId="0" borderId="0" xfId="46" applyFont="1" applyAlignment="1">
      <alignment horizontal="left" wrapText="1"/>
    </xf>
    <xf numFmtId="0" fontId="15" fillId="0" borderId="0" xfId="46" applyFont="1" applyAlignment="1">
      <alignment wrapText="1"/>
    </xf>
    <xf numFmtId="0" fontId="18" fillId="0" borderId="0" xfId="46" applyFont="1" applyAlignment="1">
      <alignment horizontal="center" vertical="top" wrapText="1"/>
    </xf>
    <xf numFmtId="0" fontId="58" fillId="0" borderId="0" xfId="47" applyFont="1" applyAlignment="1">
      <alignment horizontal="left" vertical="center" wrapText="1"/>
    </xf>
    <xf numFmtId="0" fontId="58" fillId="0" borderId="81" xfId="47" applyFont="1" applyBorder="1" applyAlignment="1">
      <alignment horizontal="center"/>
    </xf>
    <xf numFmtId="0" fontId="58" fillId="0" borderId="13" xfId="47" applyFont="1" applyBorder="1" applyAlignment="1">
      <alignment horizontal="center"/>
    </xf>
    <xf numFmtId="0" fontId="58" fillId="0" borderId="33" xfId="47" applyFont="1" applyBorder="1" applyAlignment="1">
      <alignment horizontal="center"/>
    </xf>
    <xf numFmtId="0" fontId="15" fillId="0" borderId="0" xfId="46" applyAlignment="1">
      <alignment horizontal="center"/>
    </xf>
    <xf numFmtId="0" fontId="15" fillId="0" borderId="0" xfId="46" applyAlignment="1"/>
    <xf numFmtId="0" fontId="62" fillId="0" borderId="0" xfId="47" applyFont="1" applyAlignment="1">
      <alignment horizontal="center" vertical="center"/>
    </xf>
    <xf numFmtId="0" fontId="0" fillId="0" borderId="0" xfId="0" applyAlignment="1">
      <alignment wrapText="1"/>
    </xf>
    <xf numFmtId="0" fontId="54" fillId="0" borderId="0" xfId="0" applyFont="1" applyAlignment="1">
      <alignment horizontal="left" vertical="top" wrapText="1"/>
    </xf>
    <xf numFmtId="0" fontId="51" fillId="0" borderId="0" xfId="0" applyFont="1" applyAlignment="1">
      <alignment wrapText="1"/>
    </xf>
    <xf numFmtId="0" fontId="18" fillId="0" borderId="55" xfId="0" applyFont="1" applyBorder="1" applyAlignment="1">
      <alignment horizontal="left"/>
    </xf>
    <xf numFmtId="0" fontId="18" fillId="0" borderId="16" xfId="0" applyFont="1" applyBorder="1" applyAlignment="1">
      <alignment horizontal="left"/>
    </xf>
    <xf numFmtId="0" fontId="15" fillId="0" borderId="0" xfId="0" applyFont="1" applyAlignment="1">
      <alignment horizontal="left" vertical="center" wrapText="1"/>
    </xf>
    <xf numFmtId="0" fontId="0" fillId="0" borderId="0" xfId="0" applyAlignment="1">
      <alignment horizontal="left" vertical="center" wrapText="1"/>
    </xf>
    <xf numFmtId="0" fontId="15" fillId="0" borderId="56" xfId="0" applyFont="1" applyBorder="1" applyAlignment="1">
      <alignment horizontal="left"/>
    </xf>
    <xf numFmtId="0" fontId="0" fillId="0" borderId="33" xfId="0" applyBorder="1" applyAlignment="1">
      <alignment horizontal="left"/>
    </xf>
    <xf numFmtId="0" fontId="15" fillId="0" borderId="48" xfId="0" applyFont="1" applyBorder="1" applyAlignment="1">
      <alignment horizontal="left"/>
    </xf>
    <xf numFmtId="0" fontId="0" fillId="0" borderId="15" xfId="0" applyBorder="1" applyAlignment="1">
      <alignment horizontal="left"/>
    </xf>
    <xf numFmtId="0" fontId="15" fillId="30" borderId="56" xfId="0" applyFont="1" applyFill="1" applyBorder="1" applyAlignment="1">
      <alignment horizontal="left"/>
    </xf>
    <xf numFmtId="0" fontId="0" fillId="30" borderId="33" xfId="0" applyFill="1" applyBorder="1" applyAlignment="1">
      <alignment horizontal="left"/>
    </xf>
    <xf numFmtId="0" fontId="0" fillId="30" borderId="62" xfId="0" applyFill="1" applyBorder="1" applyAlignment="1">
      <alignment horizontal="left"/>
    </xf>
    <xf numFmtId="0" fontId="0" fillId="30" borderId="92" xfId="0" applyFill="1" applyBorder="1" applyAlignment="1">
      <alignment horizontal="left"/>
    </xf>
    <xf numFmtId="0" fontId="18" fillId="0" borderId="45" xfId="0" applyFont="1" applyBorder="1" applyAlignment="1">
      <alignment horizontal="left"/>
    </xf>
    <xf numFmtId="0" fontId="18" fillId="0" borderId="39" xfId="0" applyFont="1" applyBorder="1" applyAlignment="1">
      <alignment horizontal="left"/>
    </xf>
    <xf numFmtId="0" fontId="15" fillId="0" borderId="55" xfId="0" applyFont="1" applyBorder="1" applyAlignment="1">
      <alignment horizontal="left"/>
    </xf>
    <xf numFmtId="0" fontId="0" fillId="0" borderId="16" xfId="0" applyBorder="1" applyAlignment="1">
      <alignment horizontal="left"/>
    </xf>
    <xf numFmtId="0" fontId="22" fillId="0" borderId="0" xfId="0" applyFont="1" applyAlignment="1">
      <alignment horizontal="center"/>
    </xf>
    <xf numFmtId="0" fontId="0" fillId="26" borderId="27" xfId="0" applyFill="1" applyBorder="1" applyAlignment="1">
      <alignment horizontal="center"/>
    </xf>
    <xf numFmtId="0" fontId="0" fillId="26" borderId="10" xfId="0" applyFill="1" applyBorder="1" applyAlignment="1">
      <alignment horizontal="center"/>
    </xf>
    <xf numFmtId="0" fontId="0" fillId="26" borderId="81" xfId="0" applyFill="1" applyBorder="1" applyAlignment="1">
      <alignment horizontal="center"/>
    </xf>
    <xf numFmtId="0" fontId="0" fillId="26" borderId="25" xfId="0" applyFill="1" applyBorder="1" applyAlignment="1">
      <alignment horizontal="center"/>
    </xf>
    <xf numFmtId="0" fontId="18" fillId="0" borderId="27" xfId="0" applyFont="1" applyBorder="1" applyAlignment="1">
      <alignment horizontal="left"/>
    </xf>
    <xf numFmtId="0" fontId="18" fillId="0" borderId="10" xfId="0" applyFont="1" applyBorder="1" applyAlignment="1">
      <alignment horizontal="left"/>
    </xf>
    <xf numFmtId="0" fontId="18" fillId="71" borderId="27" xfId="0" applyFont="1" applyFill="1" applyBorder="1" applyAlignment="1">
      <alignment horizontal="left"/>
    </xf>
    <xf numFmtId="0" fontId="18" fillId="71" borderId="10" xfId="0" applyFont="1" applyFill="1" applyBorder="1" applyAlignment="1">
      <alignment horizontal="left"/>
    </xf>
    <xf numFmtId="0" fontId="18" fillId="70" borderId="78" xfId="0" applyFont="1" applyFill="1" applyBorder="1" applyAlignment="1">
      <alignment horizontal="left"/>
    </xf>
    <xf numFmtId="0" fontId="18" fillId="70" borderId="36" xfId="0" applyFont="1" applyFill="1" applyBorder="1" applyAlignment="1">
      <alignment horizontal="left"/>
    </xf>
    <xf numFmtId="0" fontId="18" fillId="0" borderId="65" xfId="0" applyFont="1" applyBorder="1" applyAlignment="1">
      <alignment horizontal="left"/>
    </xf>
    <xf numFmtId="0" fontId="18" fillId="0" borderId="57" xfId="0" applyFont="1" applyBorder="1" applyAlignment="1">
      <alignment horizontal="left"/>
    </xf>
    <xf numFmtId="0" fontId="46" fillId="0" borderId="56" xfId="0" applyFont="1" applyBorder="1" applyAlignment="1">
      <alignment horizontal="left"/>
    </xf>
    <xf numFmtId="0" fontId="46" fillId="0" borderId="13" xfId="0" applyFont="1" applyBorder="1" applyAlignment="1">
      <alignment horizontal="left"/>
    </xf>
    <xf numFmtId="0" fontId="46" fillId="0" borderId="51" xfId="0" applyFont="1" applyBorder="1" applyAlignment="1">
      <alignment horizontal="left"/>
    </xf>
    <xf numFmtId="44" fontId="18" fillId="0" borderId="93" xfId="29" applyFont="1" applyFill="1" applyBorder="1" applyAlignment="1">
      <alignment vertical="top"/>
    </xf>
    <xf numFmtId="44" fontId="18" fillId="0" borderId="23" xfId="29" applyFont="1" applyFill="1" applyBorder="1" applyAlignment="1">
      <alignment vertical="top"/>
    </xf>
    <xf numFmtId="0" fontId="18" fillId="0" borderId="93" xfId="0" applyFont="1" applyBorder="1" applyAlignment="1">
      <alignment horizontal="left"/>
    </xf>
    <xf numFmtId="0" fontId="18" fillId="0" borderId="23" xfId="0" applyFont="1" applyBorder="1" applyAlignment="1">
      <alignment horizontal="left"/>
    </xf>
    <xf numFmtId="0" fontId="20" fillId="0" borderId="0" xfId="0" quotePrefix="1" applyFont="1" applyAlignment="1">
      <alignment horizontal="center"/>
    </xf>
    <xf numFmtId="0" fontId="88" fillId="0" borderId="30" xfId="0" applyFont="1" applyBorder="1" applyAlignment="1">
      <alignment horizontal="center" wrapText="1"/>
    </xf>
    <xf numFmtId="0" fontId="18" fillId="0" borderId="94" xfId="0" applyFont="1" applyBorder="1" applyAlignment="1">
      <alignment horizontal="left"/>
    </xf>
    <xf numFmtId="0" fontId="18" fillId="0" borderId="53" xfId="0" applyFont="1" applyBorder="1" applyAlignment="1">
      <alignment horizontal="left"/>
    </xf>
    <xf numFmtId="0" fontId="18" fillId="25" borderId="42" xfId="0" applyFont="1" applyFill="1" applyBorder="1" applyAlignment="1">
      <alignment horizontal="left"/>
    </xf>
    <xf numFmtId="0" fontId="18" fillId="25" borderId="41" xfId="0" applyFont="1" applyFill="1" applyBorder="1" applyAlignment="1">
      <alignment horizontal="left"/>
    </xf>
    <xf numFmtId="0" fontId="18" fillId="25" borderId="42" xfId="0" applyFont="1" applyFill="1" applyBorder="1" applyAlignment="1">
      <alignment horizontal="center" vertical="center" wrapText="1"/>
    </xf>
    <xf numFmtId="0" fontId="18" fillId="25" borderId="41"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25" borderId="49" xfId="0" applyFont="1" applyFill="1" applyBorder="1" applyAlignment="1">
      <alignment horizontal="center" vertical="center" wrapText="1"/>
    </xf>
    <xf numFmtId="0" fontId="18" fillId="25" borderId="53" xfId="0"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horizontal="left" vertical="top"/>
    </xf>
    <xf numFmtId="0" fontId="22" fillId="0" borderId="0" xfId="0" applyFont="1" applyAlignment="1">
      <alignment horizontal="center" vertical="center"/>
    </xf>
    <xf numFmtId="0" fontId="66" fillId="0" borderId="0" xfId="46" applyFont="1" applyFill="1" applyBorder="1" applyAlignment="1">
      <alignment horizontal="center" vertical="center" wrapText="1"/>
    </xf>
    <xf numFmtId="0" fontId="15" fillId="0" borderId="0" xfId="46" applyAlignment="1">
      <alignment vertical="top" wrapText="1"/>
    </xf>
    <xf numFmtId="0" fontId="18" fillId="27" borderId="81" xfId="251" applyFont="1" applyFill="1" applyBorder="1" applyAlignment="1">
      <alignment horizontal="left"/>
    </xf>
    <xf numFmtId="0" fontId="18" fillId="27" borderId="13" xfId="251" applyFont="1" applyFill="1" applyBorder="1" applyAlignment="1">
      <alignment horizontal="left"/>
    </xf>
    <xf numFmtId="0" fontId="18" fillId="27" borderId="33" xfId="251" applyFont="1" applyFill="1" applyBorder="1" applyAlignment="1">
      <alignment horizontal="left"/>
    </xf>
    <xf numFmtId="0" fontId="22" fillId="0" borderId="0" xfId="251" applyFont="1" applyAlignment="1">
      <alignment horizontal="center"/>
    </xf>
    <xf numFmtId="0" fontId="2" fillId="27" borderId="81" xfId="251" applyFill="1" applyBorder="1" applyAlignment="1">
      <alignment horizontal="left"/>
    </xf>
    <xf numFmtId="0" fontId="2" fillId="27" borderId="13" xfId="251" applyFill="1" applyBorder="1" applyAlignment="1">
      <alignment horizontal="left"/>
    </xf>
    <xf numFmtId="0" fontId="2" fillId="27" borderId="33" xfId="251" applyFill="1" applyBorder="1" applyAlignment="1">
      <alignment horizontal="left"/>
    </xf>
    <xf numFmtId="0" fontId="15" fillId="0" borderId="0" xfId="0" applyFont="1" applyAlignment="1">
      <alignment horizontal="left"/>
    </xf>
    <xf numFmtId="0" fontId="18" fillId="0" borderId="56" xfId="0" applyFont="1" applyBorder="1" applyAlignment="1">
      <alignment horizontal="left"/>
    </xf>
    <xf numFmtId="0" fontId="18" fillId="0" borderId="33" xfId="0" applyFont="1" applyBorder="1" applyAlignment="1">
      <alignment horizontal="left"/>
    </xf>
    <xf numFmtId="0" fontId="18" fillId="0" borderId="97" xfId="0" applyFont="1" applyBorder="1" applyAlignment="1">
      <alignment horizontal="left"/>
    </xf>
    <xf numFmtId="0" fontId="18" fillId="0" borderId="87" xfId="0" applyFont="1" applyBorder="1" applyAlignment="1">
      <alignment horizontal="left"/>
    </xf>
    <xf numFmtId="0" fontId="18" fillId="0" borderId="56" xfId="0" applyFont="1" applyBorder="1" applyAlignment="1">
      <alignment horizontal="left" vertical="top" wrapText="1"/>
    </xf>
    <xf numFmtId="0" fontId="18" fillId="0" borderId="33" xfId="0" applyFont="1" applyBorder="1" applyAlignment="1">
      <alignment horizontal="left" vertical="top" wrapText="1"/>
    </xf>
    <xf numFmtId="0" fontId="86" fillId="0" borderId="93" xfId="0" applyFont="1" applyBorder="1" applyAlignment="1">
      <alignment horizontal="left" vertical="center"/>
    </xf>
    <xf numFmtId="0" fontId="86" fillId="0" borderId="23" xfId="0" applyFont="1" applyBorder="1" applyAlignment="1">
      <alignment horizontal="left" vertical="center"/>
    </xf>
    <xf numFmtId="0" fontId="18" fillId="0" borderId="32" xfId="0" applyFont="1" applyBorder="1" applyAlignment="1">
      <alignment horizontal="left" vertical="center"/>
    </xf>
    <xf numFmtId="0" fontId="18" fillId="0" borderId="24" xfId="0" applyFont="1" applyBorder="1" applyAlignment="1">
      <alignment horizontal="left" vertical="center"/>
    </xf>
    <xf numFmtId="0" fontId="0" fillId="0" borderId="27" xfId="0" quotePrefix="1" applyBorder="1" applyAlignment="1">
      <alignment horizontal="center"/>
    </xf>
    <xf numFmtId="0" fontId="0" fillId="0" borderId="10" xfId="0" quotePrefix="1" applyBorder="1" applyAlignment="1">
      <alignment horizontal="center"/>
    </xf>
    <xf numFmtId="0" fontId="18" fillId="25" borderId="0" xfId="46" applyFont="1" applyFill="1" applyBorder="1" applyAlignment="1">
      <alignment horizontal="center" wrapText="1"/>
    </xf>
    <xf numFmtId="0" fontId="18" fillId="25" borderId="96" xfId="46" applyFont="1" applyFill="1" applyBorder="1" applyAlignment="1"/>
    <xf numFmtId="0" fontId="15" fillId="25" borderId="82" xfId="46" applyFill="1" applyBorder="1" applyAlignment="1"/>
    <xf numFmtId="0" fontId="18" fillId="25" borderId="17" xfId="46" applyFont="1" applyFill="1" applyBorder="1" applyAlignment="1"/>
    <xf numFmtId="0" fontId="15" fillId="25" borderId="19" xfId="46" applyFill="1" applyBorder="1" applyAlignment="1"/>
    <xf numFmtId="0" fontId="20" fillId="0" borderId="0" xfId="46" applyFont="1" applyAlignment="1">
      <alignment horizontal="center"/>
    </xf>
    <xf numFmtId="0" fontId="18" fillId="25" borderId="49" xfId="46" applyFont="1" applyFill="1" applyBorder="1" applyAlignment="1">
      <alignment horizontal="center"/>
    </xf>
    <xf numFmtId="0" fontId="18" fillId="25" borderId="50" xfId="46" applyFont="1" applyFill="1" applyBorder="1" applyAlignment="1">
      <alignment horizontal="center"/>
    </xf>
    <xf numFmtId="0" fontId="18" fillId="25" borderId="79" xfId="46" applyFont="1" applyFill="1" applyBorder="1" applyAlignment="1">
      <alignment horizontal="center" vertical="center" wrapText="1"/>
    </xf>
    <xf numFmtId="0" fontId="18" fillId="25" borderId="11" xfId="46" applyFont="1" applyFill="1" applyBorder="1" applyAlignment="1">
      <alignment horizontal="center" vertical="center" wrapText="1"/>
    </xf>
    <xf numFmtId="0" fontId="18" fillId="25" borderId="19" xfId="46" applyFont="1" applyFill="1" applyBorder="1" applyAlignment="1">
      <alignment horizontal="center" vertical="center" wrapText="1"/>
    </xf>
    <xf numFmtId="0" fontId="18" fillId="25" borderId="79" xfId="46" applyFont="1" applyFill="1" applyBorder="1" applyAlignment="1">
      <alignment horizontal="center" wrapText="1"/>
    </xf>
    <xf numFmtId="0" fontId="18" fillId="25" borderId="19" xfId="46" applyFont="1" applyFill="1" applyBorder="1" applyAlignment="1">
      <alignment horizontal="center" wrapText="1"/>
    </xf>
    <xf numFmtId="0" fontId="18" fillId="25" borderId="80" xfId="46" applyFont="1" applyFill="1" applyBorder="1" applyAlignment="1">
      <alignment horizontal="center" wrapText="1"/>
    </xf>
    <xf numFmtId="0" fontId="18" fillId="25" borderId="68" xfId="46" applyFont="1" applyFill="1" applyBorder="1" applyAlignment="1">
      <alignment horizontal="center" wrapText="1"/>
    </xf>
    <xf numFmtId="0" fontId="18" fillId="25" borderId="32" xfId="46" applyFont="1" applyFill="1" applyBorder="1" applyAlignment="1">
      <alignment horizontal="center"/>
    </xf>
    <xf numFmtId="0" fontId="18" fillId="25" borderId="24" xfId="46" applyFont="1" applyFill="1" applyBorder="1" applyAlignment="1">
      <alignment horizontal="center"/>
    </xf>
    <xf numFmtId="0" fontId="15" fillId="25" borderId="19" xfId="46" applyFill="1" applyBorder="1" applyAlignment="1">
      <alignment horizontal="center" vertical="center" wrapText="1"/>
    </xf>
    <xf numFmtId="0" fontId="18" fillId="25" borderId="24" xfId="46" applyFont="1" applyFill="1" applyBorder="1" applyAlignment="1">
      <alignment horizontal="center" wrapText="1"/>
    </xf>
    <xf numFmtId="0" fontId="18" fillId="25" borderId="10" xfId="46" applyFont="1" applyFill="1" applyBorder="1" applyAlignment="1">
      <alignment horizontal="center" wrapText="1"/>
    </xf>
    <xf numFmtId="0" fontId="18" fillId="25" borderId="66" xfId="46" applyFont="1" applyFill="1" applyBorder="1" applyAlignment="1">
      <alignment horizontal="center" wrapText="1"/>
    </xf>
    <xf numFmtId="0" fontId="18" fillId="25" borderId="25" xfId="46" applyFont="1" applyFill="1" applyBorder="1" applyAlignment="1">
      <alignment horizontal="center" wrapText="1"/>
    </xf>
    <xf numFmtId="0" fontId="18" fillId="25" borderId="24" xfId="46" applyFont="1" applyFill="1" applyBorder="1" applyAlignment="1">
      <alignment horizontal="center" vertical="center" wrapText="1"/>
    </xf>
    <xf numFmtId="0" fontId="18" fillId="25" borderId="10" xfId="46" applyFont="1" applyFill="1" applyBorder="1" applyAlignment="1">
      <alignment horizontal="center" vertical="center" wrapText="1"/>
    </xf>
    <xf numFmtId="0" fontId="15" fillId="25" borderId="10" xfId="46" applyFill="1" applyBorder="1" applyAlignment="1">
      <alignment horizontal="center" vertical="center" wrapText="1"/>
    </xf>
    <xf numFmtId="49" fontId="18" fillId="68" borderId="81" xfId="46" applyNumberFormat="1" applyFont="1" applyFill="1" applyBorder="1" applyAlignment="1" applyProtection="1">
      <alignment horizontal="center"/>
    </xf>
    <xf numFmtId="49" fontId="18" fillId="68" borderId="13" xfId="46" applyNumberFormat="1" applyFont="1" applyFill="1" applyBorder="1" applyAlignment="1" applyProtection="1">
      <alignment horizontal="center"/>
    </xf>
    <xf numFmtId="49" fontId="18" fillId="68" borderId="33" xfId="46" applyNumberFormat="1" applyFont="1" applyFill="1" applyBorder="1" applyAlignment="1" applyProtection="1">
      <alignment horizontal="center"/>
    </xf>
    <xf numFmtId="0" fontId="22" fillId="0" borderId="0" xfId="46" applyFont="1" applyFill="1" applyAlignment="1" applyProtection="1">
      <alignment horizontal="center" vertical="center"/>
    </xf>
    <xf numFmtId="0" fontId="86" fillId="0" borderId="0" xfId="46" applyFont="1" applyAlignment="1" applyProtection="1">
      <alignment horizontal="center" vertical="center"/>
    </xf>
    <xf numFmtId="0" fontId="18" fillId="0" borderId="0" xfId="46" applyFont="1" applyBorder="1" applyAlignment="1" applyProtection="1">
      <alignment horizontal="right" wrapText="1"/>
    </xf>
    <xf numFmtId="0" fontId="15" fillId="0" borderId="12" xfId="46" applyBorder="1" applyAlignment="1">
      <alignment wrapText="1"/>
    </xf>
    <xf numFmtId="0" fontId="18" fillId="0" borderId="12" xfId="46" applyFont="1" applyBorder="1" applyAlignment="1" applyProtection="1">
      <alignment horizontal="center" vertical="center"/>
    </xf>
    <xf numFmtId="0" fontId="21" fillId="0" borderId="0" xfId="46" applyFont="1" applyBorder="1" applyAlignment="1" applyProtection="1">
      <alignment horizontal="left"/>
    </xf>
    <xf numFmtId="0" fontId="90" fillId="0" borderId="0" xfId="46" applyFont="1" applyAlignment="1" applyProtection="1"/>
    <xf numFmtId="0" fontId="90" fillId="30" borderId="0" xfId="46" applyFont="1" applyFill="1" applyAlignment="1" applyProtection="1">
      <protection locked="0"/>
    </xf>
    <xf numFmtId="0" fontId="86" fillId="0" borderId="0" xfId="0" applyFont="1" applyAlignment="1">
      <alignment horizontal="center" vertical="center"/>
    </xf>
    <xf numFmtId="0" fontId="15" fillId="71" borderId="0" xfId="0" applyFont="1" applyFill="1" applyAlignment="1">
      <alignment horizontal="left" vertical="top"/>
    </xf>
    <xf numFmtId="0" fontId="18" fillId="0" borderId="0" xfId="0" applyFont="1" applyFill="1" applyAlignment="1">
      <alignment horizontal="left" vertical="center" wrapText="1"/>
    </xf>
    <xf numFmtId="0" fontId="15" fillId="0" borderId="0" xfId="0" applyFont="1" applyFill="1" applyAlignment="1">
      <alignment horizontal="left" vertical="top"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18" fillId="0" borderId="82" xfId="0" applyFont="1" applyFill="1" applyBorder="1" applyAlignment="1">
      <alignment vertical="top" wrapText="1"/>
    </xf>
    <xf numFmtId="0" fontId="18" fillId="0" borderId="19" xfId="0" applyFont="1" applyFill="1" applyBorder="1" applyAlignment="1">
      <alignment vertical="top" wrapText="1"/>
    </xf>
    <xf numFmtId="0" fontId="18" fillId="0" borderId="27" xfId="0" applyFont="1" applyFill="1" applyBorder="1" applyAlignment="1">
      <alignment vertical="top" wrapText="1"/>
    </xf>
    <xf numFmtId="0" fontId="18" fillId="0" borderId="10" xfId="0" applyFont="1" applyFill="1" applyBorder="1" applyAlignment="1">
      <alignment vertical="top" wrapText="1"/>
    </xf>
    <xf numFmtId="0" fontId="18" fillId="0" borderId="1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0" xfId="0" applyFont="1" applyAlignment="1">
      <alignment horizontal="left" wrapText="1"/>
    </xf>
    <xf numFmtId="0" fontId="18" fillId="0" borderId="99" xfId="0" applyFont="1" applyFill="1" applyBorder="1" applyAlignment="1">
      <alignment horizontal="left"/>
    </xf>
    <xf numFmtId="0" fontId="18" fillId="0" borderId="79" xfId="0" applyFont="1" applyFill="1" applyBorder="1" applyAlignment="1">
      <alignment horizontal="left"/>
    </xf>
    <xf numFmtId="0" fontId="18" fillId="0" borderId="68"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0" fillId="0" borderId="56" xfId="0" applyBorder="1" applyAlignment="1">
      <alignment horizontal="left"/>
    </xf>
    <xf numFmtId="0" fontId="15" fillId="0" borderId="0" xfId="0" applyFont="1" applyFill="1" applyAlignment="1">
      <alignment horizontal="left" vertical="top"/>
    </xf>
    <xf numFmtId="0" fontId="0" fillId="0" borderId="56" xfId="0" applyBorder="1" applyAlignment="1">
      <alignment horizontal="left" vertical="top" wrapText="1"/>
    </xf>
    <xf numFmtId="0" fontId="0" fillId="0" borderId="33" xfId="0" applyBorder="1" applyAlignment="1">
      <alignment horizontal="left" vertical="top" wrapText="1"/>
    </xf>
    <xf numFmtId="0" fontId="0" fillId="0" borderId="27" xfId="0" applyFill="1" applyBorder="1" applyAlignment="1">
      <alignment horizontal="left" vertical="center" wrapText="1"/>
    </xf>
    <xf numFmtId="0" fontId="0" fillId="0" borderId="10" xfId="0" applyFill="1" applyBorder="1" applyAlignment="1">
      <alignment horizontal="left" vertical="center" wrapText="1"/>
    </xf>
    <xf numFmtId="0" fontId="15" fillId="0" borderId="96" xfId="0" applyFont="1" applyBorder="1" applyAlignment="1">
      <alignment horizontal="left" vertical="center" wrapText="1"/>
    </xf>
    <xf numFmtId="0" fontId="15" fillId="0" borderId="17" xfId="0" applyFont="1" applyBorder="1" applyAlignment="1">
      <alignment horizontal="left" vertical="center" wrapText="1"/>
    </xf>
    <xf numFmtId="0" fontId="18" fillId="0" borderId="100" xfId="0" applyFont="1" applyBorder="1" applyAlignment="1">
      <alignment horizontal="left"/>
    </xf>
    <xf numFmtId="0" fontId="18" fillId="0" borderId="90" xfId="0" applyFont="1" applyBorder="1" applyAlignment="1">
      <alignment horizontal="left"/>
    </xf>
    <xf numFmtId="0" fontId="0" fillId="0" borderId="56" xfId="0" applyBorder="1" applyAlignment="1">
      <alignment vertical="top" wrapText="1"/>
    </xf>
    <xf numFmtId="0" fontId="0" fillId="0" borderId="33" xfId="0" applyBorder="1" applyAlignment="1">
      <alignment vertical="top" wrapText="1"/>
    </xf>
    <xf numFmtId="0" fontId="15" fillId="0" borderId="97" xfId="0" applyFont="1" applyFill="1" applyBorder="1" applyAlignment="1">
      <alignment horizontal="left" vertical="top" wrapText="1"/>
    </xf>
    <xf numFmtId="0" fontId="15" fillId="0" borderId="87" xfId="0" applyFont="1" applyFill="1" applyBorder="1" applyAlignment="1">
      <alignment horizontal="left" vertical="top" wrapText="1"/>
    </xf>
    <xf numFmtId="0" fontId="18" fillId="0" borderId="32"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80" xfId="0" applyFont="1" applyFill="1" applyBorder="1" applyAlignment="1">
      <alignment horizontal="center" vertical="center" wrapText="1"/>
    </xf>
    <xf numFmtId="0" fontId="0" fillId="0" borderId="72" xfId="0" applyFill="1" applyBorder="1" applyAlignment="1">
      <alignment vertical="center" wrapText="1"/>
    </xf>
    <xf numFmtId="0" fontId="0" fillId="0" borderId="68" xfId="0" applyFill="1" applyBorder="1" applyAlignment="1">
      <alignment vertical="center" wrapText="1"/>
    </xf>
    <xf numFmtId="0" fontId="0" fillId="0" borderId="10" xfId="0" applyFill="1" applyBorder="1" applyAlignment="1">
      <alignment horizontal="center" vertical="center" wrapText="1"/>
    </xf>
    <xf numFmtId="0" fontId="18" fillId="0" borderId="56"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32" xfId="0" applyFont="1" applyFill="1" applyBorder="1" applyAlignment="1">
      <alignment vertical="top" wrapText="1"/>
    </xf>
    <xf numFmtId="0" fontId="18" fillId="0" borderId="24" xfId="0" applyFont="1" applyFill="1" applyBorder="1" applyAlignment="1">
      <alignment vertical="top" wrapText="1"/>
    </xf>
    <xf numFmtId="0" fontId="18" fillId="0" borderId="24" xfId="0" applyFont="1" applyFill="1" applyBorder="1" applyAlignment="1">
      <alignment horizontal="center"/>
    </xf>
    <xf numFmtId="0" fontId="0" fillId="0" borderId="68" xfId="0" applyFill="1" applyBorder="1" applyAlignment="1">
      <alignment horizontal="center" vertical="center" wrapText="1"/>
    </xf>
    <xf numFmtId="0" fontId="15" fillId="0" borderId="28" xfId="0" applyFont="1" applyFill="1" applyBorder="1" applyAlignment="1">
      <alignment vertical="center" wrapText="1"/>
    </xf>
    <xf numFmtId="0" fontId="15" fillId="0" borderId="26" xfId="0" applyFont="1" applyFill="1" applyBorder="1" applyAlignment="1">
      <alignment vertical="center" wrapText="1"/>
    </xf>
    <xf numFmtId="0" fontId="21" fillId="0" borderId="0" xfId="0" applyFont="1" applyAlignment="1">
      <alignment horizontal="center"/>
    </xf>
    <xf numFmtId="0" fontId="0" fillId="0" borderId="32" xfId="0" applyFill="1" applyBorder="1" applyAlignment="1">
      <alignment horizontal="center"/>
    </xf>
    <xf numFmtId="0" fontId="0" fillId="0" borderId="24" xfId="0" applyFill="1" applyBorder="1" applyAlignment="1">
      <alignment horizontal="center"/>
    </xf>
    <xf numFmtId="0" fontId="0" fillId="0" borderId="27" xfId="0" applyFill="1" applyBorder="1" applyAlignment="1">
      <alignment horizontal="center"/>
    </xf>
    <xf numFmtId="0" fontId="0" fillId="0" borderId="10" xfId="0" applyFill="1" applyBorder="1" applyAlignment="1">
      <alignment horizontal="center"/>
    </xf>
    <xf numFmtId="0" fontId="18" fillId="0" borderId="85" xfId="0" applyFont="1" applyFill="1" applyBorder="1" applyAlignment="1">
      <alignment horizontal="center"/>
    </xf>
    <xf numFmtId="0" fontId="18" fillId="0" borderId="94" xfId="0" applyFont="1" applyFill="1" applyBorder="1" applyAlignment="1">
      <alignment horizontal="center"/>
    </xf>
    <xf numFmtId="0" fontId="18" fillId="0" borderId="50" xfId="0" applyFont="1" applyFill="1" applyBorder="1" applyAlignment="1">
      <alignment horizontal="center"/>
    </xf>
    <xf numFmtId="0" fontId="46" fillId="27" borderId="81" xfId="0" applyFont="1" applyFill="1" applyBorder="1" applyAlignment="1">
      <alignment horizontal="left"/>
    </xf>
    <xf numFmtId="0" fontId="46" fillId="27" borderId="13" xfId="0" applyFont="1" applyFill="1" applyBorder="1" applyAlignment="1">
      <alignment horizontal="left"/>
    </xf>
    <xf numFmtId="0" fontId="46" fillId="27" borderId="51" xfId="0" applyFont="1" applyFill="1" applyBorder="1" applyAlignment="1">
      <alignment horizontal="left"/>
    </xf>
    <xf numFmtId="0" fontId="46" fillId="27" borderId="81" xfId="0" applyFont="1" applyFill="1" applyBorder="1" applyAlignment="1">
      <alignment horizontal="left" vertical="top" wrapText="1"/>
    </xf>
    <xf numFmtId="0" fontId="46" fillId="27" borderId="13" xfId="0" applyFont="1" applyFill="1" applyBorder="1" applyAlignment="1">
      <alignment horizontal="left" vertical="top" wrapText="1"/>
    </xf>
    <xf numFmtId="0" fontId="46" fillId="27" borderId="51" xfId="0" applyFont="1" applyFill="1" applyBorder="1" applyAlignment="1">
      <alignment horizontal="left" vertical="top" wrapText="1"/>
    </xf>
    <xf numFmtId="178" fontId="46" fillId="27" borderId="81" xfId="0" applyNumberFormat="1" applyFont="1" applyFill="1" applyBorder="1" applyAlignment="1">
      <alignment horizontal="left" vertical="top" wrapText="1"/>
    </xf>
    <xf numFmtId="178" fontId="46" fillId="27" borderId="13" xfId="0" applyNumberFormat="1" applyFont="1" applyFill="1" applyBorder="1" applyAlignment="1">
      <alignment horizontal="left" vertical="top" wrapText="1"/>
    </xf>
    <xf numFmtId="178" fontId="46" fillId="27" borderId="51" xfId="0" applyNumberFormat="1" applyFont="1" applyFill="1" applyBorder="1" applyAlignment="1">
      <alignment horizontal="left" vertical="top" wrapText="1"/>
    </xf>
    <xf numFmtId="0" fontId="38" fillId="0" borderId="0" xfId="0" applyFont="1" applyAlignment="1">
      <alignment vertical="top" wrapText="1"/>
    </xf>
    <xf numFmtId="0" fontId="15" fillId="0" borderId="0" xfId="0" applyFont="1" applyAlignment="1">
      <alignment vertical="top" wrapText="1"/>
    </xf>
    <xf numFmtId="0" fontId="38" fillId="0" borderId="0" xfId="0" applyFont="1" applyAlignment="1">
      <alignment horizontal="left"/>
    </xf>
    <xf numFmtId="0" fontId="45" fillId="0" borderId="0" xfId="0" applyFont="1" applyAlignment="1">
      <alignment horizontal="left"/>
    </xf>
    <xf numFmtId="0" fontId="38" fillId="0" borderId="0" xfId="0" applyFont="1" applyAlignment="1">
      <alignment horizontal="left" vertical="top" wrapText="1"/>
    </xf>
    <xf numFmtId="0" fontId="0" fillId="0" borderId="0" xfId="0" applyAlignment="1">
      <alignment vertical="top" wrapText="1"/>
    </xf>
    <xf numFmtId="0" fontId="15" fillId="0" borderId="0" xfId="0" applyFont="1" applyAlignment="1">
      <alignment wrapText="1"/>
    </xf>
    <xf numFmtId="0" fontId="46" fillId="0" borderId="0" xfId="0" applyFont="1" applyAlignment="1">
      <alignment vertical="top" wrapText="1"/>
    </xf>
    <xf numFmtId="0" fontId="45" fillId="0" borderId="0" xfId="0" applyFont="1" applyAlignment="1">
      <alignment vertical="top" wrapText="1"/>
    </xf>
    <xf numFmtId="0" fontId="92" fillId="0" borderId="0"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horizontal="center" vertical="top" wrapText="1"/>
    </xf>
    <xf numFmtId="165" fontId="0" fillId="30" borderId="72" xfId="29" applyNumberFormat="1" applyFont="1" applyFill="1" applyBorder="1" applyAlignment="1">
      <alignment horizontal="center" vertical="top"/>
    </xf>
    <xf numFmtId="165" fontId="0" fillId="30" borderId="68" xfId="29" applyNumberFormat="1" applyFont="1" applyFill="1" applyBorder="1" applyAlignment="1">
      <alignment horizontal="center" vertical="top"/>
    </xf>
    <xf numFmtId="0" fontId="92" fillId="0" borderId="55" xfId="0" applyFont="1" applyBorder="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92" fillId="0" borderId="48" xfId="0" applyFont="1" applyBorder="1" applyAlignment="1">
      <alignment horizontal="left" vertical="center" wrapText="1"/>
    </xf>
    <xf numFmtId="0" fontId="15" fillId="0" borderId="0" xfId="0" applyFont="1" applyBorder="1" applyAlignment="1">
      <alignment horizontal="left" vertical="center" wrapText="1"/>
    </xf>
    <xf numFmtId="0" fontId="15" fillId="0" borderId="15" xfId="0" applyFont="1" applyBorder="1" applyAlignment="1">
      <alignment horizontal="left" vertical="center" wrapText="1"/>
    </xf>
    <xf numFmtId="0" fontId="0" fillId="0" borderId="95" xfId="0" applyBorder="1" applyAlignment="1">
      <alignment horizontal="left" wrapText="1"/>
    </xf>
    <xf numFmtId="0" fontId="0" fillId="0" borderId="89" xfId="0" applyBorder="1" applyAlignment="1">
      <alignment horizontal="left" wrapText="1"/>
    </xf>
    <xf numFmtId="0" fontId="0" fillId="0" borderId="18" xfId="0" applyBorder="1" applyAlignment="1">
      <alignment horizontal="left" wrapText="1"/>
    </xf>
    <xf numFmtId="0" fontId="15" fillId="0" borderId="95" xfId="0" applyFont="1" applyBorder="1" applyAlignment="1">
      <alignment horizontal="left" wrapText="1"/>
    </xf>
    <xf numFmtId="0" fontId="0" fillId="0" borderId="48" xfId="0" applyBorder="1" applyAlignment="1">
      <alignment horizontal="left" wrapText="1"/>
    </xf>
    <xf numFmtId="0" fontId="0" fillId="0" borderId="0" xfId="0" applyBorder="1" applyAlignment="1">
      <alignment horizontal="left" wrapText="1"/>
    </xf>
    <xf numFmtId="0" fontId="0" fillId="0" borderId="15" xfId="0" applyBorder="1" applyAlignment="1">
      <alignment horizontal="left" wrapText="1"/>
    </xf>
    <xf numFmtId="0" fontId="15" fillId="0" borderId="56" xfId="0" applyFont="1" applyBorder="1" applyAlignment="1">
      <alignment horizontal="left" wrapText="1"/>
    </xf>
    <xf numFmtId="0" fontId="0" fillId="0" borderId="13" xfId="0" applyBorder="1" applyAlignment="1">
      <alignment horizontal="left" wrapText="1"/>
    </xf>
    <xf numFmtId="0" fontId="0" fillId="0" borderId="33" xfId="0" applyBorder="1" applyAlignment="1">
      <alignment horizontal="left" wrapText="1"/>
    </xf>
    <xf numFmtId="0" fontId="0" fillId="0" borderId="56" xfId="0" applyBorder="1" applyAlignment="1">
      <alignment horizontal="left" wrapText="1"/>
    </xf>
    <xf numFmtId="0" fontId="15" fillId="0" borderId="95" xfId="0" applyFont="1" applyBorder="1" applyAlignment="1">
      <alignment horizontal="left" vertical="top" wrapText="1"/>
    </xf>
    <xf numFmtId="0" fontId="0" fillId="0" borderId="89" xfId="0" applyBorder="1" applyAlignment="1">
      <alignment horizontal="left" vertical="top" wrapText="1"/>
    </xf>
    <xf numFmtId="0" fontId="0" fillId="30" borderId="62" xfId="0" applyFill="1" applyBorder="1" applyAlignment="1">
      <alignment horizontal="left" wrapText="1"/>
    </xf>
    <xf numFmtId="0" fontId="0" fillId="30" borderId="14" xfId="0" applyFill="1" applyBorder="1" applyAlignment="1">
      <alignment horizontal="left" wrapText="1"/>
    </xf>
    <xf numFmtId="0" fontId="0" fillId="30" borderId="92" xfId="0" applyFill="1" applyBorder="1" applyAlignment="1">
      <alignment horizontal="left" wrapText="1"/>
    </xf>
    <xf numFmtId="0" fontId="18" fillId="0" borderId="76" xfId="0" applyFont="1" applyFill="1" applyBorder="1" applyAlignment="1">
      <alignment vertical="center" wrapText="1"/>
    </xf>
    <xf numFmtId="0" fontId="18" fillId="0" borderId="77" xfId="0" applyFont="1" applyFill="1" applyBorder="1" applyAlignment="1">
      <alignment vertical="center" wrapText="1"/>
    </xf>
    <xf numFmtId="0" fontId="18" fillId="0" borderId="48" xfId="0" applyFont="1" applyFill="1" applyBorder="1" applyAlignment="1">
      <alignment vertical="center" wrapText="1"/>
    </xf>
    <xf numFmtId="0" fontId="18" fillId="0" borderId="0" xfId="0" applyFont="1" applyFill="1" applyBorder="1" applyAlignment="1">
      <alignment vertical="center" wrapText="1"/>
    </xf>
    <xf numFmtId="0" fontId="18" fillId="0" borderId="55" xfId="0" applyFont="1" applyFill="1" applyBorder="1" applyAlignment="1">
      <alignment vertical="center" wrapText="1"/>
    </xf>
    <xf numFmtId="0" fontId="18" fillId="0" borderId="12" xfId="0" applyFont="1" applyFill="1" applyBorder="1" applyAlignment="1">
      <alignment vertical="center" wrapText="1"/>
    </xf>
    <xf numFmtId="0" fontId="15" fillId="0" borderId="48" xfId="0" applyFont="1" applyBorder="1" applyAlignment="1">
      <alignment horizontal="left" wrapText="1"/>
    </xf>
    <xf numFmtId="169" fontId="15" fillId="30" borderId="74" xfId="29" applyNumberFormat="1" applyFont="1" applyFill="1" applyBorder="1" applyAlignment="1">
      <alignment horizontal="center" vertical="center"/>
    </xf>
    <xf numFmtId="169" fontId="15" fillId="30" borderId="72" xfId="29" applyNumberFormat="1" applyFont="1" applyFill="1" applyBorder="1" applyAlignment="1">
      <alignment horizontal="center" vertical="center"/>
    </xf>
    <xf numFmtId="165" fontId="0" fillId="30" borderId="17" xfId="29" applyNumberFormat="1" applyFont="1" applyFill="1" applyBorder="1" applyAlignment="1">
      <alignment horizontal="center" vertical="top"/>
    </xf>
    <xf numFmtId="165" fontId="0" fillId="30" borderId="19" xfId="29" applyNumberFormat="1" applyFont="1" applyFill="1" applyBorder="1" applyAlignment="1">
      <alignment horizontal="center" vertical="top"/>
    </xf>
    <xf numFmtId="0" fontId="0" fillId="0" borderId="10" xfId="0" applyBorder="1" applyAlignment="1">
      <alignment horizontal="left" wrapText="1"/>
    </xf>
    <xf numFmtId="0" fontId="18" fillId="0" borderId="45" xfId="0" applyFont="1" applyBorder="1" applyAlignment="1">
      <alignment horizontal="left" wrapText="1"/>
    </xf>
    <xf numFmtId="0" fontId="18" fillId="0" borderId="30" xfId="0" applyFont="1" applyBorder="1" applyAlignment="1">
      <alignment horizontal="left" wrapText="1"/>
    </xf>
    <xf numFmtId="0" fontId="18" fillId="0" borderId="39" xfId="0" applyFont="1" applyBorder="1" applyAlignment="1">
      <alignment horizontal="left" wrapText="1"/>
    </xf>
    <xf numFmtId="0" fontId="15" fillId="0" borderId="18" xfId="46" applyBorder="1" applyAlignment="1">
      <alignment horizontal="left" wrapText="1"/>
    </xf>
    <xf numFmtId="0" fontId="18" fillId="0" borderId="32" xfId="46" applyFont="1" applyFill="1" applyBorder="1" applyAlignment="1">
      <alignment vertical="center" wrapText="1"/>
    </xf>
    <xf numFmtId="0" fontId="18" fillId="0" borderId="24" xfId="46" applyFont="1" applyFill="1" applyBorder="1" applyAlignment="1">
      <alignment vertical="center" wrapText="1"/>
    </xf>
    <xf numFmtId="0" fontId="18" fillId="0" borderId="27" xfId="46" applyFont="1" applyFill="1" applyBorder="1" applyAlignment="1">
      <alignment vertical="center" wrapText="1"/>
    </xf>
    <xf numFmtId="0" fontId="18" fillId="0" borderId="10" xfId="46" applyFont="1" applyFill="1" applyBorder="1" applyAlignment="1">
      <alignment vertical="center" wrapText="1"/>
    </xf>
    <xf numFmtId="0" fontId="18" fillId="0" borderId="42" xfId="46" applyFont="1" applyFill="1" applyBorder="1" applyAlignment="1">
      <alignment horizontal="center" wrapText="1"/>
    </xf>
    <xf numFmtId="0" fontId="15" fillId="0" borderId="40" xfId="46" applyFill="1" applyBorder="1" applyAlignment="1">
      <alignment horizontal="center" wrapText="1"/>
    </xf>
    <xf numFmtId="0" fontId="15" fillId="0" borderId="98" xfId="46" applyFill="1" applyBorder="1" applyAlignment="1">
      <alignment horizontal="center" wrapText="1"/>
    </xf>
    <xf numFmtId="0" fontId="15" fillId="0" borderId="48" xfId="46" applyBorder="1" applyAlignment="1">
      <alignment horizontal="left" vertical="center" wrapText="1"/>
    </xf>
    <xf numFmtId="0" fontId="15" fillId="0" borderId="0" xfId="46" applyBorder="1" applyAlignment="1">
      <alignment horizontal="left" vertical="center" wrapText="1"/>
    </xf>
    <xf numFmtId="0" fontId="15" fillId="0" borderId="15" xfId="46" applyBorder="1" applyAlignment="1">
      <alignment horizontal="left" vertical="center" wrapText="1"/>
    </xf>
    <xf numFmtId="0" fontId="15" fillId="0" borderId="56" xfId="46" applyBorder="1" applyAlignment="1">
      <alignment horizontal="left" vertical="center" wrapText="1"/>
    </xf>
    <xf numFmtId="0" fontId="15" fillId="0" borderId="13" xfId="46" applyBorder="1" applyAlignment="1">
      <alignment horizontal="left" vertical="center" wrapText="1"/>
    </xf>
    <xf numFmtId="0" fontId="15" fillId="0" borderId="33" xfId="46" applyBorder="1" applyAlignment="1">
      <alignment horizontal="left" vertical="center" wrapText="1"/>
    </xf>
    <xf numFmtId="0" fontId="15" fillId="0" borderId="95" xfId="46" applyBorder="1" applyAlignment="1">
      <alignment horizontal="left" vertical="center" wrapText="1"/>
    </xf>
    <xf numFmtId="0" fontId="15" fillId="0" borderId="89" xfId="46" applyBorder="1" applyAlignment="1">
      <alignment horizontal="left" vertical="center" wrapText="1"/>
    </xf>
    <xf numFmtId="0" fontId="15" fillId="0" borderId="18" xfId="46" applyBorder="1" applyAlignment="1">
      <alignment horizontal="left" vertical="center" wrapText="1"/>
    </xf>
    <xf numFmtId="0" fontId="15" fillId="0" borderId="15" xfId="46" applyBorder="1" applyAlignment="1">
      <alignment horizontal="left" wrapText="1"/>
    </xf>
    <xf numFmtId="0" fontId="15" fillId="0" borderId="0" xfId="46" applyFont="1" applyAlignment="1">
      <alignment vertical="top" wrapText="1"/>
    </xf>
    <xf numFmtId="0" fontId="15" fillId="0" borderId="33" xfId="46" applyBorder="1" applyAlignment="1">
      <alignment horizontal="left" wrapText="1"/>
    </xf>
    <xf numFmtId="0" fontId="15" fillId="30" borderId="92" xfId="46" applyFill="1" applyBorder="1" applyAlignment="1">
      <alignment horizontal="left" wrapText="1"/>
    </xf>
    <xf numFmtId="0" fontId="18" fillId="0" borderId="39" xfId="46" applyFont="1" applyBorder="1" applyAlignment="1">
      <alignment horizontal="left" wrapText="1"/>
    </xf>
    <xf numFmtId="0" fontId="15" fillId="0" borderId="0" xfId="46" applyFont="1" applyAlignment="1">
      <alignment horizontal="center" vertical="top"/>
    </xf>
    <xf numFmtId="0" fontId="18" fillId="0" borderId="69"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93" xfId="0" applyFont="1" applyFill="1" applyBorder="1" applyAlignment="1">
      <alignment horizontal="center" vertical="center" wrapText="1"/>
    </xf>
    <xf numFmtId="0" fontId="18" fillId="0" borderId="69"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93" xfId="0" applyFont="1" applyFill="1" applyBorder="1" applyAlignment="1">
      <alignment horizontal="center" vertical="center"/>
    </xf>
    <xf numFmtId="0" fontId="0" fillId="0" borderId="0" xfId="0"/>
    <xf numFmtId="0" fontId="0" fillId="0" borderId="17" xfId="0" applyBorder="1"/>
    <xf numFmtId="0" fontId="0" fillId="0" borderId="19" xfId="0" applyBorder="1"/>
  </cellXfs>
  <cellStyles count="255">
    <cellStyle name="20% - Accent1" xfId="1" builtinId="30" customBuiltin="1"/>
    <cellStyle name="20% - Accent1 2" xfId="67"/>
    <cellStyle name="20% - Accent1 2 2" xfId="107"/>
    <cellStyle name="20% - Accent1 2 2 2" xfId="215"/>
    <cellStyle name="20% - Accent1 2 3" xfId="200"/>
    <cellStyle name="20% - Accent2" xfId="2" builtinId="34" customBuiltin="1"/>
    <cellStyle name="20% - Accent2 2" xfId="71"/>
    <cellStyle name="20% - Accent2 2 2" xfId="108"/>
    <cellStyle name="20% - Accent2 2 2 2" xfId="216"/>
    <cellStyle name="20% - Accent2 2 3" xfId="201"/>
    <cellStyle name="20% - Accent3" xfId="3" builtinId="38" customBuiltin="1"/>
    <cellStyle name="20% - Accent3 2" xfId="75"/>
    <cellStyle name="20% - Accent3 2 2" xfId="109"/>
    <cellStyle name="20% - Accent3 2 2 2" xfId="217"/>
    <cellStyle name="20% - Accent3 2 3" xfId="202"/>
    <cellStyle name="20% - Accent4" xfId="4" builtinId="42" customBuiltin="1"/>
    <cellStyle name="20% - Accent4 2" xfId="79"/>
    <cellStyle name="20% - Accent4 2 2" xfId="110"/>
    <cellStyle name="20% - Accent4 2 2 2" xfId="218"/>
    <cellStyle name="20% - Accent4 2 3" xfId="203"/>
    <cellStyle name="20% - Accent5" xfId="5" builtinId="46" customBuiltin="1"/>
    <cellStyle name="20% - Accent5 2" xfId="83"/>
    <cellStyle name="20% - Accent5 2 2" xfId="111"/>
    <cellStyle name="20% - Accent5 2 2 2" xfId="219"/>
    <cellStyle name="20% - Accent5 2 3" xfId="204"/>
    <cellStyle name="20% - Accent6" xfId="6" builtinId="50" customBuiltin="1"/>
    <cellStyle name="20% - Accent6 2" xfId="87"/>
    <cellStyle name="20% - Accent6 2 2" xfId="112"/>
    <cellStyle name="20% - Accent6 2 2 2" xfId="220"/>
    <cellStyle name="20% - Accent6 2 3" xfId="205"/>
    <cellStyle name="40% - Accent1" xfId="7" builtinId="31" customBuiltin="1"/>
    <cellStyle name="40% - Accent1 2" xfId="68"/>
    <cellStyle name="40% - Accent1 2 2" xfId="113"/>
    <cellStyle name="40% - Accent1 2 2 2" xfId="221"/>
    <cellStyle name="40% - Accent1 2 3" xfId="206"/>
    <cellStyle name="40% - Accent2" xfId="8" builtinId="35" customBuiltin="1"/>
    <cellStyle name="40% - Accent2 2" xfId="72"/>
    <cellStyle name="40% - Accent2 2 2" xfId="114"/>
    <cellStyle name="40% - Accent2 2 2 2" xfId="222"/>
    <cellStyle name="40% - Accent2 2 3" xfId="207"/>
    <cellStyle name="40% - Accent3" xfId="9" builtinId="39" customBuiltin="1"/>
    <cellStyle name="40% - Accent3 2" xfId="76"/>
    <cellStyle name="40% - Accent3 2 2" xfId="115"/>
    <cellStyle name="40% - Accent3 2 2 2" xfId="223"/>
    <cellStyle name="40% - Accent3 2 3" xfId="208"/>
    <cellStyle name="40% - Accent4" xfId="10" builtinId="43" customBuiltin="1"/>
    <cellStyle name="40% - Accent4 2" xfId="80"/>
    <cellStyle name="40% - Accent4 2 2" xfId="116"/>
    <cellStyle name="40% - Accent4 2 2 2" xfId="224"/>
    <cellStyle name="40% - Accent4 2 3" xfId="209"/>
    <cellStyle name="40% - Accent5" xfId="11" builtinId="47" customBuiltin="1"/>
    <cellStyle name="40% - Accent5 2" xfId="84"/>
    <cellStyle name="40% - Accent5 2 2" xfId="117"/>
    <cellStyle name="40% - Accent5 2 2 2" xfId="225"/>
    <cellStyle name="40% - Accent5 2 3" xfId="210"/>
    <cellStyle name="40% - Accent6" xfId="12" builtinId="51" customBuiltin="1"/>
    <cellStyle name="40% - Accent6 2" xfId="88"/>
    <cellStyle name="40% - Accent6 2 2" xfId="118"/>
    <cellStyle name="40% - Accent6 2 2 2" xfId="226"/>
    <cellStyle name="40% - Accent6 2 3" xfId="211"/>
    <cellStyle name="60% - Accent1" xfId="13" builtinId="32" customBuiltin="1"/>
    <cellStyle name="60% - Accent1 2" xfId="69"/>
    <cellStyle name="60% - Accent1 2 2" xfId="119"/>
    <cellStyle name="60% - Accent2" xfId="14" builtinId="36" customBuiltin="1"/>
    <cellStyle name="60% - Accent2 2" xfId="73"/>
    <cellStyle name="60% - Accent2 2 2" xfId="120"/>
    <cellStyle name="60% - Accent3" xfId="15" builtinId="40" customBuiltin="1"/>
    <cellStyle name="60% - Accent3 2" xfId="77"/>
    <cellStyle name="60% - Accent3 2 2" xfId="121"/>
    <cellStyle name="60% - Accent4" xfId="16" builtinId="44" customBuiltin="1"/>
    <cellStyle name="60% - Accent4 2" xfId="81"/>
    <cellStyle name="60% - Accent4 2 2" xfId="122"/>
    <cellStyle name="60% - Accent5" xfId="17" builtinId="48" customBuiltin="1"/>
    <cellStyle name="60% - Accent5 2" xfId="85"/>
    <cellStyle name="60% - Accent5 2 2" xfId="123"/>
    <cellStyle name="60% - Accent6" xfId="18" builtinId="52" customBuiltin="1"/>
    <cellStyle name="60% - Accent6 2" xfId="89"/>
    <cellStyle name="60% - Accent6 2 2" xfId="124"/>
    <cellStyle name="Accent1" xfId="19" builtinId="29" customBuiltin="1"/>
    <cellStyle name="Accent1 2" xfId="66"/>
    <cellStyle name="Accent1 2 2" xfId="125"/>
    <cellStyle name="Accent2" xfId="20" builtinId="33" customBuiltin="1"/>
    <cellStyle name="Accent2 2" xfId="70"/>
    <cellStyle name="Accent2 2 2" xfId="126"/>
    <cellStyle name="Accent3" xfId="21" builtinId="37" customBuiltin="1"/>
    <cellStyle name="Accent3 2" xfId="74"/>
    <cellStyle name="Accent3 2 2" xfId="127"/>
    <cellStyle name="Accent4" xfId="22" builtinId="41" customBuiltin="1"/>
    <cellStyle name="Accent4 2" xfId="78"/>
    <cellStyle name="Accent4 2 2" xfId="128"/>
    <cellStyle name="Accent5" xfId="23" builtinId="45" customBuiltin="1"/>
    <cellStyle name="Accent5 2" xfId="82"/>
    <cellStyle name="Accent5 2 2" xfId="129"/>
    <cellStyle name="Accent6" xfId="24" builtinId="49" customBuiltin="1"/>
    <cellStyle name="Accent6 2" xfId="86"/>
    <cellStyle name="Accent6 2 2" xfId="130"/>
    <cellStyle name="Bad" xfId="25" builtinId="27" customBuiltin="1"/>
    <cellStyle name="Bad 2" xfId="55"/>
    <cellStyle name="Bad 2 2" xfId="131"/>
    <cellStyle name="Calculation" xfId="26" builtinId="22" customBuiltin="1"/>
    <cellStyle name="Calculation 2" xfId="59"/>
    <cellStyle name="Calculation 2 2" xfId="132"/>
    <cellStyle name="Check Cell" xfId="27" builtinId="23" customBuiltin="1"/>
    <cellStyle name="Check Cell 2" xfId="61"/>
    <cellStyle name="Check Cell 2 2" xfId="133"/>
    <cellStyle name="Comma" xfId="28" builtinId="3"/>
    <cellStyle name="Comma 10" xfId="199"/>
    <cellStyle name="Comma 11" xfId="231"/>
    <cellStyle name="Comma 12" xfId="249"/>
    <cellStyle name="Comma 13" xfId="250"/>
    <cellStyle name="Comma 13 2" xfId="254"/>
    <cellStyle name="Comma 14" xfId="252"/>
    <cellStyle name="Comma 2" xfId="92"/>
    <cellStyle name="Comma 2 2" xfId="93"/>
    <cellStyle name="Comma 2 2 2" xfId="135"/>
    <cellStyle name="Comma 2 3" xfId="134"/>
    <cellStyle name="Comma 2 4" xfId="214"/>
    <cellStyle name="Comma 3" xfId="91"/>
    <cellStyle name="Comma 3 2" xfId="137"/>
    <cellStyle name="Comma 3 3" xfId="136"/>
    <cellStyle name="Comma 4" xfId="94"/>
    <cellStyle name="Comma 4 2" xfId="138"/>
    <cellStyle name="Comma 5" xfId="139"/>
    <cellStyle name="Comma 5 2" xfId="233"/>
    <cellStyle name="Comma 6" xfId="140"/>
    <cellStyle name="Comma 6 2" xfId="186"/>
    <cellStyle name="Comma 6 3" xfId="188"/>
    <cellStyle name="Comma 6 4" xfId="190"/>
    <cellStyle name="Comma 7" xfId="141"/>
    <cellStyle name="Comma 7 2" xfId="234"/>
    <cellStyle name="Comma 8" xfId="194"/>
    <cellStyle name="Comma 9" xfId="198"/>
    <cellStyle name="Comma0" xfId="142"/>
    <cellStyle name="Comma0 2" xfId="143"/>
    <cellStyle name="Comma0 2 2" xfId="235"/>
    <cellStyle name="Comma0 3" xfId="144"/>
    <cellStyle name="Comma0 3 2" xfId="236"/>
    <cellStyle name="Currency" xfId="29" builtinId="4"/>
    <cellStyle name="Currency 2" xfId="95"/>
    <cellStyle name="Currency 2 2" xfId="147"/>
    <cellStyle name="Currency 2 3" xfId="146"/>
    <cellStyle name="Currency 2 4" xfId="232"/>
    <cellStyle name="Currency 3" xfId="148"/>
    <cellStyle name="Currency 3 2" xfId="230"/>
    <cellStyle name="Currency 4" xfId="149"/>
    <cellStyle name="Currency 4 2" xfId="237"/>
    <cellStyle name="Currency 5" xfId="145"/>
    <cellStyle name="Currency 6" xfId="193"/>
    <cellStyle name="Currency 7" xfId="197"/>
    <cellStyle name="Currency 8" xfId="253"/>
    <cellStyle name="Currency0" xfId="150"/>
    <cellStyle name="Currency0 2" xfId="151"/>
    <cellStyle name="Currency0 2 2" xfId="238"/>
    <cellStyle name="Currency0 3" xfId="152"/>
    <cellStyle name="Currency0 3 2" xfId="239"/>
    <cellStyle name="Date" xfId="153"/>
    <cellStyle name="Date 2" xfId="154"/>
    <cellStyle name="Date 2 2" xfId="240"/>
    <cellStyle name="Date 3" xfId="155"/>
    <cellStyle name="Date 3 2" xfId="241"/>
    <cellStyle name="Explanatory Text" xfId="30" builtinId="53" customBuiltin="1"/>
    <cellStyle name="Explanatory Text 2" xfId="64"/>
    <cellStyle name="Explanatory Text 2 2" xfId="156"/>
    <cellStyle name="Fixed" xfId="157"/>
    <cellStyle name="Fixed 2" xfId="158"/>
    <cellStyle name="Fixed 2 2" xfId="242"/>
    <cellStyle name="Fixed 3" xfId="159"/>
    <cellStyle name="Fixed 3 2" xfId="243"/>
    <cellStyle name="Good" xfId="31" builtinId="26" customBuiltin="1"/>
    <cellStyle name="Good 2" xfId="54"/>
    <cellStyle name="Good 2 2" xfId="160"/>
    <cellStyle name="Heading 1" xfId="32" builtinId="16" customBuiltin="1"/>
    <cellStyle name="Heading 1 2" xfId="50"/>
    <cellStyle name="Heading 1 3" xfId="161"/>
    <cellStyle name="Heading 2" xfId="33" builtinId="17" customBuiltin="1"/>
    <cellStyle name="Heading 2 2" xfId="49"/>
    <cellStyle name="Heading 2 3" xfId="162"/>
    <cellStyle name="Heading 3" xfId="34" builtinId="18" customBuiltin="1"/>
    <cellStyle name="Heading 3 2" xfId="52"/>
    <cellStyle name="Heading 3 2 2" xfId="163"/>
    <cellStyle name="Heading 4" xfId="35" builtinId="19" customBuiltin="1"/>
    <cellStyle name="Heading 4 2" xfId="53"/>
    <cellStyle name="Heading 4 2 2" xfId="164"/>
    <cellStyle name="Hyperlink" xfId="36" builtinId="8"/>
    <cellStyle name="Hyperlink 2" xfId="165"/>
    <cellStyle name="Input" xfId="37" builtinId="20" customBuiltin="1"/>
    <cellStyle name="Input 2" xfId="57"/>
    <cellStyle name="Input 2 2" xfId="166"/>
    <cellStyle name="Linked Cell" xfId="38" builtinId="24" customBuiltin="1"/>
    <cellStyle name="Linked Cell 2" xfId="60"/>
    <cellStyle name="Linked Cell 2 2" xfId="167"/>
    <cellStyle name="Neutral" xfId="39" builtinId="28" customBuiltin="1"/>
    <cellStyle name="Neutral 2" xfId="56"/>
    <cellStyle name="Neutral 2 2" xfId="168"/>
    <cellStyle name="Normal" xfId="0" builtinId="0"/>
    <cellStyle name="Normal 10" xfId="96"/>
    <cellStyle name="Normal 11" xfId="192"/>
    <cellStyle name="Normal 12" xfId="196"/>
    <cellStyle name="Normal 13" xfId="251"/>
    <cellStyle name="Normal 2" xfId="46"/>
    <cellStyle name="Normal 2 2" xfId="97"/>
    <cellStyle name="Normal 2 3" xfId="195"/>
    <cellStyle name="Normal 2 4" xfId="244"/>
    <cellStyle name="Normal 3" xfId="51"/>
    <cellStyle name="Normal 3 2" xfId="98"/>
    <cellStyle name="Normal 3 2 2" xfId="169"/>
    <cellStyle name="Normal 3 2 3" xfId="227"/>
    <cellStyle name="Normal 3 3" xfId="212"/>
    <cellStyle name="Normal 4" xfId="99"/>
    <cellStyle name="Normal 4 2" xfId="171"/>
    <cellStyle name="Normal 4 3" xfId="170"/>
    <cellStyle name="Normal 4 4" xfId="187"/>
    <cellStyle name="Normal 4 5" xfId="189"/>
    <cellStyle name="Normal 4 6" xfId="191"/>
    <cellStyle name="Normal 5" xfId="100"/>
    <cellStyle name="Normal 6" xfId="101"/>
    <cellStyle name="Normal 7" xfId="102"/>
    <cellStyle name="Normal 7 2" xfId="103"/>
    <cellStyle name="Normal 8" xfId="90"/>
    <cellStyle name="Normal 9" xfId="104"/>
    <cellStyle name="Normal_PPE Deferral Account Schedule for 2013 MIFRS CoS applications (2)" xfId="47"/>
    <cellStyle name="Note" xfId="40" builtinId="10" customBuiltin="1"/>
    <cellStyle name="Note 2" xfId="63"/>
    <cellStyle name="Note 2 2" xfId="172"/>
    <cellStyle name="Note 2 2 2" xfId="228"/>
    <cellStyle name="Note 2 3" xfId="213"/>
    <cellStyle name="Note 3" xfId="173"/>
    <cellStyle name="Output" xfId="41" builtinId="21" customBuiltin="1"/>
    <cellStyle name="Output 2" xfId="58"/>
    <cellStyle name="Output 2 2" xfId="174"/>
    <cellStyle name="Percent" xfId="42" builtinId="5"/>
    <cellStyle name="Percent 2" xfId="105"/>
    <cellStyle name="Percent 3" xfId="106"/>
    <cellStyle name="Percent 3 2" xfId="175"/>
    <cellStyle name="Percent 3 3" xfId="229"/>
    <cellStyle name="Percent 4" xfId="176"/>
    <cellStyle name="Percent 4 2" xfId="177"/>
    <cellStyle name="Percent 5" xfId="178"/>
    <cellStyle name="Percent 5 2" xfId="245"/>
    <cellStyle name="Percent 6" xfId="179"/>
    <cellStyle name="Percent 6 2" xfId="246"/>
    <cellStyle name="Percent 7" xfId="247"/>
    <cellStyle name="PSChar" xfId="180"/>
    <cellStyle name="Title" xfId="43" builtinId="15" customBuiltin="1"/>
    <cellStyle name="Title 2" xfId="48"/>
    <cellStyle name="Title 2 2" xfId="181"/>
    <cellStyle name="Total" xfId="44" builtinId="25" customBuiltin="1"/>
    <cellStyle name="Total 2" xfId="65"/>
    <cellStyle name="Total 2 2" xfId="183"/>
    <cellStyle name="Total 3" xfId="184"/>
    <cellStyle name="Total 3 2" xfId="248"/>
    <cellStyle name="Total 4" xfId="182"/>
    <cellStyle name="Warning Text" xfId="45" builtinId="11" customBuiltin="1"/>
    <cellStyle name="Warning Text 2" xfId="62"/>
    <cellStyle name="Warning Text 2 2" xfId="18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142874</xdr:rowOff>
    </xdr:to>
    <xdr:grpSp>
      <xdr:nvGrpSpPr>
        <xdr:cNvPr id="2" name="Group 1"/>
        <xdr:cNvGrpSpPr/>
      </xdr:nvGrpSpPr>
      <xdr:grpSpPr>
        <a:xfrm>
          <a:off x="0" y="0"/>
          <a:ext cx="8857420" cy="1924049"/>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Filing Requirements for Electricity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Transmission and Distribution Applications </a:t>
            </a:r>
            <a:endParaRPr lang="en-CA" sz="2300">
              <a:effectLst/>
            </a:endParaRP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Chapter 2 Appendicies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608770</xdr:colOff>
      <xdr:row>11</xdr:row>
      <xdr:rowOff>76199</xdr:rowOff>
    </xdr:to>
    <xdr:grpSp>
      <xdr:nvGrpSpPr>
        <xdr:cNvPr id="9" name="Group 8"/>
        <xdr:cNvGrpSpPr/>
      </xdr:nvGrpSpPr>
      <xdr:grpSpPr>
        <a:xfrm>
          <a:off x="0" y="0"/>
          <a:ext cx="8857420" cy="1924049"/>
          <a:chOff x="9524" y="19051"/>
          <a:chExt cx="8537711" cy="1924049"/>
        </a:xfrm>
      </xdr:grpSpPr>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1" name="Picture 10"/>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 name="Rectangle 11"/>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400" b="1" i="0" baseline="0">
                <a:effectLst/>
                <a:latin typeface="+mn-lt"/>
                <a:ea typeface="+mn-ea"/>
                <a:cs typeface="+mn-cs"/>
              </a:rPr>
              <a:t>Filing Requirements for Transmission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400" b="1" i="0" baseline="0">
                <a:effectLst/>
                <a:latin typeface="+mn-lt"/>
                <a:ea typeface="+mn-ea"/>
                <a:cs typeface="+mn-cs"/>
              </a:rPr>
              <a:t>and Distribution Applications </a:t>
            </a:r>
            <a:endParaRPr lang="en-CA" sz="2400">
              <a:effectLst/>
            </a:endParaRP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Chapter 2 Appendicies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2809875</xdr:colOff>
      <xdr:row>18</xdr:row>
      <xdr:rowOff>9525</xdr:rowOff>
    </xdr:from>
    <xdr:to>
      <xdr:col>3</xdr:col>
      <xdr:colOff>190500</xdr:colOff>
      <xdr:row>21</xdr:row>
      <xdr:rowOff>133350</xdr:rowOff>
    </xdr:to>
    <xdr:grpSp>
      <xdr:nvGrpSpPr>
        <xdr:cNvPr id="4" name="Group 3"/>
        <xdr:cNvGrpSpPr/>
      </xdr:nvGrpSpPr>
      <xdr:grpSpPr>
        <a:xfrm>
          <a:off x="3419475" y="3152775"/>
          <a:ext cx="1666875" cy="609600"/>
          <a:chOff x="3495675" y="3152775"/>
          <a:chExt cx="1609725" cy="609600"/>
        </a:xfrm>
      </xdr:grpSpPr>
      <xdr:sp macro="" textlink="">
        <xdr:nvSpPr>
          <xdr:cNvPr id="2" name="Right Brace 1"/>
          <xdr:cNvSpPr/>
        </xdr:nvSpPr>
        <xdr:spPr>
          <a:xfrm>
            <a:off x="3495675" y="3152775"/>
            <a:ext cx="26670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CA" sz="1100"/>
          </a:p>
        </xdr:txBody>
      </xdr:sp>
      <xdr:sp macro="" textlink="">
        <xdr:nvSpPr>
          <xdr:cNvPr id="3" name="TextBox 2"/>
          <xdr:cNvSpPr txBox="1"/>
        </xdr:nvSpPr>
        <xdr:spPr>
          <a:xfrm>
            <a:off x="3714750" y="3305175"/>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n>
                  <a:noFill/>
                </a:ln>
                <a:solidFill>
                  <a:sysClr val="windowText" lastClr="000000"/>
                </a:solidFill>
              </a:rPr>
              <a:t>2012 IFRS Adopters</a:t>
            </a:r>
          </a:p>
        </xdr:txBody>
      </xdr:sp>
    </xdr:grpSp>
    <xdr:clientData/>
  </xdr:twoCellAnchor>
  <xdr:twoCellAnchor>
    <xdr:from>
      <xdr:col>1</xdr:col>
      <xdr:colOff>2819399</xdr:colOff>
      <xdr:row>22</xdr:row>
      <xdr:rowOff>19050</xdr:rowOff>
    </xdr:from>
    <xdr:to>
      <xdr:col>4</xdr:col>
      <xdr:colOff>19049</xdr:colOff>
      <xdr:row>26</xdr:row>
      <xdr:rowOff>0</xdr:rowOff>
    </xdr:to>
    <xdr:grpSp>
      <xdr:nvGrpSpPr>
        <xdr:cNvPr id="13" name="Group 12"/>
        <xdr:cNvGrpSpPr/>
      </xdr:nvGrpSpPr>
      <xdr:grpSpPr>
        <a:xfrm>
          <a:off x="3428999" y="3810000"/>
          <a:ext cx="1685925" cy="628650"/>
          <a:chOff x="3495675" y="3152775"/>
          <a:chExt cx="1609725" cy="628650"/>
        </a:xfrm>
      </xdr:grpSpPr>
      <xdr:sp macro="" textlink="">
        <xdr:nvSpPr>
          <xdr:cNvPr id="14" name="Right Brace 13"/>
          <xdr:cNvSpPr/>
        </xdr:nvSpPr>
        <xdr:spPr>
          <a:xfrm>
            <a:off x="3495675" y="3152775"/>
            <a:ext cx="26670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CA" sz="1100"/>
          </a:p>
        </xdr:txBody>
      </xdr:sp>
      <xdr:sp macro="" textlink="">
        <xdr:nvSpPr>
          <xdr:cNvPr id="15" name="TextBox 14"/>
          <xdr:cNvSpPr txBox="1"/>
        </xdr:nvSpPr>
        <xdr:spPr>
          <a:xfrm>
            <a:off x="3714749" y="3305175"/>
            <a:ext cx="1390651"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n>
                  <a:noFill/>
                </a:ln>
                <a:solidFill>
                  <a:sysClr val="windowText" lastClr="000000"/>
                </a:solidFill>
              </a:rPr>
              <a:t>2013 IFRS Adopters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6</xdr:col>
      <xdr:colOff>333375</xdr:colOff>
      <xdr:row>48</xdr:row>
      <xdr:rowOff>114300</xdr:rowOff>
    </xdr:to>
    <xdr:pic>
      <xdr:nvPicPr>
        <xdr:cNvPr id="409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90675"/>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13%20Rebasing\Filing%20Schedules\2011%20Information\2011%20OEB\2013%20OEB%20Rate%20App\Capital\2009-2013%20Capital%20Summary%20OEB%20filing%202012%20Asset%20Allocation%20DP.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tilities/Bluewater/Final%20for%20Printing/Final%20Models/1.Copy%20of%20Filing_Requirements_Chapter2_Appendices_V1.1.WORKING%20COPY.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tilities/Bluewater/Final%20for%20Printing/Final%20Models/DOCUME~1/leslie/LOCALS~1/Temp/Recent%20Drafts/Filing_Requirements_Chapter2_Appendices%20-%20Excel%20(May%2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EB%20Rate%20Applications/2013%20Rate%20App%20Worksheets/2013%20Rate%20App%20OEB%20Template%20employee%20costs%20REVISION%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1.2013%20Rebasing\Filing%20Schedules\Copy%20of%20Filing_Requirements_Chapter2_Appendices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tilities/Bluewater/Final%20for%20Printing/Final%20Models/2011%20Information/2011%20OEB/2013%20OEB%20Rate%20App/Capital/2009-2013%20Capital%20Summary%20OEB%20filing%202012%20Asset%20Allocation%20D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13%20Rebasing/Models/1.%20BWP%20models/Copy%20of%20Bluewater_APPL_2013EDR_RateMaker_v2%20bwp16.MIF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013%20Rebasing\Models\1.%20BWP%20models\Copy%20of%20Bluewater_APPL_2013EDR_RateMaker_v1.bwp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013%20Rebasing/Models/1.%20BWP%20models/Copy%20of%20Bluewater_APPL_2013EDR_RateMaker_v1.bw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2013%20Rate%20Application\loan-amortization-schedule%20for%20IO%20debenture%20of%202.2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2013%20Rebasing\Filing%20Schedules\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tilities/Bluewater/Final%20for%20Printing/Final%20Models/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2013%20Rebasing\Filing%20Schedules\1.Copy%20of%20Filing_Requirements_Chapter2_Appendices_V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Asset allocation 2012"/>
      <sheetName val="2012 Assset additions GAAP"/>
      <sheetName val="Proj Asset allocation IFRS 2012"/>
      <sheetName val="2012 Assset additions IFRS"/>
      <sheetName val="List of Asset Acc Num and Desrc"/>
    </sheetNames>
    <sheetDataSet>
      <sheetData sheetId="0"/>
      <sheetData sheetId="1" refreshError="1"/>
      <sheetData sheetId="2"/>
      <sheetData sheetId="3" refreshError="1"/>
      <sheetData sheetId="4">
        <row r="6">
          <cell r="D6" t="str">
            <v>180500 Distribution Plant - Land</v>
          </cell>
        </row>
        <row r="7">
          <cell r="D7" t="str">
            <v>180600 Distribution Plant - Land Rights/Easements</v>
          </cell>
        </row>
        <row r="8">
          <cell r="D8" t="str">
            <v>181500 Distribution Plant - Transformer Stn. &gt;50kV</v>
          </cell>
        </row>
        <row r="9">
          <cell r="D9" t="str">
            <v>182001 Dist Stn Equip &lt;50kV - Building</v>
          </cell>
        </row>
        <row r="10">
          <cell r="D10" t="str">
            <v>182002 Dist Stn Equip &lt;50kV - Transformers</v>
          </cell>
        </row>
        <row r="11">
          <cell r="D11" t="str">
            <v>182003 Dist Stn Equip &lt;50kV - Switch Gear</v>
          </cell>
        </row>
        <row r="12">
          <cell r="D12" t="str">
            <v>182004 Dist Stn Equip &lt;50kV - Breakers</v>
          </cell>
        </row>
        <row r="13">
          <cell r="D13" t="str">
            <v>182005 Dist Stn Equip &lt;50kV - Protection Control (Relays)</v>
          </cell>
        </row>
        <row r="14">
          <cell r="D14" t="str">
            <v>182006 Dist Stn Equip &lt;50kV - Reclosures</v>
          </cell>
        </row>
        <row r="15">
          <cell r="D15" t="str">
            <v>182007 Dist Stn Equip &lt;50kV - All Other Items</v>
          </cell>
        </row>
        <row r="16">
          <cell r="D16" t="str">
            <v>183001 Wood Poles (fully dressed)</v>
          </cell>
        </row>
        <row r="17">
          <cell r="D17" t="str">
            <v>183002 Concrete Poles (fully dressed)</v>
          </cell>
        </row>
        <row r="18">
          <cell r="D18" t="str">
            <v>183003 Steel Poles (fully dressed)</v>
          </cell>
        </row>
        <row r="19">
          <cell r="D19" t="str">
            <v>183004 Composite Poles (fully dressed)</v>
          </cell>
        </row>
        <row r="20">
          <cell r="D20" t="str">
            <v>183501 OH Conductors/Devices - Primary Conductor</v>
          </cell>
        </row>
        <row r="21">
          <cell r="D21" t="str">
            <v>183502 OH Conductors/Devices - Secondary Conductor</v>
          </cell>
        </row>
        <row r="22">
          <cell r="D22" t="str">
            <v>183503 OH Conductors/Devices - All Other Items</v>
          </cell>
        </row>
        <row r="23">
          <cell r="D23" t="str">
            <v>184001 UG Conduit</v>
          </cell>
        </row>
        <row r="24">
          <cell r="D24" t="str">
            <v>184002 Manholes and Vaults</v>
          </cell>
        </row>
        <row r="25">
          <cell r="D25" t="str">
            <v>184003 Underground Conduit - All Other Items</v>
          </cell>
        </row>
        <row r="26">
          <cell r="D26" t="str">
            <v>184501 UG Conductors/Devices - Primary</v>
          </cell>
        </row>
        <row r="27">
          <cell r="D27" t="str">
            <v>184502 UG Conductors/Devices - Secondary</v>
          </cell>
        </row>
        <row r="28">
          <cell r="D28" t="str">
            <v>184503 UG Conductors/Devices - All Other Items</v>
          </cell>
        </row>
        <row r="29">
          <cell r="D29" t="str">
            <v>185001 OH Transformers - 3 Phase Dressed (fully dressed)</v>
          </cell>
        </row>
        <row r="30">
          <cell r="D30" t="str">
            <v>185002 OH Transformers -  Single Phase (fully dressed)</v>
          </cell>
        </row>
        <row r="31">
          <cell r="D31" t="str">
            <v>185003 OH Transformers - All Other Items</v>
          </cell>
        </row>
        <row r="32">
          <cell r="D32" t="str">
            <v>185004 UG Transformer - 3 Phase Padmount</v>
          </cell>
        </row>
        <row r="33">
          <cell r="D33" t="str">
            <v>185005 UG Transformers-Single Phase Padmount</v>
          </cell>
        </row>
        <row r="34">
          <cell r="D34" t="str">
            <v>185006 UG Transformers-Other</v>
          </cell>
        </row>
        <row r="35">
          <cell r="D35" t="str">
            <v>185501 Dist. Plant - Services Underground-Secondary</v>
          </cell>
        </row>
        <row r="36">
          <cell r="D36" t="str">
            <v>185502 Dist. Plant - Services Underground-Other</v>
          </cell>
        </row>
        <row r="37">
          <cell r="D37" t="str">
            <v>186001 Distribution Plant - Meters - Single Phase</v>
          </cell>
        </row>
        <row r="38">
          <cell r="D38" t="str">
            <v>186002 Distribution Plant - Meters -Poly Phase &amp; Interval</v>
          </cell>
        </row>
        <row r="39">
          <cell r="D39" t="str">
            <v>186003 Distribution Plant - Meters - Smart</v>
          </cell>
        </row>
        <row r="40">
          <cell r="D40" t="str">
            <v>186004 Distribution Plant - Meters - All Other Items</v>
          </cell>
        </row>
        <row r="41">
          <cell r="D41" t="str">
            <v>190801 Building/Fixtures - Structure &amp; Contents</v>
          </cell>
        </row>
        <row r="42">
          <cell r="D42" t="str">
            <v>190802 Building/Fixtures - Asphalt Roof</v>
          </cell>
        </row>
        <row r="43">
          <cell r="D43" t="str">
            <v>191500 Office Furniture &amp; Equipment</v>
          </cell>
        </row>
        <row r="44">
          <cell r="D44" t="str">
            <v>192001 Computer H/W-PC,Laptop,Printer,Server,etc</v>
          </cell>
        </row>
        <row r="45">
          <cell r="D45" t="str">
            <v>192002 Computer H/W - UPS</v>
          </cell>
        </row>
        <row r="46">
          <cell r="D46" t="str">
            <v>192003 Computer H/W -Racks,Shelving,Wiring,etc</v>
          </cell>
        </row>
        <row r="47">
          <cell r="D47" t="str">
            <v>192500 Computer Software - All</v>
          </cell>
        </row>
        <row r="48">
          <cell r="D48" t="str">
            <v>193001 Transportation Equipment - Large Trucks</v>
          </cell>
        </row>
        <row r="49">
          <cell r="D49" t="str">
            <v>193002 Transportation Equipment - Small Trucks &amp; Vans</v>
          </cell>
        </row>
        <row r="50">
          <cell r="D50" t="str">
            <v>193003 Transportation Equipment - Cars</v>
          </cell>
        </row>
        <row r="51">
          <cell r="D51" t="str">
            <v>193004 Transportation Equipment - Other</v>
          </cell>
        </row>
        <row r="52">
          <cell r="D52" t="str">
            <v>193500 Stores Equipment</v>
          </cell>
        </row>
        <row r="53">
          <cell r="D53" t="str">
            <v>194000 Tools, Shop, and Garage Equipment</v>
          </cell>
        </row>
        <row r="54">
          <cell r="D54" t="str">
            <v>194500 General Plant - Measure and Testing Equipment</v>
          </cell>
        </row>
        <row r="55">
          <cell r="D55" t="str">
            <v>195501 General Plant - Communication Equipment - FM</v>
          </cell>
        </row>
        <row r="56">
          <cell r="D56" t="str">
            <v>195502 General Plant - Communication Equip - Cell Phones</v>
          </cell>
        </row>
        <row r="57">
          <cell r="D57" t="str">
            <v>196000 Miscellaneous Equipment</v>
          </cell>
        </row>
        <row r="58">
          <cell r="D58" t="str">
            <v>196501 General Plant - Water Heater Rental Units</v>
          </cell>
        </row>
        <row r="59">
          <cell r="D59" t="str">
            <v>197000 General Plant - Load Mgmt Customer Premises</v>
          </cell>
        </row>
        <row r="60">
          <cell r="D60" t="str">
            <v>198000 General Plant - System Supervisory Equipment</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2)"/>
      <sheetName val="Gross Asset variances GAAP"/>
      <sheetName val="Gross Asset variances MIFRS"/>
      <sheetName val="Acc Dep Variances CGAAP"/>
      <sheetName val="Acc Dep Variances MIFRS"/>
      <sheetName val="App.2-B_Fixed Asset Continu09"/>
      <sheetName val="App.2-B_Fixed Asset Continu10"/>
      <sheetName val="App.2-B_Fixed Asset Continu11"/>
      <sheetName val="App.2-B_Fixed Asset 2012 CGAAP"/>
      <sheetName val="App.2-B_Fixed Asset 2012 MIFRS"/>
      <sheetName val="App.2-B_Fix Ass 2012 MIFRS Adj "/>
      <sheetName val="App.2-B_Fixed Asset 2013 CGAAP"/>
      <sheetName val="App.2-B_Fixed Asset 2013 MIFRS"/>
      <sheetName val="summary by function"/>
      <sheetName val="RATEBASE CONTINUITY - MIFRS"/>
      <sheetName val="RATEBASE CONTINUITY - CGAAP"/>
      <sheetName val="RATEBASE CONTINUITY - Compariso"/>
      <sheetName val="App.2-CE_CGAAP_DepExp_2011"/>
      <sheetName val="App.2-CF_CGAAP_DepExp_2012"/>
      <sheetName val="App.2-CG_MIFRS_DepExp_2012"/>
      <sheetName val="Opening NBV as at Jan 1, 2012"/>
      <sheetName val="App.2-CH_MIFRS_DepExp_2013"/>
      <sheetName val="App.2-D_Overhead"/>
      <sheetName val="App.2-EB_PP&amp;E Deferral Account"/>
      <sheetName val="App.2-F_Other_Oper_Rev v2"/>
      <sheetName val="App.2-F_Other_Oper_Rev"/>
      <sheetName val="App.2-F_Other_Oper_Rev v2 (2)"/>
      <sheetName val="Breakdown of other revenue"/>
      <sheetName val="App.2-G_Detailed_OM&amp;A_Expen (2"/>
      <sheetName val="App.2-G_Detailed_OM&amp;A_Expenses"/>
      <sheetName val="OM&amp;A '09 BA to '09 Act"/>
      <sheetName val="OM&amp;A '09 Act to '10 Act"/>
      <sheetName val="OM&amp;A '10 Act to '11 Act"/>
      <sheetName val="OM&amp;A '11 Act to '12 Bridge"/>
      <sheetName val="OM&amp;A '12 Bridge to '13 Test"/>
      <sheetName val="App.2-H_OM&amp;A_Detailed_Analysis"/>
      <sheetName val="App.2-H_OM&amp;A_Detailed_Analy Sum"/>
      <sheetName val="App.2-H_OM&amp;A_Detailed_Analy XXX"/>
      <sheetName val="App.2-I_OM&amp;A_Summary_Analys"/>
      <sheetName val="App.2-J_OM&amp;A_Cost _Drivers"/>
      <sheetName val="App.2-K_Employee Costs"/>
      <sheetName val="App.2-L_OM&amp;A_per_Cust_FTEE"/>
      <sheetName val="App.2-M_Regulatory_Costs"/>
      <sheetName val="App.2-N_Corp_Cost_Allocation'13"/>
      <sheetName val="App.2-N_Corp_Cost_Allocation'12"/>
      <sheetName val="App.2-N_Corp_Cost_Allocation'11"/>
      <sheetName val="App.2-N_Corp_Cost_Allocation'10"/>
      <sheetName val="App.2-N_Corp_Cost_Allocation'09"/>
      <sheetName val="App 2-N 2009 Approved"/>
      <sheetName val="App.2-N_Corp_Cost_Allocation"/>
      <sheetName val="App.2-OA Capital Structure  (2"/>
      <sheetName val="App 2-OA Capital structure.alt"/>
      <sheetName val="App.2-OA Capital Structure 2013"/>
      <sheetName val="App.2-OB_Debt Instruments"/>
      <sheetName val="App.2-P_Cost_Allocation"/>
      <sheetName val="App.2-P_Cost_Allocation (2)"/>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 val="App.2-CA_CGAAP_DepExp_2011"/>
      <sheetName val="App.2-CB_MIFRS_DepExp_2011"/>
      <sheetName val="App.2-CC_MIFRS_DepExp_2012"/>
      <sheetName val="App.2-CD_MIFRS_DepExp_2013"/>
      <sheetName val="App.2-CI_AltAccStd_DepExp"/>
      <sheetName val="App.2-EA_PP&amp;E Deferral Accoun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EB-2012-0107</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v>2012</v>
          </cell>
          <cell r="AA26" t="str">
            <v>Greater Sudbury Hydro Inc.</v>
          </cell>
        </row>
        <row r="27">
          <cell r="AA27" t="str">
            <v>Grimsby Power Inc.</v>
          </cell>
        </row>
        <row r="28">
          <cell r="E28">
            <v>2013</v>
          </cell>
          <cell r="AA28" t="str">
            <v>Guelph Hydro Electric Systems Inc.</v>
          </cell>
        </row>
        <row r="29">
          <cell r="AA29" t="str">
            <v>Haldimand County Hydro Inc.</v>
          </cell>
        </row>
        <row r="30">
          <cell r="E30">
            <v>2009</v>
          </cell>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3">
          <cell r="M53">
            <v>0</v>
          </cell>
        </row>
      </sheetData>
      <sheetData sheetId="10" refreshError="1"/>
      <sheetData sheetId="11">
        <row r="53">
          <cell r="G53">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M6" t="str">
            <v>Row Labels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ss VS Net payroll costs"/>
      <sheetName val="2013 Rate App Employee Costs"/>
      <sheetName val="2013 Rate App Employee Cost (2"/>
      <sheetName val="Sheet1"/>
      <sheetName val="2013 Payroll Budget"/>
      <sheetName val="2013 Car Allowances"/>
      <sheetName val="2013 Employees"/>
      <sheetName val="2013 Employees (sorted)"/>
      <sheetName val="2013 O&amp;M  Budget"/>
      <sheetName val="2013 O &amp; M Burden "/>
      <sheetName val="2013 O&amp;M Benefit  Budget"/>
      <sheetName val="2012 SAP Payroll budget"/>
      <sheetName val="2012 Employees"/>
      <sheetName val="2012 Employees (sorted)"/>
      <sheetName val="2012 SAP Benefit Summary"/>
      <sheetName val="2012 Burden Summary by Category"/>
      <sheetName val="2012 Benefit Sum by Category "/>
      <sheetName val="2011 T-4 Rec to GL"/>
      <sheetName val="2011 SAP Benefit Summary "/>
      <sheetName val="2011 Car Allowances"/>
      <sheetName val="2011 Employees"/>
      <sheetName val="2011 Employees (sorted)"/>
      <sheetName val="2010 T-4 Rec to GL"/>
      <sheetName val="2010 Car Allowances"/>
      <sheetName val="2010 SAP Benefit Summary"/>
      <sheetName val="2010 Employees"/>
      <sheetName val="2010 Employees (sorted)"/>
      <sheetName val="2009 T4 Rec"/>
      <sheetName val="2009 Car Allowances"/>
      <sheetName val="2009 Incentives per payroll JE"/>
      <sheetName val="2009 SAP Benefit Summary "/>
      <sheetName val="2009 Employees"/>
      <sheetName val="2009 Employees (sorted)"/>
      <sheetName val="2009 Rate App Summary"/>
      <sheetName val="GL by category"/>
      <sheetName val="Staff Changes"/>
      <sheetName val="Considerations"/>
      <sheetName val="2013 Payroll O&amp;M"/>
    </sheetNames>
    <sheetDataSet>
      <sheetData sheetId="0"/>
      <sheetData sheetId="1"/>
      <sheetData sheetId="2"/>
      <sheetData sheetId="3"/>
      <sheetData sheetId="4">
        <row r="100">
          <cell r="C100">
            <v>1366301.0042000001</v>
          </cell>
        </row>
        <row r="104">
          <cell r="C104">
            <v>751396.75210769218</v>
          </cell>
        </row>
        <row r="105">
          <cell r="C105">
            <v>30000</v>
          </cell>
        </row>
        <row r="108">
          <cell r="C108">
            <v>3635940.6919999993</v>
          </cell>
        </row>
        <row r="109">
          <cell r="C109">
            <v>280000</v>
          </cell>
        </row>
        <row r="112">
          <cell r="C112">
            <v>2083354.7583438463</v>
          </cell>
        </row>
        <row r="113">
          <cell r="C113">
            <v>6000</v>
          </cell>
        </row>
        <row r="115">
          <cell r="C115">
            <v>136592.83000000002</v>
          </cell>
        </row>
        <row r="117">
          <cell r="C117">
            <v>218225.47499999998</v>
          </cell>
        </row>
        <row r="119">
          <cell r="C119">
            <v>106515</v>
          </cell>
        </row>
        <row r="138">
          <cell r="C138">
            <v>37800</v>
          </cell>
        </row>
        <row r="139">
          <cell r="C139">
            <v>5400</v>
          </cell>
        </row>
        <row r="140">
          <cell r="C140">
            <v>0</v>
          </cell>
        </row>
        <row r="141">
          <cell r="C141">
            <v>10992</v>
          </cell>
        </row>
        <row r="150">
          <cell r="D150">
            <v>193959.42499999999</v>
          </cell>
        </row>
        <row r="151">
          <cell r="D151">
            <v>41625.245374999999</v>
          </cell>
        </row>
        <row r="152">
          <cell r="D152">
            <v>50999.245020000031</v>
          </cell>
        </row>
        <row r="153">
          <cell r="D153">
            <v>55279.060762500005</v>
          </cell>
        </row>
      </sheetData>
      <sheetData sheetId="5">
        <row r="100">
          <cell r="C100">
            <v>1366301.0042000001</v>
          </cell>
        </row>
      </sheetData>
      <sheetData sheetId="6"/>
      <sheetData sheetId="7">
        <row r="152">
          <cell r="G152">
            <v>8</v>
          </cell>
        </row>
        <row r="153">
          <cell r="G153">
            <v>9</v>
          </cell>
        </row>
        <row r="154">
          <cell r="G154">
            <v>56.166666666666664</v>
          </cell>
        </row>
        <row r="157">
          <cell r="G157">
            <v>5.333333333333333</v>
          </cell>
        </row>
        <row r="158">
          <cell r="G158">
            <v>6</v>
          </cell>
        </row>
      </sheetData>
      <sheetData sheetId="8">
        <row r="152">
          <cell r="G152">
            <v>8</v>
          </cell>
        </row>
      </sheetData>
      <sheetData sheetId="9">
        <row r="4">
          <cell r="C4">
            <v>237728.70951369195</v>
          </cell>
        </row>
        <row r="5">
          <cell r="C5">
            <v>175991.60541875387</v>
          </cell>
        </row>
        <row r="6">
          <cell r="C6">
            <v>655416.68999999994</v>
          </cell>
        </row>
        <row r="7">
          <cell r="C7">
            <v>366772.16902814223</v>
          </cell>
        </row>
        <row r="8">
          <cell r="C8">
            <v>9320.900145262498</v>
          </cell>
        </row>
        <row r="9">
          <cell r="C9">
            <v>22813.826892000005</v>
          </cell>
        </row>
        <row r="10">
          <cell r="C10">
            <v>2077.0425</v>
          </cell>
        </row>
      </sheetData>
      <sheetData sheetId="10">
        <row r="4">
          <cell r="C4">
            <v>237728.70951369195</v>
          </cell>
        </row>
        <row r="5">
          <cell r="C5">
            <v>71242.093709531458</v>
          </cell>
        </row>
        <row r="6">
          <cell r="C6">
            <v>70312.737469891639</v>
          </cell>
        </row>
        <row r="7">
          <cell r="C7">
            <v>379014.72999999992</v>
          </cell>
        </row>
        <row r="8">
          <cell r="C8">
            <v>184028.2257914955</v>
          </cell>
        </row>
        <row r="9">
          <cell r="C9">
            <v>334852.07</v>
          </cell>
        </row>
      </sheetData>
      <sheetData sheetId="11">
        <row r="5">
          <cell r="C5">
            <v>71242.093709531458</v>
          </cell>
        </row>
        <row r="85">
          <cell r="C85">
            <v>1307751</v>
          </cell>
        </row>
        <row r="86">
          <cell r="C86">
            <v>0</v>
          </cell>
        </row>
        <row r="87">
          <cell r="C87">
            <v>178220</v>
          </cell>
        </row>
        <row r="88">
          <cell r="C88">
            <v>46968</v>
          </cell>
        </row>
        <row r="89">
          <cell r="C89">
            <v>733425</v>
          </cell>
        </row>
        <row r="90">
          <cell r="C90">
            <v>0</v>
          </cell>
        </row>
        <row r="91">
          <cell r="C91">
            <v>36890</v>
          </cell>
        </row>
        <row r="92">
          <cell r="C92">
            <v>4800</v>
          </cell>
        </row>
        <row r="93">
          <cell r="C93">
            <v>3258578</v>
          </cell>
        </row>
        <row r="94">
          <cell r="C94">
            <v>295500</v>
          </cell>
        </row>
        <row r="95">
          <cell r="C95">
            <v>41274</v>
          </cell>
        </row>
        <row r="97">
          <cell r="C97">
            <v>2030808</v>
          </cell>
        </row>
        <row r="98">
          <cell r="C98">
            <v>26500</v>
          </cell>
        </row>
        <row r="99">
          <cell r="C99">
            <v>58120</v>
          </cell>
        </row>
        <row r="100">
          <cell r="C100">
            <v>184390</v>
          </cell>
        </row>
        <row r="101">
          <cell r="C101">
            <v>1500</v>
          </cell>
        </row>
        <row r="102">
          <cell r="C102">
            <v>174688</v>
          </cell>
        </row>
        <row r="103">
          <cell r="C103">
            <v>0</v>
          </cell>
        </row>
        <row r="104">
          <cell r="C104">
            <v>111515</v>
          </cell>
        </row>
      </sheetData>
      <sheetData sheetId="12">
        <row r="85">
          <cell r="C85">
            <v>1307751</v>
          </cell>
        </row>
      </sheetData>
      <sheetData sheetId="13">
        <row r="151">
          <cell r="G151">
            <v>8</v>
          </cell>
        </row>
        <row r="152">
          <cell r="G152">
            <v>9</v>
          </cell>
        </row>
        <row r="153">
          <cell r="G153">
            <v>51</v>
          </cell>
        </row>
        <row r="154">
          <cell r="G154">
            <v>28</v>
          </cell>
        </row>
        <row r="155">
          <cell r="G155">
            <v>3.9166666666666665</v>
          </cell>
        </row>
        <row r="156">
          <cell r="G156">
            <v>5.666666666666667</v>
          </cell>
        </row>
        <row r="157">
          <cell r="G157">
            <v>6</v>
          </cell>
        </row>
      </sheetData>
      <sheetData sheetId="14">
        <row r="151">
          <cell r="G151">
            <v>8</v>
          </cell>
        </row>
      </sheetData>
      <sheetData sheetId="15">
        <row r="4">
          <cell r="C4">
            <v>197397.39895447489</v>
          </cell>
        </row>
        <row r="5">
          <cell r="C5">
            <v>147985.01537692102</v>
          </cell>
        </row>
        <row r="6">
          <cell r="C6">
            <v>571726.80359056813</v>
          </cell>
        </row>
        <row r="7">
          <cell r="C7">
            <v>356350.3633224275</v>
          </cell>
        </row>
        <row r="8">
          <cell r="C8">
            <v>16783.024405009</v>
          </cell>
        </row>
        <row r="9">
          <cell r="C9">
            <v>11408.364881415384</v>
          </cell>
        </row>
        <row r="10">
          <cell r="C10">
            <v>2174.5425</v>
          </cell>
        </row>
        <row r="11">
          <cell r="C11">
            <v>0</v>
          </cell>
        </row>
      </sheetData>
      <sheetData sheetId="16">
        <row r="4">
          <cell r="C4">
            <v>197397.39895447489</v>
          </cell>
        </row>
        <row r="5">
          <cell r="C5">
            <v>60220.975106986349</v>
          </cell>
        </row>
        <row r="6">
          <cell r="C6">
            <v>65375.842451839584</v>
          </cell>
        </row>
        <row r="7">
          <cell r="C7">
            <v>324019.77656463749</v>
          </cell>
        </row>
        <row r="8">
          <cell r="C8">
            <v>170686.59749551877</v>
          </cell>
        </row>
        <row r="9">
          <cell r="C9">
            <v>304263.32092602825</v>
          </cell>
        </row>
        <row r="10">
          <cell r="C10">
            <v>-11241.2664</v>
          </cell>
        </row>
      </sheetData>
      <sheetData sheetId="17">
        <row r="5">
          <cell r="C5">
            <v>60220.975106986349</v>
          </cell>
        </row>
        <row r="83">
          <cell r="D83">
            <v>1217262.21</v>
          </cell>
        </row>
        <row r="85">
          <cell r="D85">
            <v>0</v>
          </cell>
        </row>
        <row r="86">
          <cell r="D86">
            <v>175744.23</v>
          </cell>
        </row>
        <row r="88">
          <cell r="D88">
            <v>692386.16000000015</v>
          </cell>
        </row>
        <row r="90">
          <cell r="D90">
            <v>42541.350000000006</v>
          </cell>
        </row>
        <row r="91">
          <cell r="D91">
            <v>56968.88</v>
          </cell>
        </row>
        <row r="93">
          <cell r="D93">
            <v>3128275.17</v>
          </cell>
        </row>
        <row r="95">
          <cell r="D95">
            <v>476814.33</v>
          </cell>
        </row>
        <row r="96">
          <cell r="D96">
            <v>42642.9</v>
          </cell>
        </row>
        <row r="98">
          <cell r="D98">
            <v>1964633.42</v>
          </cell>
        </row>
        <row r="99">
          <cell r="D99">
            <v>8096.16</v>
          </cell>
        </row>
        <row r="100">
          <cell r="D100">
            <v>50881.89</v>
          </cell>
        </row>
        <row r="101">
          <cell r="D101">
            <v>261048</v>
          </cell>
        </row>
        <row r="102">
          <cell r="D102">
            <v>2059.98</v>
          </cell>
        </row>
        <row r="103">
          <cell r="D103">
            <v>125796.09</v>
          </cell>
        </row>
        <row r="104">
          <cell r="D104">
            <v>16.75</v>
          </cell>
        </row>
        <row r="105">
          <cell r="D105">
            <v>118050</v>
          </cell>
        </row>
      </sheetData>
      <sheetData sheetId="18">
        <row r="83">
          <cell r="D83">
            <v>1217262.21</v>
          </cell>
        </row>
        <row r="247">
          <cell r="C247">
            <v>250360.99</v>
          </cell>
          <cell r="D247">
            <v>49791.81</v>
          </cell>
          <cell r="E247">
            <v>42600</v>
          </cell>
        </row>
        <row r="248">
          <cell r="C248">
            <v>188781.56</v>
          </cell>
          <cell r="D248">
            <v>3540.45</v>
          </cell>
          <cell r="E248">
            <v>4200</v>
          </cell>
        </row>
        <row r="249">
          <cell r="C249">
            <v>805101.63000000012</v>
          </cell>
          <cell r="D249">
            <v>24843.599999999999</v>
          </cell>
          <cell r="E249">
            <v>2400</v>
          </cell>
        </row>
        <row r="250">
          <cell r="C250">
            <v>538726.94000000006</v>
          </cell>
        </row>
        <row r="251">
          <cell r="C251">
            <v>24651.78</v>
          </cell>
        </row>
        <row r="252">
          <cell r="C252">
            <v>11966.38</v>
          </cell>
        </row>
        <row r="253">
          <cell r="C253">
            <v>4001.4</v>
          </cell>
        </row>
        <row r="254">
          <cell r="C254">
            <v>285786.44</v>
          </cell>
        </row>
      </sheetData>
      <sheetData sheetId="19">
        <row r="247">
          <cell r="C247">
            <v>250360.99</v>
          </cell>
        </row>
      </sheetData>
      <sheetData sheetId="20"/>
      <sheetData sheetId="21">
        <row r="172">
          <cell r="G172">
            <v>8</v>
          </cell>
        </row>
        <row r="173">
          <cell r="G173">
            <v>9</v>
          </cell>
        </row>
        <row r="174">
          <cell r="G174">
            <v>53.125000000000007</v>
          </cell>
        </row>
        <row r="175">
          <cell r="G175">
            <v>27.5</v>
          </cell>
        </row>
        <row r="176">
          <cell r="G176">
            <v>6.5816666666666661</v>
          </cell>
        </row>
        <row r="177">
          <cell r="G177">
            <v>6.333333333333333</v>
          </cell>
        </row>
        <row r="178">
          <cell r="G178">
            <v>6</v>
          </cell>
        </row>
      </sheetData>
      <sheetData sheetId="22">
        <row r="91">
          <cell r="D91">
            <v>1077568.22</v>
          </cell>
        </row>
        <row r="92">
          <cell r="D92">
            <v>2500</v>
          </cell>
        </row>
        <row r="93">
          <cell r="D93">
            <v>34441.449999999997</v>
          </cell>
        </row>
        <row r="94">
          <cell r="D94">
            <v>4828.32</v>
          </cell>
        </row>
        <row r="95">
          <cell r="D95">
            <v>124772.51000000001</v>
          </cell>
        </row>
        <row r="96">
          <cell r="D96">
            <v>39510</v>
          </cell>
        </row>
        <row r="97">
          <cell r="D97">
            <v>687790.55000000016</v>
          </cell>
        </row>
        <row r="99">
          <cell r="D99">
            <v>0</v>
          </cell>
        </row>
        <row r="100">
          <cell r="D100">
            <v>46608.14</v>
          </cell>
        </row>
        <row r="101">
          <cell r="D101">
            <v>31098.79</v>
          </cell>
        </row>
        <row r="102">
          <cell r="D102">
            <v>4200</v>
          </cell>
        </row>
        <row r="103">
          <cell r="D103">
            <v>3169624.5400000005</v>
          </cell>
        </row>
        <row r="104">
          <cell r="D104">
            <v>4589.7299999999996</v>
          </cell>
        </row>
        <row r="105">
          <cell r="D105">
            <v>554219.93000000005</v>
          </cell>
        </row>
        <row r="106">
          <cell r="D106">
            <v>44144.160000000003</v>
          </cell>
        </row>
        <row r="107">
          <cell r="D107">
            <v>1843781.1800000002</v>
          </cell>
        </row>
        <row r="109">
          <cell r="D109">
            <v>4968.3999999999996</v>
          </cell>
        </row>
        <row r="110">
          <cell r="D110">
            <v>8322.9499999999989</v>
          </cell>
        </row>
        <row r="111">
          <cell r="D111">
            <v>48614.16</v>
          </cell>
        </row>
        <row r="112">
          <cell r="D112">
            <v>268569.90000000002</v>
          </cell>
        </row>
        <row r="113">
          <cell r="D113">
            <v>2118.21</v>
          </cell>
        </row>
        <row r="114">
          <cell r="D114">
            <v>135330.74</v>
          </cell>
        </row>
        <row r="115">
          <cell r="D115">
            <v>1677</v>
          </cell>
        </row>
        <row r="116">
          <cell r="D116">
            <v>105900</v>
          </cell>
        </row>
      </sheetData>
      <sheetData sheetId="23">
        <row r="91">
          <cell r="D91">
            <v>1077568.22</v>
          </cell>
        </row>
      </sheetData>
      <sheetData sheetId="24">
        <row r="297">
          <cell r="C297">
            <v>198612.75</v>
          </cell>
        </row>
        <row r="298">
          <cell r="C298">
            <v>171155.86</v>
          </cell>
        </row>
        <row r="299">
          <cell r="C299">
            <v>750446.01</v>
          </cell>
        </row>
        <row r="300">
          <cell r="C300">
            <v>456950.82</v>
          </cell>
        </row>
        <row r="301">
          <cell r="C301">
            <v>22871.62</v>
          </cell>
        </row>
        <row r="302">
          <cell r="C302">
            <v>12804.25</v>
          </cell>
        </row>
        <row r="303">
          <cell r="C303">
            <v>3492.99</v>
          </cell>
        </row>
        <row r="304">
          <cell r="C304">
            <v>244643.62</v>
          </cell>
        </row>
      </sheetData>
      <sheetData sheetId="25">
        <row r="297">
          <cell r="C297">
            <v>198612.75</v>
          </cell>
        </row>
      </sheetData>
      <sheetData sheetId="26">
        <row r="160">
          <cell r="C160">
            <v>7</v>
          </cell>
        </row>
        <row r="161">
          <cell r="C161">
            <v>9</v>
          </cell>
        </row>
        <row r="162">
          <cell r="C162">
            <v>51.335000000000001</v>
          </cell>
        </row>
        <row r="163">
          <cell r="C163">
            <v>26.33</v>
          </cell>
        </row>
        <row r="164">
          <cell r="C164">
            <v>6.2083333333333313</v>
          </cell>
        </row>
        <row r="165">
          <cell r="C165">
            <v>5.4444444444444455</v>
          </cell>
        </row>
        <row r="166">
          <cell r="C166">
            <v>6</v>
          </cell>
        </row>
      </sheetData>
      <sheetData sheetId="27">
        <row r="123">
          <cell r="D123">
            <v>970059.17</v>
          </cell>
        </row>
        <row r="124">
          <cell r="D124">
            <v>22500</v>
          </cell>
        </row>
        <row r="125">
          <cell r="D125">
            <v>28425.73</v>
          </cell>
        </row>
        <row r="126">
          <cell r="D126">
            <v>1901.54</v>
          </cell>
        </row>
        <row r="127">
          <cell r="D127">
            <v>121754</v>
          </cell>
        </row>
        <row r="128">
          <cell r="D128">
            <v>39120</v>
          </cell>
        </row>
        <row r="129">
          <cell r="D129">
            <v>402496.55</v>
          </cell>
        </row>
        <row r="130">
          <cell r="D130">
            <v>2500</v>
          </cell>
        </row>
        <row r="131">
          <cell r="D131">
            <v>2020.39</v>
          </cell>
        </row>
        <row r="132">
          <cell r="D132">
            <v>4505.17</v>
          </cell>
        </row>
        <row r="133">
          <cell r="D133">
            <v>19319.243999999999</v>
          </cell>
        </row>
        <row r="134">
          <cell r="D134">
            <v>4200</v>
          </cell>
        </row>
        <row r="135">
          <cell r="D135">
            <v>3059018.89</v>
          </cell>
        </row>
        <row r="136">
          <cell r="D136">
            <v>427118.55999999994</v>
          </cell>
        </row>
        <row r="137">
          <cell r="D137">
            <v>36797.647999999994</v>
          </cell>
        </row>
        <row r="138">
          <cell r="D138">
            <v>1570109.95</v>
          </cell>
        </row>
        <row r="139">
          <cell r="D139">
            <v>2500</v>
          </cell>
        </row>
        <row r="140">
          <cell r="D140">
            <v>1193.3</v>
          </cell>
        </row>
        <row r="141">
          <cell r="D141">
            <v>26236.91</v>
          </cell>
        </row>
        <row r="142">
          <cell r="D142">
            <v>45077.088000000003</v>
          </cell>
        </row>
        <row r="143">
          <cell r="D143">
            <v>146463.94</v>
          </cell>
        </row>
        <row r="144">
          <cell r="D144">
            <v>1078.96</v>
          </cell>
        </row>
        <row r="145">
          <cell r="D145">
            <v>110730.18</v>
          </cell>
        </row>
        <row r="146">
          <cell r="D146">
            <v>367.2</v>
          </cell>
        </row>
        <row r="147">
          <cell r="D147">
            <v>101500</v>
          </cell>
        </row>
      </sheetData>
      <sheetData sheetId="28">
        <row r="123">
          <cell r="D123">
            <v>970059.17</v>
          </cell>
        </row>
      </sheetData>
      <sheetData sheetId="29"/>
      <sheetData sheetId="30">
        <row r="284">
          <cell r="C284">
            <v>184381.84077170325</v>
          </cell>
        </row>
        <row r="285">
          <cell r="C285">
            <v>112474.60090721741</v>
          </cell>
        </row>
        <row r="286">
          <cell r="C286">
            <v>797603.19591360702</v>
          </cell>
        </row>
        <row r="287">
          <cell r="C287">
            <v>392298.18881129153</v>
          </cell>
        </row>
        <row r="288">
          <cell r="C288">
            <v>12905.28</v>
          </cell>
        </row>
        <row r="289">
          <cell r="C289">
            <v>10613.2</v>
          </cell>
        </row>
        <row r="290">
          <cell r="C290">
            <v>3413.67</v>
          </cell>
        </row>
        <row r="291">
          <cell r="C291">
            <v>226951.12</v>
          </cell>
        </row>
      </sheetData>
      <sheetData sheetId="31">
        <row r="35">
          <cell r="B35">
            <v>5.666666666666667</v>
          </cell>
        </row>
      </sheetData>
      <sheetData sheetId="32">
        <row r="35">
          <cell r="B35">
            <v>5.666666666666667</v>
          </cell>
        </row>
        <row r="146">
          <cell r="G146">
            <v>6</v>
          </cell>
        </row>
        <row r="152">
          <cell r="C152">
            <v>7</v>
          </cell>
        </row>
        <row r="153">
          <cell r="C153">
            <v>6</v>
          </cell>
        </row>
        <row r="154">
          <cell r="C154">
            <v>52.970000000000006</v>
          </cell>
        </row>
        <row r="155">
          <cell r="C155">
            <v>24.33</v>
          </cell>
        </row>
        <row r="156">
          <cell r="C156">
            <v>3.2916666666666656</v>
          </cell>
        </row>
      </sheetData>
      <sheetData sheetId="33">
        <row r="146">
          <cell r="G146">
            <v>6</v>
          </cell>
        </row>
      </sheetData>
      <sheetData sheetId="34"/>
      <sheetData sheetId="35"/>
      <sheetData sheetId="36"/>
      <sheetData sheetId="3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09"/>
      <sheetName val="App.2-B_Fixed Asset Continu10"/>
      <sheetName val="App.2-B_Fixed Asset Continu11"/>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row r="3">
          <cell r="AA3" t="str">
            <v>Algoma Power Inc.</v>
          </cell>
        </row>
        <row r="18">
          <cell r="E18" t="str">
            <v>EB-2012-0107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Asset allocation 2012"/>
      <sheetName val="2012 Assset additions GAAP"/>
      <sheetName val="Proj Asset allocation IFRS 2012"/>
      <sheetName val="2012 Assset additions IFRS"/>
      <sheetName val="List of Asset Acc Num and Desrc"/>
    </sheetNames>
    <sheetDataSet>
      <sheetData sheetId="0"/>
      <sheetData sheetId="1" refreshError="1"/>
      <sheetData sheetId="2"/>
      <sheetData sheetId="3" refreshError="1"/>
      <sheetData sheetId="4">
        <row r="6">
          <cell r="D6" t="str">
            <v>180500 Distribution Plant - Land</v>
          </cell>
        </row>
        <row r="7">
          <cell r="D7" t="str">
            <v>180600 Distribution Plant - Land Rights/Easements</v>
          </cell>
        </row>
        <row r="8">
          <cell r="D8" t="str">
            <v>181500 Distribution Plant - Transformer Stn. &gt;50kV</v>
          </cell>
        </row>
        <row r="9">
          <cell r="D9" t="str">
            <v>182001 Dist Stn Equip &lt;50kV - Building</v>
          </cell>
        </row>
        <row r="10">
          <cell r="D10" t="str">
            <v>182002 Dist Stn Equip &lt;50kV - Transformers</v>
          </cell>
        </row>
        <row r="11">
          <cell r="D11" t="str">
            <v>182003 Dist Stn Equip &lt;50kV - Switch Gear</v>
          </cell>
        </row>
        <row r="12">
          <cell r="D12" t="str">
            <v>182004 Dist Stn Equip &lt;50kV - Breakers</v>
          </cell>
        </row>
        <row r="13">
          <cell r="D13" t="str">
            <v>182005 Dist Stn Equip &lt;50kV - Protection Control (Relays)</v>
          </cell>
        </row>
        <row r="14">
          <cell r="D14" t="str">
            <v>182006 Dist Stn Equip &lt;50kV - Reclosures</v>
          </cell>
        </row>
        <row r="15">
          <cell r="D15" t="str">
            <v>182007 Dist Stn Equip &lt;50kV - All Other Items</v>
          </cell>
        </row>
        <row r="16">
          <cell r="D16" t="str">
            <v>183001 Wood Poles (fully dressed)</v>
          </cell>
        </row>
        <row r="17">
          <cell r="D17" t="str">
            <v>183002 Concrete Poles (fully dressed)</v>
          </cell>
        </row>
        <row r="18">
          <cell r="D18" t="str">
            <v>183003 Steel Poles (fully dressed)</v>
          </cell>
        </row>
        <row r="19">
          <cell r="D19" t="str">
            <v>183004 Composite Poles (fully dressed)</v>
          </cell>
        </row>
        <row r="20">
          <cell r="D20" t="str">
            <v>183501 OH Conductors/Devices - Primary Conductor</v>
          </cell>
        </row>
        <row r="21">
          <cell r="D21" t="str">
            <v>183502 OH Conductors/Devices - Secondary Conductor</v>
          </cell>
        </row>
        <row r="22">
          <cell r="D22" t="str">
            <v>183503 OH Conductors/Devices - All Other Items</v>
          </cell>
        </row>
        <row r="23">
          <cell r="D23" t="str">
            <v>184001 UG Conduit</v>
          </cell>
        </row>
        <row r="24">
          <cell r="D24" t="str">
            <v>184002 Manholes and Vaults</v>
          </cell>
        </row>
        <row r="25">
          <cell r="D25" t="str">
            <v>184003 Underground Conduit - All Other Items</v>
          </cell>
        </row>
        <row r="26">
          <cell r="D26" t="str">
            <v>184501 UG Conductors/Devices - Primary</v>
          </cell>
        </row>
        <row r="27">
          <cell r="D27" t="str">
            <v>184502 UG Conductors/Devices - Secondary</v>
          </cell>
        </row>
        <row r="28">
          <cell r="D28" t="str">
            <v>184503 UG Conductors/Devices - All Other Items</v>
          </cell>
        </row>
        <row r="29">
          <cell r="D29" t="str">
            <v>185001 OH Transformers - 3 Phase Dressed (fully dressed)</v>
          </cell>
        </row>
        <row r="30">
          <cell r="D30" t="str">
            <v>185002 OH Transformers -  Single Phase (fully dressed)</v>
          </cell>
        </row>
        <row r="31">
          <cell r="D31" t="str">
            <v>185003 OH Transformers - All Other Items</v>
          </cell>
        </row>
        <row r="32">
          <cell r="D32" t="str">
            <v>185004 UG Transformer - 3 Phase Padmount</v>
          </cell>
        </row>
        <row r="33">
          <cell r="D33" t="str">
            <v>185005 UG Transformers-Single Phase Padmount</v>
          </cell>
        </row>
        <row r="34">
          <cell r="D34" t="str">
            <v>185006 UG Transformers-Other</v>
          </cell>
        </row>
        <row r="35">
          <cell r="D35" t="str">
            <v>185501 Dist. Plant - Services Underground-Secondary</v>
          </cell>
        </row>
        <row r="36">
          <cell r="D36" t="str">
            <v>185502 Dist. Plant - Services Underground-Other</v>
          </cell>
        </row>
        <row r="37">
          <cell r="D37" t="str">
            <v>186001 Distribution Plant - Meters - Single Phase</v>
          </cell>
        </row>
        <row r="38">
          <cell r="D38" t="str">
            <v>186002 Distribution Plant - Meters -Poly Phase &amp; Interval</v>
          </cell>
        </row>
        <row r="39">
          <cell r="D39" t="str">
            <v>186003 Distribution Plant - Meters - Smart</v>
          </cell>
        </row>
        <row r="40">
          <cell r="D40" t="str">
            <v>186004 Distribution Plant - Meters - All Other Items</v>
          </cell>
        </row>
        <row r="41">
          <cell r="D41" t="str">
            <v>190801 Building/Fixtures - Structure &amp; Contents</v>
          </cell>
        </row>
        <row r="42">
          <cell r="D42" t="str">
            <v>190802 Building/Fixtures - Asphalt Roof</v>
          </cell>
        </row>
        <row r="43">
          <cell r="D43" t="str">
            <v>191500 Office Furniture &amp; Equipment</v>
          </cell>
        </row>
        <row r="44">
          <cell r="D44" t="str">
            <v>192001 Computer H/W-PC,Laptop,Printer,Server,etc</v>
          </cell>
        </row>
        <row r="45">
          <cell r="D45" t="str">
            <v>192002 Computer H/W - UPS</v>
          </cell>
        </row>
        <row r="46">
          <cell r="D46" t="str">
            <v>192003 Computer H/W -Racks,Shelving,Wiring,etc</v>
          </cell>
        </row>
        <row r="47">
          <cell r="D47" t="str">
            <v>192500 Computer Software - All</v>
          </cell>
        </row>
        <row r="48">
          <cell r="D48" t="str">
            <v>193001 Transportation Equipment - Large Trucks</v>
          </cell>
        </row>
        <row r="49">
          <cell r="D49" t="str">
            <v>193002 Transportation Equipment - Small Trucks &amp; Vans</v>
          </cell>
        </row>
        <row r="50">
          <cell r="D50" t="str">
            <v>193003 Transportation Equipment - Cars</v>
          </cell>
        </row>
        <row r="51">
          <cell r="D51" t="str">
            <v>193004 Transportation Equipment - Other</v>
          </cell>
        </row>
        <row r="52">
          <cell r="D52" t="str">
            <v>193500 Stores Equipment</v>
          </cell>
        </row>
        <row r="53">
          <cell r="D53" t="str">
            <v>194000 Tools, Shop, and Garage Equipment</v>
          </cell>
        </row>
        <row r="54">
          <cell r="D54" t="str">
            <v>194500 General Plant - Measure and Testing Equipment</v>
          </cell>
        </row>
        <row r="55">
          <cell r="D55" t="str">
            <v>195501 General Plant - Communication Equipment - FM</v>
          </cell>
        </row>
        <row r="56">
          <cell r="D56" t="str">
            <v>195502 General Plant - Communication Equip - Cell Phones</v>
          </cell>
        </row>
        <row r="57">
          <cell r="D57" t="str">
            <v>196000 Miscellaneous Equipment</v>
          </cell>
        </row>
        <row r="58">
          <cell r="D58" t="str">
            <v>196501 General Plant - Water Heater Rental Units</v>
          </cell>
        </row>
        <row r="59">
          <cell r="D59" t="str">
            <v>197000 General Plant - Load Mgmt Customer Premises</v>
          </cell>
        </row>
        <row r="60">
          <cell r="D60" t="str">
            <v>198000 General Plant - System Supervisory Equipment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Customer count"/>
      <sheetName val="forecast variances"/>
      <sheetName val="CDM adjustment"/>
      <sheetName val="C3.DistRevenue"/>
      <sheetName val="C5.TransmissionRates"/>
      <sheetName val="C6.LowVoltage"/>
      <sheetName val="C6.1 Worksheet Low Voltage"/>
      <sheetName val="C7.CommodityPrice"/>
      <sheetName val="Sheet1"/>
      <sheetName val="C8.PassthruRates"/>
      <sheetName val="WCA Trend"/>
      <sheetName val="power supply sensitivities"/>
      <sheetName val="WMP Data"/>
      <sheetName val="C9.ServiceRevenues"/>
      <sheetName val="C10.RevenueOffsets"/>
      <sheetName val="D1.RateBase"/>
      <sheetName val="D2.Debt"/>
      <sheetName val="2.2M debenture"/>
      <sheetName val="D3.CapitalStructure"/>
      <sheetName val="summary schedules"/>
      <sheetName val="E1.BridgeYrPL"/>
      <sheetName val="E2.TestYrPL"/>
      <sheetName val="E3.CapitalInfo"/>
      <sheetName val="E4.PILsResults"/>
      <sheetName val="F1.RevRequirement"/>
      <sheetName val="variance from 2009"/>
      <sheetName val="F2.CostAllocation"/>
      <sheetName val="F3.RevenueAllocation"/>
      <sheetName val="F4.RateDesign"/>
      <sheetName val="Overview of Dist Rev"/>
      <sheetName val="rate design"/>
      <sheetName val="Dist Rev"/>
      <sheetName val="FixedVarRevenue"/>
      <sheetName val="G1.DeferralBalances"/>
      <sheetName val="G2.ApprovedRecoveries"/>
      <sheetName val="G3.ProposedRecoveries"/>
      <sheetName val="G4.RateRiders"/>
      <sheetName val="G5.GlobalAdjustment"/>
      <sheetName val="rev reconciliation 2"/>
      <sheetName val="H1.RatesCheck"/>
      <sheetName val="H2.FinalRates"/>
      <sheetName val="Table of Rate Riders"/>
      <sheetName val="H3.FinalRateRiders"/>
      <sheetName val="H3.1 LRAM"/>
      <sheetName val="H4.ImpactSummary"/>
      <sheetName val="BlankImpact"/>
      <sheetName val="H5.BillImpacts"/>
      <sheetName val="sens bill impacts"/>
      <sheetName val="S1.BridgeYrProForma"/>
      <sheetName val="Breakdown by plant"/>
      <sheetName val="S2.TestYrProForma"/>
      <sheetName val="S3.TestYrNewRates"/>
      <sheetName val="S4.VarBS"/>
      <sheetName val="S5.VarPL"/>
      <sheetName val="S6.VarRateBase"/>
      <sheetName val="S7.VarSuffDef"/>
      <sheetName val="O&amp;M (2)"/>
      <sheetName val="X11.PLtrend"/>
      <sheetName val="X12.PLvariances"/>
      <sheetName val="X13.BStrend"/>
      <sheetName val="X14.BSvariances"/>
      <sheetName val="X21.CapitalCont"/>
      <sheetName val="X22.RBtrend"/>
      <sheetName val="working capital"/>
      <sheetName val="X23.RBvariances"/>
      <sheetName val="X31.RevSuffDef"/>
      <sheetName val="X32.RevenueReq"/>
      <sheetName val="X91.RatesSched"/>
      <sheetName val="Current and Proposed rates"/>
      <sheetName val="Rate schedule 2"/>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O&amp;M"/>
    </sheetNames>
    <sheetDataSet>
      <sheetData sheetId="0"/>
      <sheetData sheetId="1">
        <row r="13">
          <cell r="C13">
            <v>2013</v>
          </cell>
        </row>
        <row r="21">
          <cell r="C21">
            <v>3</v>
          </cell>
        </row>
        <row r="23">
          <cell r="C23">
            <v>39813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v>2200000</v>
          </cell>
          <cell r="H5">
            <v>1.4499999999999957E-2</v>
          </cell>
        </row>
        <row r="7">
          <cell r="D7">
            <v>10</v>
          </cell>
        </row>
        <row r="8">
          <cell r="D8">
            <v>41348</v>
          </cell>
        </row>
        <row r="11">
          <cell r="D11" t="str">
            <v>End of Period</v>
          </cell>
        </row>
        <row r="13">
          <cell r="D13">
            <v>127509.91</v>
          </cell>
        </row>
        <row r="15">
          <cell r="H15" t="b">
            <v>1</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10">
          <cell r="C10" t="str">
            <v xml:space="preserve">_x000D_
</v>
          </cell>
        </row>
        <row r="11">
          <cell r="C11" t="str">
            <v xml:space="preserve">_x000D_
_x000D_
</v>
          </cell>
        </row>
        <row r="12">
          <cell r="C12" t="str">
            <v>2009 EDR Approved</v>
          </cell>
        </row>
        <row r="13">
          <cell r="C13" t="str">
            <v>1.0</v>
          </cell>
        </row>
        <row r="14">
          <cell r="C14" t="str">
            <v> </v>
          </cell>
        </row>
        <row r="15">
          <cell r="C15" t="str">
            <v>Q:\1.2013 Rebasing\Models\1. BWP models\</v>
          </cell>
        </row>
      </sheetData>
      <sheetData sheetId="98"/>
      <sheetData sheetId="99"/>
      <sheetData sheetId="10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forecast variances"/>
      <sheetName val="C3.DistRevenue"/>
      <sheetName val="C5.TransmissionRates"/>
      <sheetName val="C6.LowVoltage"/>
      <sheetName val="C6.1 Worksheet Low Voltage"/>
      <sheetName val="C7.CommodityPrice"/>
      <sheetName val="Sheet1"/>
      <sheetName val="C8.PassthruRates"/>
      <sheetName val="WMP Data"/>
      <sheetName val="C9.ServiceRevenues"/>
      <sheetName val="C10.RevenueOffsets"/>
      <sheetName val="D1.RateBase"/>
      <sheetName val="D2.Debt"/>
      <sheetName val="2.2M debenture"/>
      <sheetName val="D3.CapitalStructure"/>
      <sheetName val="E1.BridgeYrPL"/>
      <sheetName val="E2.TestYrPL"/>
      <sheetName val="E3.CapitalInfo"/>
      <sheetName val="E4.PILsResults"/>
      <sheetName val="F1.RevRequirement"/>
      <sheetName val="F2.CostAllocation"/>
      <sheetName val="F3.RevenueAllocation"/>
      <sheetName val="F4.RateDesign"/>
      <sheetName val="FixedVarRevenue"/>
      <sheetName val="G1.DeferralBalances"/>
      <sheetName val="G2.ApprovedRecoveries"/>
      <sheetName val="G3.ProposedRecoveries"/>
      <sheetName val="G4.RateRiders"/>
      <sheetName val="G5.GlobalAdjustment"/>
      <sheetName val="H1.RatesCheck"/>
      <sheetName val="H2.FinalRates"/>
      <sheetName val="H3.FinalRateRiders"/>
      <sheetName val="H3.1 LRAM"/>
      <sheetName val="H4.ImpactSummary"/>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12">
          <cell r="C12" t="str">
            <v>2009 EDR Approved</v>
          </cell>
        </row>
      </sheetData>
      <sheetData sheetId="80" refreshError="1"/>
      <sheetData sheetId="8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forecast variances"/>
      <sheetName val="C3.DistRevenue"/>
      <sheetName val="C5.TransmissionRates"/>
      <sheetName val="C6.LowVoltage"/>
      <sheetName val="C6.1 Worksheet Low Voltage"/>
      <sheetName val="C7.CommodityPrice"/>
      <sheetName val="Sheet1"/>
      <sheetName val="C8.PassthruRates"/>
      <sheetName val="WMP Data"/>
      <sheetName val="C9.ServiceRevenues"/>
      <sheetName val="C10.RevenueOffsets"/>
      <sheetName val="D1.RateBase"/>
      <sheetName val="D2.Debt"/>
      <sheetName val="2.2M debenture"/>
      <sheetName val="D3.CapitalStructure"/>
      <sheetName val="E1.BridgeYrPL"/>
      <sheetName val="E2.TestYrPL"/>
      <sheetName val="E3.CapitalInfo"/>
      <sheetName val="E4.PILsResults"/>
      <sheetName val="F1.RevRequirement"/>
      <sheetName val="F2.CostAllocation"/>
      <sheetName val="F3.RevenueAllocation"/>
      <sheetName val="F4.RateDesign"/>
      <sheetName val="FixedVarRevenue"/>
      <sheetName val="G1.DeferralBalances"/>
      <sheetName val="G2.ApprovedRecoveries"/>
      <sheetName val="G3.ProposedRecoveries"/>
      <sheetName val="G4.RateRiders"/>
      <sheetName val="G5.GlobalAdjustment"/>
      <sheetName val="H1.RatesCheck"/>
      <sheetName val="H2.FinalRates"/>
      <sheetName val="H3.FinalRateRiders"/>
      <sheetName val="H3.1 LRAM"/>
      <sheetName val="H4.ImpactSummary"/>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12">
          <cell r="C12" t="str">
            <v>2009 EDR Approved</v>
          </cell>
        </row>
      </sheetData>
      <sheetData sheetId="80" refreshError="1"/>
      <sheetData sheetId="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s>
    <sheetDataSet>
      <sheetData sheetId="0">
        <row r="5">
          <cell r="K5" t="str">
            <v>Annual</v>
          </cell>
        </row>
        <row r="6">
          <cell r="K6" t="str">
            <v>Semi-Annual</v>
          </cell>
        </row>
        <row r="7">
          <cell r="K7" t="str">
            <v>Quarterly</v>
          </cell>
        </row>
        <row r="8">
          <cell r="K8" t="str">
            <v>Bi-Monthly</v>
          </cell>
        </row>
        <row r="9">
          <cell r="D9" t="str">
            <v>Semi-Annual</v>
          </cell>
          <cell r="K9" t="str">
            <v>Monthly</v>
          </cell>
        </row>
        <row r="10">
          <cell r="D10" t="str">
            <v>Semi-Annual</v>
          </cell>
          <cell r="K10" t="str">
            <v>Semi-Monthly</v>
          </cell>
        </row>
        <row r="11">
          <cell r="K11" t="str">
            <v>Bi-Weekly</v>
          </cell>
        </row>
        <row r="12">
          <cell r="K12" t="str">
            <v>Weekly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09"/>
      <sheetName val="App.2-B_Fixed Asset Continu10"/>
      <sheetName val="App.2-B_Fixed Asset Continu11"/>
      <sheetName val="App.2-B_Fixed Asset Continu12"/>
      <sheetName val="App.2-B_Fixed Asset Continu 13"/>
      <sheetName val="App.2-B_Fixed Asset Continu12I"/>
      <sheetName val="RATEBASE CONTINUITY - MIFRS"/>
      <sheetName val="RATEBASE CONTINUITY - CGAAP"/>
      <sheetName val="RATEBASE CONTINUITY - Compariso"/>
      <sheetName val="App.2-B_Fixed Asset Continu13I"/>
      <sheetName val="App.2-CE_CGAAP_DepExp_2011"/>
      <sheetName val="App.2-CF_CGAAP_DepExp_2012"/>
      <sheetName val="App.2-CG_MIFRS_DepExp_2012"/>
      <sheetName val="Opening NBV as at Jan 1, 2012"/>
      <sheetName val="App.2-CH_MIFRS_DepExp_2013"/>
      <sheetName val="App.2-D_Overhead"/>
      <sheetName val="App.2-EB_PP&amp;E Deferral Account"/>
      <sheetName val="App.2-F_Other_Oper_Rev v2"/>
      <sheetName val="App.2-F_Other_Oper_Rev"/>
      <sheetName val="App.2-F_Other_Oper_Rev v2 (2)"/>
      <sheetName val="Breakdown of other revenue"/>
      <sheetName val="App.2-G_Detailed_OM&amp;A_Expen (2"/>
      <sheetName val="App.2-G_Detailed_OM&amp;A_Expenses"/>
      <sheetName val="OM&amp;A '09 BA to '09 Act"/>
      <sheetName val="OM&amp;A '09 Act to '10 Act"/>
      <sheetName val="OM&amp;A '10 Act to '11 Act"/>
      <sheetName val="OM&amp;A '11 Act to '12 Bridge"/>
      <sheetName val="OM&amp;A '12 Bridge to '13 Test"/>
      <sheetName val="App.2-H_OM&amp;A_Detailed_Analysis"/>
      <sheetName val="App.2-H_OM&amp;A_Detailed_Analy XXX"/>
      <sheetName val="App.2-I_OM&amp;A_Summary_Analys"/>
      <sheetName val="App.2-J_OM&amp;A_Cost _Drivers"/>
      <sheetName val="App.2-K_Employee Costs"/>
      <sheetName val="App.2-L_OM&amp;A_per_Cust_FTEE"/>
      <sheetName val="App.2-M_Regulatory_Costs"/>
      <sheetName val="App.2-N_Corp_Cost_Allocation"/>
      <sheetName val="App.2-OA Capital Structure  (2"/>
      <sheetName val="App 2-OA Capital structure.alt"/>
      <sheetName val="App.2-OA Capital Structure 2013"/>
      <sheetName val="App.2-OB_Debt Instruments"/>
      <sheetName val="App.2-P_Cost_Allocation"/>
      <sheetName val="App.2-P_Cost_Allocation (2)"/>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 val="App.2-CA_CGAAP_DepExp_2011"/>
      <sheetName val="App.2-CB_MIFRS_DepExp_2011"/>
      <sheetName val="App.2-CC_MIFRS_DepExp_2012"/>
      <sheetName val="App.2-CD_MIFRS_DepExp_2013"/>
      <sheetName val="App.2-CI_AltAccStd_DepExp"/>
      <sheetName val="App.2-EA_PP&amp;E Deferral Account"/>
      <sheetName val="Sheet1"/>
      <sheetName val="App.2-H_OM&amp;A_Detailed_Analy Sum"/>
      <sheetName val="App 2-N Corp Cost Allocation"/>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EB-2012-0107</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v>2012</v>
          </cell>
          <cell r="AA26" t="str">
            <v>Greater Sudbury Hydro Inc.</v>
          </cell>
        </row>
        <row r="27">
          <cell r="AA27" t="str">
            <v>Grimsby Power Inc.</v>
          </cell>
        </row>
        <row r="28">
          <cell r="E28">
            <v>2013</v>
          </cell>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AA80"/>
  <sheetViews>
    <sheetView showGridLines="0" workbookViewId="0">
      <selection activeCell="E24" sqref="E24:I24"/>
    </sheetView>
  </sheetViews>
  <sheetFormatPr defaultRowHeight="12.75" x14ac:dyDescent="0.2"/>
  <cols>
    <col min="27" max="27" width="0" hidden="1" customWidth="1"/>
  </cols>
  <sheetData>
    <row r="3" spans="4:27" x14ac:dyDescent="0.2">
      <c r="AA3" s="235" t="s">
        <v>468</v>
      </c>
    </row>
    <row r="4" spans="4:27" x14ac:dyDescent="0.2">
      <c r="AA4" s="235" t="s">
        <v>469</v>
      </c>
    </row>
    <row r="5" spans="4:27" x14ac:dyDescent="0.2">
      <c r="AA5" s="235" t="s">
        <v>470</v>
      </c>
    </row>
    <row r="6" spans="4:27" x14ac:dyDescent="0.2">
      <c r="AA6" s="235" t="s">
        <v>471</v>
      </c>
    </row>
    <row r="7" spans="4:27" x14ac:dyDescent="0.2">
      <c r="AA7" s="235" t="s">
        <v>472</v>
      </c>
    </row>
    <row r="8" spans="4:27" x14ac:dyDescent="0.2">
      <c r="AA8" s="235" t="s">
        <v>473</v>
      </c>
    </row>
    <row r="9" spans="4:27" x14ac:dyDescent="0.2">
      <c r="AA9" s="235" t="s">
        <v>474</v>
      </c>
    </row>
    <row r="10" spans="4:27" x14ac:dyDescent="0.2">
      <c r="AA10" s="235" t="s">
        <v>475</v>
      </c>
    </row>
    <row r="11" spans="4:27" x14ac:dyDescent="0.2">
      <c r="AA11" s="235" t="s">
        <v>476</v>
      </c>
    </row>
    <row r="12" spans="4:27" x14ac:dyDescent="0.2">
      <c r="AA12" s="235" t="s">
        <v>477</v>
      </c>
    </row>
    <row r="13" spans="4:27" ht="13.5" thickBot="1" x14ac:dyDescent="0.25">
      <c r="N13" s="728" t="s">
        <v>828</v>
      </c>
      <c r="AA13" s="235" t="s">
        <v>478</v>
      </c>
    </row>
    <row r="14" spans="4:27" ht="16.5" thickTop="1" thickBot="1" x14ac:dyDescent="0.25">
      <c r="D14" s="239" t="s">
        <v>463</v>
      </c>
      <c r="E14" s="1243" t="s">
        <v>471</v>
      </c>
      <c r="F14" s="1244"/>
      <c r="G14" s="1244"/>
      <c r="H14" s="1244"/>
      <c r="I14" s="1244"/>
      <c r="J14" s="1244"/>
      <c r="K14" s="1245"/>
      <c r="AA14" s="235" t="s">
        <v>479</v>
      </c>
    </row>
    <row r="15" spans="4:27" ht="13.5" thickBot="1" x14ac:dyDescent="0.25">
      <c r="D15" s="240"/>
      <c r="E15" s="30"/>
      <c r="F15" s="31"/>
      <c r="G15" s="30"/>
      <c r="H15" s="30"/>
      <c r="I15" s="30"/>
      <c r="J15" s="7"/>
      <c r="K15" s="7"/>
      <c r="AA15" s="235" t="s">
        <v>480</v>
      </c>
    </row>
    <row r="16" spans="4:27" ht="16.5" thickTop="1" thickBot="1" x14ac:dyDescent="0.25">
      <c r="D16" s="241" t="s">
        <v>464</v>
      </c>
      <c r="E16" s="1246"/>
      <c r="F16" s="1247"/>
      <c r="G16" s="1247"/>
      <c r="H16" s="1247"/>
      <c r="I16" s="1248"/>
      <c r="J16" s="7"/>
      <c r="K16" s="7"/>
      <c r="AA16" s="235" t="s">
        <v>481</v>
      </c>
    </row>
    <row r="17" spans="2:27" ht="13.5" thickBot="1" x14ac:dyDescent="0.25">
      <c r="D17" s="201"/>
      <c r="E17" s="7"/>
      <c r="F17" s="7"/>
      <c r="G17" s="7"/>
      <c r="H17" s="7"/>
      <c r="I17" s="7"/>
      <c r="J17" s="7"/>
      <c r="K17" s="7"/>
      <c r="AA17" s="235" t="s">
        <v>482</v>
      </c>
    </row>
    <row r="18" spans="2:27" ht="16.5" thickTop="1" thickBot="1" x14ac:dyDescent="0.25">
      <c r="D18" s="241" t="s">
        <v>465</v>
      </c>
      <c r="E18" s="1249" t="s">
        <v>866</v>
      </c>
      <c r="F18" s="1247"/>
      <c r="G18" s="1247"/>
      <c r="H18" s="1247"/>
      <c r="I18" s="1248"/>
      <c r="J18" s="7"/>
      <c r="K18" s="7"/>
      <c r="AA18" s="235" t="s">
        <v>483</v>
      </c>
    </row>
    <row r="19" spans="2:27" ht="13.5" thickBot="1" x14ac:dyDescent="0.25">
      <c r="D19" s="201"/>
      <c r="E19" s="7"/>
      <c r="F19" s="7"/>
      <c r="G19" s="7"/>
      <c r="H19" s="7"/>
      <c r="I19" s="7"/>
      <c r="J19" s="7"/>
      <c r="K19" s="7"/>
      <c r="AA19" s="235" t="s">
        <v>484</v>
      </c>
    </row>
    <row r="20" spans="2:27" ht="16.5" thickTop="1" thickBot="1" x14ac:dyDescent="0.25">
      <c r="D20" s="241" t="s">
        <v>811</v>
      </c>
      <c r="E20" s="1237" t="s">
        <v>867</v>
      </c>
      <c r="F20" s="1238"/>
      <c r="G20" s="1238"/>
      <c r="H20" s="1238"/>
      <c r="I20" s="1238"/>
      <c r="J20" s="1238"/>
      <c r="K20" s="1239"/>
      <c r="AA20" s="235" t="s">
        <v>485</v>
      </c>
    </row>
    <row r="21" spans="2:27" ht="14.25" thickTop="1" thickBot="1" x14ac:dyDescent="0.25">
      <c r="D21" s="240"/>
      <c r="E21" s="30"/>
      <c r="F21" s="31"/>
      <c r="G21" s="30"/>
      <c r="H21" s="30"/>
      <c r="I21" s="30"/>
      <c r="J21" s="7"/>
      <c r="K21" s="7"/>
      <c r="AA21" s="235" t="s">
        <v>486</v>
      </c>
    </row>
    <row r="22" spans="2:27" ht="16.5" thickTop="1" thickBot="1" x14ac:dyDescent="0.25">
      <c r="D22" s="239" t="s">
        <v>466</v>
      </c>
      <c r="E22" s="1249" t="s">
        <v>868</v>
      </c>
      <c r="F22" s="1247"/>
      <c r="G22" s="1247"/>
      <c r="H22" s="1247"/>
      <c r="I22" s="1248"/>
      <c r="J22" s="7"/>
      <c r="K22" s="7"/>
      <c r="AA22" s="235" t="s">
        <v>487</v>
      </c>
    </row>
    <row r="23" spans="2:27" ht="13.5" thickBot="1" x14ac:dyDescent="0.25">
      <c r="D23" s="240"/>
      <c r="E23" s="30"/>
      <c r="F23" s="31"/>
      <c r="G23" s="30"/>
      <c r="H23" s="30"/>
      <c r="I23" s="30"/>
      <c r="J23" s="7"/>
      <c r="K23" s="7"/>
      <c r="AA23" s="235" t="s">
        <v>488</v>
      </c>
    </row>
    <row r="24" spans="2:27" ht="16.5" thickTop="1" thickBot="1" x14ac:dyDescent="0.25">
      <c r="D24" s="239" t="s">
        <v>467</v>
      </c>
      <c r="E24" s="1250" t="s">
        <v>869</v>
      </c>
      <c r="F24" s="1251"/>
      <c r="G24" s="1251"/>
      <c r="H24" s="1251"/>
      <c r="I24" s="1252"/>
      <c r="J24" s="7"/>
      <c r="K24" s="7"/>
      <c r="AA24" s="235" t="s">
        <v>489</v>
      </c>
    </row>
    <row r="25" spans="2:27" ht="13.5" thickBot="1" x14ac:dyDescent="0.25">
      <c r="D25" s="240"/>
      <c r="E25" s="30"/>
      <c r="F25" s="31"/>
      <c r="G25" s="30"/>
      <c r="H25" s="30"/>
      <c r="I25" s="30"/>
      <c r="J25" s="7"/>
      <c r="K25" s="7"/>
      <c r="AA25" s="235" t="s">
        <v>490</v>
      </c>
    </row>
    <row r="26" spans="2:27" ht="16.5" thickTop="1" thickBot="1" x14ac:dyDescent="0.25">
      <c r="D26" s="241" t="s">
        <v>456</v>
      </c>
      <c r="E26" s="1253">
        <v>2012</v>
      </c>
      <c r="F26" s="1254"/>
      <c r="G26" s="1255"/>
      <c r="H26" s="30"/>
      <c r="I26" s="30"/>
      <c r="J26" s="7"/>
      <c r="K26" s="7"/>
      <c r="AA26" s="235" t="s">
        <v>491</v>
      </c>
    </row>
    <row r="27" spans="2:27" ht="13.5" thickBot="1" x14ac:dyDescent="0.25">
      <c r="D27" s="148"/>
      <c r="AA27" s="235" t="s">
        <v>492</v>
      </c>
    </row>
    <row r="28" spans="2:27" ht="16.5" thickTop="1" thickBot="1" x14ac:dyDescent="0.25">
      <c r="D28" s="241" t="s">
        <v>457</v>
      </c>
      <c r="E28" s="1253">
        <v>2013</v>
      </c>
      <c r="F28" s="1254"/>
      <c r="G28" s="1255"/>
      <c r="AA28" s="235" t="s">
        <v>493</v>
      </c>
    </row>
    <row r="29" spans="2:27" ht="13.5" thickBot="1" x14ac:dyDescent="0.25">
      <c r="D29" s="242"/>
      <c r="AA29" s="235" t="s">
        <v>494</v>
      </c>
    </row>
    <row r="30" spans="2:27" ht="16.5" thickTop="1" thickBot="1" x14ac:dyDescent="0.25">
      <c r="D30" s="241" t="s">
        <v>455</v>
      </c>
      <c r="E30" s="1253">
        <v>2009</v>
      </c>
      <c r="F30" s="1254"/>
      <c r="G30" s="1255"/>
      <c r="AA30" s="235" t="s">
        <v>493</v>
      </c>
    </row>
    <row r="31" spans="2:27" x14ac:dyDescent="0.2">
      <c r="AA31" s="235" t="s">
        <v>495</v>
      </c>
    </row>
    <row r="32" spans="2:27" x14ac:dyDescent="0.2">
      <c r="B32" s="55" t="s">
        <v>454</v>
      </c>
      <c r="AA32" s="235" t="s">
        <v>496</v>
      </c>
    </row>
    <row r="33" spans="2:27" ht="13.5" thickBot="1" x14ac:dyDescent="0.25">
      <c r="AA33" s="235" t="s">
        <v>497</v>
      </c>
    </row>
    <row r="34" spans="2:27" ht="13.5" thickBot="1" x14ac:dyDescent="0.25">
      <c r="B34" s="236"/>
      <c r="C34" s="1240" t="s">
        <v>342</v>
      </c>
      <c r="D34" s="1240"/>
      <c r="E34" s="1240"/>
      <c r="F34" s="1240"/>
      <c r="G34" s="1240"/>
      <c r="H34" s="1240"/>
      <c r="I34" s="1240"/>
      <c r="J34" s="1240"/>
      <c r="K34" s="1240"/>
      <c r="L34" s="1240"/>
      <c r="AA34" s="235" t="s">
        <v>498</v>
      </c>
    </row>
    <row r="35" spans="2:27" ht="13.5" thickBot="1" x14ac:dyDescent="0.25">
      <c r="AA35" s="235" t="s">
        <v>499</v>
      </c>
    </row>
    <row r="36" spans="2:27" ht="13.5" customHeight="1" thickBot="1" x14ac:dyDescent="0.25">
      <c r="B36" s="237"/>
      <c r="C36" s="1256" t="s">
        <v>545</v>
      </c>
      <c r="D36" s="1257"/>
      <c r="E36" s="1257"/>
      <c r="F36" s="1257"/>
      <c r="G36" s="1257"/>
      <c r="H36" s="1257"/>
      <c r="I36" s="1257"/>
      <c r="J36" s="1257"/>
      <c r="K36" s="1257"/>
      <c r="L36" s="1257"/>
      <c r="M36" s="1257"/>
      <c r="N36" s="1257"/>
      <c r="AA36" s="235" t="s">
        <v>500</v>
      </c>
    </row>
    <row r="37" spans="2:27" ht="13.5" thickBot="1" x14ac:dyDescent="0.25">
      <c r="B37" s="146"/>
      <c r="AA37" s="235" t="s">
        <v>501</v>
      </c>
    </row>
    <row r="38" spans="2:27" ht="13.5" thickBot="1" x14ac:dyDescent="0.25">
      <c r="B38" s="61"/>
      <c r="C38" s="1241" t="s">
        <v>812</v>
      </c>
      <c r="D38" s="1242"/>
      <c r="E38" s="1242"/>
      <c r="F38" s="1242"/>
      <c r="G38" s="1242"/>
      <c r="H38" s="1242"/>
      <c r="I38" s="1242"/>
      <c r="J38" s="1242"/>
      <c r="K38" s="1242"/>
      <c r="L38" s="1242"/>
      <c r="M38" s="1242"/>
      <c r="AA38" s="235" t="s">
        <v>502</v>
      </c>
    </row>
    <row r="39" spans="2:27" x14ac:dyDescent="0.2">
      <c r="AA39" s="235" t="s">
        <v>503</v>
      </c>
    </row>
    <row r="40" spans="2:27" x14ac:dyDescent="0.2">
      <c r="AA40" s="235" t="s">
        <v>504</v>
      </c>
    </row>
    <row r="41" spans="2:27" x14ac:dyDescent="0.2">
      <c r="AA41" s="235" t="s">
        <v>505</v>
      </c>
    </row>
    <row r="42" spans="2:27" x14ac:dyDescent="0.2">
      <c r="AA42" s="235" t="s">
        <v>506</v>
      </c>
    </row>
    <row r="43" spans="2:27" x14ac:dyDescent="0.2">
      <c r="AA43" s="235" t="s">
        <v>507</v>
      </c>
    </row>
    <row r="44" spans="2:27" x14ac:dyDescent="0.2">
      <c r="AA44" s="235" t="s">
        <v>508</v>
      </c>
    </row>
    <row r="45" spans="2:27" x14ac:dyDescent="0.2">
      <c r="AA45" s="235" t="s">
        <v>509</v>
      </c>
    </row>
    <row r="46" spans="2:27" x14ac:dyDescent="0.2">
      <c r="AA46" s="235" t="s">
        <v>510</v>
      </c>
    </row>
    <row r="47" spans="2:27" x14ac:dyDescent="0.2">
      <c r="AA47" s="235" t="s">
        <v>511</v>
      </c>
    </row>
    <row r="48" spans="2:27" x14ac:dyDescent="0.2">
      <c r="AA48" s="235" t="s">
        <v>512</v>
      </c>
    </row>
    <row r="49" spans="27:27" x14ac:dyDescent="0.2">
      <c r="AA49" s="235" t="s">
        <v>513</v>
      </c>
    </row>
    <row r="50" spans="27:27" x14ac:dyDescent="0.2">
      <c r="AA50" s="235" t="s">
        <v>514</v>
      </c>
    </row>
    <row r="51" spans="27:27" x14ac:dyDescent="0.2">
      <c r="AA51" s="235" t="s">
        <v>515</v>
      </c>
    </row>
    <row r="52" spans="27:27" x14ac:dyDescent="0.2">
      <c r="AA52" s="235" t="s">
        <v>516</v>
      </c>
    </row>
    <row r="53" spans="27:27" x14ac:dyDescent="0.2">
      <c r="AA53" s="235" t="s">
        <v>517</v>
      </c>
    </row>
    <row r="54" spans="27:27" x14ac:dyDescent="0.2">
      <c r="AA54" s="235" t="s">
        <v>518</v>
      </c>
    </row>
    <row r="55" spans="27:27" x14ac:dyDescent="0.2">
      <c r="AA55" s="235" t="s">
        <v>519</v>
      </c>
    </row>
    <row r="56" spans="27:27" x14ac:dyDescent="0.2">
      <c r="AA56" s="235" t="s">
        <v>520</v>
      </c>
    </row>
    <row r="57" spans="27:27" x14ac:dyDescent="0.2">
      <c r="AA57" s="235" t="s">
        <v>521</v>
      </c>
    </row>
    <row r="58" spans="27:27" x14ac:dyDescent="0.2">
      <c r="AA58" s="235" t="s">
        <v>522</v>
      </c>
    </row>
    <row r="59" spans="27:27" x14ac:dyDescent="0.2">
      <c r="AA59" s="235" t="s">
        <v>523</v>
      </c>
    </row>
    <row r="60" spans="27:27" x14ac:dyDescent="0.2">
      <c r="AA60" s="235" t="s">
        <v>524</v>
      </c>
    </row>
    <row r="61" spans="27:27" x14ac:dyDescent="0.2">
      <c r="AA61" s="235" t="s">
        <v>525</v>
      </c>
    </row>
    <row r="62" spans="27:27" x14ac:dyDescent="0.2">
      <c r="AA62" s="235" t="s">
        <v>526</v>
      </c>
    </row>
    <row r="63" spans="27:27" x14ac:dyDescent="0.2">
      <c r="AA63" s="235" t="s">
        <v>527</v>
      </c>
    </row>
    <row r="64" spans="27:27" x14ac:dyDescent="0.2">
      <c r="AA64" s="235" t="s">
        <v>528</v>
      </c>
    </row>
    <row r="65" spans="27:27" x14ac:dyDescent="0.2">
      <c r="AA65" s="235" t="s">
        <v>529</v>
      </c>
    </row>
    <row r="66" spans="27:27" x14ac:dyDescent="0.2">
      <c r="AA66" s="235" t="s">
        <v>530</v>
      </c>
    </row>
    <row r="67" spans="27:27" x14ac:dyDescent="0.2">
      <c r="AA67" s="235" t="s">
        <v>531</v>
      </c>
    </row>
    <row r="68" spans="27:27" x14ac:dyDescent="0.2">
      <c r="AA68" s="235" t="s">
        <v>532</v>
      </c>
    </row>
    <row r="69" spans="27:27" x14ac:dyDescent="0.2">
      <c r="AA69" s="235" t="s">
        <v>533</v>
      </c>
    </row>
    <row r="70" spans="27:27" x14ac:dyDescent="0.2">
      <c r="AA70" s="235" t="s">
        <v>534</v>
      </c>
    </row>
    <row r="71" spans="27:27" x14ac:dyDescent="0.2">
      <c r="AA71" s="235" t="s">
        <v>535</v>
      </c>
    </row>
    <row r="72" spans="27:27" x14ac:dyDescent="0.2">
      <c r="AA72" s="235" t="s">
        <v>536</v>
      </c>
    </row>
    <row r="73" spans="27:27" x14ac:dyDescent="0.2">
      <c r="AA73" s="235" t="s">
        <v>537</v>
      </c>
    </row>
    <row r="74" spans="27:27" x14ac:dyDescent="0.2">
      <c r="AA74" s="235" t="s">
        <v>538</v>
      </c>
    </row>
    <row r="75" spans="27:27" x14ac:dyDescent="0.2">
      <c r="AA75" s="235" t="s">
        <v>539</v>
      </c>
    </row>
    <row r="76" spans="27:27" x14ac:dyDescent="0.2">
      <c r="AA76" s="235" t="s">
        <v>540</v>
      </c>
    </row>
    <row r="77" spans="27:27" x14ac:dyDescent="0.2">
      <c r="AA77" s="235" t="s">
        <v>541</v>
      </c>
    </row>
    <row r="78" spans="27:27" x14ac:dyDescent="0.2">
      <c r="AA78" s="235" t="s">
        <v>542</v>
      </c>
    </row>
    <row r="79" spans="27:27" x14ac:dyDescent="0.2">
      <c r="AA79" s="235" t="s">
        <v>543</v>
      </c>
    </row>
    <row r="80" spans="27:27" x14ac:dyDescent="0.2">
      <c r="AA80" s="235" t="s">
        <v>544</v>
      </c>
    </row>
  </sheetData>
  <mergeCells count="12">
    <mergeCell ref="E20:K20"/>
    <mergeCell ref="C34:L34"/>
    <mergeCell ref="C38:M38"/>
    <mergeCell ref="E14:K14"/>
    <mergeCell ref="E16:I16"/>
    <mergeCell ref="E18:I18"/>
    <mergeCell ref="E22:I22"/>
    <mergeCell ref="E24:I24"/>
    <mergeCell ref="E26:G26"/>
    <mergeCell ref="E28:G28"/>
    <mergeCell ref="C36:N36"/>
    <mergeCell ref="E30:G30"/>
  </mergeCells>
  <phoneticPr fontId="17" type="noConversion"/>
  <dataValidations count="4">
    <dataValidation type="list" allowBlank="1" showInputMessage="1" showErrorMessage="1" sqref="E14:K14">
      <formula1>LDCLIST</formula1>
    </dataValidation>
    <dataValidation type="list" allowBlank="1" showErrorMessage="1" error="Use the following date format when inserting a date:_x000a__x000a_Eg:  &quot;January 1, 2013&quot;" prompt="Use the following format eg: January 1, 2013" sqref="E28:G28">
      <formula1>"2010,2011,2012,2013"</formula1>
    </dataValidation>
    <dataValidation type="list" allowBlank="1" showErrorMessage="1" error="Use the following date format when inserting a date:_x000a__x000a_Eg:  &quot;January 1, 2013&quot;" prompt="Use the following format eg: January 1, 2013" sqref="E30:G30">
      <formula1>"2008,2009,2010,2011,2012,2013"</formula1>
    </dataValidation>
    <dataValidation type="list" allowBlank="1" showErrorMessage="1" error="Use the following date format when inserting a date:_x000a__x000a_Eg:  &quot;January 1, 2013&quot;" prompt="Use the following format eg: January 1, 2013" sqref="E26:G26">
      <formula1>"2010,2011,2012,2013"</formula1>
    </dataValidation>
  </dataValidations>
  <hyperlinks>
    <hyperlink ref="E24" display="ldugas@bluewaterpower.com"/>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O78"/>
  <sheetViews>
    <sheetView showGridLines="0" zoomScale="95" zoomScaleNormal="95" workbookViewId="0">
      <selection sqref="A1:N62"/>
    </sheetView>
  </sheetViews>
  <sheetFormatPr defaultRowHeight="12.75" x14ac:dyDescent="0.2"/>
  <cols>
    <col min="1" max="1" width="7.7109375" style="890" customWidth="1"/>
    <col min="2" max="2" width="6.42578125" style="890" customWidth="1"/>
    <col min="3" max="3" width="37.85546875" customWidth="1"/>
    <col min="4" max="4" width="14" customWidth="1"/>
    <col min="5" max="5" width="14.5703125" customWidth="1"/>
    <col min="6" max="6" width="17.42578125" customWidth="1"/>
    <col min="7" max="7" width="14.42578125" customWidth="1"/>
    <col min="8" max="8" width="14.140625" bestFit="1" customWidth="1"/>
    <col min="9" max="9" width="1.7109375" style="3" customWidth="1"/>
    <col min="10" max="10" width="14.28515625" customWidth="1"/>
    <col min="11" max="11" width="13.42578125" customWidth="1"/>
    <col min="12" max="12" width="11.85546875" customWidth="1"/>
    <col min="13" max="13" width="14.5703125" bestFit="1" customWidth="1"/>
    <col min="14" max="14" width="14.140625" bestFit="1" customWidth="1"/>
    <col min="15" max="15" width="13.57031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v>41200</v>
      </c>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t="s">
        <v>950</v>
      </c>
      <c r="H12" s="6"/>
    </row>
    <row r="14" spans="1:14" x14ac:dyDescent="0.2">
      <c r="D14" s="15"/>
      <c r="E14" s="1264" t="s">
        <v>405</v>
      </c>
      <c r="F14" s="1265"/>
      <c r="G14" s="1265"/>
      <c r="H14" s="1266"/>
      <c r="J14" s="181"/>
      <c r="K14" s="180" t="s">
        <v>406</v>
      </c>
      <c r="L14" s="180"/>
      <c r="M14" s="182"/>
      <c r="N14" s="3"/>
    </row>
    <row r="15" spans="1:14" ht="25.5" x14ac:dyDescent="0.2">
      <c r="A15" s="892" t="s">
        <v>393</v>
      </c>
      <c r="B15" s="174" t="s">
        <v>394</v>
      </c>
      <c r="C15" s="175" t="s">
        <v>395</v>
      </c>
      <c r="D15" s="892" t="s">
        <v>440</v>
      </c>
      <c r="E15" s="892" t="s">
        <v>396</v>
      </c>
      <c r="F15" s="174" t="s">
        <v>397</v>
      </c>
      <c r="G15" s="174" t="s">
        <v>403</v>
      </c>
      <c r="H15" s="892" t="s">
        <v>404</v>
      </c>
      <c r="I15" s="176"/>
      <c r="J15" s="177" t="s">
        <v>396</v>
      </c>
      <c r="K15" s="178" t="s">
        <v>397</v>
      </c>
      <c r="L15" s="178" t="s">
        <v>403</v>
      </c>
      <c r="M15" s="179" t="s">
        <v>404</v>
      </c>
      <c r="N15" s="892" t="s">
        <v>443</v>
      </c>
    </row>
    <row r="16" spans="1:14" ht="25.5" x14ac:dyDescent="0.2">
      <c r="A16" s="347">
        <v>12</v>
      </c>
      <c r="B16" s="347">
        <v>1611</v>
      </c>
      <c r="C16" s="351" t="s">
        <v>548</v>
      </c>
      <c r="D16" s="215"/>
      <c r="E16" s="246">
        <f>'App.2-B_Fixed Asset 2012 CGAAP'!H16</f>
        <v>15328128</v>
      </c>
      <c r="F16" s="435">
        <v>1102364</v>
      </c>
      <c r="G16" s="246"/>
      <c r="H16" s="10">
        <f>E16+F16+G16</f>
        <v>16430492</v>
      </c>
      <c r="I16" s="4"/>
      <c r="J16" s="248">
        <f>'App.2-B_Fixed Asset 2012 CGAAP'!M16</f>
        <v>-8343526</v>
      </c>
      <c r="K16" s="246">
        <v>-2234373</v>
      </c>
      <c r="L16" s="246"/>
      <c r="M16" s="10">
        <f>J16+K16+L16</f>
        <v>-10577899</v>
      </c>
      <c r="N16" s="11">
        <f>H16+M16</f>
        <v>5852593</v>
      </c>
    </row>
    <row r="17" spans="1:14" ht="25.5" x14ac:dyDescent="0.2">
      <c r="A17" s="347" t="s">
        <v>415</v>
      </c>
      <c r="B17" s="347">
        <v>1612</v>
      </c>
      <c r="C17" s="351" t="s">
        <v>702</v>
      </c>
      <c r="D17" s="215"/>
      <c r="E17" s="246">
        <f>'App.2-B_Fixed Asset 2012 CGAAP'!H17</f>
        <v>283160</v>
      </c>
      <c r="F17" s="436">
        <v>292694</v>
      </c>
      <c r="G17" s="246"/>
      <c r="H17" s="10">
        <f>E17+F17+G17</f>
        <v>575854</v>
      </c>
      <c r="I17" s="4"/>
      <c r="J17" s="248">
        <f>'App.2-B_Fixed Asset 2012 CGAAP'!M17</f>
        <v>-268534</v>
      </c>
      <c r="K17" s="246">
        <v>-1192</v>
      </c>
      <c r="L17" s="246"/>
      <c r="M17" s="10">
        <f>J17+K17+L17</f>
        <v>-269726</v>
      </c>
      <c r="N17" s="11">
        <f>H17+M17</f>
        <v>306128</v>
      </c>
    </row>
    <row r="18" spans="1:14" x14ac:dyDescent="0.2">
      <c r="A18" s="348" t="s">
        <v>407</v>
      </c>
      <c r="B18" s="348">
        <v>1805</v>
      </c>
      <c r="C18" s="352" t="s">
        <v>408</v>
      </c>
      <c r="D18" s="215"/>
      <c r="E18" s="246">
        <f>'App.2-B_Fixed Asset 2012 CGAAP'!H18</f>
        <v>497489</v>
      </c>
      <c r="F18" s="436"/>
      <c r="G18" s="246"/>
      <c r="H18" s="10">
        <f>E18+F18+G18</f>
        <v>497489</v>
      </c>
      <c r="I18" s="4"/>
      <c r="J18" s="248">
        <f>'App.2-B_Fixed Asset 2012 CGAAP'!M18</f>
        <v>0</v>
      </c>
      <c r="K18" s="246"/>
      <c r="L18" s="246"/>
      <c r="M18" s="10">
        <f>J18+K18+L18</f>
        <v>0</v>
      </c>
      <c r="N18" s="11">
        <f>H18+M18</f>
        <v>497489</v>
      </c>
    </row>
    <row r="19" spans="1:14" x14ac:dyDescent="0.2">
      <c r="A19" s="347">
        <v>47</v>
      </c>
      <c r="B19" s="347">
        <v>1808</v>
      </c>
      <c r="C19" s="353" t="s">
        <v>409</v>
      </c>
      <c r="D19" s="215"/>
      <c r="E19" s="246">
        <f>'App.2-B_Fixed Asset 2012 CGAAP'!H19</f>
        <v>0</v>
      </c>
      <c r="F19" s="436"/>
      <c r="G19" s="246"/>
      <c r="H19" s="10">
        <f t="shared" ref="H19:H53" si="0">E19+F19+G19</f>
        <v>0</v>
      </c>
      <c r="I19" s="4"/>
      <c r="J19" s="248">
        <f>'App.2-B_Fixed Asset 2012 CGAAP'!M19</f>
        <v>0</v>
      </c>
      <c r="K19" s="246"/>
      <c r="L19" s="246"/>
      <c r="M19" s="10">
        <f t="shared" ref="M19:M53" si="1">J19+K19+L19</f>
        <v>0</v>
      </c>
      <c r="N19" s="11">
        <f t="shared" ref="N19:N53" si="2">H19+M19</f>
        <v>0</v>
      </c>
    </row>
    <row r="20" spans="1:14" x14ac:dyDescent="0.2">
      <c r="A20" s="347">
        <v>13</v>
      </c>
      <c r="B20" s="347">
        <v>1810</v>
      </c>
      <c r="C20" s="353" t="s">
        <v>442</v>
      </c>
      <c r="D20" s="215"/>
      <c r="E20" s="246">
        <f>'App.2-B_Fixed Asset 2012 CGAAP'!H20</f>
        <v>0</v>
      </c>
      <c r="F20" s="436"/>
      <c r="G20" s="246"/>
      <c r="H20" s="10">
        <f t="shared" si="0"/>
        <v>0</v>
      </c>
      <c r="I20" s="4"/>
      <c r="J20" s="248">
        <f>'App.2-B_Fixed Asset 2012 CGAAP'!M20</f>
        <v>0</v>
      </c>
      <c r="K20" s="246"/>
      <c r="L20" s="246"/>
      <c r="M20" s="10">
        <f t="shared" si="1"/>
        <v>0</v>
      </c>
      <c r="N20" s="11">
        <f t="shared" si="2"/>
        <v>0</v>
      </c>
    </row>
    <row r="21" spans="1:14" x14ac:dyDescent="0.2">
      <c r="A21" s="347">
        <v>47</v>
      </c>
      <c r="B21" s="347">
        <v>1815</v>
      </c>
      <c r="C21" s="353" t="s">
        <v>410</v>
      </c>
      <c r="D21" s="215"/>
      <c r="E21" s="246">
        <f>'App.2-B_Fixed Asset 2012 CGAAP'!H21</f>
        <v>0</v>
      </c>
      <c r="F21" s="436"/>
      <c r="G21" s="246"/>
      <c r="H21" s="10">
        <f t="shared" si="0"/>
        <v>0</v>
      </c>
      <c r="I21" s="4"/>
      <c r="J21" s="248">
        <f>'App.2-B_Fixed Asset 2012 CGAAP'!M21</f>
        <v>0</v>
      </c>
      <c r="K21" s="246"/>
      <c r="L21" s="246"/>
      <c r="M21" s="10">
        <f t="shared" si="1"/>
        <v>0</v>
      </c>
      <c r="N21" s="11">
        <f t="shared" si="2"/>
        <v>0</v>
      </c>
    </row>
    <row r="22" spans="1:14" x14ac:dyDescent="0.2">
      <c r="A22" s="347">
        <v>47</v>
      </c>
      <c r="B22" s="347">
        <v>1820</v>
      </c>
      <c r="C22" s="354" t="s">
        <v>356</v>
      </c>
      <c r="D22" s="215"/>
      <c r="E22" s="246">
        <f>'App.2-B_Fixed Asset 2012 CGAAP'!H22</f>
        <v>6799112</v>
      </c>
      <c r="F22" s="436">
        <v>403990</v>
      </c>
      <c r="G22" s="246"/>
      <c r="H22" s="10">
        <f t="shared" si="0"/>
        <v>7203102</v>
      </c>
      <c r="I22" s="4"/>
      <c r="J22" s="248">
        <f>'App.2-B_Fixed Asset 2012 CGAAP'!M22</f>
        <v>-3382707</v>
      </c>
      <c r="K22" s="246">
        <v>-179739</v>
      </c>
      <c r="L22" s="246"/>
      <c r="M22" s="10">
        <f t="shared" si="1"/>
        <v>-3562446</v>
      </c>
      <c r="N22" s="11">
        <f t="shared" si="2"/>
        <v>3640656</v>
      </c>
    </row>
    <row r="23" spans="1:14" x14ac:dyDescent="0.2">
      <c r="A23" s="347">
        <v>47</v>
      </c>
      <c r="B23" s="347">
        <v>1825</v>
      </c>
      <c r="C23" s="353" t="s">
        <v>411</v>
      </c>
      <c r="D23" s="215"/>
      <c r="E23" s="246">
        <f>'App.2-B_Fixed Asset 2012 CGAAP'!H23</f>
        <v>0</v>
      </c>
      <c r="F23" s="436"/>
      <c r="G23" s="246"/>
      <c r="H23" s="10">
        <f t="shared" si="0"/>
        <v>0</v>
      </c>
      <c r="I23" s="4"/>
      <c r="J23" s="248">
        <f>'App.2-B_Fixed Asset 2012 CGAAP'!M23</f>
        <v>0</v>
      </c>
      <c r="K23" s="246"/>
      <c r="L23" s="246"/>
      <c r="M23" s="10">
        <f t="shared" si="1"/>
        <v>0</v>
      </c>
      <c r="N23" s="11">
        <f t="shared" si="2"/>
        <v>0</v>
      </c>
    </row>
    <row r="24" spans="1:14" x14ac:dyDescent="0.2">
      <c r="A24" s="347">
        <v>47</v>
      </c>
      <c r="B24" s="347">
        <v>1830</v>
      </c>
      <c r="C24" s="353" t="s">
        <v>412</v>
      </c>
      <c r="D24" s="215"/>
      <c r="E24" s="246">
        <f>'App.2-B_Fixed Asset 2012 CGAAP'!H24</f>
        <v>3361885</v>
      </c>
      <c r="F24" s="436">
        <v>949377</v>
      </c>
      <c r="G24" s="246"/>
      <c r="H24" s="10">
        <f t="shared" si="0"/>
        <v>4311262</v>
      </c>
      <c r="I24" s="4"/>
      <c r="J24" s="248">
        <f>'App.2-B_Fixed Asset 2012 CGAAP'!M24</f>
        <v>-357787</v>
      </c>
      <c r="K24" s="246">
        <v>-153463</v>
      </c>
      <c r="L24" s="246"/>
      <c r="M24" s="10">
        <f t="shared" si="1"/>
        <v>-511250</v>
      </c>
      <c r="N24" s="11">
        <f t="shared" si="2"/>
        <v>3800012</v>
      </c>
    </row>
    <row r="25" spans="1:14" x14ac:dyDescent="0.2">
      <c r="A25" s="347">
        <v>47</v>
      </c>
      <c r="B25" s="347">
        <v>1835</v>
      </c>
      <c r="C25" s="353" t="s">
        <v>357</v>
      </c>
      <c r="D25" s="215"/>
      <c r="E25" s="246">
        <f>'App.2-B_Fixed Asset 2012 CGAAP'!H25</f>
        <v>28391805</v>
      </c>
      <c r="F25" s="436">
        <v>702146</v>
      </c>
      <c r="G25" s="246"/>
      <c r="H25" s="10">
        <f t="shared" si="0"/>
        <v>29093951</v>
      </c>
      <c r="I25" s="4"/>
      <c r="J25" s="248">
        <f>'App.2-B_Fixed Asset 2012 CGAAP'!M25</f>
        <v>-18214976</v>
      </c>
      <c r="K25" s="246">
        <v>-861386</v>
      </c>
      <c r="L25" s="246"/>
      <c r="M25" s="10">
        <f t="shared" si="1"/>
        <v>-19076362</v>
      </c>
      <c r="N25" s="11">
        <f t="shared" si="2"/>
        <v>10017589</v>
      </c>
    </row>
    <row r="26" spans="1:14" x14ac:dyDescent="0.2">
      <c r="A26" s="347">
        <v>47</v>
      </c>
      <c r="B26" s="347">
        <v>1840</v>
      </c>
      <c r="C26" s="353" t="s">
        <v>358</v>
      </c>
      <c r="D26" s="215"/>
      <c r="E26" s="246">
        <f>'App.2-B_Fixed Asset 2012 CGAAP'!H26</f>
        <v>1293255</v>
      </c>
      <c r="F26" s="436">
        <v>147940</v>
      </c>
      <c r="G26" s="246"/>
      <c r="H26" s="10">
        <f t="shared" si="0"/>
        <v>1441195</v>
      </c>
      <c r="I26" s="4"/>
      <c r="J26" s="248">
        <f>'App.2-B_Fixed Asset 2012 CGAAP'!M26</f>
        <v>-154665</v>
      </c>
      <c r="K26" s="246">
        <v>-54689</v>
      </c>
      <c r="L26" s="246"/>
      <c r="M26" s="10">
        <f t="shared" si="1"/>
        <v>-209354</v>
      </c>
      <c r="N26" s="11">
        <f t="shared" si="2"/>
        <v>1231841</v>
      </c>
    </row>
    <row r="27" spans="1:14" x14ac:dyDescent="0.2">
      <c r="A27" s="347">
        <v>47</v>
      </c>
      <c r="B27" s="347">
        <v>1845</v>
      </c>
      <c r="C27" s="353" t="s">
        <v>359</v>
      </c>
      <c r="D27" s="215"/>
      <c r="E27" s="246">
        <f>'App.2-B_Fixed Asset 2012 CGAAP'!H27</f>
        <v>21333923</v>
      </c>
      <c r="F27" s="436">
        <v>1348530</v>
      </c>
      <c r="G27" s="246"/>
      <c r="H27" s="10">
        <f t="shared" si="0"/>
        <v>22682453</v>
      </c>
      <c r="I27" s="4"/>
      <c r="J27" s="248">
        <f>'App.2-B_Fixed Asset 2012 CGAAP'!M27</f>
        <v>-12647202</v>
      </c>
      <c r="K27" s="246">
        <v>-710162</v>
      </c>
      <c r="L27" s="246"/>
      <c r="M27" s="10">
        <f t="shared" si="1"/>
        <v>-13357364</v>
      </c>
      <c r="N27" s="11">
        <f t="shared" si="2"/>
        <v>9325089</v>
      </c>
    </row>
    <row r="28" spans="1:14" x14ac:dyDescent="0.2">
      <c r="A28" s="347">
        <v>47</v>
      </c>
      <c r="B28" s="347">
        <v>1850</v>
      </c>
      <c r="C28" s="353" t="s">
        <v>413</v>
      </c>
      <c r="D28" s="215"/>
      <c r="E28" s="246">
        <f>'App.2-B_Fixed Asset 2012 CGAAP'!H28</f>
        <v>16177161</v>
      </c>
      <c r="F28" s="436">
        <v>802006</v>
      </c>
      <c r="G28" s="246"/>
      <c r="H28" s="10">
        <f t="shared" si="0"/>
        <v>16979167</v>
      </c>
      <c r="I28" s="4"/>
      <c r="J28" s="248">
        <f>'App.2-B_Fixed Asset 2012 CGAAP'!M28</f>
        <v>-9030810</v>
      </c>
      <c r="K28" s="246">
        <v>-503993</v>
      </c>
      <c r="L28" s="246"/>
      <c r="M28" s="10">
        <f t="shared" si="1"/>
        <v>-9534803</v>
      </c>
      <c r="N28" s="11">
        <f t="shared" si="2"/>
        <v>7444364</v>
      </c>
    </row>
    <row r="29" spans="1:14" x14ac:dyDescent="0.2">
      <c r="A29" s="347">
        <v>47</v>
      </c>
      <c r="B29" s="347">
        <v>1855</v>
      </c>
      <c r="C29" s="353" t="s">
        <v>360</v>
      </c>
      <c r="D29" s="215"/>
      <c r="E29" s="246">
        <f>'App.2-B_Fixed Asset 2012 CGAAP'!H29</f>
        <v>603724</v>
      </c>
      <c r="F29" s="436">
        <v>62590</v>
      </c>
      <c r="G29" s="246"/>
      <c r="H29" s="10">
        <f t="shared" si="0"/>
        <v>666314</v>
      </c>
      <c r="I29" s="4"/>
      <c r="J29" s="248">
        <f>'App.2-B_Fixed Asset 2012 CGAAP'!M29</f>
        <v>-80301</v>
      </c>
      <c r="K29" s="246">
        <v>-25401</v>
      </c>
      <c r="L29" s="246"/>
      <c r="M29" s="10">
        <f t="shared" si="1"/>
        <v>-105702</v>
      </c>
      <c r="N29" s="11">
        <f t="shared" si="2"/>
        <v>560612</v>
      </c>
    </row>
    <row r="30" spans="1:14" x14ac:dyDescent="0.2">
      <c r="A30" s="347">
        <v>47</v>
      </c>
      <c r="B30" s="347">
        <v>1860</v>
      </c>
      <c r="C30" s="353" t="s">
        <v>414</v>
      </c>
      <c r="D30" s="215"/>
      <c r="E30" s="246">
        <f>'App.2-B_Fixed Asset 2012 CGAAP'!H30</f>
        <v>1171446</v>
      </c>
      <c r="F30" s="436">
        <v>56900</v>
      </c>
      <c r="G30" s="246"/>
      <c r="H30" s="10">
        <f t="shared" si="0"/>
        <v>1228346</v>
      </c>
      <c r="I30" s="4"/>
      <c r="J30" s="248">
        <f>'App.2-B_Fixed Asset 2012 CGAAP'!M30</f>
        <v>-251896</v>
      </c>
      <c r="K30" s="246">
        <v>-47996</v>
      </c>
      <c r="L30" s="246"/>
      <c r="M30" s="10">
        <f t="shared" si="1"/>
        <v>-299892</v>
      </c>
      <c r="N30" s="11">
        <f t="shared" si="2"/>
        <v>928454</v>
      </c>
    </row>
    <row r="31" spans="1:14" x14ac:dyDescent="0.2">
      <c r="A31" s="347">
        <v>8</v>
      </c>
      <c r="B31" s="348">
        <v>1860</v>
      </c>
      <c r="C31" s="352" t="s">
        <v>361</v>
      </c>
      <c r="D31" s="215"/>
      <c r="E31" s="246">
        <f>'App.2-B_Fixed Asset 2012 CGAAP'!H31</f>
        <v>4661948</v>
      </c>
      <c r="F31" s="436"/>
      <c r="G31" s="246"/>
      <c r="H31" s="10">
        <f t="shared" si="0"/>
        <v>4661948</v>
      </c>
      <c r="I31" s="4"/>
      <c r="J31" s="248">
        <f>'App.2-B_Fixed Asset 2012 CGAAP'!M31</f>
        <v>-729238</v>
      </c>
      <c r="K31" s="246">
        <v>-310797</v>
      </c>
      <c r="L31" s="246"/>
      <c r="M31" s="10">
        <f t="shared" si="1"/>
        <v>-1040035</v>
      </c>
      <c r="N31" s="11">
        <f t="shared" si="2"/>
        <v>3621913</v>
      </c>
    </row>
    <row r="32" spans="1:14" x14ac:dyDescent="0.2">
      <c r="A32" s="348" t="s">
        <v>407</v>
      </c>
      <c r="B32" s="348">
        <v>1905</v>
      </c>
      <c r="C32" s="352" t="s">
        <v>408</v>
      </c>
      <c r="D32" s="215"/>
      <c r="E32" s="246">
        <f>'App.2-B_Fixed Asset 2012 CGAAP'!H32</f>
        <v>0</v>
      </c>
      <c r="F32" s="436"/>
      <c r="G32" s="246"/>
      <c r="H32" s="10">
        <f t="shared" si="0"/>
        <v>0</v>
      </c>
      <c r="I32" s="4"/>
      <c r="J32" s="248">
        <f>'App.2-B_Fixed Asset 2012 CGAAP'!M32</f>
        <v>0</v>
      </c>
      <c r="K32" s="246">
        <v>0</v>
      </c>
      <c r="L32" s="812"/>
      <c r="M32" s="10">
        <f t="shared" si="1"/>
        <v>0</v>
      </c>
      <c r="N32" s="11">
        <f t="shared" si="2"/>
        <v>0</v>
      </c>
    </row>
    <row r="33" spans="1:14" x14ac:dyDescent="0.2">
      <c r="A33" s="347">
        <v>1</v>
      </c>
      <c r="B33" s="347">
        <v>1908</v>
      </c>
      <c r="C33" s="353" t="s">
        <v>416</v>
      </c>
      <c r="D33" s="215"/>
      <c r="E33" s="246">
        <f>'App.2-B_Fixed Asset 2012 CGAAP'!H33</f>
        <v>8188335</v>
      </c>
      <c r="F33" s="436">
        <v>241825</v>
      </c>
      <c r="G33" s="246"/>
      <c r="H33" s="10">
        <f t="shared" si="0"/>
        <v>8430160</v>
      </c>
      <c r="I33" s="4"/>
      <c r="J33" s="248">
        <f>'App.2-B_Fixed Asset 2012 CGAAP'!M33</f>
        <v>-2049965</v>
      </c>
      <c r="K33" s="246">
        <v>-126729</v>
      </c>
      <c r="L33" s="246"/>
      <c r="M33" s="10">
        <f t="shared" si="1"/>
        <v>-2176694</v>
      </c>
      <c r="N33" s="11">
        <f t="shared" si="2"/>
        <v>6253466</v>
      </c>
    </row>
    <row r="34" spans="1:14" x14ac:dyDescent="0.2">
      <c r="A34" s="347">
        <v>13</v>
      </c>
      <c r="B34" s="347">
        <v>1910</v>
      </c>
      <c r="C34" s="353" t="s">
        <v>442</v>
      </c>
      <c r="D34" s="215"/>
      <c r="E34" s="246">
        <f>'App.2-B_Fixed Asset 2012 CGAAP'!H34</f>
        <v>0</v>
      </c>
      <c r="F34" s="436"/>
      <c r="G34" s="246"/>
      <c r="H34" s="10">
        <f t="shared" si="0"/>
        <v>0</v>
      </c>
      <c r="I34" s="4"/>
      <c r="J34" s="248">
        <f>'App.2-B_Fixed Asset 2012 CGAAP'!M34</f>
        <v>0</v>
      </c>
      <c r="K34" s="246"/>
      <c r="L34" s="246"/>
      <c r="M34" s="10">
        <f t="shared" si="1"/>
        <v>0</v>
      </c>
      <c r="N34" s="11">
        <f t="shared" si="2"/>
        <v>0</v>
      </c>
    </row>
    <row r="35" spans="1:14" x14ac:dyDescent="0.2">
      <c r="A35" s="347">
        <v>8</v>
      </c>
      <c r="B35" s="347">
        <v>1915</v>
      </c>
      <c r="C35" s="353" t="s">
        <v>362</v>
      </c>
      <c r="D35" s="215"/>
      <c r="E35" s="246">
        <f>'App.2-B_Fixed Asset 2012 CGAAP'!H35</f>
        <v>994444</v>
      </c>
      <c r="F35" s="436">
        <v>11380</v>
      </c>
      <c r="G35" s="246"/>
      <c r="H35" s="10">
        <f t="shared" si="0"/>
        <v>1005824</v>
      </c>
      <c r="I35" s="4"/>
      <c r="J35" s="248">
        <f>'App.2-B_Fixed Asset 2012 CGAAP'!M35</f>
        <v>-729469</v>
      </c>
      <c r="K35" s="246">
        <v>-43130</v>
      </c>
      <c r="L35" s="246"/>
      <c r="M35" s="10">
        <f t="shared" si="1"/>
        <v>-772599</v>
      </c>
      <c r="N35" s="11">
        <f t="shared" si="2"/>
        <v>233225</v>
      </c>
    </row>
    <row r="36" spans="1:14" x14ac:dyDescent="0.2">
      <c r="A36" s="347">
        <v>8</v>
      </c>
      <c r="B36" s="347">
        <v>1915</v>
      </c>
      <c r="C36" s="353" t="s">
        <v>363</v>
      </c>
      <c r="D36" s="215"/>
      <c r="E36" s="246">
        <f>'App.2-B_Fixed Asset 2012 CGAAP'!H36</f>
        <v>0</v>
      </c>
      <c r="F36" s="436"/>
      <c r="G36" s="246"/>
      <c r="H36" s="10">
        <f t="shared" si="0"/>
        <v>0</v>
      </c>
      <c r="I36" s="4"/>
      <c r="J36" s="248">
        <f>'App.2-B_Fixed Asset 2012 CGAAP'!M36</f>
        <v>0</v>
      </c>
      <c r="K36" s="246"/>
      <c r="L36" s="246"/>
      <c r="M36" s="10">
        <f t="shared" si="1"/>
        <v>0</v>
      </c>
      <c r="N36" s="11">
        <f t="shared" si="2"/>
        <v>0</v>
      </c>
    </row>
    <row r="37" spans="1:14" x14ac:dyDescent="0.2">
      <c r="A37" s="347">
        <v>10</v>
      </c>
      <c r="B37" s="347">
        <v>1920</v>
      </c>
      <c r="C37" s="353" t="s">
        <v>364</v>
      </c>
      <c r="D37" s="215"/>
      <c r="E37" s="246">
        <f>'App.2-B_Fixed Asset 2012 CGAAP'!H37</f>
        <v>6552220</v>
      </c>
      <c r="F37" s="436">
        <v>1067262</v>
      </c>
      <c r="G37" s="246"/>
      <c r="H37" s="10">
        <f t="shared" si="0"/>
        <v>7619482</v>
      </c>
      <c r="I37" s="4"/>
      <c r="J37" s="248">
        <f>'App.2-B_Fixed Asset 2012 CGAAP'!M37</f>
        <v>-4650359</v>
      </c>
      <c r="K37" s="246">
        <v>-738965</v>
      </c>
      <c r="L37" s="246"/>
      <c r="M37" s="10">
        <f t="shared" si="1"/>
        <v>-5389324</v>
      </c>
      <c r="N37" s="11">
        <f t="shared" si="2"/>
        <v>2230158</v>
      </c>
    </row>
    <row r="38" spans="1:14" ht="25.5" x14ac:dyDescent="0.2">
      <c r="A38" s="347">
        <v>45</v>
      </c>
      <c r="B38" s="349">
        <v>1920</v>
      </c>
      <c r="C38" s="354" t="s">
        <v>366</v>
      </c>
      <c r="D38" s="215"/>
      <c r="E38" s="246">
        <f>'App.2-B_Fixed Asset 2012 CGAAP'!H38</f>
        <v>0</v>
      </c>
      <c r="F38" s="436"/>
      <c r="G38" s="246"/>
      <c r="H38" s="10">
        <f t="shared" si="0"/>
        <v>0</v>
      </c>
      <c r="I38" s="4"/>
      <c r="J38" s="248">
        <f>'App.2-B_Fixed Asset 2012 CGAAP'!M38</f>
        <v>0</v>
      </c>
      <c r="K38" s="246"/>
      <c r="L38" s="246"/>
      <c r="M38" s="10">
        <f t="shared" si="1"/>
        <v>0</v>
      </c>
      <c r="N38" s="11">
        <f t="shared" si="2"/>
        <v>0</v>
      </c>
    </row>
    <row r="39" spans="1:14" ht="25.5" x14ac:dyDescent="0.2">
      <c r="A39" s="347">
        <v>45.1</v>
      </c>
      <c r="B39" s="349">
        <v>1920</v>
      </c>
      <c r="C39" s="354" t="s">
        <v>365</v>
      </c>
      <c r="D39" s="215"/>
      <c r="E39" s="246">
        <f>'App.2-B_Fixed Asset 2012 CGAAP'!H39</f>
        <v>0</v>
      </c>
      <c r="F39" s="436"/>
      <c r="G39" s="246"/>
      <c r="H39" s="10">
        <f t="shared" si="0"/>
        <v>0</v>
      </c>
      <c r="I39" s="4"/>
      <c r="J39" s="248">
        <f>'App.2-B_Fixed Asset 2012 CGAAP'!M39</f>
        <v>0</v>
      </c>
      <c r="K39" s="246"/>
      <c r="L39" s="246"/>
      <c r="M39" s="10">
        <f t="shared" si="1"/>
        <v>0</v>
      </c>
      <c r="N39" s="11">
        <f t="shared" si="2"/>
        <v>0</v>
      </c>
    </row>
    <row r="40" spans="1:14" x14ac:dyDescent="0.2">
      <c r="A40" s="347">
        <v>10</v>
      </c>
      <c r="B40" s="347">
        <v>1930</v>
      </c>
      <c r="C40" s="353" t="s">
        <v>430</v>
      </c>
      <c r="D40" s="215"/>
      <c r="E40" s="246">
        <f>'App.2-B_Fixed Asset 2012 CGAAP'!H40</f>
        <v>4964688</v>
      </c>
      <c r="F40" s="436">
        <v>571845</v>
      </c>
      <c r="G40" s="246"/>
      <c r="H40" s="10">
        <f t="shared" si="0"/>
        <v>5536533</v>
      </c>
      <c r="I40" s="4"/>
      <c r="J40" s="248">
        <f>'App.2-B_Fixed Asset 2012 CGAAP'!M40</f>
        <v>-3170018</v>
      </c>
      <c r="K40" s="246">
        <v>-394608</v>
      </c>
      <c r="L40" s="246"/>
      <c r="M40" s="10">
        <f t="shared" si="1"/>
        <v>-3564626</v>
      </c>
      <c r="N40" s="11">
        <f t="shared" si="2"/>
        <v>1971907</v>
      </c>
    </row>
    <row r="41" spans="1:14" x14ac:dyDescent="0.2">
      <c r="A41" s="347">
        <v>8</v>
      </c>
      <c r="B41" s="347">
        <v>1935</v>
      </c>
      <c r="C41" s="353" t="s">
        <v>431</v>
      </c>
      <c r="D41" s="215"/>
      <c r="E41" s="246">
        <f>'App.2-B_Fixed Asset 2012 CGAAP'!H41</f>
        <v>81138</v>
      </c>
      <c r="F41" s="436"/>
      <c r="G41" s="246"/>
      <c r="H41" s="10">
        <f t="shared" si="0"/>
        <v>81138</v>
      </c>
      <c r="I41" s="4"/>
      <c r="J41" s="248">
        <f>'App.2-B_Fixed Asset 2012 CGAAP'!M41</f>
        <v>-76074</v>
      </c>
      <c r="K41" s="246">
        <v>-4790</v>
      </c>
      <c r="L41" s="246"/>
      <c r="M41" s="10">
        <f t="shared" si="1"/>
        <v>-80864</v>
      </c>
      <c r="N41" s="11">
        <f t="shared" si="2"/>
        <v>274</v>
      </c>
    </row>
    <row r="42" spans="1:14" x14ac:dyDescent="0.2">
      <c r="A42" s="347">
        <v>8</v>
      </c>
      <c r="B42" s="347">
        <v>1940</v>
      </c>
      <c r="C42" s="353" t="s">
        <v>432</v>
      </c>
      <c r="D42" s="215"/>
      <c r="E42" s="246">
        <f>'App.2-B_Fixed Asset 2012 CGAAP'!H42</f>
        <v>997442</v>
      </c>
      <c r="F42" s="436">
        <v>47796</v>
      </c>
      <c r="G42" s="246"/>
      <c r="H42" s="10">
        <f t="shared" si="0"/>
        <v>1045238</v>
      </c>
      <c r="I42" s="4"/>
      <c r="J42" s="248">
        <f>'App.2-B_Fixed Asset 2012 CGAAP'!M42</f>
        <v>-708378</v>
      </c>
      <c r="K42" s="246">
        <v>-51399</v>
      </c>
      <c r="L42" s="246"/>
      <c r="M42" s="10">
        <f>J42+K42+L42</f>
        <v>-759777</v>
      </c>
      <c r="N42" s="11">
        <f t="shared" si="2"/>
        <v>285461</v>
      </c>
    </row>
    <row r="43" spans="1:14" x14ac:dyDescent="0.2">
      <c r="A43" s="347">
        <v>8</v>
      </c>
      <c r="B43" s="347">
        <v>1945</v>
      </c>
      <c r="C43" s="353" t="s">
        <v>433</v>
      </c>
      <c r="D43" s="215"/>
      <c r="E43" s="246">
        <f>'App.2-B_Fixed Asset 2012 CGAAP'!H43</f>
        <v>373164</v>
      </c>
      <c r="F43" s="436">
        <v>56900</v>
      </c>
      <c r="G43" s="246"/>
      <c r="H43" s="10">
        <f t="shared" si="0"/>
        <v>430064</v>
      </c>
      <c r="I43" s="4"/>
      <c r="J43" s="248">
        <f>'App.2-B_Fixed Asset 2012 CGAAP'!M43</f>
        <v>-238830</v>
      </c>
      <c r="K43" s="246">
        <v>-20748</v>
      </c>
      <c r="L43" s="246"/>
      <c r="M43" s="10">
        <f t="shared" si="1"/>
        <v>-259578</v>
      </c>
      <c r="N43" s="11">
        <f t="shared" si="2"/>
        <v>170486</v>
      </c>
    </row>
    <row r="44" spans="1:14" x14ac:dyDescent="0.2">
      <c r="A44" s="347">
        <v>8</v>
      </c>
      <c r="B44" s="347">
        <v>1950</v>
      </c>
      <c r="C44" s="353" t="s">
        <v>367</v>
      </c>
      <c r="D44" s="215"/>
      <c r="E44" s="246">
        <f>'App.2-B_Fixed Asset 2012 CGAAP'!H44</f>
        <v>0</v>
      </c>
      <c r="F44" s="436"/>
      <c r="G44" s="246"/>
      <c r="H44" s="10">
        <f t="shared" si="0"/>
        <v>0</v>
      </c>
      <c r="I44" s="4"/>
      <c r="J44" s="248">
        <f>'App.2-B_Fixed Asset 2012 CGAAP'!M44</f>
        <v>0</v>
      </c>
      <c r="K44" s="246"/>
      <c r="L44" s="246"/>
      <c r="M44" s="10">
        <f t="shared" si="1"/>
        <v>0</v>
      </c>
      <c r="N44" s="11">
        <f t="shared" si="2"/>
        <v>0</v>
      </c>
    </row>
    <row r="45" spans="1:14" x14ac:dyDescent="0.2">
      <c r="A45" s="347">
        <v>8</v>
      </c>
      <c r="B45" s="347">
        <v>1955</v>
      </c>
      <c r="C45" s="353" t="s">
        <v>434</v>
      </c>
      <c r="D45" s="215"/>
      <c r="E45" s="246">
        <f>'App.2-B_Fixed Asset 2012 CGAAP'!H45</f>
        <v>252975</v>
      </c>
      <c r="F45" s="436"/>
      <c r="G45" s="246"/>
      <c r="H45" s="10">
        <f t="shared" si="0"/>
        <v>252975</v>
      </c>
      <c r="I45" s="4"/>
      <c r="J45" s="248">
        <f>'App.2-B_Fixed Asset 2012 CGAAP'!M45</f>
        <v>-175060</v>
      </c>
      <c r="K45" s="246">
        <v>-12953</v>
      </c>
      <c r="L45" s="246"/>
      <c r="M45" s="10">
        <f t="shared" si="1"/>
        <v>-188013</v>
      </c>
      <c r="N45" s="11">
        <f t="shared" si="2"/>
        <v>64962</v>
      </c>
    </row>
    <row r="46" spans="1:14" x14ac:dyDescent="0.2">
      <c r="A46" s="350">
        <v>8</v>
      </c>
      <c r="B46" s="350">
        <v>1955</v>
      </c>
      <c r="C46" s="355" t="s">
        <v>368</v>
      </c>
      <c r="D46" s="215"/>
      <c r="E46" s="246">
        <f>'App.2-B_Fixed Asset 2012 CGAAP'!H46</f>
        <v>0</v>
      </c>
      <c r="F46" s="436"/>
      <c r="G46" s="246"/>
      <c r="H46" s="10">
        <f t="shared" si="0"/>
        <v>0</v>
      </c>
      <c r="I46" s="4"/>
      <c r="J46" s="248">
        <f>'App.2-B_Fixed Asset 2012 CGAAP'!M46</f>
        <v>0</v>
      </c>
      <c r="K46" s="246"/>
      <c r="L46" s="246"/>
      <c r="M46" s="10">
        <f t="shared" si="1"/>
        <v>0</v>
      </c>
      <c r="N46" s="11">
        <f t="shared" si="2"/>
        <v>0</v>
      </c>
    </row>
    <row r="47" spans="1:14" x14ac:dyDescent="0.2">
      <c r="A47" s="349">
        <v>8</v>
      </c>
      <c r="B47" s="349">
        <v>1960</v>
      </c>
      <c r="C47" s="354" t="s">
        <v>369</v>
      </c>
      <c r="D47" s="215"/>
      <c r="E47" s="246">
        <f>'App.2-B_Fixed Asset 2012 CGAAP'!H47</f>
        <v>784532</v>
      </c>
      <c r="F47" s="436"/>
      <c r="G47" s="246"/>
      <c r="H47" s="10">
        <f t="shared" si="0"/>
        <v>784532</v>
      </c>
      <c r="I47" s="4"/>
      <c r="J47" s="248">
        <f>'App.2-B_Fixed Asset 2012 CGAAP'!M47</f>
        <v>-718014</v>
      </c>
      <c r="K47" s="246">
        <v>-5689</v>
      </c>
      <c r="L47" s="246"/>
      <c r="M47" s="10">
        <f t="shared" si="1"/>
        <v>-723703</v>
      </c>
      <c r="N47" s="11">
        <f t="shared" si="2"/>
        <v>60829</v>
      </c>
    </row>
    <row r="48" spans="1:14" ht="25.5" x14ac:dyDescent="0.2">
      <c r="A48" s="347">
        <v>47</v>
      </c>
      <c r="B48" s="347">
        <v>1975</v>
      </c>
      <c r="C48" s="353" t="s">
        <v>435</v>
      </c>
      <c r="D48" s="215"/>
      <c r="E48" s="246">
        <f>'App.2-B_Fixed Asset 2012 CGAAP'!H48</f>
        <v>0</v>
      </c>
      <c r="F48" s="436"/>
      <c r="G48" s="246"/>
      <c r="H48" s="10">
        <f t="shared" si="0"/>
        <v>0</v>
      </c>
      <c r="I48" s="4"/>
      <c r="J48" s="248">
        <f>'App.2-B_Fixed Asset 2012 CGAAP'!M48</f>
        <v>0</v>
      </c>
      <c r="K48" s="246"/>
      <c r="L48" s="246"/>
      <c r="M48" s="10">
        <f t="shared" si="1"/>
        <v>0</v>
      </c>
      <c r="N48" s="11">
        <f t="shared" si="2"/>
        <v>0</v>
      </c>
    </row>
    <row r="49" spans="1:15" x14ac:dyDescent="0.2">
      <c r="A49" s="347">
        <v>47</v>
      </c>
      <c r="B49" s="347">
        <v>1980</v>
      </c>
      <c r="C49" s="353" t="s">
        <v>436</v>
      </c>
      <c r="D49" s="215"/>
      <c r="E49" s="246">
        <f>'App.2-B_Fixed Asset 2012 CGAAP'!H49</f>
        <v>1238700</v>
      </c>
      <c r="F49" s="436">
        <v>22760</v>
      </c>
      <c r="G49" s="246"/>
      <c r="H49" s="10">
        <f t="shared" si="0"/>
        <v>1261460</v>
      </c>
      <c r="I49" s="4"/>
      <c r="J49" s="248">
        <f>'App.2-B_Fixed Asset 2012 CGAAP'!M49</f>
        <v>-834988</v>
      </c>
      <c r="K49" s="246">
        <v>-39551</v>
      </c>
      <c r="L49" s="246"/>
      <c r="M49" s="10">
        <f>J49+K49+L49</f>
        <v>-874539</v>
      </c>
      <c r="N49" s="11">
        <f t="shared" si="2"/>
        <v>386921</v>
      </c>
    </row>
    <row r="50" spans="1:15" x14ac:dyDescent="0.2">
      <c r="A50" s="347">
        <v>47</v>
      </c>
      <c r="B50" s="347">
        <v>1985</v>
      </c>
      <c r="C50" s="353" t="s">
        <v>437</v>
      </c>
      <c r="D50" s="215"/>
      <c r="E50" s="246">
        <f>'App.2-B_Fixed Asset 2012 CGAAP'!H50</f>
        <v>0</v>
      </c>
      <c r="F50" s="436"/>
      <c r="G50" s="246"/>
      <c r="H50" s="10">
        <f t="shared" si="0"/>
        <v>0</v>
      </c>
      <c r="I50" s="4"/>
      <c r="J50" s="248">
        <f>'App.2-B_Fixed Asset 2012 CGAAP'!M50</f>
        <v>0</v>
      </c>
      <c r="K50" s="246"/>
      <c r="L50" s="246"/>
      <c r="M50" s="10">
        <f t="shared" si="1"/>
        <v>0</v>
      </c>
      <c r="N50" s="11">
        <f t="shared" si="2"/>
        <v>0</v>
      </c>
    </row>
    <row r="51" spans="1:15" x14ac:dyDescent="0.2">
      <c r="A51" s="347">
        <v>47</v>
      </c>
      <c r="B51" s="347">
        <v>1995</v>
      </c>
      <c r="C51" s="353" t="s">
        <v>438</v>
      </c>
      <c r="D51" s="215"/>
      <c r="E51" s="246">
        <f>'App.2-B_Fixed Asset 2012 CGAAP'!H51</f>
        <v>-6979013</v>
      </c>
      <c r="F51" s="436">
        <v>-675455</v>
      </c>
      <c r="G51" s="246"/>
      <c r="H51" s="10">
        <f t="shared" si="0"/>
        <v>-7654468</v>
      </c>
      <c r="I51" s="4"/>
      <c r="J51" s="248">
        <f>'App.2-B_Fixed Asset 2012 CGAAP'!M51</f>
        <v>1683438</v>
      </c>
      <c r="K51" s="246">
        <v>311166</v>
      </c>
      <c r="L51" s="246"/>
      <c r="M51" s="10">
        <f t="shared" si="1"/>
        <v>1994604</v>
      </c>
      <c r="N51" s="11">
        <f t="shared" si="2"/>
        <v>-5659864</v>
      </c>
      <c r="O51" s="841"/>
    </row>
    <row r="52" spans="1:15" ht="25.5" x14ac:dyDescent="0.2">
      <c r="A52" s="5"/>
      <c r="B52" s="347">
        <v>1970</v>
      </c>
      <c r="C52" s="354" t="s">
        <v>864</v>
      </c>
      <c r="D52" s="215"/>
      <c r="E52" s="246">
        <f>'App.2-B_Fixed Asset 2012 CGAAP'!H52</f>
        <v>464917</v>
      </c>
      <c r="F52" s="436"/>
      <c r="G52" s="246"/>
      <c r="H52" s="10">
        <f t="shared" si="0"/>
        <v>464917</v>
      </c>
      <c r="J52" s="248">
        <f>'App.2-B_Fixed Asset 2012 CGAAP'!M52</f>
        <v>-464917</v>
      </c>
      <c r="K52" s="246">
        <v>0</v>
      </c>
      <c r="L52" s="246"/>
      <c r="M52" s="10">
        <f t="shared" si="1"/>
        <v>-464917</v>
      </c>
      <c r="N52" s="11">
        <f t="shared" si="2"/>
        <v>0</v>
      </c>
    </row>
    <row r="53" spans="1:15" x14ac:dyDescent="0.2">
      <c r="A53" s="5"/>
      <c r="B53" s="5">
        <v>1990</v>
      </c>
      <c r="C53" s="168" t="s">
        <v>982</v>
      </c>
      <c r="D53" s="215"/>
      <c r="E53" s="246">
        <f>'App.2-B_Fixed Asset 2012 CGAAP'!H53</f>
        <v>567497</v>
      </c>
      <c r="F53" s="436"/>
      <c r="G53" s="247"/>
      <c r="H53" s="10">
        <f t="shared" si="0"/>
        <v>567497</v>
      </c>
      <c r="J53" s="248">
        <f>'App.2-B_Fixed Asset 2012 CGAAP'!M53</f>
        <v>0</v>
      </c>
      <c r="K53" s="247"/>
      <c r="L53" s="247"/>
      <c r="M53" s="10">
        <f t="shared" si="1"/>
        <v>0</v>
      </c>
      <c r="N53" s="11">
        <f t="shared" si="2"/>
        <v>567497</v>
      </c>
    </row>
    <row r="54" spans="1:15" x14ac:dyDescent="0.2">
      <c r="A54" s="5"/>
      <c r="B54" s="5"/>
      <c r="C54" s="9" t="s">
        <v>439</v>
      </c>
      <c r="D54" s="9"/>
      <c r="E54" s="14">
        <f>SUM(E16:E53)</f>
        <v>118384075</v>
      </c>
      <c r="F54" s="14">
        <f t="shared" ref="F54:H54" si="3">SUM(F16:F53)</f>
        <v>7212850</v>
      </c>
      <c r="G54" s="14">
        <f t="shared" si="3"/>
        <v>0</v>
      </c>
      <c r="H54" s="14">
        <f t="shared" si="3"/>
        <v>125596925</v>
      </c>
      <c r="I54" s="14"/>
      <c r="J54" s="14">
        <f>SUM(J16:J53)</f>
        <v>-65594276</v>
      </c>
      <c r="K54" s="14">
        <f t="shared" ref="K54:N54" si="4">SUM(K16:K53)</f>
        <v>-6210587</v>
      </c>
      <c r="L54" s="14">
        <f t="shared" si="4"/>
        <v>0</v>
      </c>
      <c r="M54" s="14">
        <f t="shared" si="4"/>
        <v>-71804863</v>
      </c>
      <c r="N54" s="14">
        <f t="shared" si="4"/>
        <v>53792062</v>
      </c>
    </row>
    <row r="55" spans="1:15" x14ac:dyDescent="0.2">
      <c r="I55"/>
    </row>
    <row r="56" spans="1:15" x14ac:dyDescent="0.2">
      <c r="D56" s="3"/>
      <c r="E56" s="922" t="s">
        <v>977</v>
      </c>
      <c r="F56" s="856">
        <f>-F51</f>
        <v>675455</v>
      </c>
      <c r="N56" s="841"/>
    </row>
    <row r="57" spans="1:15" x14ac:dyDescent="0.2">
      <c r="A57" s="924"/>
      <c r="B57" s="924"/>
      <c r="D57" s="3"/>
      <c r="E57" s="922" t="s">
        <v>978</v>
      </c>
      <c r="F57" s="858">
        <f>-F53</f>
        <v>0</v>
      </c>
    </row>
    <row r="58" spans="1:15" x14ac:dyDescent="0.2">
      <c r="A58" s="924"/>
      <c r="B58" s="924"/>
      <c r="E58" s="922" t="s">
        <v>981</v>
      </c>
      <c r="F58" s="856">
        <f>SUM(F54:F57)</f>
        <v>7888305</v>
      </c>
    </row>
    <row r="59" spans="1:15" x14ac:dyDescent="0.2">
      <c r="E59" s="925" t="s">
        <v>979</v>
      </c>
      <c r="F59" s="857">
        <v>0</v>
      </c>
    </row>
    <row r="60" spans="1:15" x14ac:dyDescent="0.2">
      <c r="A60" s="924"/>
      <c r="B60" s="924"/>
      <c r="E60" s="922" t="s">
        <v>980</v>
      </c>
      <c r="F60" s="857">
        <v>0</v>
      </c>
    </row>
    <row r="61" spans="1:15" ht="13.5" thickBot="1" x14ac:dyDescent="0.25">
      <c r="A61" s="924"/>
      <c r="B61" s="924"/>
      <c r="E61" s="927" t="s">
        <v>987</v>
      </c>
      <c r="F61" s="855">
        <f>SUM(F58:F60)</f>
        <v>7888305</v>
      </c>
    </row>
    <row r="62" spans="1:15" ht="13.5" thickTop="1" x14ac:dyDescent="0.2">
      <c r="A62" s="924"/>
      <c r="B62" s="924"/>
    </row>
    <row r="63" spans="1:15" x14ac:dyDescent="0.2">
      <c r="A63" s="155" t="s">
        <v>16</v>
      </c>
      <c r="F63" s="752"/>
    </row>
    <row r="64" spans="1:15" x14ac:dyDescent="0.2">
      <c r="K64" s="884"/>
    </row>
    <row r="65" spans="1:14" x14ac:dyDescent="0.2">
      <c r="A65" s="890">
        <v>1</v>
      </c>
      <c r="B65" s="1263" t="s">
        <v>337</v>
      </c>
      <c r="C65" s="1263"/>
      <c r="D65" s="1263"/>
      <c r="E65" s="1263"/>
      <c r="F65" s="1263"/>
      <c r="G65" s="1263"/>
      <c r="H65" s="1263"/>
      <c r="I65" s="1263"/>
      <c r="J65" s="1263"/>
      <c r="K65" s="1263"/>
      <c r="L65" s="1263"/>
      <c r="M65" s="1263"/>
      <c r="N65" s="1263"/>
    </row>
    <row r="66" spans="1:14" x14ac:dyDescent="0.2">
      <c r="B66" s="1263"/>
      <c r="C66" s="1263"/>
      <c r="D66" s="1263"/>
      <c r="E66" s="1263"/>
      <c r="F66" s="1263"/>
      <c r="G66" s="1263"/>
      <c r="H66" s="1263"/>
      <c r="I66" s="1263"/>
      <c r="J66" s="1263"/>
      <c r="K66" s="1263"/>
      <c r="L66" s="1263"/>
      <c r="M66" s="1263"/>
      <c r="N66" s="1263"/>
    </row>
    <row r="67" spans="1:14" ht="12.75" customHeight="1" x14ac:dyDescent="0.2"/>
    <row r="68" spans="1:14" x14ac:dyDescent="0.2">
      <c r="A68" s="890">
        <v>2</v>
      </c>
      <c r="B68" s="1267" t="s">
        <v>66</v>
      </c>
      <c r="C68" s="1267"/>
      <c r="D68" s="1267"/>
      <c r="E68" s="1267"/>
      <c r="F68" s="1267"/>
      <c r="G68" s="1267"/>
      <c r="H68" s="1267"/>
      <c r="I68" s="1267"/>
      <c r="J68" s="1267"/>
      <c r="K68" s="1267"/>
      <c r="L68" s="1267"/>
      <c r="M68" s="1267"/>
      <c r="N68" s="1267"/>
    </row>
    <row r="69" spans="1:14" x14ac:dyDescent="0.2">
      <c r="B69" s="1267"/>
      <c r="C69" s="1267"/>
      <c r="D69" s="1267"/>
      <c r="E69" s="1267"/>
      <c r="F69" s="1267"/>
      <c r="G69" s="1267"/>
      <c r="H69" s="1267"/>
      <c r="I69" s="1267"/>
      <c r="J69" s="1267"/>
      <c r="K69" s="1267"/>
      <c r="L69" s="1267"/>
      <c r="M69" s="1267"/>
      <c r="N69" s="1267"/>
    </row>
    <row r="71" spans="1:14" x14ac:dyDescent="0.2">
      <c r="A71" s="890">
        <v>3</v>
      </c>
      <c r="B71" s="1242" t="s">
        <v>341</v>
      </c>
      <c r="C71" s="1242"/>
      <c r="D71" s="1242"/>
      <c r="E71" s="1242"/>
      <c r="F71" s="1242"/>
      <c r="G71" s="1242"/>
      <c r="H71" s="1242"/>
      <c r="I71" s="1242"/>
      <c r="J71" s="1242"/>
      <c r="K71" s="1242"/>
      <c r="L71" s="1242"/>
      <c r="M71" s="1242"/>
      <c r="N71" s="1242"/>
    </row>
    <row r="73" spans="1:14" x14ac:dyDescent="0.2">
      <c r="A73" s="890">
        <v>4</v>
      </c>
      <c r="B73" s="891" t="s">
        <v>648</v>
      </c>
    </row>
    <row r="75" spans="1:14" x14ac:dyDescent="0.2">
      <c r="D75" s="3"/>
      <c r="H75" s="3"/>
    </row>
    <row r="76" spans="1:14" x14ac:dyDescent="0.2">
      <c r="D76" s="3"/>
      <c r="H76" s="3"/>
    </row>
    <row r="77" spans="1:14" x14ac:dyDescent="0.2">
      <c r="D77" s="3"/>
      <c r="H77" s="3"/>
    </row>
    <row r="78" spans="1:14" x14ac:dyDescent="0.2">
      <c r="D78" s="3"/>
      <c r="H78" s="3"/>
    </row>
  </sheetData>
  <mergeCells count="6">
    <mergeCell ref="B71:N71"/>
    <mergeCell ref="A9:N9"/>
    <mergeCell ref="A10:N10"/>
    <mergeCell ref="E14:H14"/>
    <mergeCell ref="B65:N66"/>
    <mergeCell ref="B68:N69"/>
  </mergeCells>
  <printOptions horizontalCentered="1"/>
  <pageMargins left="0.5" right="0.5" top="0.5" bottom="0.5" header="0.511811023622047" footer="0.511811023622047"/>
  <pageSetup scale="60" orientation="landscape" r:id="rId1"/>
  <headerFooter alignWithMargins="0"/>
  <rowBreaks count="1" manualBreakCount="1">
    <brk id="6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N73"/>
  <sheetViews>
    <sheetView showGridLines="0" zoomScale="95" zoomScaleNormal="95" workbookViewId="0">
      <selection sqref="A1:N62"/>
    </sheetView>
  </sheetViews>
  <sheetFormatPr defaultRowHeight="12.75" x14ac:dyDescent="0.2"/>
  <cols>
    <col min="1" max="1" width="7.7109375" style="1" customWidth="1"/>
    <col min="2" max="2" width="6.42578125" style="1" customWidth="1"/>
    <col min="3" max="3" width="37.85546875" customWidth="1"/>
    <col min="4" max="4" width="14.5703125" customWidth="1"/>
    <col min="5" max="5" width="17.42578125" customWidth="1"/>
    <col min="6" max="6" width="13" customWidth="1"/>
    <col min="7" max="7" width="11.7109375" customWidth="1"/>
    <col min="8" max="8" width="14.140625" bestFit="1" customWidth="1"/>
    <col min="9" max="9" width="1.7109375" style="3"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v>41200</v>
      </c>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t="s">
        <v>921</v>
      </c>
      <c r="H12" s="6"/>
    </row>
    <row r="14" spans="1:14" x14ac:dyDescent="0.2">
      <c r="D14" s="15"/>
      <c r="E14" s="1264" t="s">
        <v>405</v>
      </c>
      <c r="F14" s="1265"/>
      <c r="G14" s="1265"/>
      <c r="H14" s="1266"/>
      <c r="J14" s="181"/>
      <c r="K14" s="180" t="s">
        <v>406</v>
      </c>
      <c r="L14" s="180"/>
      <c r="M14" s="182"/>
      <c r="N14" s="3"/>
    </row>
    <row r="15" spans="1:14" ht="25.5" x14ac:dyDescent="0.2">
      <c r="A15" s="799" t="s">
        <v>393</v>
      </c>
      <c r="B15" s="174" t="s">
        <v>394</v>
      </c>
      <c r="C15" s="175" t="s">
        <v>395</v>
      </c>
      <c r="D15" s="799" t="s">
        <v>440</v>
      </c>
      <c r="E15" s="799" t="s">
        <v>396</v>
      </c>
      <c r="F15" s="174" t="s">
        <v>397</v>
      </c>
      <c r="G15" s="174" t="s">
        <v>403</v>
      </c>
      <c r="H15" s="799" t="s">
        <v>404</v>
      </c>
      <c r="I15" s="176"/>
      <c r="J15" s="177" t="s">
        <v>396</v>
      </c>
      <c r="K15" s="178" t="s">
        <v>397</v>
      </c>
      <c r="L15" s="178" t="s">
        <v>403</v>
      </c>
      <c r="M15" s="179" t="s">
        <v>404</v>
      </c>
      <c r="N15" s="799" t="s">
        <v>443</v>
      </c>
    </row>
    <row r="16" spans="1:14" ht="25.5" x14ac:dyDescent="0.2">
      <c r="A16" s="347">
        <v>12</v>
      </c>
      <c r="B16" s="347">
        <v>1611</v>
      </c>
      <c r="C16" s="351" t="s">
        <v>548</v>
      </c>
      <c r="D16" s="215"/>
      <c r="E16" s="246">
        <f>'App.2-B_Fixed Asset 2012 MIFRS'!H16</f>
        <v>8636031</v>
      </c>
      <c r="F16" s="435">
        <v>993685</v>
      </c>
      <c r="G16" s="246">
        <v>0</v>
      </c>
      <c r="H16" s="10">
        <f>E16+F16+G16</f>
        <v>9629716</v>
      </c>
      <c r="I16" s="4"/>
      <c r="J16" s="248">
        <f>'App.2-B_Fixed Asset 2012 MIFRS'!M16</f>
        <v>-2131278</v>
      </c>
      <c r="K16" s="246">
        <v>-2179195</v>
      </c>
      <c r="L16" s="246"/>
      <c r="M16" s="10">
        <f>J16+K16+L16</f>
        <v>-4310473</v>
      </c>
      <c r="N16" s="11">
        <f>H16+M16</f>
        <v>5319243</v>
      </c>
    </row>
    <row r="17" spans="1:14" ht="25.5" x14ac:dyDescent="0.2">
      <c r="A17" s="347" t="s">
        <v>415</v>
      </c>
      <c r="B17" s="347">
        <v>1612</v>
      </c>
      <c r="C17" s="351" t="s">
        <v>702</v>
      </c>
      <c r="D17" s="215"/>
      <c r="E17" s="246">
        <f>'App.2-B_Fixed Asset 2012 MIFRS'!H17</f>
        <v>15818</v>
      </c>
      <c r="F17" s="436">
        <v>257200</v>
      </c>
      <c r="G17" s="246"/>
      <c r="H17" s="10">
        <f>E17+F17+G17</f>
        <v>273018</v>
      </c>
      <c r="I17" s="4"/>
      <c r="J17" s="248">
        <f>'App.2-B_Fixed Asset 2012 MIFRS'!M17</f>
        <v>-1217</v>
      </c>
      <c r="K17" s="246">
        <v>-1217</v>
      </c>
      <c r="L17" s="246"/>
      <c r="M17" s="10">
        <f>J17+K17+L17</f>
        <v>-2434</v>
      </c>
      <c r="N17" s="11">
        <f>H17+M17</f>
        <v>270584</v>
      </c>
    </row>
    <row r="18" spans="1:14" x14ac:dyDescent="0.2">
      <c r="A18" s="348" t="s">
        <v>407</v>
      </c>
      <c r="B18" s="348">
        <v>1805</v>
      </c>
      <c r="C18" s="352" t="s">
        <v>408</v>
      </c>
      <c r="D18" s="215"/>
      <c r="E18" s="246">
        <f>'App.2-B_Fixed Asset 2012 MIFRS'!H18</f>
        <v>497489</v>
      </c>
      <c r="F18" s="436"/>
      <c r="G18" s="246"/>
      <c r="H18" s="10">
        <f>E18+F18+G18</f>
        <v>497489</v>
      </c>
      <c r="I18" s="4"/>
      <c r="J18" s="248">
        <f>'App.2-B_Fixed Asset 2012 MIFRS'!M18</f>
        <v>0</v>
      </c>
      <c r="K18" s="246"/>
      <c r="L18" s="246"/>
      <c r="M18" s="10">
        <f>J18+K18+L18</f>
        <v>0</v>
      </c>
      <c r="N18" s="11">
        <f>H18+M18</f>
        <v>497489</v>
      </c>
    </row>
    <row r="19" spans="1:14" x14ac:dyDescent="0.2">
      <c r="A19" s="347">
        <v>47</v>
      </c>
      <c r="B19" s="347">
        <v>1808</v>
      </c>
      <c r="C19" s="353" t="s">
        <v>409</v>
      </c>
      <c r="D19" s="215"/>
      <c r="E19" s="246">
        <f>'App.2-B_Fixed Asset 2012 MIFRS'!H19</f>
        <v>0</v>
      </c>
      <c r="F19" s="436"/>
      <c r="G19" s="246"/>
      <c r="H19" s="10">
        <f t="shared" ref="H19:H53" si="0">E19+F19+G19</f>
        <v>0</v>
      </c>
      <c r="I19" s="4"/>
      <c r="J19" s="248">
        <f>'App.2-B_Fixed Asset 2012 MIFRS'!M19</f>
        <v>0</v>
      </c>
      <c r="K19" s="246"/>
      <c r="L19" s="246"/>
      <c r="M19" s="10">
        <f t="shared" ref="M19:M53" si="1">J19+K19+L19</f>
        <v>0</v>
      </c>
      <c r="N19" s="11">
        <f t="shared" ref="N19:N53" si="2">H19+M19</f>
        <v>0</v>
      </c>
    </row>
    <row r="20" spans="1:14" x14ac:dyDescent="0.2">
      <c r="A20" s="347">
        <v>13</v>
      </c>
      <c r="B20" s="347">
        <v>1810</v>
      </c>
      <c r="C20" s="353" t="s">
        <v>442</v>
      </c>
      <c r="D20" s="215"/>
      <c r="E20" s="246">
        <f>'App.2-B_Fixed Asset 2012 MIFRS'!H20</f>
        <v>0</v>
      </c>
      <c r="F20" s="436"/>
      <c r="G20" s="246"/>
      <c r="H20" s="10">
        <f t="shared" si="0"/>
        <v>0</v>
      </c>
      <c r="I20" s="4"/>
      <c r="J20" s="248">
        <f>'App.2-B_Fixed Asset 2012 MIFRS'!M20</f>
        <v>0</v>
      </c>
      <c r="K20" s="246"/>
      <c r="L20" s="246"/>
      <c r="M20" s="10">
        <f t="shared" si="1"/>
        <v>0</v>
      </c>
      <c r="N20" s="11">
        <f t="shared" si="2"/>
        <v>0</v>
      </c>
    </row>
    <row r="21" spans="1:14" x14ac:dyDescent="0.2">
      <c r="A21" s="347">
        <v>47</v>
      </c>
      <c r="B21" s="347">
        <v>1815</v>
      </c>
      <c r="C21" s="353" t="s">
        <v>410</v>
      </c>
      <c r="D21" s="215"/>
      <c r="E21" s="246">
        <f>'App.2-B_Fixed Asset 2012 MIFRS'!H21</f>
        <v>0</v>
      </c>
      <c r="F21" s="436"/>
      <c r="G21" s="246"/>
      <c r="H21" s="10">
        <f t="shared" si="0"/>
        <v>0</v>
      </c>
      <c r="I21" s="4"/>
      <c r="J21" s="248">
        <f>'App.2-B_Fixed Asset 2012 MIFRS'!M21</f>
        <v>0</v>
      </c>
      <c r="K21" s="246"/>
      <c r="L21" s="246"/>
      <c r="M21" s="10">
        <f t="shared" si="1"/>
        <v>0</v>
      </c>
      <c r="N21" s="11">
        <f t="shared" si="2"/>
        <v>0</v>
      </c>
    </row>
    <row r="22" spans="1:14" x14ac:dyDescent="0.2">
      <c r="A22" s="347">
        <v>47</v>
      </c>
      <c r="B22" s="347">
        <v>1820</v>
      </c>
      <c r="C22" s="354" t="s">
        <v>356</v>
      </c>
      <c r="D22" s="215"/>
      <c r="E22" s="246">
        <f>'App.2-B_Fixed Asset 2012 MIFRS'!H22</f>
        <v>3542043</v>
      </c>
      <c r="F22" s="436">
        <v>355000</v>
      </c>
      <c r="G22" s="246"/>
      <c r="H22" s="10">
        <f t="shared" si="0"/>
        <v>3897043</v>
      </c>
      <c r="I22" s="4"/>
      <c r="J22" s="248">
        <f>'App.2-B_Fixed Asset 2012 MIFRS'!M22</f>
        <v>-192435</v>
      </c>
      <c r="K22" s="246">
        <v>-125857</v>
      </c>
      <c r="L22" s="246"/>
      <c r="M22" s="10">
        <f t="shared" si="1"/>
        <v>-318292</v>
      </c>
      <c r="N22" s="11">
        <f t="shared" si="2"/>
        <v>3578751</v>
      </c>
    </row>
    <row r="23" spans="1:14" x14ac:dyDescent="0.2">
      <c r="A23" s="347">
        <v>47</v>
      </c>
      <c r="B23" s="347">
        <v>1825</v>
      </c>
      <c r="C23" s="353" t="s">
        <v>411</v>
      </c>
      <c r="D23" s="215"/>
      <c r="E23" s="246">
        <f>'App.2-B_Fixed Asset 2012 MIFRS'!H23</f>
        <v>0</v>
      </c>
      <c r="F23" s="436"/>
      <c r="G23" s="246"/>
      <c r="H23" s="10">
        <f t="shared" si="0"/>
        <v>0</v>
      </c>
      <c r="I23" s="4"/>
      <c r="J23" s="248">
        <f>'App.2-B_Fixed Asset 2012 MIFRS'!M23</f>
        <v>0</v>
      </c>
      <c r="K23" s="246"/>
      <c r="L23" s="246"/>
      <c r="M23" s="10">
        <f t="shared" si="1"/>
        <v>0</v>
      </c>
      <c r="N23" s="11">
        <f t="shared" si="2"/>
        <v>0</v>
      </c>
    </row>
    <row r="24" spans="1:14" x14ac:dyDescent="0.2">
      <c r="A24" s="347">
        <v>47</v>
      </c>
      <c r="B24" s="347">
        <v>1830</v>
      </c>
      <c r="C24" s="353" t="s">
        <v>412</v>
      </c>
      <c r="D24" s="215"/>
      <c r="E24" s="246">
        <f>'App.2-B_Fixed Asset 2012 MIFRS'!H24</f>
        <v>2613433</v>
      </c>
      <c r="F24" s="436">
        <v>834250</v>
      </c>
      <c r="G24" s="246"/>
      <c r="H24" s="10">
        <f t="shared" si="0"/>
        <v>3447683</v>
      </c>
      <c r="I24" s="4"/>
      <c r="J24" s="248">
        <f>'App.2-B_Fixed Asset 2012 MIFRS'!M24</f>
        <v>-49209</v>
      </c>
      <c r="K24" s="246">
        <v>-69424</v>
      </c>
      <c r="L24" s="246"/>
      <c r="M24" s="10">
        <f t="shared" si="1"/>
        <v>-118633</v>
      </c>
      <c r="N24" s="11">
        <f t="shared" si="2"/>
        <v>3329050</v>
      </c>
    </row>
    <row r="25" spans="1:14" x14ac:dyDescent="0.2">
      <c r="A25" s="347">
        <v>47</v>
      </c>
      <c r="B25" s="347">
        <v>1835</v>
      </c>
      <c r="C25" s="353" t="s">
        <v>357</v>
      </c>
      <c r="D25" s="215"/>
      <c r="E25" s="246">
        <f>'App.2-B_Fixed Asset 2012 MIFRS'!H25</f>
        <v>9601913</v>
      </c>
      <c r="F25" s="436">
        <v>617000</v>
      </c>
      <c r="G25" s="246"/>
      <c r="H25" s="10">
        <f t="shared" si="0"/>
        <v>10218913</v>
      </c>
      <c r="I25" s="4"/>
      <c r="J25" s="248">
        <f>'App.2-B_Fixed Asset 2012 MIFRS'!M25</f>
        <v>-271963</v>
      </c>
      <c r="K25" s="246">
        <v>-286725</v>
      </c>
      <c r="L25" s="246"/>
      <c r="M25" s="10">
        <f t="shared" si="1"/>
        <v>-558688</v>
      </c>
      <c r="N25" s="11">
        <f t="shared" si="2"/>
        <v>9660225</v>
      </c>
    </row>
    <row r="26" spans="1:14" x14ac:dyDescent="0.2">
      <c r="A26" s="347">
        <v>47</v>
      </c>
      <c r="B26" s="347">
        <v>1840</v>
      </c>
      <c r="C26" s="353" t="s">
        <v>358</v>
      </c>
      <c r="D26" s="215"/>
      <c r="E26" s="246">
        <f>'App.2-B_Fixed Asset 2012 MIFRS'!H26</f>
        <v>925082</v>
      </c>
      <c r="F26" s="436">
        <v>130000</v>
      </c>
      <c r="G26" s="246"/>
      <c r="H26" s="10">
        <f t="shared" si="0"/>
        <v>1055082</v>
      </c>
      <c r="I26" s="4"/>
      <c r="J26" s="248">
        <f>'App.2-B_Fixed Asset 2012 MIFRS'!M26</f>
        <v>-17358</v>
      </c>
      <c r="K26" s="246">
        <v>-19929</v>
      </c>
      <c r="L26" s="246"/>
      <c r="M26" s="10">
        <f t="shared" si="1"/>
        <v>-37287</v>
      </c>
      <c r="N26" s="11">
        <f t="shared" si="2"/>
        <v>1017795</v>
      </c>
    </row>
    <row r="27" spans="1:14" x14ac:dyDescent="0.2">
      <c r="A27" s="347">
        <v>47</v>
      </c>
      <c r="B27" s="347">
        <v>1845</v>
      </c>
      <c r="C27" s="353" t="s">
        <v>359</v>
      </c>
      <c r="D27" s="215"/>
      <c r="E27" s="246">
        <f>'App.2-B_Fixed Asset 2012 MIFRS'!H27</f>
        <v>7606897</v>
      </c>
      <c r="F27" s="436">
        <v>1185000</v>
      </c>
      <c r="G27" s="246"/>
      <c r="H27" s="10">
        <f t="shared" si="0"/>
        <v>8791897</v>
      </c>
      <c r="I27" s="4"/>
      <c r="J27" s="248">
        <f>'App.2-B_Fixed Asset 2012 MIFRS'!M27</f>
        <v>-323912.5831039995</v>
      </c>
      <c r="K27" s="246">
        <v>-349626</v>
      </c>
      <c r="L27" s="246"/>
      <c r="M27" s="10">
        <f t="shared" si="1"/>
        <v>-673538.5831039995</v>
      </c>
      <c r="N27" s="11">
        <f t="shared" si="2"/>
        <v>8118358.4168960005</v>
      </c>
    </row>
    <row r="28" spans="1:14" x14ac:dyDescent="0.2">
      <c r="A28" s="347">
        <v>47</v>
      </c>
      <c r="B28" s="347">
        <v>1850</v>
      </c>
      <c r="C28" s="353" t="s">
        <v>413</v>
      </c>
      <c r="D28" s="215"/>
      <c r="E28" s="246">
        <f>'App.2-B_Fixed Asset 2012 MIFRS'!H28</f>
        <v>6328158</v>
      </c>
      <c r="F28" s="436">
        <v>704750</v>
      </c>
      <c r="G28" s="246"/>
      <c r="H28" s="10">
        <f t="shared" si="0"/>
        <v>7032908</v>
      </c>
      <c r="I28" s="4"/>
      <c r="J28" s="248">
        <f>'App.2-B_Fixed Asset 2012 MIFRS'!M28</f>
        <v>-195949.44835417718</v>
      </c>
      <c r="K28" s="246">
        <v>-213697</v>
      </c>
      <c r="L28" s="246"/>
      <c r="M28" s="10">
        <f t="shared" si="1"/>
        <v>-409646.44835417718</v>
      </c>
      <c r="N28" s="11">
        <f t="shared" si="2"/>
        <v>6623261.5516458228</v>
      </c>
    </row>
    <row r="29" spans="1:14" x14ac:dyDescent="0.2">
      <c r="A29" s="347">
        <v>47</v>
      </c>
      <c r="B29" s="347">
        <v>1855</v>
      </c>
      <c r="C29" s="353" t="s">
        <v>360</v>
      </c>
      <c r="D29" s="215"/>
      <c r="E29" s="246">
        <f>'App.2-B_Fixed Asset 2012 MIFRS'!H29</f>
        <v>413599</v>
      </c>
      <c r="F29" s="436">
        <v>55000</v>
      </c>
      <c r="G29" s="246"/>
      <c r="H29" s="10">
        <f t="shared" si="0"/>
        <v>468599</v>
      </c>
      <c r="I29" s="4"/>
      <c r="J29" s="248">
        <f>'App.2-B_Fixed Asset 2012 MIFRS'!M29</f>
        <v>-17370.68283787879</v>
      </c>
      <c r="K29" s="246">
        <v>-19333</v>
      </c>
      <c r="L29" s="246"/>
      <c r="M29" s="10">
        <f t="shared" si="1"/>
        <v>-36703.68283787879</v>
      </c>
      <c r="N29" s="11">
        <f t="shared" si="2"/>
        <v>431895.31716212118</v>
      </c>
    </row>
    <row r="30" spans="1:14" x14ac:dyDescent="0.2">
      <c r="A30" s="347">
        <v>47</v>
      </c>
      <c r="B30" s="347">
        <v>1860</v>
      </c>
      <c r="C30" s="353" t="s">
        <v>414</v>
      </c>
      <c r="D30" s="215"/>
      <c r="E30" s="246">
        <f>'App.2-B_Fixed Asset 2012 MIFRS'!H30</f>
        <v>813931</v>
      </c>
      <c r="F30" s="436">
        <v>50000</v>
      </c>
      <c r="G30" s="246">
        <v>0</v>
      </c>
      <c r="H30" s="10">
        <f t="shared" si="0"/>
        <v>863931</v>
      </c>
      <c r="I30" s="4"/>
      <c r="J30" s="248">
        <f>'App.2-B_Fixed Asset 2012 MIFRS'!M30</f>
        <v>-49021</v>
      </c>
      <c r="K30" s="246">
        <v>-50522</v>
      </c>
      <c r="L30" s="246"/>
      <c r="M30" s="10">
        <f t="shared" si="1"/>
        <v>-99543</v>
      </c>
      <c r="N30" s="11">
        <f t="shared" si="2"/>
        <v>764388</v>
      </c>
    </row>
    <row r="31" spans="1:14" x14ac:dyDescent="0.2">
      <c r="A31" s="347">
        <v>8</v>
      </c>
      <c r="B31" s="348">
        <v>1860</v>
      </c>
      <c r="C31" s="352" t="s">
        <v>361</v>
      </c>
      <c r="D31" s="215"/>
      <c r="E31" s="246">
        <f>'App.2-B_Fixed Asset 2012 MIFRS'!H31</f>
        <v>4241682</v>
      </c>
      <c r="F31" s="436"/>
      <c r="G31" s="246">
        <v>0</v>
      </c>
      <c r="H31" s="10">
        <f t="shared" si="0"/>
        <v>4241682</v>
      </c>
      <c r="I31" s="4"/>
      <c r="J31" s="248">
        <f>'App.2-B_Fixed Asset 2012 MIFRS'!M31</f>
        <v>-308972</v>
      </c>
      <c r="K31" s="246">
        <v>-282779</v>
      </c>
      <c r="L31" s="246"/>
      <c r="M31" s="10">
        <f t="shared" si="1"/>
        <v>-591751</v>
      </c>
      <c r="N31" s="11">
        <f t="shared" si="2"/>
        <v>3649931</v>
      </c>
    </row>
    <row r="32" spans="1:14" x14ac:dyDescent="0.2">
      <c r="A32" s="348" t="s">
        <v>407</v>
      </c>
      <c r="B32" s="348">
        <v>1905</v>
      </c>
      <c r="C32" s="352" t="s">
        <v>408</v>
      </c>
      <c r="D32" s="215"/>
      <c r="E32" s="246">
        <f>'App.2-B_Fixed Asset 2012 MIFRS'!H32</f>
        <v>0</v>
      </c>
      <c r="F32" s="436"/>
      <c r="G32" s="246"/>
      <c r="H32" s="10">
        <f t="shared" si="0"/>
        <v>0</v>
      </c>
      <c r="I32" s="4"/>
      <c r="J32" s="248">
        <f>'App.2-B_Fixed Asset 2012 MIFRS'!M32</f>
        <v>0</v>
      </c>
      <c r="K32" s="246">
        <v>0</v>
      </c>
      <c r="L32" s="812"/>
      <c r="M32" s="10">
        <f t="shared" si="1"/>
        <v>0</v>
      </c>
      <c r="N32" s="11">
        <f t="shared" si="2"/>
        <v>0</v>
      </c>
    </row>
    <row r="33" spans="1:14" x14ac:dyDescent="0.2">
      <c r="A33" s="347">
        <v>1</v>
      </c>
      <c r="B33" s="347">
        <v>1908</v>
      </c>
      <c r="C33" s="353" t="s">
        <v>416</v>
      </c>
      <c r="D33" s="215"/>
      <c r="E33" s="246">
        <f>'App.2-B_Fixed Asset 2012 MIFRS'!H33</f>
        <v>5976589</v>
      </c>
      <c r="F33" s="436">
        <v>212500</v>
      </c>
      <c r="G33" s="246"/>
      <c r="H33" s="10">
        <f t="shared" si="0"/>
        <v>6189089</v>
      </c>
      <c r="I33" s="4"/>
      <c r="J33" s="248">
        <f>'App.2-B_Fixed Asset 2012 MIFRS'!M33</f>
        <v>-129237</v>
      </c>
      <c r="K33" s="246">
        <v>-148447</v>
      </c>
      <c r="L33" s="246"/>
      <c r="M33" s="10">
        <f t="shared" si="1"/>
        <v>-277684</v>
      </c>
      <c r="N33" s="11">
        <f t="shared" si="2"/>
        <v>5911405</v>
      </c>
    </row>
    <row r="34" spans="1:14" x14ac:dyDescent="0.2">
      <c r="A34" s="347">
        <v>13</v>
      </c>
      <c r="B34" s="347">
        <v>1910</v>
      </c>
      <c r="C34" s="353" t="s">
        <v>442</v>
      </c>
      <c r="D34" s="215"/>
      <c r="E34" s="246">
        <f>'App.2-B_Fixed Asset 2012 MIFRS'!H34</f>
        <v>0</v>
      </c>
      <c r="F34" s="436"/>
      <c r="G34" s="246"/>
      <c r="H34" s="10">
        <f t="shared" si="0"/>
        <v>0</v>
      </c>
      <c r="I34" s="4"/>
      <c r="J34" s="248">
        <f>'App.2-B_Fixed Asset 2012 MIFRS'!M34</f>
        <v>0</v>
      </c>
      <c r="K34" s="246"/>
      <c r="L34" s="246"/>
      <c r="M34" s="10">
        <f t="shared" si="1"/>
        <v>0</v>
      </c>
      <c r="N34" s="11">
        <f t="shared" si="2"/>
        <v>0</v>
      </c>
    </row>
    <row r="35" spans="1:14" x14ac:dyDescent="0.2">
      <c r="A35" s="347">
        <v>8</v>
      </c>
      <c r="B35" s="347">
        <v>1915</v>
      </c>
      <c r="C35" s="353" t="s">
        <v>362</v>
      </c>
      <c r="D35" s="215"/>
      <c r="E35" s="246">
        <f>'App.2-B_Fixed Asset 2012 MIFRS'!H35</f>
        <v>293510</v>
      </c>
      <c r="F35" s="436">
        <v>10000</v>
      </c>
      <c r="G35" s="246"/>
      <c r="H35" s="10">
        <f t="shared" si="0"/>
        <v>303510</v>
      </c>
      <c r="I35" s="4"/>
      <c r="J35" s="248">
        <f>'App.2-B_Fixed Asset 2012 MIFRS'!M35</f>
        <v>-47868</v>
      </c>
      <c r="K35" s="246">
        <v>-53768</v>
      </c>
      <c r="L35" s="246"/>
      <c r="M35" s="10">
        <f t="shared" si="1"/>
        <v>-101636</v>
      </c>
      <c r="N35" s="11">
        <f t="shared" si="2"/>
        <v>201874</v>
      </c>
    </row>
    <row r="36" spans="1:14" x14ac:dyDescent="0.2">
      <c r="A36" s="347">
        <v>8</v>
      </c>
      <c r="B36" s="347">
        <v>1915</v>
      </c>
      <c r="C36" s="353" t="s">
        <v>363</v>
      </c>
      <c r="D36" s="215"/>
      <c r="E36" s="246">
        <f>'App.2-B_Fixed Asset 2012 MIFRS'!H36</f>
        <v>0</v>
      </c>
      <c r="F36" s="436"/>
      <c r="G36" s="246"/>
      <c r="H36" s="10">
        <f t="shared" si="0"/>
        <v>0</v>
      </c>
      <c r="I36" s="4"/>
      <c r="J36" s="248">
        <f>'App.2-B_Fixed Asset 2012 MIFRS'!M36</f>
        <v>0</v>
      </c>
      <c r="K36" s="246"/>
      <c r="L36" s="246"/>
      <c r="M36" s="10">
        <f t="shared" si="1"/>
        <v>0</v>
      </c>
      <c r="N36" s="11">
        <f t="shared" si="2"/>
        <v>0</v>
      </c>
    </row>
    <row r="37" spans="1:14" x14ac:dyDescent="0.2">
      <c r="A37" s="347">
        <v>10</v>
      </c>
      <c r="B37" s="347">
        <v>1920</v>
      </c>
      <c r="C37" s="353" t="s">
        <v>364</v>
      </c>
      <c r="D37" s="215"/>
      <c r="E37" s="246">
        <f>'App.2-B_Fixed Asset 2012 MIFRS'!H37</f>
        <v>2361778</v>
      </c>
      <c r="F37" s="436">
        <v>912840</v>
      </c>
      <c r="G37" s="246">
        <v>0</v>
      </c>
      <c r="H37" s="10">
        <f t="shared" si="0"/>
        <v>3274618</v>
      </c>
      <c r="I37" s="4"/>
      <c r="J37" s="248">
        <f>'App.2-B_Fixed Asset 2012 MIFRS'!M37</f>
        <v>-545681</v>
      </c>
      <c r="K37" s="246">
        <v>-673251</v>
      </c>
      <c r="L37" s="246"/>
      <c r="M37" s="10">
        <f t="shared" si="1"/>
        <v>-1218932</v>
      </c>
      <c r="N37" s="11">
        <f t="shared" si="2"/>
        <v>2055686</v>
      </c>
    </row>
    <row r="38" spans="1:14" ht="25.5" x14ac:dyDescent="0.2">
      <c r="A38" s="347">
        <v>45</v>
      </c>
      <c r="B38" s="349">
        <v>1920</v>
      </c>
      <c r="C38" s="354" t="s">
        <v>366</v>
      </c>
      <c r="D38" s="215"/>
      <c r="E38" s="246">
        <f>'App.2-B_Fixed Asset 2012 MIFRS'!H38</f>
        <v>0</v>
      </c>
      <c r="F38" s="436"/>
      <c r="G38" s="246"/>
      <c r="H38" s="10">
        <f t="shared" si="0"/>
        <v>0</v>
      </c>
      <c r="I38" s="4"/>
      <c r="J38" s="248">
        <f>'App.2-B_Fixed Asset 2012 MIFRS'!M38</f>
        <v>0</v>
      </c>
      <c r="K38" s="246"/>
      <c r="L38" s="246"/>
      <c r="M38" s="10">
        <f t="shared" si="1"/>
        <v>0</v>
      </c>
      <c r="N38" s="11">
        <f t="shared" si="2"/>
        <v>0</v>
      </c>
    </row>
    <row r="39" spans="1:14" ht="25.5" x14ac:dyDescent="0.2">
      <c r="A39" s="347">
        <v>45.1</v>
      </c>
      <c r="B39" s="349">
        <v>1920</v>
      </c>
      <c r="C39" s="354" t="s">
        <v>365</v>
      </c>
      <c r="D39" s="215"/>
      <c r="E39" s="246">
        <f>'App.2-B_Fixed Asset 2012 MIFRS'!H39</f>
        <v>0</v>
      </c>
      <c r="F39" s="436"/>
      <c r="G39" s="246"/>
      <c r="H39" s="10">
        <f t="shared" si="0"/>
        <v>0</v>
      </c>
      <c r="I39" s="4"/>
      <c r="J39" s="248">
        <f>'App.2-B_Fixed Asset 2012 MIFRS'!M39</f>
        <v>0</v>
      </c>
      <c r="K39" s="246"/>
      <c r="L39" s="246"/>
      <c r="M39" s="10">
        <f t="shared" si="1"/>
        <v>0</v>
      </c>
      <c r="N39" s="11">
        <f t="shared" si="2"/>
        <v>0</v>
      </c>
    </row>
    <row r="40" spans="1:14" x14ac:dyDescent="0.2">
      <c r="A40" s="347">
        <v>10</v>
      </c>
      <c r="B40" s="347">
        <v>1930</v>
      </c>
      <c r="C40" s="353" t="s">
        <v>430</v>
      </c>
      <c r="D40" s="215"/>
      <c r="E40" s="246">
        <f>'App.2-B_Fixed Asset 2012 MIFRS'!H40</f>
        <v>2079766</v>
      </c>
      <c r="F40" s="436">
        <v>502500</v>
      </c>
      <c r="G40" s="246"/>
      <c r="H40" s="10">
        <f t="shared" si="0"/>
        <v>2582266</v>
      </c>
      <c r="I40" s="4"/>
      <c r="J40" s="248">
        <f>'App.2-B_Fixed Asset 2012 MIFRS'!M40</f>
        <v>-268098</v>
      </c>
      <c r="K40" s="246">
        <v>-323161</v>
      </c>
      <c r="L40" s="246"/>
      <c r="M40" s="10">
        <f t="shared" si="1"/>
        <v>-591259</v>
      </c>
      <c r="N40" s="11">
        <f t="shared" si="2"/>
        <v>1991007</v>
      </c>
    </row>
    <row r="41" spans="1:14" x14ac:dyDescent="0.2">
      <c r="A41" s="347">
        <v>8</v>
      </c>
      <c r="B41" s="347">
        <v>1935</v>
      </c>
      <c r="C41" s="353" t="s">
        <v>431</v>
      </c>
      <c r="D41" s="215"/>
      <c r="E41" s="246">
        <f>'App.2-B_Fixed Asset 2012 MIFRS'!H41</f>
        <v>9854</v>
      </c>
      <c r="F41" s="436"/>
      <c r="G41" s="246"/>
      <c r="H41" s="10">
        <f t="shared" si="0"/>
        <v>9854</v>
      </c>
      <c r="I41" s="4"/>
      <c r="J41" s="248">
        <f>'App.2-B_Fixed Asset 2012 MIFRS'!M41</f>
        <v>-4927</v>
      </c>
      <c r="K41" s="246">
        <v>-4927</v>
      </c>
      <c r="L41" s="246"/>
      <c r="M41" s="10">
        <f t="shared" si="1"/>
        <v>-9854</v>
      </c>
      <c r="N41" s="11">
        <f t="shared" si="2"/>
        <v>0</v>
      </c>
    </row>
    <row r="42" spans="1:14" x14ac:dyDescent="0.2">
      <c r="A42" s="347">
        <v>8</v>
      </c>
      <c r="B42" s="347">
        <v>1940</v>
      </c>
      <c r="C42" s="353" t="s">
        <v>432</v>
      </c>
      <c r="D42" s="215"/>
      <c r="E42" s="246">
        <f>'App.2-B_Fixed Asset 2012 MIFRS'!H42</f>
        <v>329668</v>
      </c>
      <c r="F42" s="436">
        <v>42000</v>
      </c>
      <c r="G42" s="246">
        <v>0</v>
      </c>
      <c r="H42" s="10">
        <f t="shared" si="0"/>
        <v>371668</v>
      </c>
      <c r="I42" s="4"/>
      <c r="J42" s="248">
        <f>'App.2-B_Fixed Asset 2012 MIFRS'!M42</f>
        <v>-59747</v>
      </c>
      <c r="K42" s="246">
        <v>-63558</v>
      </c>
      <c r="L42" s="246"/>
      <c r="M42" s="10">
        <f>J42+K42+L42</f>
        <v>-123305</v>
      </c>
      <c r="N42" s="11">
        <f t="shared" si="2"/>
        <v>248363</v>
      </c>
    </row>
    <row r="43" spans="1:14" x14ac:dyDescent="0.2">
      <c r="A43" s="347">
        <v>8</v>
      </c>
      <c r="B43" s="347">
        <v>1945</v>
      </c>
      <c r="C43" s="353" t="s">
        <v>433</v>
      </c>
      <c r="D43" s="215"/>
      <c r="E43" s="246">
        <f>'App.2-B_Fixed Asset 2012 MIFRS'!H43</f>
        <v>142001</v>
      </c>
      <c r="F43" s="436">
        <v>50000</v>
      </c>
      <c r="G43" s="246"/>
      <c r="H43" s="10">
        <f t="shared" si="0"/>
        <v>192001</v>
      </c>
      <c r="I43" s="4"/>
      <c r="J43" s="248">
        <f>'App.2-B_Fixed Asset 2012 MIFRS'!M43</f>
        <v>-19568</v>
      </c>
      <c r="K43" s="246">
        <v>-24711</v>
      </c>
      <c r="L43" s="246"/>
      <c r="M43" s="10">
        <f t="shared" si="1"/>
        <v>-44279</v>
      </c>
      <c r="N43" s="11">
        <f t="shared" si="2"/>
        <v>147722</v>
      </c>
    </row>
    <row r="44" spans="1:14" x14ac:dyDescent="0.2">
      <c r="A44" s="347">
        <v>8</v>
      </c>
      <c r="B44" s="347">
        <v>1950</v>
      </c>
      <c r="C44" s="353" t="s">
        <v>367</v>
      </c>
      <c r="D44" s="215"/>
      <c r="E44" s="246">
        <f>'App.2-B_Fixed Asset 2012 MIFRS'!H44</f>
        <v>0</v>
      </c>
      <c r="F44" s="436"/>
      <c r="G44" s="246"/>
      <c r="H44" s="10">
        <f t="shared" si="0"/>
        <v>0</v>
      </c>
      <c r="I44" s="4"/>
      <c r="J44" s="248">
        <f>'App.2-B_Fixed Asset 2012 MIFRS'!M44</f>
        <v>0</v>
      </c>
      <c r="K44" s="246"/>
      <c r="L44" s="246"/>
      <c r="M44" s="10">
        <f t="shared" si="1"/>
        <v>0</v>
      </c>
      <c r="N44" s="11">
        <f t="shared" si="2"/>
        <v>0</v>
      </c>
    </row>
    <row r="45" spans="1:14" x14ac:dyDescent="0.2">
      <c r="A45" s="347">
        <v>8</v>
      </c>
      <c r="B45" s="347">
        <v>1955</v>
      </c>
      <c r="C45" s="353" t="s">
        <v>434</v>
      </c>
      <c r="D45" s="215"/>
      <c r="E45" s="246">
        <f>'App.2-B_Fixed Asset 2012 MIFRS'!H45</f>
        <v>91082</v>
      </c>
      <c r="F45" s="436"/>
      <c r="G45" s="246"/>
      <c r="H45" s="10">
        <f t="shared" si="0"/>
        <v>91082</v>
      </c>
      <c r="I45" s="4"/>
      <c r="J45" s="248">
        <f>'App.2-B_Fixed Asset 2012 MIFRS'!M45</f>
        <v>-16526</v>
      </c>
      <c r="K45" s="246">
        <v>-16526</v>
      </c>
      <c r="L45" s="246"/>
      <c r="M45" s="10">
        <f t="shared" si="1"/>
        <v>-33052</v>
      </c>
      <c r="N45" s="11">
        <f t="shared" si="2"/>
        <v>58030</v>
      </c>
    </row>
    <row r="46" spans="1:14" x14ac:dyDescent="0.2">
      <c r="A46" s="350">
        <v>8</v>
      </c>
      <c r="B46" s="350">
        <v>1955</v>
      </c>
      <c r="C46" s="355" t="s">
        <v>368</v>
      </c>
      <c r="D46" s="215"/>
      <c r="E46" s="246">
        <f>'App.2-B_Fixed Asset 2012 MIFRS'!H46</f>
        <v>0</v>
      </c>
      <c r="F46" s="436"/>
      <c r="G46" s="246"/>
      <c r="H46" s="10">
        <f t="shared" si="0"/>
        <v>0</v>
      </c>
      <c r="I46" s="4"/>
      <c r="J46" s="248">
        <f>'App.2-B_Fixed Asset 2012 MIFRS'!M46</f>
        <v>0</v>
      </c>
      <c r="K46" s="246"/>
      <c r="L46" s="246"/>
      <c r="M46" s="10">
        <f t="shared" si="1"/>
        <v>0</v>
      </c>
      <c r="N46" s="11">
        <f t="shared" si="2"/>
        <v>0</v>
      </c>
    </row>
    <row r="47" spans="1:14" x14ac:dyDescent="0.2">
      <c r="A47" s="349">
        <v>8</v>
      </c>
      <c r="B47" s="349">
        <v>1960</v>
      </c>
      <c r="C47" s="354" t="s">
        <v>369</v>
      </c>
      <c r="D47" s="215"/>
      <c r="E47" s="246">
        <f>'App.2-B_Fixed Asset 2012 MIFRS'!H47</f>
        <v>72207</v>
      </c>
      <c r="F47" s="436"/>
      <c r="G47" s="246"/>
      <c r="H47" s="10">
        <f t="shared" si="0"/>
        <v>72207</v>
      </c>
      <c r="I47" s="4"/>
      <c r="J47" s="248">
        <f>'App.2-B_Fixed Asset 2012 MIFRS'!M47</f>
        <v>-5158</v>
      </c>
      <c r="K47" s="246">
        <v>-5158</v>
      </c>
      <c r="L47" s="246"/>
      <c r="M47" s="10">
        <f t="shared" si="1"/>
        <v>-10316</v>
      </c>
      <c r="N47" s="11">
        <f t="shared" si="2"/>
        <v>61891</v>
      </c>
    </row>
    <row r="48" spans="1:14" ht="25.5" x14ac:dyDescent="0.2">
      <c r="A48" s="347">
        <v>47</v>
      </c>
      <c r="B48" s="347">
        <v>1975</v>
      </c>
      <c r="C48" s="353" t="s">
        <v>435</v>
      </c>
      <c r="D48" s="215"/>
      <c r="E48" s="246">
        <f>'App.2-B_Fixed Asset 2012 MIFRS'!H48</f>
        <v>0</v>
      </c>
      <c r="F48" s="436"/>
      <c r="G48" s="246"/>
      <c r="H48" s="10">
        <f t="shared" si="0"/>
        <v>0</v>
      </c>
      <c r="I48" s="4"/>
      <c r="J48" s="248">
        <f>'App.2-B_Fixed Asset 2012 MIFRS'!M48</f>
        <v>0</v>
      </c>
      <c r="K48" s="246"/>
      <c r="L48" s="246"/>
      <c r="M48" s="10">
        <f t="shared" si="1"/>
        <v>0</v>
      </c>
      <c r="N48" s="11">
        <f t="shared" si="2"/>
        <v>0</v>
      </c>
    </row>
    <row r="49" spans="1:14" x14ac:dyDescent="0.2">
      <c r="A49" s="347">
        <v>47</v>
      </c>
      <c r="B49" s="347">
        <v>1980</v>
      </c>
      <c r="C49" s="353" t="s">
        <v>436</v>
      </c>
      <c r="D49" s="215"/>
      <c r="E49" s="246">
        <f>'App.2-B_Fixed Asset 2012 MIFRS'!H49</f>
        <v>444006</v>
      </c>
      <c r="F49" s="436">
        <v>20000</v>
      </c>
      <c r="G49" s="246"/>
      <c r="H49" s="10">
        <f t="shared" si="0"/>
        <v>464006</v>
      </c>
      <c r="I49" s="4"/>
      <c r="J49" s="248">
        <f>'App.2-B_Fixed Asset 2012 MIFRS'!M49</f>
        <v>-38354</v>
      </c>
      <c r="K49" s="246">
        <v>-38754</v>
      </c>
      <c r="L49" s="246"/>
      <c r="M49" s="10">
        <f>J49+K49+L49</f>
        <v>-77108</v>
      </c>
      <c r="N49" s="11">
        <f t="shared" si="2"/>
        <v>386898</v>
      </c>
    </row>
    <row r="50" spans="1:14" x14ac:dyDescent="0.2">
      <c r="A50" s="347">
        <v>47</v>
      </c>
      <c r="B50" s="347">
        <v>1985</v>
      </c>
      <c r="C50" s="353" t="s">
        <v>437</v>
      </c>
      <c r="D50" s="215"/>
      <c r="E50" s="246">
        <f>'App.2-B_Fixed Asset 2012 MIFRS'!H50</f>
        <v>0</v>
      </c>
      <c r="F50" s="436"/>
      <c r="G50" s="246"/>
      <c r="H50" s="10">
        <f t="shared" si="0"/>
        <v>0</v>
      </c>
      <c r="I50" s="4"/>
      <c r="J50" s="248">
        <f>'App.2-B_Fixed Asset 2012 MIFRS'!M50</f>
        <v>0</v>
      </c>
      <c r="K50" s="246"/>
      <c r="L50" s="246"/>
      <c r="M50" s="10">
        <f t="shared" si="1"/>
        <v>0</v>
      </c>
      <c r="N50" s="11">
        <f t="shared" si="2"/>
        <v>0</v>
      </c>
    </row>
    <row r="51" spans="1:14" x14ac:dyDescent="0.2">
      <c r="A51" s="347">
        <v>47</v>
      </c>
      <c r="B51" s="347">
        <v>1995</v>
      </c>
      <c r="C51" s="353" t="s">
        <v>438</v>
      </c>
      <c r="D51" s="215"/>
      <c r="E51" s="246">
        <f>'App.2-B_Fixed Asset 2012 MIFRS'!H51</f>
        <v>-491240</v>
      </c>
      <c r="F51" s="436">
        <v>-675455</v>
      </c>
      <c r="G51" s="246"/>
      <c r="H51" s="10">
        <f t="shared" si="0"/>
        <v>-1166695</v>
      </c>
      <c r="I51" s="4"/>
      <c r="J51" s="246">
        <f>'App.2-B_Fixed Asset 2012 MIFRS'!M51</f>
        <v>5974</v>
      </c>
      <c r="K51" s="436">
        <v>20162</v>
      </c>
      <c r="L51" s="246"/>
      <c r="M51" s="10">
        <f t="shared" si="1"/>
        <v>26136</v>
      </c>
      <c r="N51" s="11">
        <f t="shared" si="2"/>
        <v>-1140559</v>
      </c>
    </row>
    <row r="52" spans="1:14" ht="25.5" x14ac:dyDescent="0.2">
      <c r="A52" s="5"/>
      <c r="B52" s="347">
        <v>1970</v>
      </c>
      <c r="C52" s="354" t="s">
        <v>864</v>
      </c>
      <c r="D52" s="215"/>
      <c r="E52" s="246">
        <f>'App.2-B_Fixed Asset 2012 MIFRS'!H52</f>
        <v>0</v>
      </c>
      <c r="F52" s="436"/>
      <c r="G52" s="246"/>
      <c r="H52" s="10">
        <f t="shared" si="0"/>
        <v>0</v>
      </c>
      <c r="J52" s="248">
        <f>'App.2-B_Fixed Asset 2012 MIFRS'!M52</f>
        <v>0</v>
      </c>
      <c r="K52" s="246">
        <v>0</v>
      </c>
      <c r="L52" s="246"/>
      <c r="M52" s="10">
        <f t="shared" si="1"/>
        <v>0</v>
      </c>
      <c r="N52" s="11">
        <f t="shared" si="2"/>
        <v>0</v>
      </c>
    </row>
    <row r="53" spans="1:14" x14ac:dyDescent="0.2">
      <c r="A53" s="5"/>
      <c r="B53" s="5">
        <v>1990</v>
      </c>
      <c r="C53" s="168" t="s">
        <v>982</v>
      </c>
      <c r="D53" s="215"/>
      <c r="E53" s="246">
        <f>'App.2-B_Fixed Asset 2012 MIFRS'!H53</f>
        <v>567497</v>
      </c>
      <c r="F53" s="436"/>
      <c r="G53" s="247"/>
      <c r="H53" s="10">
        <f t="shared" si="0"/>
        <v>567497</v>
      </c>
      <c r="J53" s="248">
        <f>'App.2-B_Fixed Asset 2012 MIFRS'!M53</f>
        <v>0</v>
      </c>
      <c r="K53" s="247"/>
      <c r="L53" s="247"/>
      <c r="M53" s="10">
        <f t="shared" si="1"/>
        <v>0</v>
      </c>
      <c r="N53" s="11">
        <f t="shared" si="2"/>
        <v>567497</v>
      </c>
    </row>
    <row r="54" spans="1:14" x14ac:dyDescent="0.2">
      <c r="A54" s="5"/>
      <c r="B54" s="5"/>
      <c r="C54" s="9" t="s">
        <v>439</v>
      </c>
      <c r="D54" s="9"/>
      <c r="E54" s="14">
        <f>SUM(E16:E53)</f>
        <v>57112794</v>
      </c>
      <c r="F54" s="14">
        <f>SUM(F16:F53)</f>
        <v>6256270</v>
      </c>
      <c r="G54" s="14">
        <f>SUM(G16:G53)</f>
        <v>0</v>
      </c>
      <c r="H54" s="14">
        <f>SUM(H16:H53)</f>
        <v>63369064</v>
      </c>
      <c r="I54" s="14"/>
      <c r="J54" s="14">
        <f>SUM(J16:J53)</f>
        <v>-4687875.714296056</v>
      </c>
      <c r="K54" s="14">
        <f>SUM(K16:K53)</f>
        <v>-4930403</v>
      </c>
      <c r="L54" s="14">
        <f>SUM(L16:L53)</f>
        <v>0</v>
      </c>
      <c r="M54" s="14">
        <f>SUM(M16:M53)</f>
        <v>-9618278.7142960541</v>
      </c>
      <c r="N54" s="14">
        <f>SUM(N16:N53)</f>
        <v>53750785.285703942</v>
      </c>
    </row>
    <row r="56" spans="1:14" x14ac:dyDescent="0.2">
      <c r="D56" s="3"/>
      <c r="E56" s="922" t="s">
        <v>977</v>
      </c>
      <c r="F56" s="856">
        <f>-F51</f>
        <v>675455</v>
      </c>
      <c r="N56" s="841"/>
    </row>
    <row r="57" spans="1:14" x14ac:dyDescent="0.2">
      <c r="A57" s="924"/>
      <c r="B57" s="924"/>
      <c r="D57" s="3"/>
      <c r="E57" s="922" t="s">
        <v>978</v>
      </c>
      <c r="F57" s="858">
        <f>-F53</f>
        <v>0</v>
      </c>
    </row>
    <row r="58" spans="1:14" x14ac:dyDescent="0.2">
      <c r="A58" s="924"/>
      <c r="B58" s="924"/>
      <c r="E58" s="922" t="s">
        <v>981</v>
      </c>
      <c r="F58" s="856">
        <f>SUM(F54:F57)</f>
        <v>6931725</v>
      </c>
    </row>
    <row r="59" spans="1:14" x14ac:dyDescent="0.2">
      <c r="E59" s="925" t="s">
        <v>979</v>
      </c>
      <c r="F59" s="857">
        <v>0</v>
      </c>
    </row>
    <row r="60" spans="1:14" x14ac:dyDescent="0.2">
      <c r="E60" s="922" t="s">
        <v>980</v>
      </c>
      <c r="F60" s="857">
        <v>0</v>
      </c>
    </row>
    <row r="61" spans="1:14" ht="13.5" thickBot="1" x14ac:dyDescent="0.25">
      <c r="A61" s="924"/>
      <c r="B61" s="924"/>
      <c r="E61" s="927" t="s">
        <v>987</v>
      </c>
      <c r="F61" s="855">
        <f>SUM(F58:F60)</f>
        <v>6931725</v>
      </c>
    </row>
    <row r="62" spans="1:14" ht="13.5" thickTop="1" x14ac:dyDescent="0.2">
      <c r="A62" s="924"/>
      <c r="B62" s="924"/>
    </row>
    <row r="63" spans="1:14" x14ac:dyDescent="0.2">
      <c r="A63" s="155" t="s">
        <v>16</v>
      </c>
    </row>
    <row r="65" spans="1:14" x14ac:dyDescent="0.2">
      <c r="A65" s="1">
        <v>1</v>
      </c>
      <c r="B65" s="1263" t="s">
        <v>337</v>
      </c>
      <c r="C65" s="1263"/>
      <c r="D65" s="1263"/>
      <c r="E65" s="1263"/>
      <c r="F65" s="1263"/>
      <c r="G65" s="1263"/>
      <c r="H65" s="1263"/>
      <c r="I65" s="1263"/>
      <c r="J65" s="1263"/>
      <c r="K65" s="1263"/>
      <c r="L65" s="1263"/>
      <c r="M65" s="1263"/>
      <c r="N65" s="1263"/>
    </row>
    <row r="66" spans="1:14" x14ac:dyDescent="0.2">
      <c r="B66" s="1263"/>
      <c r="C66" s="1263"/>
      <c r="D66" s="1263"/>
      <c r="E66" s="1263"/>
      <c r="F66" s="1263"/>
      <c r="G66" s="1263"/>
      <c r="H66" s="1263"/>
      <c r="I66" s="1263"/>
      <c r="J66" s="1263"/>
      <c r="K66" s="1263"/>
      <c r="L66" s="1263"/>
      <c r="M66" s="1263"/>
      <c r="N66" s="1263"/>
    </row>
    <row r="67" spans="1:14" ht="12.75" customHeight="1" x14ac:dyDescent="0.2"/>
    <row r="68" spans="1:14" x14ac:dyDescent="0.2">
      <c r="A68" s="1">
        <v>2</v>
      </c>
      <c r="B68" s="1267" t="s">
        <v>66</v>
      </c>
      <c r="C68" s="1267"/>
      <c r="D68" s="1267"/>
      <c r="E68" s="1267"/>
      <c r="F68" s="1267"/>
      <c r="G68" s="1267"/>
      <c r="H68" s="1267"/>
      <c r="I68" s="1267"/>
      <c r="J68" s="1267"/>
      <c r="K68" s="1267"/>
      <c r="L68" s="1267"/>
      <c r="M68" s="1267"/>
      <c r="N68" s="1267"/>
    </row>
    <row r="69" spans="1:14" x14ac:dyDescent="0.2">
      <c r="B69" s="1267"/>
      <c r="C69" s="1267"/>
      <c r="D69" s="1267"/>
      <c r="E69" s="1267"/>
      <c r="F69" s="1267"/>
      <c r="G69" s="1267"/>
      <c r="H69" s="1267"/>
      <c r="I69" s="1267"/>
      <c r="J69" s="1267"/>
      <c r="K69" s="1267"/>
      <c r="L69" s="1267"/>
      <c r="M69" s="1267"/>
      <c r="N69" s="1267"/>
    </row>
    <row r="71" spans="1:14" x14ac:dyDescent="0.2">
      <c r="A71" s="1">
        <v>3</v>
      </c>
      <c r="B71" s="1242" t="s">
        <v>341</v>
      </c>
      <c r="C71" s="1242"/>
      <c r="D71" s="1242"/>
      <c r="E71" s="1242"/>
      <c r="F71" s="1242"/>
      <c r="G71" s="1242"/>
      <c r="H71" s="1242"/>
      <c r="I71" s="1242"/>
      <c r="J71" s="1242"/>
      <c r="K71" s="1242"/>
      <c r="L71" s="1242"/>
      <c r="M71" s="1242"/>
      <c r="N71" s="1242"/>
    </row>
    <row r="73" spans="1:14" x14ac:dyDescent="0.2">
      <c r="A73" s="1">
        <v>4</v>
      </c>
      <c r="B73" s="798" t="s">
        <v>648</v>
      </c>
    </row>
  </sheetData>
  <mergeCells count="6">
    <mergeCell ref="B71:N71"/>
    <mergeCell ref="A9:N9"/>
    <mergeCell ref="A10:N10"/>
    <mergeCell ref="E14:H14"/>
    <mergeCell ref="B65:N66"/>
    <mergeCell ref="B68:N69"/>
  </mergeCells>
  <printOptions horizontalCentered="1"/>
  <pageMargins left="0.5" right="0.5" top="0.5" bottom="0.5" header="0.511811023622047" footer="0.511811023622047"/>
  <pageSetup scale="60" orientation="landscape" r:id="rId1"/>
  <headerFooter alignWithMargins="0"/>
  <rowBreaks count="1" manualBreakCount="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N77"/>
  <sheetViews>
    <sheetView showGridLines="0" topLeftCell="A33" zoomScaleNormal="100" workbookViewId="0">
      <selection activeCell="A2" sqref="A1:XFD1048576"/>
    </sheetView>
  </sheetViews>
  <sheetFormatPr defaultRowHeight="12.75" x14ac:dyDescent="0.2"/>
  <cols>
    <col min="1" max="1" width="9.140625" style="253"/>
    <col min="2" max="2" width="40.28515625" style="253" bestFit="1" customWidth="1"/>
    <col min="3" max="3" width="16" style="253" bestFit="1" customWidth="1"/>
    <col min="4" max="4" width="13" style="253" customWidth="1"/>
    <col min="5" max="5" width="16" style="253" bestFit="1" customWidth="1"/>
    <col min="6" max="6" width="11.28515625" style="253" bestFit="1" customWidth="1"/>
    <col min="7" max="7" width="17.85546875" style="253" customWidth="1"/>
    <col min="8" max="8" width="7.7109375" style="253" customWidth="1"/>
    <col min="9" max="9" width="12.28515625" style="253" customWidth="1"/>
    <col min="10" max="10" width="13.7109375" style="253" customWidth="1"/>
    <col min="11" max="11" width="16.85546875" style="253" customWidth="1"/>
    <col min="12" max="12" width="13" style="253" customWidth="1"/>
    <col min="13" max="257" width="9.140625" style="253"/>
    <col min="258" max="258" width="2.7109375" style="253" customWidth="1"/>
    <col min="259" max="259" width="9.140625" style="253"/>
    <col min="260" max="260" width="40.28515625" style="253" bestFit="1" customWidth="1"/>
    <col min="261" max="261" width="10.7109375" style="253" customWidth="1"/>
    <col min="262" max="262" width="10" style="253" customWidth="1"/>
    <col min="263" max="263" width="17.85546875" style="253" customWidth="1"/>
    <col min="264" max="264" width="7.7109375" style="253" customWidth="1"/>
    <col min="265" max="265" width="12.28515625" style="253" customWidth="1"/>
    <col min="266" max="266" width="12.7109375" style="253" customWidth="1"/>
    <col min="267" max="267" width="13.5703125" style="253" customWidth="1"/>
    <col min="268" max="268" width="13" style="253" customWidth="1"/>
    <col min="269" max="513" width="9.140625" style="253"/>
    <col min="514" max="514" width="2.7109375" style="253" customWidth="1"/>
    <col min="515" max="515" width="9.140625" style="253"/>
    <col min="516" max="516" width="40.28515625" style="253" bestFit="1" customWidth="1"/>
    <col min="517" max="517" width="10.7109375" style="253" customWidth="1"/>
    <col min="518" max="518" width="10" style="253" customWidth="1"/>
    <col min="519" max="519" width="17.85546875" style="253" customWidth="1"/>
    <col min="520" max="520" width="7.7109375" style="253" customWidth="1"/>
    <col min="521" max="521" width="12.28515625" style="253" customWidth="1"/>
    <col min="522" max="522" width="12.7109375" style="253" customWidth="1"/>
    <col min="523" max="523" width="13.5703125" style="253" customWidth="1"/>
    <col min="524" max="524" width="13" style="253" customWidth="1"/>
    <col min="525" max="769" width="9.140625" style="253"/>
    <col min="770" max="770" width="2.7109375" style="253" customWidth="1"/>
    <col min="771" max="771" width="9.140625" style="253"/>
    <col min="772" max="772" width="40.28515625" style="253" bestFit="1" customWidth="1"/>
    <col min="773" max="773" width="10.7109375" style="253" customWidth="1"/>
    <col min="774" max="774" width="10" style="253" customWidth="1"/>
    <col min="775" max="775" width="17.85546875" style="253" customWidth="1"/>
    <col min="776" max="776" width="7.7109375" style="253" customWidth="1"/>
    <col min="777" max="777" width="12.28515625" style="253" customWidth="1"/>
    <col min="778" max="778" width="12.7109375" style="253" customWidth="1"/>
    <col min="779" max="779" width="13.5703125" style="253" customWidth="1"/>
    <col min="780" max="780" width="13" style="253" customWidth="1"/>
    <col min="781" max="1025" width="9.140625" style="253"/>
    <col min="1026" max="1026" width="2.7109375" style="253" customWidth="1"/>
    <col min="1027" max="1027" width="9.140625" style="253"/>
    <col min="1028" max="1028" width="40.28515625" style="253" bestFit="1" customWidth="1"/>
    <col min="1029" max="1029" width="10.7109375" style="253" customWidth="1"/>
    <col min="1030" max="1030" width="10" style="253" customWidth="1"/>
    <col min="1031" max="1031" width="17.85546875" style="253" customWidth="1"/>
    <col min="1032" max="1032" width="7.7109375" style="253" customWidth="1"/>
    <col min="1033" max="1033" width="12.28515625" style="253" customWidth="1"/>
    <col min="1034" max="1034" width="12.7109375" style="253" customWidth="1"/>
    <col min="1035" max="1035" width="13.5703125" style="253" customWidth="1"/>
    <col min="1036" max="1036" width="13" style="253" customWidth="1"/>
    <col min="1037" max="1281" width="9.140625" style="253"/>
    <col min="1282" max="1282" width="2.7109375" style="253" customWidth="1"/>
    <col min="1283" max="1283" width="9.140625" style="253"/>
    <col min="1284" max="1284" width="40.28515625" style="253" bestFit="1" customWidth="1"/>
    <col min="1285" max="1285" width="10.7109375" style="253" customWidth="1"/>
    <col min="1286" max="1286" width="10" style="253" customWidth="1"/>
    <col min="1287" max="1287" width="17.85546875" style="253" customWidth="1"/>
    <col min="1288" max="1288" width="7.7109375" style="253" customWidth="1"/>
    <col min="1289" max="1289" width="12.28515625" style="253" customWidth="1"/>
    <col min="1290" max="1290" width="12.7109375" style="253" customWidth="1"/>
    <col min="1291" max="1291" width="13.5703125" style="253" customWidth="1"/>
    <col min="1292" max="1292" width="13" style="253" customWidth="1"/>
    <col min="1293" max="1537" width="9.140625" style="253"/>
    <col min="1538" max="1538" width="2.7109375" style="253" customWidth="1"/>
    <col min="1539" max="1539" width="9.140625" style="253"/>
    <col min="1540" max="1540" width="40.28515625" style="253" bestFit="1" customWidth="1"/>
    <col min="1541" max="1541" width="10.7109375" style="253" customWidth="1"/>
    <col min="1542" max="1542" width="10" style="253" customWidth="1"/>
    <col min="1543" max="1543" width="17.85546875" style="253" customWidth="1"/>
    <col min="1544" max="1544" width="7.7109375" style="253" customWidth="1"/>
    <col min="1545" max="1545" width="12.28515625" style="253" customWidth="1"/>
    <col min="1546" max="1546" width="12.7109375" style="253" customWidth="1"/>
    <col min="1547" max="1547" width="13.5703125" style="253" customWidth="1"/>
    <col min="1548" max="1548" width="13" style="253" customWidth="1"/>
    <col min="1549" max="1793" width="9.140625" style="253"/>
    <col min="1794" max="1794" width="2.7109375" style="253" customWidth="1"/>
    <col min="1795" max="1795" width="9.140625" style="253"/>
    <col min="1796" max="1796" width="40.28515625" style="253" bestFit="1" customWidth="1"/>
    <col min="1797" max="1797" width="10.7109375" style="253" customWidth="1"/>
    <col min="1798" max="1798" width="10" style="253" customWidth="1"/>
    <col min="1799" max="1799" width="17.85546875" style="253" customWidth="1"/>
    <col min="1800" max="1800" width="7.7109375" style="253" customWidth="1"/>
    <col min="1801" max="1801" width="12.28515625" style="253" customWidth="1"/>
    <col min="1802" max="1802" width="12.7109375" style="253" customWidth="1"/>
    <col min="1803" max="1803" width="13.5703125" style="253" customWidth="1"/>
    <col min="1804" max="1804" width="13" style="253" customWidth="1"/>
    <col min="1805" max="2049" width="9.140625" style="253"/>
    <col min="2050" max="2050" width="2.7109375" style="253" customWidth="1"/>
    <col min="2051" max="2051" width="9.140625" style="253"/>
    <col min="2052" max="2052" width="40.28515625" style="253" bestFit="1" customWidth="1"/>
    <col min="2053" max="2053" width="10.7109375" style="253" customWidth="1"/>
    <col min="2054" max="2054" width="10" style="253" customWidth="1"/>
    <col min="2055" max="2055" width="17.85546875" style="253" customWidth="1"/>
    <col min="2056" max="2056" width="7.7109375" style="253" customWidth="1"/>
    <col min="2057" max="2057" width="12.28515625" style="253" customWidth="1"/>
    <col min="2058" max="2058" width="12.7109375" style="253" customWidth="1"/>
    <col min="2059" max="2059" width="13.5703125" style="253" customWidth="1"/>
    <col min="2060" max="2060" width="13" style="253" customWidth="1"/>
    <col min="2061" max="2305" width="9.140625" style="253"/>
    <col min="2306" max="2306" width="2.7109375" style="253" customWidth="1"/>
    <col min="2307" max="2307" width="9.140625" style="253"/>
    <col min="2308" max="2308" width="40.28515625" style="253" bestFit="1" customWidth="1"/>
    <col min="2309" max="2309" width="10.7109375" style="253" customWidth="1"/>
    <col min="2310" max="2310" width="10" style="253" customWidth="1"/>
    <col min="2311" max="2311" width="17.85546875" style="253" customWidth="1"/>
    <col min="2312" max="2312" width="7.7109375" style="253" customWidth="1"/>
    <col min="2313" max="2313" width="12.28515625" style="253" customWidth="1"/>
    <col min="2314" max="2314" width="12.7109375" style="253" customWidth="1"/>
    <col min="2315" max="2315" width="13.5703125" style="253" customWidth="1"/>
    <col min="2316" max="2316" width="13" style="253" customWidth="1"/>
    <col min="2317" max="2561" width="9.140625" style="253"/>
    <col min="2562" max="2562" width="2.7109375" style="253" customWidth="1"/>
    <col min="2563" max="2563" width="9.140625" style="253"/>
    <col min="2564" max="2564" width="40.28515625" style="253" bestFit="1" customWidth="1"/>
    <col min="2565" max="2565" width="10.7109375" style="253" customWidth="1"/>
    <col min="2566" max="2566" width="10" style="253" customWidth="1"/>
    <col min="2567" max="2567" width="17.85546875" style="253" customWidth="1"/>
    <col min="2568" max="2568" width="7.7109375" style="253" customWidth="1"/>
    <col min="2569" max="2569" width="12.28515625" style="253" customWidth="1"/>
    <col min="2570" max="2570" width="12.7109375" style="253" customWidth="1"/>
    <col min="2571" max="2571" width="13.5703125" style="253" customWidth="1"/>
    <col min="2572" max="2572" width="13" style="253" customWidth="1"/>
    <col min="2573" max="2817" width="9.140625" style="253"/>
    <col min="2818" max="2818" width="2.7109375" style="253" customWidth="1"/>
    <col min="2819" max="2819" width="9.140625" style="253"/>
    <col min="2820" max="2820" width="40.28515625" style="253" bestFit="1" customWidth="1"/>
    <col min="2821" max="2821" width="10.7109375" style="253" customWidth="1"/>
    <col min="2822" max="2822" width="10" style="253" customWidth="1"/>
    <col min="2823" max="2823" width="17.85546875" style="253" customWidth="1"/>
    <col min="2824" max="2824" width="7.7109375" style="253" customWidth="1"/>
    <col min="2825" max="2825" width="12.28515625" style="253" customWidth="1"/>
    <col min="2826" max="2826" width="12.7109375" style="253" customWidth="1"/>
    <col min="2827" max="2827" width="13.5703125" style="253" customWidth="1"/>
    <col min="2828" max="2828" width="13" style="253" customWidth="1"/>
    <col min="2829" max="3073" width="9.140625" style="253"/>
    <col min="3074" max="3074" width="2.7109375" style="253" customWidth="1"/>
    <col min="3075" max="3075" width="9.140625" style="253"/>
    <col min="3076" max="3076" width="40.28515625" style="253" bestFit="1" customWidth="1"/>
    <col min="3077" max="3077" width="10.7109375" style="253" customWidth="1"/>
    <col min="3078" max="3078" width="10" style="253" customWidth="1"/>
    <col min="3079" max="3079" width="17.85546875" style="253" customWidth="1"/>
    <col min="3080" max="3080" width="7.7109375" style="253" customWidth="1"/>
    <col min="3081" max="3081" width="12.28515625" style="253" customWidth="1"/>
    <col min="3082" max="3082" width="12.7109375" style="253" customWidth="1"/>
    <col min="3083" max="3083" width="13.5703125" style="253" customWidth="1"/>
    <col min="3084" max="3084" width="13" style="253" customWidth="1"/>
    <col min="3085" max="3329" width="9.140625" style="253"/>
    <col min="3330" max="3330" width="2.7109375" style="253" customWidth="1"/>
    <col min="3331" max="3331" width="9.140625" style="253"/>
    <col min="3332" max="3332" width="40.28515625" style="253" bestFit="1" customWidth="1"/>
    <col min="3333" max="3333" width="10.7109375" style="253" customWidth="1"/>
    <col min="3334" max="3334" width="10" style="253" customWidth="1"/>
    <col min="3335" max="3335" width="17.85546875" style="253" customWidth="1"/>
    <col min="3336" max="3336" width="7.7109375" style="253" customWidth="1"/>
    <col min="3337" max="3337" width="12.28515625" style="253" customWidth="1"/>
    <col min="3338" max="3338" width="12.7109375" style="253" customWidth="1"/>
    <col min="3339" max="3339" width="13.5703125" style="253" customWidth="1"/>
    <col min="3340" max="3340" width="13" style="253" customWidth="1"/>
    <col min="3341" max="3585" width="9.140625" style="253"/>
    <col min="3586" max="3586" width="2.7109375" style="253" customWidth="1"/>
    <col min="3587" max="3587" width="9.140625" style="253"/>
    <col min="3588" max="3588" width="40.28515625" style="253" bestFit="1" customWidth="1"/>
    <col min="3589" max="3589" width="10.7109375" style="253" customWidth="1"/>
    <col min="3590" max="3590" width="10" style="253" customWidth="1"/>
    <col min="3591" max="3591" width="17.85546875" style="253" customWidth="1"/>
    <col min="3592" max="3592" width="7.7109375" style="253" customWidth="1"/>
    <col min="3593" max="3593" width="12.28515625" style="253" customWidth="1"/>
    <col min="3594" max="3594" width="12.7109375" style="253" customWidth="1"/>
    <col min="3595" max="3595" width="13.5703125" style="253" customWidth="1"/>
    <col min="3596" max="3596" width="13" style="253" customWidth="1"/>
    <col min="3597" max="3841" width="9.140625" style="253"/>
    <col min="3842" max="3842" width="2.7109375" style="253" customWidth="1"/>
    <col min="3843" max="3843" width="9.140625" style="253"/>
    <col min="3844" max="3844" width="40.28515625" style="253" bestFit="1" customWidth="1"/>
    <col min="3845" max="3845" width="10.7109375" style="253" customWidth="1"/>
    <col min="3846" max="3846" width="10" style="253" customWidth="1"/>
    <col min="3847" max="3847" width="17.85546875" style="253" customWidth="1"/>
    <col min="3848" max="3848" width="7.7109375" style="253" customWidth="1"/>
    <col min="3849" max="3849" width="12.28515625" style="253" customWidth="1"/>
    <col min="3850" max="3850" width="12.7109375" style="253" customWidth="1"/>
    <col min="3851" max="3851" width="13.5703125" style="253" customWidth="1"/>
    <col min="3852" max="3852" width="13" style="253" customWidth="1"/>
    <col min="3853" max="4097" width="9.140625" style="253"/>
    <col min="4098" max="4098" width="2.7109375" style="253" customWidth="1"/>
    <col min="4099" max="4099" width="9.140625" style="253"/>
    <col min="4100" max="4100" width="40.28515625" style="253" bestFit="1" customWidth="1"/>
    <col min="4101" max="4101" width="10.7109375" style="253" customWidth="1"/>
    <col min="4102" max="4102" width="10" style="253" customWidth="1"/>
    <col min="4103" max="4103" width="17.85546875" style="253" customWidth="1"/>
    <col min="4104" max="4104" width="7.7109375" style="253" customWidth="1"/>
    <col min="4105" max="4105" width="12.28515625" style="253" customWidth="1"/>
    <col min="4106" max="4106" width="12.7109375" style="253" customWidth="1"/>
    <col min="4107" max="4107" width="13.5703125" style="253" customWidth="1"/>
    <col min="4108" max="4108" width="13" style="253" customWidth="1"/>
    <col min="4109" max="4353" width="9.140625" style="253"/>
    <col min="4354" max="4354" width="2.7109375" style="253" customWidth="1"/>
    <col min="4355" max="4355" width="9.140625" style="253"/>
    <col min="4356" max="4356" width="40.28515625" style="253" bestFit="1" customWidth="1"/>
    <col min="4357" max="4357" width="10.7109375" style="253" customWidth="1"/>
    <col min="4358" max="4358" width="10" style="253" customWidth="1"/>
    <col min="4359" max="4359" width="17.85546875" style="253" customWidth="1"/>
    <col min="4360" max="4360" width="7.7109375" style="253" customWidth="1"/>
    <col min="4361" max="4361" width="12.28515625" style="253" customWidth="1"/>
    <col min="4362" max="4362" width="12.7109375" style="253" customWidth="1"/>
    <col min="4363" max="4363" width="13.5703125" style="253" customWidth="1"/>
    <col min="4364" max="4364" width="13" style="253" customWidth="1"/>
    <col min="4365" max="4609" width="9.140625" style="253"/>
    <col min="4610" max="4610" width="2.7109375" style="253" customWidth="1"/>
    <col min="4611" max="4611" width="9.140625" style="253"/>
    <col min="4612" max="4612" width="40.28515625" style="253" bestFit="1" customWidth="1"/>
    <col min="4613" max="4613" width="10.7109375" style="253" customWidth="1"/>
    <col min="4614" max="4614" width="10" style="253" customWidth="1"/>
    <col min="4615" max="4615" width="17.85546875" style="253" customWidth="1"/>
    <col min="4616" max="4616" width="7.7109375" style="253" customWidth="1"/>
    <col min="4617" max="4617" width="12.28515625" style="253" customWidth="1"/>
    <col min="4618" max="4618" width="12.7109375" style="253" customWidth="1"/>
    <col min="4619" max="4619" width="13.5703125" style="253" customWidth="1"/>
    <col min="4620" max="4620" width="13" style="253" customWidth="1"/>
    <col min="4621" max="4865" width="9.140625" style="253"/>
    <col min="4866" max="4866" width="2.7109375" style="253" customWidth="1"/>
    <col min="4867" max="4867" width="9.140625" style="253"/>
    <col min="4868" max="4868" width="40.28515625" style="253" bestFit="1" customWidth="1"/>
    <col min="4869" max="4869" width="10.7109375" style="253" customWidth="1"/>
    <col min="4870" max="4870" width="10" style="253" customWidth="1"/>
    <col min="4871" max="4871" width="17.85546875" style="253" customWidth="1"/>
    <col min="4872" max="4872" width="7.7109375" style="253" customWidth="1"/>
    <col min="4873" max="4873" width="12.28515625" style="253" customWidth="1"/>
    <col min="4874" max="4874" width="12.7109375" style="253" customWidth="1"/>
    <col min="4875" max="4875" width="13.5703125" style="253" customWidth="1"/>
    <col min="4876" max="4876" width="13" style="253" customWidth="1"/>
    <col min="4877" max="5121" width="9.140625" style="253"/>
    <col min="5122" max="5122" width="2.7109375" style="253" customWidth="1"/>
    <col min="5123" max="5123" width="9.140625" style="253"/>
    <col min="5124" max="5124" width="40.28515625" style="253" bestFit="1" customWidth="1"/>
    <col min="5125" max="5125" width="10.7109375" style="253" customWidth="1"/>
    <col min="5126" max="5126" width="10" style="253" customWidth="1"/>
    <col min="5127" max="5127" width="17.85546875" style="253" customWidth="1"/>
    <col min="5128" max="5128" width="7.7109375" style="253" customWidth="1"/>
    <col min="5129" max="5129" width="12.28515625" style="253" customWidth="1"/>
    <col min="5130" max="5130" width="12.7109375" style="253" customWidth="1"/>
    <col min="5131" max="5131" width="13.5703125" style="253" customWidth="1"/>
    <col min="5132" max="5132" width="13" style="253" customWidth="1"/>
    <col min="5133" max="5377" width="9.140625" style="253"/>
    <col min="5378" max="5378" width="2.7109375" style="253" customWidth="1"/>
    <col min="5379" max="5379" width="9.140625" style="253"/>
    <col min="5380" max="5380" width="40.28515625" style="253" bestFit="1" customWidth="1"/>
    <col min="5381" max="5381" width="10.7109375" style="253" customWidth="1"/>
    <col min="5382" max="5382" width="10" style="253" customWidth="1"/>
    <col min="5383" max="5383" width="17.85546875" style="253" customWidth="1"/>
    <col min="5384" max="5384" width="7.7109375" style="253" customWidth="1"/>
    <col min="5385" max="5385" width="12.28515625" style="253" customWidth="1"/>
    <col min="5386" max="5386" width="12.7109375" style="253" customWidth="1"/>
    <col min="5387" max="5387" width="13.5703125" style="253" customWidth="1"/>
    <col min="5388" max="5388" width="13" style="253" customWidth="1"/>
    <col min="5389" max="5633" width="9.140625" style="253"/>
    <col min="5634" max="5634" width="2.7109375" style="253" customWidth="1"/>
    <col min="5635" max="5635" width="9.140625" style="253"/>
    <col min="5636" max="5636" width="40.28515625" style="253" bestFit="1" customWidth="1"/>
    <col min="5637" max="5637" width="10.7109375" style="253" customWidth="1"/>
    <col min="5638" max="5638" width="10" style="253" customWidth="1"/>
    <col min="5639" max="5639" width="17.85546875" style="253" customWidth="1"/>
    <col min="5640" max="5640" width="7.7109375" style="253" customWidth="1"/>
    <col min="5641" max="5641" width="12.28515625" style="253" customWidth="1"/>
    <col min="5642" max="5642" width="12.7109375" style="253" customWidth="1"/>
    <col min="5643" max="5643" width="13.5703125" style="253" customWidth="1"/>
    <col min="5644" max="5644" width="13" style="253" customWidth="1"/>
    <col min="5645" max="5889" width="9.140625" style="253"/>
    <col min="5890" max="5890" width="2.7109375" style="253" customWidth="1"/>
    <col min="5891" max="5891" width="9.140625" style="253"/>
    <col min="5892" max="5892" width="40.28515625" style="253" bestFit="1" customWidth="1"/>
    <col min="5893" max="5893" width="10.7109375" style="253" customWidth="1"/>
    <col min="5894" max="5894" width="10" style="253" customWidth="1"/>
    <col min="5895" max="5895" width="17.85546875" style="253" customWidth="1"/>
    <col min="5896" max="5896" width="7.7109375" style="253" customWidth="1"/>
    <col min="5897" max="5897" width="12.28515625" style="253" customWidth="1"/>
    <col min="5898" max="5898" width="12.7109375" style="253" customWidth="1"/>
    <col min="5899" max="5899" width="13.5703125" style="253" customWidth="1"/>
    <col min="5900" max="5900" width="13" style="253" customWidth="1"/>
    <col min="5901" max="6145" width="9.140625" style="253"/>
    <col min="6146" max="6146" width="2.7109375" style="253" customWidth="1"/>
    <col min="6147" max="6147" width="9.140625" style="253"/>
    <col min="6148" max="6148" width="40.28515625" style="253" bestFit="1" customWidth="1"/>
    <col min="6149" max="6149" width="10.7109375" style="253" customWidth="1"/>
    <col min="6150" max="6150" width="10" style="253" customWidth="1"/>
    <col min="6151" max="6151" width="17.85546875" style="253" customWidth="1"/>
    <col min="6152" max="6152" width="7.7109375" style="253" customWidth="1"/>
    <col min="6153" max="6153" width="12.28515625" style="253" customWidth="1"/>
    <col min="6154" max="6154" width="12.7109375" style="253" customWidth="1"/>
    <col min="6155" max="6155" width="13.5703125" style="253" customWidth="1"/>
    <col min="6156" max="6156" width="13" style="253" customWidth="1"/>
    <col min="6157" max="6401" width="9.140625" style="253"/>
    <col min="6402" max="6402" width="2.7109375" style="253" customWidth="1"/>
    <col min="6403" max="6403" width="9.140625" style="253"/>
    <col min="6404" max="6404" width="40.28515625" style="253" bestFit="1" customWidth="1"/>
    <col min="6405" max="6405" width="10.7109375" style="253" customWidth="1"/>
    <col min="6406" max="6406" width="10" style="253" customWidth="1"/>
    <col min="6407" max="6407" width="17.85546875" style="253" customWidth="1"/>
    <col min="6408" max="6408" width="7.7109375" style="253" customWidth="1"/>
    <col min="6409" max="6409" width="12.28515625" style="253" customWidth="1"/>
    <col min="6410" max="6410" width="12.7109375" style="253" customWidth="1"/>
    <col min="6411" max="6411" width="13.5703125" style="253" customWidth="1"/>
    <col min="6412" max="6412" width="13" style="253" customWidth="1"/>
    <col min="6413" max="6657" width="9.140625" style="253"/>
    <col min="6658" max="6658" width="2.7109375" style="253" customWidth="1"/>
    <col min="6659" max="6659" width="9.140625" style="253"/>
    <col min="6660" max="6660" width="40.28515625" style="253" bestFit="1" customWidth="1"/>
    <col min="6661" max="6661" width="10.7109375" style="253" customWidth="1"/>
    <col min="6662" max="6662" width="10" style="253" customWidth="1"/>
    <col min="6663" max="6663" width="17.85546875" style="253" customWidth="1"/>
    <col min="6664" max="6664" width="7.7109375" style="253" customWidth="1"/>
    <col min="6665" max="6665" width="12.28515625" style="253" customWidth="1"/>
    <col min="6666" max="6666" width="12.7109375" style="253" customWidth="1"/>
    <col min="6667" max="6667" width="13.5703125" style="253" customWidth="1"/>
    <col min="6668" max="6668" width="13" style="253" customWidth="1"/>
    <col min="6669" max="6913" width="9.140625" style="253"/>
    <col min="6914" max="6914" width="2.7109375" style="253" customWidth="1"/>
    <col min="6915" max="6915" width="9.140625" style="253"/>
    <col min="6916" max="6916" width="40.28515625" style="253" bestFit="1" customWidth="1"/>
    <col min="6917" max="6917" width="10.7109375" style="253" customWidth="1"/>
    <col min="6918" max="6918" width="10" style="253" customWidth="1"/>
    <col min="6919" max="6919" width="17.85546875" style="253" customWidth="1"/>
    <col min="6920" max="6920" width="7.7109375" style="253" customWidth="1"/>
    <col min="6921" max="6921" width="12.28515625" style="253" customWidth="1"/>
    <col min="6922" max="6922" width="12.7109375" style="253" customWidth="1"/>
    <col min="6923" max="6923" width="13.5703125" style="253" customWidth="1"/>
    <col min="6924" max="6924" width="13" style="253" customWidth="1"/>
    <col min="6925" max="7169" width="9.140625" style="253"/>
    <col min="7170" max="7170" width="2.7109375" style="253" customWidth="1"/>
    <col min="7171" max="7171" width="9.140625" style="253"/>
    <col min="7172" max="7172" width="40.28515625" style="253" bestFit="1" customWidth="1"/>
    <col min="7173" max="7173" width="10.7109375" style="253" customWidth="1"/>
    <col min="7174" max="7174" width="10" style="253" customWidth="1"/>
    <col min="7175" max="7175" width="17.85546875" style="253" customWidth="1"/>
    <col min="7176" max="7176" width="7.7109375" style="253" customWidth="1"/>
    <col min="7177" max="7177" width="12.28515625" style="253" customWidth="1"/>
    <col min="7178" max="7178" width="12.7109375" style="253" customWidth="1"/>
    <col min="7179" max="7179" width="13.5703125" style="253" customWidth="1"/>
    <col min="7180" max="7180" width="13" style="253" customWidth="1"/>
    <col min="7181" max="7425" width="9.140625" style="253"/>
    <col min="7426" max="7426" width="2.7109375" style="253" customWidth="1"/>
    <col min="7427" max="7427" width="9.140625" style="253"/>
    <col min="7428" max="7428" width="40.28515625" style="253" bestFit="1" customWidth="1"/>
    <col min="7429" max="7429" width="10.7109375" style="253" customWidth="1"/>
    <col min="7430" max="7430" width="10" style="253" customWidth="1"/>
    <col min="7431" max="7431" width="17.85546875" style="253" customWidth="1"/>
    <col min="7432" max="7432" width="7.7109375" style="253" customWidth="1"/>
    <col min="7433" max="7433" width="12.28515625" style="253" customWidth="1"/>
    <col min="7434" max="7434" width="12.7109375" style="253" customWidth="1"/>
    <col min="7435" max="7435" width="13.5703125" style="253" customWidth="1"/>
    <col min="7436" max="7436" width="13" style="253" customWidth="1"/>
    <col min="7437" max="7681" width="9.140625" style="253"/>
    <col min="7682" max="7682" width="2.7109375" style="253" customWidth="1"/>
    <col min="7683" max="7683" width="9.140625" style="253"/>
    <col min="7684" max="7684" width="40.28515625" style="253" bestFit="1" customWidth="1"/>
    <col min="7685" max="7685" width="10.7109375" style="253" customWidth="1"/>
    <col min="7686" max="7686" width="10" style="253" customWidth="1"/>
    <col min="7687" max="7687" width="17.85546875" style="253" customWidth="1"/>
    <col min="7688" max="7688" width="7.7109375" style="253" customWidth="1"/>
    <col min="7689" max="7689" width="12.28515625" style="253" customWidth="1"/>
    <col min="7690" max="7690" width="12.7109375" style="253" customWidth="1"/>
    <col min="7691" max="7691" width="13.5703125" style="253" customWidth="1"/>
    <col min="7692" max="7692" width="13" style="253" customWidth="1"/>
    <col min="7693" max="7937" width="9.140625" style="253"/>
    <col min="7938" max="7938" width="2.7109375" style="253" customWidth="1"/>
    <col min="7939" max="7939" width="9.140625" style="253"/>
    <col min="7940" max="7940" width="40.28515625" style="253" bestFit="1" customWidth="1"/>
    <col min="7941" max="7941" width="10.7109375" style="253" customWidth="1"/>
    <col min="7942" max="7942" width="10" style="253" customWidth="1"/>
    <col min="7943" max="7943" width="17.85546875" style="253" customWidth="1"/>
    <col min="7944" max="7944" width="7.7109375" style="253" customWidth="1"/>
    <col min="7945" max="7945" width="12.28515625" style="253" customWidth="1"/>
    <col min="7946" max="7946" width="12.7109375" style="253" customWidth="1"/>
    <col min="7947" max="7947" width="13.5703125" style="253" customWidth="1"/>
    <col min="7948" max="7948" width="13" style="253" customWidth="1"/>
    <col min="7949" max="8193" width="9.140625" style="253"/>
    <col min="8194" max="8194" width="2.7109375" style="253" customWidth="1"/>
    <col min="8195" max="8195" width="9.140625" style="253"/>
    <col min="8196" max="8196" width="40.28515625" style="253" bestFit="1" customWidth="1"/>
    <col min="8197" max="8197" width="10.7109375" style="253" customWidth="1"/>
    <col min="8198" max="8198" width="10" style="253" customWidth="1"/>
    <col min="8199" max="8199" width="17.85546875" style="253" customWidth="1"/>
    <col min="8200" max="8200" width="7.7109375" style="253" customWidth="1"/>
    <col min="8201" max="8201" width="12.28515625" style="253" customWidth="1"/>
    <col min="8202" max="8202" width="12.7109375" style="253" customWidth="1"/>
    <col min="8203" max="8203" width="13.5703125" style="253" customWidth="1"/>
    <col min="8204" max="8204" width="13" style="253" customWidth="1"/>
    <col min="8205" max="8449" width="9.140625" style="253"/>
    <col min="8450" max="8450" width="2.7109375" style="253" customWidth="1"/>
    <col min="8451" max="8451" width="9.140625" style="253"/>
    <col min="8452" max="8452" width="40.28515625" style="253" bestFit="1" customWidth="1"/>
    <col min="8453" max="8453" width="10.7109375" style="253" customWidth="1"/>
    <col min="8454" max="8454" width="10" style="253" customWidth="1"/>
    <col min="8455" max="8455" width="17.85546875" style="253" customWidth="1"/>
    <col min="8456" max="8456" width="7.7109375" style="253" customWidth="1"/>
    <col min="8457" max="8457" width="12.28515625" style="253" customWidth="1"/>
    <col min="8458" max="8458" width="12.7109375" style="253" customWidth="1"/>
    <col min="8459" max="8459" width="13.5703125" style="253" customWidth="1"/>
    <col min="8460" max="8460" width="13" style="253" customWidth="1"/>
    <col min="8461" max="8705" width="9.140625" style="253"/>
    <col min="8706" max="8706" width="2.7109375" style="253" customWidth="1"/>
    <col min="8707" max="8707" width="9.140625" style="253"/>
    <col min="8708" max="8708" width="40.28515625" style="253" bestFit="1" customWidth="1"/>
    <col min="8709" max="8709" width="10.7109375" style="253" customWidth="1"/>
    <col min="8710" max="8710" width="10" style="253" customWidth="1"/>
    <col min="8711" max="8711" width="17.85546875" style="253" customWidth="1"/>
    <col min="8712" max="8712" width="7.7109375" style="253" customWidth="1"/>
    <col min="8713" max="8713" width="12.28515625" style="253" customWidth="1"/>
    <col min="8714" max="8714" width="12.7109375" style="253" customWidth="1"/>
    <col min="8715" max="8715" width="13.5703125" style="253" customWidth="1"/>
    <col min="8716" max="8716" width="13" style="253" customWidth="1"/>
    <col min="8717" max="8961" width="9.140625" style="253"/>
    <col min="8962" max="8962" width="2.7109375" style="253" customWidth="1"/>
    <col min="8963" max="8963" width="9.140625" style="253"/>
    <col min="8964" max="8964" width="40.28515625" style="253" bestFit="1" customWidth="1"/>
    <col min="8965" max="8965" width="10.7109375" style="253" customWidth="1"/>
    <col min="8966" max="8966" width="10" style="253" customWidth="1"/>
    <col min="8967" max="8967" width="17.85546875" style="253" customWidth="1"/>
    <col min="8968" max="8968" width="7.7109375" style="253" customWidth="1"/>
    <col min="8969" max="8969" width="12.28515625" style="253" customWidth="1"/>
    <col min="8970" max="8970" width="12.7109375" style="253" customWidth="1"/>
    <col min="8971" max="8971" width="13.5703125" style="253" customWidth="1"/>
    <col min="8972" max="8972" width="13" style="253" customWidth="1"/>
    <col min="8973" max="9217" width="9.140625" style="253"/>
    <col min="9218" max="9218" width="2.7109375" style="253" customWidth="1"/>
    <col min="9219" max="9219" width="9.140625" style="253"/>
    <col min="9220" max="9220" width="40.28515625" style="253" bestFit="1" customWidth="1"/>
    <col min="9221" max="9221" width="10.7109375" style="253" customWidth="1"/>
    <col min="9222" max="9222" width="10" style="253" customWidth="1"/>
    <col min="9223" max="9223" width="17.85546875" style="253" customWidth="1"/>
    <col min="9224" max="9224" width="7.7109375" style="253" customWidth="1"/>
    <col min="9225" max="9225" width="12.28515625" style="253" customWidth="1"/>
    <col min="9226" max="9226" width="12.7109375" style="253" customWidth="1"/>
    <col min="9227" max="9227" width="13.5703125" style="253" customWidth="1"/>
    <col min="9228" max="9228" width="13" style="253" customWidth="1"/>
    <col min="9229" max="9473" width="9.140625" style="253"/>
    <col min="9474" max="9474" width="2.7109375" style="253" customWidth="1"/>
    <col min="9475" max="9475" width="9.140625" style="253"/>
    <col min="9476" max="9476" width="40.28515625" style="253" bestFit="1" customWidth="1"/>
    <col min="9477" max="9477" width="10.7109375" style="253" customWidth="1"/>
    <col min="9478" max="9478" width="10" style="253" customWidth="1"/>
    <col min="9479" max="9479" width="17.85546875" style="253" customWidth="1"/>
    <col min="9480" max="9480" width="7.7109375" style="253" customWidth="1"/>
    <col min="9481" max="9481" width="12.28515625" style="253" customWidth="1"/>
    <col min="9482" max="9482" width="12.7109375" style="253" customWidth="1"/>
    <col min="9483" max="9483" width="13.5703125" style="253" customWidth="1"/>
    <col min="9484" max="9484" width="13" style="253" customWidth="1"/>
    <col min="9485" max="9729" width="9.140625" style="253"/>
    <col min="9730" max="9730" width="2.7109375" style="253" customWidth="1"/>
    <col min="9731" max="9731" width="9.140625" style="253"/>
    <col min="9732" max="9732" width="40.28515625" style="253" bestFit="1" customWidth="1"/>
    <col min="9733" max="9733" width="10.7109375" style="253" customWidth="1"/>
    <col min="9734" max="9734" width="10" style="253" customWidth="1"/>
    <col min="9735" max="9735" width="17.85546875" style="253" customWidth="1"/>
    <col min="9736" max="9736" width="7.7109375" style="253" customWidth="1"/>
    <col min="9737" max="9737" width="12.28515625" style="253" customWidth="1"/>
    <col min="9738" max="9738" width="12.7109375" style="253" customWidth="1"/>
    <col min="9739" max="9739" width="13.5703125" style="253" customWidth="1"/>
    <col min="9740" max="9740" width="13" style="253" customWidth="1"/>
    <col min="9741" max="9985" width="9.140625" style="253"/>
    <col min="9986" max="9986" width="2.7109375" style="253" customWidth="1"/>
    <col min="9987" max="9987" width="9.140625" style="253"/>
    <col min="9988" max="9988" width="40.28515625" style="253" bestFit="1" customWidth="1"/>
    <col min="9989" max="9989" width="10.7109375" style="253" customWidth="1"/>
    <col min="9990" max="9990" width="10" style="253" customWidth="1"/>
    <col min="9991" max="9991" width="17.85546875" style="253" customWidth="1"/>
    <col min="9992" max="9992" width="7.7109375" style="253" customWidth="1"/>
    <col min="9993" max="9993" width="12.28515625" style="253" customWidth="1"/>
    <col min="9994" max="9994" width="12.7109375" style="253" customWidth="1"/>
    <col min="9995" max="9995" width="13.5703125" style="253" customWidth="1"/>
    <col min="9996" max="9996" width="13" style="253" customWidth="1"/>
    <col min="9997" max="10241" width="9.140625" style="253"/>
    <col min="10242" max="10242" width="2.7109375" style="253" customWidth="1"/>
    <col min="10243" max="10243" width="9.140625" style="253"/>
    <col min="10244" max="10244" width="40.28515625" style="253" bestFit="1" customWidth="1"/>
    <col min="10245" max="10245" width="10.7109375" style="253" customWidth="1"/>
    <col min="10246" max="10246" width="10" style="253" customWidth="1"/>
    <col min="10247" max="10247" width="17.85546875" style="253" customWidth="1"/>
    <col min="10248" max="10248" width="7.7109375" style="253" customWidth="1"/>
    <col min="10249" max="10249" width="12.28515625" style="253" customWidth="1"/>
    <col min="10250" max="10250" width="12.7109375" style="253" customWidth="1"/>
    <col min="10251" max="10251" width="13.5703125" style="253" customWidth="1"/>
    <col min="10252" max="10252" width="13" style="253" customWidth="1"/>
    <col min="10253" max="10497" width="9.140625" style="253"/>
    <col min="10498" max="10498" width="2.7109375" style="253" customWidth="1"/>
    <col min="10499" max="10499" width="9.140625" style="253"/>
    <col min="10500" max="10500" width="40.28515625" style="253" bestFit="1" customWidth="1"/>
    <col min="10501" max="10501" width="10.7109375" style="253" customWidth="1"/>
    <col min="10502" max="10502" width="10" style="253" customWidth="1"/>
    <col min="10503" max="10503" width="17.85546875" style="253" customWidth="1"/>
    <col min="10504" max="10504" width="7.7109375" style="253" customWidth="1"/>
    <col min="10505" max="10505" width="12.28515625" style="253" customWidth="1"/>
    <col min="10506" max="10506" width="12.7109375" style="253" customWidth="1"/>
    <col min="10507" max="10507" width="13.5703125" style="253" customWidth="1"/>
    <col min="10508" max="10508" width="13" style="253" customWidth="1"/>
    <col min="10509" max="10753" width="9.140625" style="253"/>
    <col min="10754" max="10754" width="2.7109375" style="253" customWidth="1"/>
    <col min="10755" max="10755" width="9.140625" style="253"/>
    <col min="10756" max="10756" width="40.28515625" style="253" bestFit="1" customWidth="1"/>
    <col min="10757" max="10757" width="10.7109375" style="253" customWidth="1"/>
    <col min="10758" max="10758" width="10" style="253" customWidth="1"/>
    <col min="10759" max="10759" width="17.85546875" style="253" customWidth="1"/>
    <col min="10760" max="10760" width="7.7109375" style="253" customWidth="1"/>
    <col min="10761" max="10761" width="12.28515625" style="253" customWidth="1"/>
    <col min="10762" max="10762" width="12.7109375" style="253" customWidth="1"/>
    <col min="10763" max="10763" width="13.5703125" style="253" customWidth="1"/>
    <col min="10764" max="10764" width="13" style="253" customWidth="1"/>
    <col min="10765" max="11009" width="9.140625" style="253"/>
    <col min="11010" max="11010" width="2.7109375" style="253" customWidth="1"/>
    <col min="11011" max="11011" width="9.140625" style="253"/>
    <col min="11012" max="11012" width="40.28515625" style="253" bestFit="1" customWidth="1"/>
    <col min="11013" max="11013" width="10.7109375" style="253" customWidth="1"/>
    <col min="11014" max="11014" width="10" style="253" customWidth="1"/>
    <col min="11015" max="11015" width="17.85546875" style="253" customWidth="1"/>
    <col min="11016" max="11016" width="7.7109375" style="253" customWidth="1"/>
    <col min="11017" max="11017" width="12.28515625" style="253" customWidth="1"/>
    <col min="11018" max="11018" width="12.7109375" style="253" customWidth="1"/>
    <col min="11019" max="11019" width="13.5703125" style="253" customWidth="1"/>
    <col min="11020" max="11020" width="13" style="253" customWidth="1"/>
    <col min="11021" max="11265" width="9.140625" style="253"/>
    <col min="11266" max="11266" width="2.7109375" style="253" customWidth="1"/>
    <col min="11267" max="11267" width="9.140625" style="253"/>
    <col min="11268" max="11268" width="40.28515625" style="253" bestFit="1" customWidth="1"/>
    <col min="11269" max="11269" width="10.7109375" style="253" customWidth="1"/>
    <col min="11270" max="11270" width="10" style="253" customWidth="1"/>
    <col min="11271" max="11271" width="17.85546875" style="253" customWidth="1"/>
    <col min="11272" max="11272" width="7.7109375" style="253" customWidth="1"/>
    <col min="11273" max="11273" width="12.28515625" style="253" customWidth="1"/>
    <col min="11274" max="11274" width="12.7109375" style="253" customWidth="1"/>
    <col min="11275" max="11275" width="13.5703125" style="253" customWidth="1"/>
    <col min="11276" max="11276" width="13" style="253" customWidth="1"/>
    <col min="11277" max="11521" width="9.140625" style="253"/>
    <col min="11522" max="11522" width="2.7109375" style="253" customWidth="1"/>
    <col min="11523" max="11523" width="9.140625" style="253"/>
    <col min="11524" max="11524" width="40.28515625" style="253" bestFit="1" customWidth="1"/>
    <col min="11525" max="11525" width="10.7109375" style="253" customWidth="1"/>
    <col min="11526" max="11526" width="10" style="253" customWidth="1"/>
    <col min="11527" max="11527" width="17.85546875" style="253" customWidth="1"/>
    <col min="11528" max="11528" width="7.7109375" style="253" customWidth="1"/>
    <col min="11529" max="11529" width="12.28515625" style="253" customWidth="1"/>
    <col min="11530" max="11530" width="12.7109375" style="253" customWidth="1"/>
    <col min="11531" max="11531" width="13.5703125" style="253" customWidth="1"/>
    <col min="11532" max="11532" width="13" style="253" customWidth="1"/>
    <col min="11533" max="11777" width="9.140625" style="253"/>
    <col min="11778" max="11778" width="2.7109375" style="253" customWidth="1"/>
    <col min="11779" max="11779" width="9.140625" style="253"/>
    <col min="11780" max="11780" width="40.28515625" style="253" bestFit="1" customWidth="1"/>
    <col min="11781" max="11781" width="10.7109375" style="253" customWidth="1"/>
    <col min="11782" max="11782" width="10" style="253" customWidth="1"/>
    <col min="11783" max="11783" width="17.85546875" style="253" customWidth="1"/>
    <col min="11784" max="11784" width="7.7109375" style="253" customWidth="1"/>
    <col min="11785" max="11785" width="12.28515625" style="253" customWidth="1"/>
    <col min="11786" max="11786" width="12.7109375" style="253" customWidth="1"/>
    <col min="11787" max="11787" width="13.5703125" style="253" customWidth="1"/>
    <col min="11788" max="11788" width="13" style="253" customWidth="1"/>
    <col min="11789" max="12033" width="9.140625" style="253"/>
    <col min="12034" max="12034" width="2.7109375" style="253" customWidth="1"/>
    <col min="12035" max="12035" width="9.140625" style="253"/>
    <col min="12036" max="12036" width="40.28515625" style="253" bestFit="1" customWidth="1"/>
    <col min="12037" max="12037" width="10.7109375" style="253" customWidth="1"/>
    <col min="12038" max="12038" width="10" style="253" customWidth="1"/>
    <col min="12039" max="12039" width="17.85546875" style="253" customWidth="1"/>
    <col min="12040" max="12040" width="7.7109375" style="253" customWidth="1"/>
    <col min="12041" max="12041" width="12.28515625" style="253" customWidth="1"/>
    <col min="12042" max="12042" width="12.7109375" style="253" customWidth="1"/>
    <col min="12043" max="12043" width="13.5703125" style="253" customWidth="1"/>
    <col min="12044" max="12044" width="13" style="253" customWidth="1"/>
    <col min="12045" max="12289" width="9.140625" style="253"/>
    <col min="12290" max="12290" width="2.7109375" style="253" customWidth="1"/>
    <col min="12291" max="12291" width="9.140625" style="253"/>
    <col min="12292" max="12292" width="40.28515625" style="253" bestFit="1" customWidth="1"/>
    <col min="12293" max="12293" width="10.7109375" style="253" customWidth="1"/>
    <col min="12294" max="12294" width="10" style="253" customWidth="1"/>
    <col min="12295" max="12295" width="17.85546875" style="253" customWidth="1"/>
    <col min="12296" max="12296" width="7.7109375" style="253" customWidth="1"/>
    <col min="12297" max="12297" width="12.28515625" style="253" customWidth="1"/>
    <col min="12298" max="12298" width="12.7109375" style="253" customWidth="1"/>
    <col min="12299" max="12299" width="13.5703125" style="253" customWidth="1"/>
    <col min="12300" max="12300" width="13" style="253" customWidth="1"/>
    <col min="12301" max="12545" width="9.140625" style="253"/>
    <col min="12546" max="12546" width="2.7109375" style="253" customWidth="1"/>
    <col min="12547" max="12547" width="9.140625" style="253"/>
    <col min="12548" max="12548" width="40.28515625" style="253" bestFit="1" customWidth="1"/>
    <col min="12549" max="12549" width="10.7109375" style="253" customWidth="1"/>
    <col min="12550" max="12550" width="10" style="253" customWidth="1"/>
    <col min="12551" max="12551" width="17.85546875" style="253" customWidth="1"/>
    <col min="12552" max="12552" width="7.7109375" style="253" customWidth="1"/>
    <col min="12553" max="12553" width="12.28515625" style="253" customWidth="1"/>
    <col min="12554" max="12554" width="12.7109375" style="253" customWidth="1"/>
    <col min="12555" max="12555" width="13.5703125" style="253" customWidth="1"/>
    <col min="12556" max="12556" width="13" style="253" customWidth="1"/>
    <col min="12557" max="12801" width="9.140625" style="253"/>
    <col min="12802" max="12802" width="2.7109375" style="253" customWidth="1"/>
    <col min="12803" max="12803" width="9.140625" style="253"/>
    <col min="12804" max="12804" width="40.28515625" style="253" bestFit="1" customWidth="1"/>
    <col min="12805" max="12805" width="10.7109375" style="253" customWidth="1"/>
    <col min="12806" max="12806" width="10" style="253" customWidth="1"/>
    <col min="12807" max="12807" width="17.85546875" style="253" customWidth="1"/>
    <col min="12808" max="12808" width="7.7109375" style="253" customWidth="1"/>
    <col min="12809" max="12809" width="12.28515625" style="253" customWidth="1"/>
    <col min="12810" max="12810" width="12.7109375" style="253" customWidth="1"/>
    <col min="12811" max="12811" width="13.5703125" style="253" customWidth="1"/>
    <col min="12812" max="12812" width="13" style="253" customWidth="1"/>
    <col min="12813" max="13057" width="9.140625" style="253"/>
    <col min="13058" max="13058" width="2.7109375" style="253" customWidth="1"/>
    <col min="13059" max="13059" width="9.140625" style="253"/>
    <col min="13060" max="13060" width="40.28515625" style="253" bestFit="1" customWidth="1"/>
    <col min="13061" max="13061" width="10.7109375" style="253" customWidth="1"/>
    <col min="13062" max="13062" width="10" style="253" customWidth="1"/>
    <col min="13063" max="13063" width="17.85546875" style="253" customWidth="1"/>
    <col min="13064" max="13064" width="7.7109375" style="253" customWidth="1"/>
    <col min="13065" max="13065" width="12.28515625" style="253" customWidth="1"/>
    <col min="13066" max="13066" width="12.7109375" style="253" customWidth="1"/>
    <col min="13067" max="13067" width="13.5703125" style="253" customWidth="1"/>
    <col min="13068" max="13068" width="13" style="253" customWidth="1"/>
    <col min="13069" max="13313" width="9.140625" style="253"/>
    <col min="13314" max="13314" width="2.7109375" style="253" customWidth="1"/>
    <col min="13315" max="13315" width="9.140625" style="253"/>
    <col min="13316" max="13316" width="40.28515625" style="253" bestFit="1" customWidth="1"/>
    <col min="13317" max="13317" width="10.7109375" style="253" customWidth="1"/>
    <col min="13318" max="13318" width="10" style="253" customWidth="1"/>
    <col min="13319" max="13319" width="17.85546875" style="253" customWidth="1"/>
    <col min="13320" max="13320" width="7.7109375" style="253" customWidth="1"/>
    <col min="13321" max="13321" width="12.28515625" style="253" customWidth="1"/>
    <col min="13322" max="13322" width="12.7109375" style="253" customWidth="1"/>
    <col min="13323" max="13323" width="13.5703125" style="253" customWidth="1"/>
    <col min="13324" max="13324" width="13" style="253" customWidth="1"/>
    <col min="13325" max="13569" width="9.140625" style="253"/>
    <col min="13570" max="13570" width="2.7109375" style="253" customWidth="1"/>
    <col min="13571" max="13571" width="9.140625" style="253"/>
    <col min="13572" max="13572" width="40.28515625" style="253" bestFit="1" customWidth="1"/>
    <col min="13573" max="13573" width="10.7109375" style="253" customWidth="1"/>
    <col min="13574" max="13574" width="10" style="253" customWidth="1"/>
    <col min="13575" max="13575" width="17.85546875" style="253" customWidth="1"/>
    <col min="13576" max="13576" width="7.7109375" style="253" customWidth="1"/>
    <col min="13577" max="13577" width="12.28515625" style="253" customWidth="1"/>
    <col min="13578" max="13578" width="12.7109375" style="253" customWidth="1"/>
    <col min="13579" max="13579" width="13.5703125" style="253" customWidth="1"/>
    <col min="13580" max="13580" width="13" style="253" customWidth="1"/>
    <col min="13581" max="13825" width="9.140625" style="253"/>
    <col min="13826" max="13826" width="2.7109375" style="253" customWidth="1"/>
    <col min="13827" max="13827" width="9.140625" style="253"/>
    <col min="13828" max="13828" width="40.28515625" style="253" bestFit="1" customWidth="1"/>
    <col min="13829" max="13829" width="10.7109375" style="253" customWidth="1"/>
    <col min="13830" max="13830" width="10" style="253" customWidth="1"/>
    <col min="13831" max="13831" width="17.85546875" style="253" customWidth="1"/>
    <col min="13832" max="13832" width="7.7109375" style="253" customWidth="1"/>
    <col min="13833" max="13833" width="12.28515625" style="253" customWidth="1"/>
    <col min="13834" max="13834" width="12.7109375" style="253" customWidth="1"/>
    <col min="13835" max="13835" width="13.5703125" style="253" customWidth="1"/>
    <col min="13836" max="13836" width="13" style="253" customWidth="1"/>
    <col min="13837" max="14081" width="9.140625" style="253"/>
    <col min="14082" max="14082" width="2.7109375" style="253" customWidth="1"/>
    <col min="14083" max="14083" width="9.140625" style="253"/>
    <col min="14084" max="14084" width="40.28515625" style="253" bestFit="1" customWidth="1"/>
    <col min="14085" max="14085" width="10.7109375" style="253" customWidth="1"/>
    <col min="14086" max="14086" width="10" style="253" customWidth="1"/>
    <col min="14087" max="14087" width="17.85546875" style="253" customWidth="1"/>
    <col min="14088" max="14088" width="7.7109375" style="253" customWidth="1"/>
    <col min="14089" max="14089" width="12.28515625" style="253" customWidth="1"/>
    <col min="14090" max="14090" width="12.7109375" style="253" customWidth="1"/>
    <col min="14091" max="14091" width="13.5703125" style="253" customWidth="1"/>
    <col min="14092" max="14092" width="13" style="253" customWidth="1"/>
    <col min="14093" max="14337" width="9.140625" style="253"/>
    <col min="14338" max="14338" width="2.7109375" style="253" customWidth="1"/>
    <col min="14339" max="14339" width="9.140625" style="253"/>
    <col min="14340" max="14340" width="40.28515625" style="253" bestFit="1" customWidth="1"/>
    <col min="14341" max="14341" width="10.7109375" style="253" customWidth="1"/>
    <col min="14342" max="14342" width="10" style="253" customWidth="1"/>
    <col min="14343" max="14343" width="17.85546875" style="253" customWidth="1"/>
    <col min="14344" max="14344" width="7.7109375" style="253" customWidth="1"/>
    <col min="14345" max="14345" width="12.28515625" style="253" customWidth="1"/>
    <col min="14346" max="14346" width="12.7109375" style="253" customWidth="1"/>
    <col min="14347" max="14347" width="13.5703125" style="253" customWidth="1"/>
    <col min="14348" max="14348" width="13" style="253" customWidth="1"/>
    <col min="14349" max="14593" width="9.140625" style="253"/>
    <col min="14594" max="14594" width="2.7109375" style="253" customWidth="1"/>
    <col min="14595" max="14595" width="9.140625" style="253"/>
    <col min="14596" max="14596" width="40.28515625" style="253" bestFit="1" customWidth="1"/>
    <col min="14597" max="14597" width="10.7109375" style="253" customWidth="1"/>
    <col min="14598" max="14598" width="10" style="253" customWidth="1"/>
    <col min="14599" max="14599" width="17.85546875" style="253" customWidth="1"/>
    <col min="14600" max="14600" width="7.7109375" style="253" customWidth="1"/>
    <col min="14601" max="14601" width="12.28515625" style="253" customWidth="1"/>
    <col min="14602" max="14602" width="12.7109375" style="253" customWidth="1"/>
    <col min="14603" max="14603" width="13.5703125" style="253" customWidth="1"/>
    <col min="14604" max="14604" width="13" style="253" customWidth="1"/>
    <col min="14605" max="14849" width="9.140625" style="253"/>
    <col min="14850" max="14850" width="2.7109375" style="253" customWidth="1"/>
    <col min="14851" max="14851" width="9.140625" style="253"/>
    <col min="14852" max="14852" width="40.28515625" style="253" bestFit="1" customWidth="1"/>
    <col min="14853" max="14853" width="10.7109375" style="253" customWidth="1"/>
    <col min="14854" max="14854" width="10" style="253" customWidth="1"/>
    <col min="14855" max="14855" width="17.85546875" style="253" customWidth="1"/>
    <col min="14856" max="14856" width="7.7109375" style="253" customWidth="1"/>
    <col min="14857" max="14857" width="12.28515625" style="253" customWidth="1"/>
    <col min="14858" max="14858" width="12.7109375" style="253" customWidth="1"/>
    <col min="14859" max="14859" width="13.5703125" style="253" customWidth="1"/>
    <col min="14860" max="14860" width="13" style="253" customWidth="1"/>
    <col min="14861" max="15105" width="9.140625" style="253"/>
    <col min="15106" max="15106" width="2.7109375" style="253" customWidth="1"/>
    <col min="15107" max="15107" width="9.140625" style="253"/>
    <col min="15108" max="15108" width="40.28515625" style="253" bestFit="1" customWidth="1"/>
    <col min="15109" max="15109" width="10.7109375" style="253" customWidth="1"/>
    <col min="15110" max="15110" width="10" style="253" customWidth="1"/>
    <col min="15111" max="15111" width="17.85546875" style="253" customWidth="1"/>
    <col min="15112" max="15112" width="7.7109375" style="253" customWidth="1"/>
    <col min="15113" max="15113" width="12.28515625" style="253" customWidth="1"/>
    <col min="15114" max="15114" width="12.7109375" style="253" customWidth="1"/>
    <col min="15115" max="15115" width="13.5703125" style="253" customWidth="1"/>
    <col min="15116" max="15116" width="13" style="253" customWidth="1"/>
    <col min="15117" max="15361" width="9.140625" style="253"/>
    <col min="15362" max="15362" width="2.7109375" style="253" customWidth="1"/>
    <col min="15363" max="15363" width="9.140625" style="253"/>
    <col min="15364" max="15364" width="40.28515625" style="253" bestFit="1" customWidth="1"/>
    <col min="15365" max="15365" width="10.7109375" style="253" customWidth="1"/>
    <col min="15366" max="15366" width="10" style="253" customWidth="1"/>
    <col min="15367" max="15367" width="17.85546875" style="253" customWidth="1"/>
    <col min="15368" max="15368" width="7.7109375" style="253" customWidth="1"/>
    <col min="15369" max="15369" width="12.28515625" style="253" customWidth="1"/>
    <col min="15370" max="15370" width="12.7109375" style="253" customWidth="1"/>
    <col min="15371" max="15371" width="13.5703125" style="253" customWidth="1"/>
    <col min="15372" max="15372" width="13" style="253" customWidth="1"/>
    <col min="15373" max="15617" width="9.140625" style="253"/>
    <col min="15618" max="15618" width="2.7109375" style="253" customWidth="1"/>
    <col min="15619" max="15619" width="9.140625" style="253"/>
    <col min="15620" max="15620" width="40.28515625" style="253" bestFit="1" customWidth="1"/>
    <col min="15621" max="15621" width="10.7109375" style="253" customWidth="1"/>
    <col min="15622" max="15622" width="10" style="253" customWidth="1"/>
    <col min="15623" max="15623" width="17.85546875" style="253" customWidth="1"/>
    <col min="15624" max="15624" width="7.7109375" style="253" customWidth="1"/>
    <col min="15625" max="15625" width="12.28515625" style="253" customWidth="1"/>
    <col min="15626" max="15626" width="12.7109375" style="253" customWidth="1"/>
    <col min="15627" max="15627" width="13.5703125" style="253" customWidth="1"/>
    <col min="15628" max="15628" width="13" style="253" customWidth="1"/>
    <col min="15629" max="15873" width="9.140625" style="253"/>
    <col min="15874" max="15874" width="2.7109375" style="253" customWidth="1"/>
    <col min="15875" max="15875" width="9.140625" style="253"/>
    <col min="15876" max="15876" width="40.28515625" style="253" bestFit="1" customWidth="1"/>
    <col min="15877" max="15877" width="10.7109375" style="253" customWidth="1"/>
    <col min="15878" max="15878" width="10" style="253" customWidth="1"/>
    <col min="15879" max="15879" width="17.85546875" style="253" customWidth="1"/>
    <col min="15880" max="15880" width="7.7109375" style="253" customWidth="1"/>
    <col min="15881" max="15881" width="12.28515625" style="253" customWidth="1"/>
    <col min="15882" max="15882" width="12.7109375" style="253" customWidth="1"/>
    <col min="15883" max="15883" width="13.5703125" style="253" customWidth="1"/>
    <col min="15884" max="15884" width="13" style="253" customWidth="1"/>
    <col min="15885" max="16129" width="9.140625" style="253"/>
    <col min="16130" max="16130" width="2.7109375" style="253" customWidth="1"/>
    <col min="16131" max="16131" width="9.140625" style="253"/>
    <col min="16132" max="16132" width="40.28515625" style="253" bestFit="1" customWidth="1"/>
    <col min="16133" max="16133" width="10.7109375" style="253" customWidth="1"/>
    <col min="16134" max="16134" width="10" style="253" customWidth="1"/>
    <col min="16135" max="16135" width="17.85546875" style="253" customWidth="1"/>
    <col min="16136" max="16136" width="7.7109375" style="253" customWidth="1"/>
    <col min="16137" max="16137" width="12.28515625" style="253" customWidth="1"/>
    <col min="16138" max="16138" width="12.7109375" style="253" customWidth="1"/>
    <col min="16139" max="16139" width="13.5703125" style="253" customWidth="1"/>
    <col min="16140" max="16140" width="13" style="253" customWidth="1"/>
    <col min="16141" max="16384" width="9.140625" style="253"/>
  </cols>
  <sheetData>
    <row r="1" spans="1:13" x14ac:dyDescent="0.2">
      <c r="H1" s="255"/>
      <c r="I1" s="256"/>
      <c r="J1" s="256"/>
      <c r="K1" s="16" t="s">
        <v>444</v>
      </c>
      <c r="L1" s="250" t="str">
        <f>'LDC Info'!$E$18</f>
        <v>EB-2012-0107</v>
      </c>
      <c r="M1" s="256"/>
    </row>
    <row r="2" spans="1:13" x14ac:dyDescent="0.2">
      <c r="H2" s="255"/>
      <c r="I2" s="256"/>
      <c r="J2" s="256"/>
      <c r="K2" s="16" t="s">
        <v>445</v>
      </c>
      <c r="L2" s="251">
        <v>4</v>
      </c>
      <c r="M2" s="256"/>
    </row>
    <row r="3" spans="1:13" x14ac:dyDescent="0.2">
      <c r="H3" s="255"/>
      <c r="I3" s="256"/>
      <c r="J3" s="256"/>
      <c r="K3" s="16" t="s">
        <v>446</v>
      </c>
      <c r="L3" s="251">
        <v>7</v>
      </c>
      <c r="M3" s="256"/>
    </row>
    <row r="4" spans="1:13" x14ac:dyDescent="0.2">
      <c r="H4" s="255"/>
      <c r="I4" s="256"/>
      <c r="J4" s="256"/>
      <c r="K4" s="16" t="s">
        <v>447</v>
      </c>
      <c r="L4" s="251">
        <v>1</v>
      </c>
      <c r="M4" s="256"/>
    </row>
    <row r="5" spans="1:13" x14ac:dyDescent="0.2">
      <c r="H5" s="255"/>
      <c r="I5" s="256"/>
      <c r="J5" s="256"/>
      <c r="K5" s="16" t="s">
        <v>1036</v>
      </c>
      <c r="L5" s="252">
        <v>1</v>
      </c>
      <c r="M5" s="256"/>
    </row>
    <row r="6" spans="1:13" x14ac:dyDescent="0.2">
      <c r="H6" s="255"/>
      <c r="I6" s="256"/>
      <c r="J6" s="256"/>
      <c r="K6" s="16"/>
      <c r="L6" s="250"/>
      <c r="M6" s="256"/>
    </row>
    <row r="7" spans="1:13" x14ac:dyDescent="0.2">
      <c r="H7" s="255"/>
      <c r="I7" s="256"/>
      <c r="J7" s="257"/>
      <c r="K7" s="16" t="s">
        <v>449</v>
      </c>
      <c r="L7" s="934">
        <v>41200</v>
      </c>
      <c r="M7" s="257"/>
    </row>
    <row r="9" spans="1:13" ht="18" x14ac:dyDescent="0.2">
      <c r="A9" s="1273" t="s">
        <v>653</v>
      </c>
      <c r="B9" s="1273"/>
      <c r="C9" s="1273"/>
      <c r="D9" s="1273"/>
      <c r="E9" s="1273"/>
      <c r="F9" s="1273"/>
      <c r="G9" s="1273"/>
      <c r="H9" s="1273"/>
      <c r="I9" s="1273"/>
      <c r="J9" s="1273"/>
      <c r="K9" s="1273"/>
      <c r="L9" s="1273"/>
    </row>
    <row r="10" spans="1:13" ht="18" x14ac:dyDescent="0.2">
      <c r="A10" s="1273" t="s">
        <v>5</v>
      </c>
      <c r="B10" s="1273"/>
      <c r="C10" s="1273"/>
      <c r="D10" s="1273"/>
      <c r="E10" s="1273"/>
      <c r="F10" s="1273"/>
      <c r="G10" s="1273"/>
      <c r="H10" s="1273"/>
      <c r="I10" s="1273"/>
      <c r="J10" s="1273"/>
      <c r="K10" s="1273"/>
      <c r="L10" s="1273"/>
    </row>
    <row r="11" spans="1:13" ht="21.75" customHeight="1" x14ac:dyDescent="0.2">
      <c r="A11" s="1281" t="s">
        <v>567</v>
      </c>
      <c r="B11" s="1281"/>
      <c r="C11" s="1281"/>
      <c r="D11" s="1281"/>
      <c r="E11" s="1281"/>
      <c r="F11" s="1281"/>
      <c r="G11" s="1281"/>
      <c r="H11" s="1281"/>
      <c r="I11" s="1281"/>
      <c r="J11" s="1281"/>
      <c r="K11" s="1281"/>
      <c r="L11" s="1281"/>
    </row>
    <row r="12" spans="1:13" ht="13.5" customHeight="1" x14ac:dyDescent="0.25">
      <c r="A12" s="258"/>
      <c r="B12" s="258"/>
      <c r="C12" s="334" t="s">
        <v>42</v>
      </c>
      <c r="D12" s="729">
        <v>2011</v>
      </c>
      <c r="E12" s="334" t="s">
        <v>175</v>
      </c>
      <c r="H12" s="258"/>
      <c r="I12" s="258"/>
      <c r="J12" s="258"/>
    </row>
    <row r="13" spans="1:13" ht="15" customHeight="1" thickBot="1" x14ac:dyDescent="0.25"/>
    <row r="14" spans="1:13" ht="61.5" customHeight="1" x14ac:dyDescent="0.2">
      <c r="A14" s="1275" t="s">
        <v>6</v>
      </c>
      <c r="B14" s="1277" t="s">
        <v>395</v>
      </c>
      <c r="C14" s="259" t="s">
        <v>822</v>
      </c>
      <c r="D14" s="259" t="s">
        <v>816</v>
      </c>
      <c r="E14" s="259" t="s">
        <v>817</v>
      </c>
      <c r="F14" s="259" t="s">
        <v>397</v>
      </c>
      <c r="G14" s="259" t="s">
        <v>9</v>
      </c>
      <c r="H14" s="259" t="s">
        <v>10</v>
      </c>
      <c r="I14" s="259" t="s">
        <v>440</v>
      </c>
      <c r="J14" s="260" t="s">
        <v>555</v>
      </c>
      <c r="K14" s="1279" t="s">
        <v>814</v>
      </c>
      <c r="L14" s="260" t="s">
        <v>556</v>
      </c>
    </row>
    <row r="15" spans="1:13" ht="19.5" customHeight="1" thickBot="1" x14ac:dyDescent="0.25">
      <c r="A15" s="1276"/>
      <c r="B15" s="1278"/>
      <c r="C15" s="261" t="s">
        <v>7</v>
      </c>
      <c r="D15" s="261" t="s">
        <v>818</v>
      </c>
      <c r="E15" s="261" t="s">
        <v>819</v>
      </c>
      <c r="F15" s="261" t="s">
        <v>8</v>
      </c>
      <c r="G15" s="262" t="s">
        <v>821</v>
      </c>
      <c r="H15" s="344" t="s">
        <v>11</v>
      </c>
      <c r="I15" s="344" t="s">
        <v>12</v>
      </c>
      <c r="J15" s="346" t="s">
        <v>13</v>
      </c>
      <c r="K15" s="1280"/>
      <c r="L15" s="346" t="s">
        <v>549</v>
      </c>
    </row>
    <row r="16" spans="1:13" ht="25.5" x14ac:dyDescent="0.2">
      <c r="A16" s="365">
        <v>1611</v>
      </c>
      <c r="B16" s="357" t="s">
        <v>548</v>
      </c>
      <c r="C16" s="436">
        <v>8481130</v>
      </c>
      <c r="D16" s="436">
        <v>3419090</v>
      </c>
      <c r="E16" s="800">
        <f>C16-D16</f>
        <v>5062040</v>
      </c>
      <c r="F16" s="436">
        <v>1019754</v>
      </c>
      <c r="G16" s="13">
        <f>E16+0.5*F16</f>
        <v>5571917</v>
      </c>
      <c r="H16" s="342">
        <f>G16/K16</f>
        <v>5.2889326581269192</v>
      </c>
      <c r="I16" s="628">
        <f t="shared" ref="I16:I54" si="0">IF(H16=0,"",1/H16)</f>
        <v>0.18907406553256267</v>
      </c>
      <c r="J16" s="805">
        <f t="shared" ref="J16:J54" si="1">IF(H16=0,0,G16/H16)</f>
        <v>1053505</v>
      </c>
      <c r="K16" s="341">
        <f>-'App.2-B_Fixed Asset 2011'!K16</f>
        <v>1053505</v>
      </c>
      <c r="L16" s="366">
        <f>IF(ISERROR(+J16-K16), "", +J16-K16)</f>
        <v>0</v>
      </c>
    </row>
    <row r="17" spans="1:12" ht="25.5" x14ac:dyDescent="0.2">
      <c r="A17" s="359">
        <v>1612</v>
      </c>
      <c r="B17" s="351" t="s">
        <v>702</v>
      </c>
      <c r="C17" s="436">
        <v>283160</v>
      </c>
      <c r="D17" s="436">
        <v>253355</v>
      </c>
      <c r="E17" s="800">
        <f t="shared" ref="E17:E54" si="2">C17-D17</f>
        <v>29805</v>
      </c>
      <c r="F17" s="436"/>
      <c r="G17" s="13">
        <f t="shared" ref="G17:G54" si="3">E17+0.5*F17</f>
        <v>29805</v>
      </c>
      <c r="H17" s="342">
        <f>G17/K17</f>
        <v>25.004194630872483</v>
      </c>
      <c r="I17" s="624">
        <f t="shared" si="0"/>
        <v>3.9993289716490521E-2</v>
      </c>
      <c r="J17" s="264">
        <f t="shared" si="1"/>
        <v>1192</v>
      </c>
      <c r="K17" s="341">
        <f>-'App.2-B_Fixed Asset 2011'!K17</f>
        <v>1192</v>
      </c>
      <c r="L17" s="264">
        <f t="shared" ref="L17:L54" si="4">IF(ISERROR(+J17-K17), "", +J17-K17)</f>
        <v>0</v>
      </c>
    </row>
    <row r="18" spans="1:12" x14ac:dyDescent="0.2">
      <c r="A18" s="360">
        <v>1805</v>
      </c>
      <c r="B18" s="352" t="s">
        <v>408</v>
      </c>
      <c r="C18" s="436">
        <v>489817</v>
      </c>
      <c r="D18" s="342"/>
      <c r="E18" s="800">
        <f t="shared" si="2"/>
        <v>489817</v>
      </c>
      <c r="F18" s="436">
        <v>7672</v>
      </c>
      <c r="G18" s="13">
        <f t="shared" si="3"/>
        <v>493653</v>
      </c>
      <c r="H18" s="332">
        <v>0</v>
      </c>
      <c r="I18" s="624" t="str">
        <f t="shared" si="0"/>
        <v/>
      </c>
      <c r="J18" s="264">
        <f t="shared" si="1"/>
        <v>0</v>
      </c>
      <c r="K18" s="341">
        <f>-'App.2-B_Fixed Asset 2011'!K18</f>
        <v>0</v>
      </c>
      <c r="L18" s="264">
        <f t="shared" si="4"/>
        <v>0</v>
      </c>
    </row>
    <row r="19" spans="1:12" x14ac:dyDescent="0.2">
      <c r="A19" s="359">
        <v>1808</v>
      </c>
      <c r="B19" s="353" t="s">
        <v>409</v>
      </c>
      <c r="C19" s="436"/>
      <c r="D19" s="436"/>
      <c r="E19" s="800">
        <f t="shared" si="2"/>
        <v>0</v>
      </c>
      <c r="F19" s="436"/>
      <c r="G19" s="13">
        <f t="shared" si="3"/>
        <v>0</v>
      </c>
      <c r="H19" s="332"/>
      <c r="I19" s="624" t="str">
        <f t="shared" si="0"/>
        <v/>
      </c>
      <c r="J19" s="264">
        <f t="shared" si="1"/>
        <v>0</v>
      </c>
      <c r="K19" s="341">
        <f>-'App.2-B_Fixed Asset 2011'!K19</f>
        <v>0</v>
      </c>
      <c r="L19" s="264">
        <f t="shared" si="4"/>
        <v>0</v>
      </c>
    </row>
    <row r="20" spans="1:12" x14ac:dyDescent="0.2">
      <c r="A20" s="359">
        <v>1810</v>
      </c>
      <c r="B20" s="353" t="s">
        <v>442</v>
      </c>
      <c r="C20" s="436"/>
      <c r="D20" s="436"/>
      <c r="E20" s="800">
        <f t="shared" si="2"/>
        <v>0</v>
      </c>
      <c r="F20" s="436"/>
      <c r="G20" s="13">
        <f t="shared" si="3"/>
        <v>0</v>
      </c>
      <c r="H20" s="332"/>
      <c r="I20" s="624" t="str">
        <f t="shared" si="0"/>
        <v/>
      </c>
      <c r="J20" s="264">
        <f t="shared" si="1"/>
        <v>0</v>
      </c>
      <c r="K20" s="341">
        <f>-'App.2-B_Fixed Asset 2011'!K20</f>
        <v>0</v>
      </c>
      <c r="L20" s="264">
        <f t="shared" si="4"/>
        <v>0</v>
      </c>
    </row>
    <row r="21" spans="1:12" x14ac:dyDescent="0.2">
      <c r="A21" s="359">
        <v>1815</v>
      </c>
      <c r="B21" s="353" t="s">
        <v>410</v>
      </c>
      <c r="C21" s="436"/>
      <c r="D21" s="436"/>
      <c r="E21" s="800">
        <f t="shared" si="2"/>
        <v>0</v>
      </c>
      <c r="F21" s="436"/>
      <c r="G21" s="13">
        <f t="shared" si="3"/>
        <v>0</v>
      </c>
      <c r="H21" s="332"/>
      <c r="I21" s="624" t="str">
        <f t="shared" si="0"/>
        <v/>
      </c>
      <c r="J21" s="264">
        <f t="shared" si="1"/>
        <v>0</v>
      </c>
      <c r="K21" s="341">
        <f>-'App.2-B_Fixed Asset 2011'!K21</f>
        <v>0</v>
      </c>
      <c r="L21" s="264">
        <f t="shared" si="4"/>
        <v>0</v>
      </c>
    </row>
    <row r="22" spans="1:12" x14ac:dyDescent="0.2">
      <c r="A22" s="359">
        <v>1820</v>
      </c>
      <c r="B22" s="354" t="s">
        <v>356</v>
      </c>
      <c r="C22" s="436">
        <v>6106086</v>
      </c>
      <c r="D22" s="436">
        <v>1539400</v>
      </c>
      <c r="E22" s="800">
        <f t="shared" si="2"/>
        <v>4566686</v>
      </c>
      <c r="F22" s="436">
        <v>349496</v>
      </c>
      <c r="G22" s="13">
        <f t="shared" si="3"/>
        <v>4741434</v>
      </c>
      <c r="H22" s="342">
        <f>G22/K22</f>
        <v>30.440053157681863</v>
      </c>
      <c r="I22" s="624">
        <f t="shared" si="0"/>
        <v>3.2851453800685618E-2</v>
      </c>
      <c r="J22" s="264">
        <f t="shared" si="1"/>
        <v>155763</v>
      </c>
      <c r="K22" s="341">
        <f>-'App.2-B_Fixed Asset 2011'!K22</f>
        <v>155763</v>
      </c>
      <c r="L22" s="264">
        <f t="shared" si="4"/>
        <v>0</v>
      </c>
    </row>
    <row r="23" spans="1:12" x14ac:dyDescent="0.2">
      <c r="A23" s="359">
        <v>1825</v>
      </c>
      <c r="B23" s="353" t="s">
        <v>411</v>
      </c>
      <c r="C23" s="436"/>
      <c r="D23" s="436"/>
      <c r="E23" s="800">
        <f t="shared" si="2"/>
        <v>0</v>
      </c>
      <c r="F23" s="436"/>
      <c r="G23" s="13">
        <f t="shared" si="3"/>
        <v>0</v>
      </c>
      <c r="H23" s="332"/>
      <c r="I23" s="624" t="str">
        <f t="shared" si="0"/>
        <v/>
      </c>
      <c r="J23" s="264">
        <f t="shared" si="1"/>
        <v>0</v>
      </c>
      <c r="K23" s="341">
        <f>-'App.2-B_Fixed Asset 2011'!K23</f>
        <v>0</v>
      </c>
      <c r="L23" s="264">
        <f t="shared" si="4"/>
        <v>0</v>
      </c>
    </row>
    <row r="24" spans="1:12" x14ac:dyDescent="0.2">
      <c r="A24" s="359">
        <v>1830</v>
      </c>
      <c r="B24" s="353" t="s">
        <v>412</v>
      </c>
      <c r="C24" s="436">
        <v>1781988</v>
      </c>
      <c r="D24" s="436"/>
      <c r="E24" s="800">
        <f t="shared" si="2"/>
        <v>1781988</v>
      </c>
      <c r="F24" s="436">
        <v>475690</v>
      </c>
      <c r="G24" s="13">
        <f t="shared" si="3"/>
        <v>2019833</v>
      </c>
      <c r="H24" s="342">
        <f t="shared" ref="H24:H37" si="5">G24/K24</f>
        <v>25.684876460789177</v>
      </c>
      <c r="I24" s="624">
        <f t="shared" si="0"/>
        <v>3.893341677257476E-2</v>
      </c>
      <c r="J24" s="264">
        <f t="shared" si="1"/>
        <v>78639</v>
      </c>
      <c r="K24" s="341">
        <f>-'App.2-B_Fixed Asset 2011'!K24</f>
        <v>78639</v>
      </c>
      <c r="L24" s="264">
        <f t="shared" si="4"/>
        <v>0</v>
      </c>
    </row>
    <row r="25" spans="1:12" x14ac:dyDescent="0.2">
      <c r="A25" s="359">
        <v>1835</v>
      </c>
      <c r="B25" s="353" t="s">
        <v>357</v>
      </c>
      <c r="C25" s="436">
        <v>27076679</v>
      </c>
      <c r="D25" s="436">
        <v>6296523</v>
      </c>
      <c r="E25" s="800">
        <f t="shared" si="2"/>
        <v>20780156</v>
      </c>
      <c r="F25" s="436">
        <v>409256</v>
      </c>
      <c r="G25" s="13">
        <f t="shared" si="3"/>
        <v>20984784</v>
      </c>
      <c r="H25" s="342">
        <f t="shared" si="5"/>
        <v>25.060797391787236</v>
      </c>
      <c r="I25" s="624">
        <f t="shared" si="0"/>
        <v>3.9902960163897799E-2</v>
      </c>
      <c r="J25" s="264">
        <f t="shared" si="1"/>
        <v>837355</v>
      </c>
      <c r="K25" s="341">
        <f>-'App.2-B_Fixed Asset 2011'!K25</f>
        <v>837355</v>
      </c>
      <c r="L25" s="264">
        <f t="shared" si="4"/>
        <v>0</v>
      </c>
    </row>
    <row r="26" spans="1:12" x14ac:dyDescent="0.2">
      <c r="A26" s="359">
        <v>1840</v>
      </c>
      <c r="B26" s="353" t="s">
        <v>358</v>
      </c>
      <c r="C26" s="436">
        <v>958584</v>
      </c>
      <c r="D26" s="436"/>
      <c r="E26" s="800">
        <f t="shared" si="2"/>
        <v>958584</v>
      </c>
      <c r="F26" s="436">
        <v>191772</v>
      </c>
      <c r="G26" s="13">
        <f t="shared" si="3"/>
        <v>1054470</v>
      </c>
      <c r="H26" s="342">
        <f t="shared" si="5"/>
        <v>25.842952724064407</v>
      </c>
      <c r="I26" s="624">
        <f t="shared" si="0"/>
        <v>3.8695268713192413E-2</v>
      </c>
      <c r="J26" s="264">
        <f t="shared" si="1"/>
        <v>40803</v>
      </c>
      <c r="K26" s="341">
        <f>-'App.2-B_Fixed Asset 2011'!K26</f>
        <v>40803</v>
      </c>
      <c r="L26" s="264">
        <f t="shared" si="4"/>
        <v>0</v>
      </c>
    </row>
    <row r="27" spans="1:12" x14ac:dyDescent="0.2">
      <c r="A27" s="359">
        <v>1845</v>
      </c>
      <c r="B27" s="353" t="s">
        <v>359</v>
      </c>
      <c r="C27" s="436">
        <f>19627718.72+76601.16</f>
        <v>19704319.879999999</v>
      </c>
      <c r="D27" s="436">
        <v>3909689</v>
      </c>
      <c r="E27" s="800">
        <f t="shared" si="2"/>
        <v>15794630.879999999</v>
      </c>
      <c r="F27" s="436">
        <v>595739</v>
      </c>
      <c r="G27" s="13">
        <f t="shared" si="3"/>
        <v>16092500.379999999</v>
      </c>
      <c r="H27" s="342">
        <f t="shared" si="5"/>
        <v>25.114198600752527</v>
      </c>
      <c r="I27" s="624">
        <f t="shared" si="0"/>
        <v>3.9818113088029648E-2</v>
      </c>
      <c r="J27" s="264">
        <f t="shared" si="1"/>
        <v>640773</v>
      </c>
      <c r="K27" s="341">
        <f>-'App.2-B_Fixed Asset 2011'!K27</f>
        <v>640773</v>
      </c>
      <c r="L27" s="264">
        <f t="shared" si="4"/>
        <v>0</v>
      </c>
    </row>
    <row r="28" spans="1:12" x14ac:dyDescent="0.2">
      <c r="A28" s="359">
        <v>1850</v>
      </c>
      <c r="B28" s="353" t="s">
        <v>413</v>
      </c>
      <c r="C28" s="436">
        <v>14684774</v>
      </c>
      <c r="D28" s="436">
        <v>3542866</v>
      </c>
      <c r="E28" s="800">
        <f t="shared" si="2"/>
        <v>11141908</v>
      </c>
      <c r="F28" s="436">
        <v>723360</v>
      </c>
      <c r="G28" s="13">
        <f t="shared" si="3"/>
        <v>11503588</v>
      </c>
      <c r="H28" s="342">
        <f t="shared" si="5"/>
        <v>25.324131433074889</v>
      </c>
      <c r="I28" s="624">
        <f t="shared" si="0"/>
        <v>3.9488027561487768E-2</v>
      </c>
      <c r="J28" s="264">
        <f t="shared" si="1"/>
        <v>454254</v>
      </c>
      <c r="K28" s="341">
        <f>-'App.2-B_Fixed Asset 2011'!K28</f>
        <v>454254</v>
      </c>
      <c r="L28" s="264">
        <f t="shared" si="4"/>
        <v>0</v>
      </c>
    </row>
    <row r="29" spans="1:12" x14ac:dyDescent="0.2">
      <c r="A29" s="359">
        <v>1855</v>
      </c>
      <c r="B29" s="353" t="s">
        <v>360</v>
      </c>
      <c r="C29" s="436">
        <v>431764</v>
      </c>
      <c r="D29" s="436"/>
      <c r="E29" s="800">
        <f t="shared" si="2"/>
        <v>431764</v>
      </c>
      <c r="F29" s="436">
        <v>123324</v>
      </c>
      <c r="G29" s="13">
        <f t="shared" si="3"/>
        <v>493426</v>
      </c>
      <c r="H29" s="342">
        <f t="shared" si="5"/>
        <v>25.746204017740673</v>
      </c>
      <c r="I29" s="624">
        <f t="shared" si="0"/>
        <v>3.8840677224143035E-2</v>
      </c>
      <c r="J29" s="264">
        <f t="shared" si="1"/>
        <v>19165</v>
      </c>
      <c r="K29" s="341">
        <f>-'App.2-B_Fixed Asset 2011'!K29</f>
        <v>19165</v>
      </c>
      <c r="L29" s="264">
        <f t="shared" si="4"/>
        <v>0</v>
      </c>
    </row>
    <row r="30" spans="1:12" x14ac:dyDescent="0.2">
      <c r="A30" s="359">
        <v>1860</v>
      </c>
      <c r="B30" s="353" t="s">
        <v>414</v>
      </c>
      <c r="C30" s="436">
        <v>7427858</v>
      </c>
      <c r="D30" s="436">
        <v>2647962</v>
      </c>
      <c r="E30" s="800">
        <f t="shared" si="2"/>
        <v>4779896</v>
      </c>
      <c r="F30" s="436">
        <v>434954</v>
      </c>
      <c r="G30" s="13">
        <f t="shared" si="3"/>
        <v>4997373</v>
      </c>
      <c r="H30" s="342">
        <f t="shared" si="5"/>
        <v>24.983242429847671</v>
      </c>
      <c r="I30" s="624">
        <f t="shared" si="0"/>
        <v>4.0026830096532719E-2</v>
      </c>
      <c r="J30" s="264">
        <f t="shared" si="1"/>
        <v>200029</v>
      </c>
      <c r="K30" s="341">
        <f>-'App.2-B_Fixed Asset 2011'!K30</f>
        <v>200029</v>
      </c>
      <c r="L30" s="264">
        <f t="shared" si="4"/>
        <v>0</v>
      </c>
    </row>
    <row r="31" spans="1:12" x14ac:dyDescent="0.2">
      <c r="A31" s="360">
        <v>1860</v>
      </c>
      <c r="B31" s="352" t="s">
        <v>361</v>
      </c>
      <c r="C31" s="436"/>
      <c r="D31" s="436"/>
      <c r="E31" s="800">
        <f t="shared" si="2"/>
        <v>0</v>
      </c>
      <c r="F31" s="436"/>
      <c r="G31" s="13">
        <f t="shared" si="3"/>
        <v>0</v>
      </c>
      <c r="H31" s="342"/>
      <c r="I31" s="624" t="str">
        <f t="shared" si="0"/>
        <v/>
      </c>
      <c r="J31" s="264">
        <f t="shared" si="1"/>
        <v>0</v>
      </c>
      <c r="K31" s="341">
        <f>-'App.2-B_Fixed Asset 2011'!K31</f>
        <v>0</v>
      </c>
      <c r="L31" s="264">
        <f t="shared" si="4"/>
        <v>0</v>
      </c>
    </row>
    <row r="32" spans="1:12" x14ac:dyDescent="0.2">
      <c r="A32" s="360">
        <v>1905</v>
      </c>
      <c r="B32" s="352" t="s">
        <v>408</v>
      </c>
      <c r="C32" s="436"/>
      <c r="D32" s="436"/>
      <c r="E32" s="800">
        <f t="shared" si="2"/>
        <v>0</v>
      </c>
      <c r="F32" s="436"/>
      <c r="G32" s="13">
        <f t="shared" si="3"/>
        <v>0</v>
      </c>
      <c r="H32" s="332"/>
      <c r="I32" s="624" t="str">
        <f t="shared" si="0"/>
        <v/>
      </c>
      <c r="J32" s="264">
        <f t="shared" si="1"/>
        <v>0</v>
      </c>
      <c r="K32" s="341">
        <f>-'App.2-B_Fixed Asset 2011'!K32</f>
        <v>0</v>
      </c>
      <c r="L32" s="264">
        <f t="shared" si="4"/>
        <v>0</v>
      </c>
    </row>
    <row r="33" spans="1:12" x14ac:dyDescent="0.2">
      <c r="A33" s="359">
        <v>1908</v>
      </c>
      <c r="B33" s="353" t="s">
        <v>416</v>
      </c>
      <c r="C33" s="436">
        <v>5925327</v>
      </c>
      <c r="D33" s="436">
        <v>768716</v>
      </c>
      <c r="E33" s="800">
        <f t="shared" si="2"/>
        <v>5156611</v>
      </c>
      <c r="F33" s="436">
        <v>84567</v>
      </c>
      <c r="G33" s="13">
        <f t="shared" si="3"/>
        <v>5198894.5</v>
      </c>
      <c r="H33" s="342">
        <f t="shared" si="5"/>
        <v>59.57389306504102</v>
      </c>
      <c r="I33" s="624">
        <f t="shared" si="0"/>
        <v>1.6785876305049085E-2</v>
      </c>
      <c r="J33" s="264">
        <f t="shared" si="1"/>
        <v>87268</v>
      </c>
      <c r="K33" s="341">
        <f>-'App.2-B_Fixed Asset 2011'!K33</f>
        <v>87268</v>
      </c>
      <c r="L33" s="264">
        <f t="shared" si="4"/>
        <v>0</v>
      </c>
    </row>
    <row r="34" spans="1:12" x14ac:dyDescent="0.2">
      <c r="A34" s="359">
        <v>1910</v>
      </c>
      <c r="B34" s="353" t="s">
        <v>442</v>
      </c>
      <c r="C34" s="436"/>
      <c r="D34" s="436"/>
      <c r="E34" s="800">
        <f t="shared" si="2"/>
        <v>0</v>
      </c>
      <c r="F34" s="436"/>
      <c r="G34" s="13">
        <f t="shared" si="3"/>
        <v>0</v>
      </c>
      <c r="H34" s="332"/>
      <c r="I34" s="624" t="str">
        <f t="shared" si="0"/>
        <v/>
      </c>
      <c r="J34" s="264">
        <f t="shared" si="1"/>
        <v>0</v>
      </c>
      <c r="K34" s="341">
        <f>-'App.2-B_Fixed Asset 2011'!K34</f>
        <v>0</v>
      </c>
      <c r="L34" s="264">
        <f t="shared" si="4"/>
        <v>0</v>
      </c>
    </row>
    <row r="35" spans="1:12" x14ac:dyDescent="0.2">
      <c r="A35" s="359">
        <v>1915</v>
      </c>
      <c r="B35" s="353" t="s">
        <v>362</v>
      </c>
      <c r="C35" s="436">
        <v>849162</v>
      </c>
      <c r="D35" s="436">
        <v>551049</v>
      </c>
      <c r="E35" s="800">
        <f t="shared" si="2"/>
        <v>298113</v>
      </c>
      <c r="F35" s="436">
        <v>27471</v>
      </c>
      <c r="G35" s="13">
        <f t="shared" si="3"/>
        <v>311848.5</v>
      </c>
      <c r="H35" s="342">
        <f t="shared" si="5"/>
        <v>10.205468468763295</v>
      </c>
      <c r="I35" s="624">
        <f t="shared" si="0"/>
        <v>9.7986682635959457E-2</v>
      </c>
      <c r="J35" s="264">
        <f t="shared" si="1"/>
        <v>30557</v>
      </c>
      <c r="K35" s="341">
        <f>-'App.2-B_Fixed Asset 2011'!K35</f>
        <v>30557</v>
      </c>
      <c r="L35" s="264">
        <f t="shared" si="4"/>
        <v>0</v>
      </c>
    </row>
    <row r="36" spans="1:12" x14ac:dyDescent="0.2">
      <c r="A36" s="359">
        <v>1915</v>
      </c>
      <c r="B36" s="353" t="s">
        <v>363</v>
      </c>
      <c r="C36" s="436"/>
      <c r="D36" s="436"/>
      <c r="E36" s="800">
        <f t="shared" si="2"/>
        <v>0</v>
      </c>
      <c r="F36" s="436"/>
      <c r="G36" s="13">
        <f t="shared" si="3"/>
        <v>0</v>
      </c>
      <c r="H36" s="332"/>
      <c r="I36" s="624" t="str">
        <f t="shared" si="0"/>
        <v/>
      </c>
      <c r="J36" s="264">
        <f t="shared" si="1"/>
        <v>0</v>
      </c>
      <c r="K36" s="341">
        <f>-'App.2-B_Fixed Asset 2011'!K36</f>
        <v>0</v>
      </c>
      <c r="L36" s="264">
        <f t="shared" si="4"/>
        <v>0</v>
      </c>
    </row>
    <row r="37" spans="1:12" x14ac:dyDescent="0.2">
      <c r="A37" s="359">
        <v>1920</v>
      </c>
      <c r="B37" s="353" t="s">
        <v>364</v>
      </c>
      <c r="C37" s="436">
        <v>4736268</v>
      </c>
      <c r="D37" s="436">
        <v>2531904</v>
      </c>
      <c r="E37" s="800">
        <f t="shared" si="2"/>
        <v>2204364</v>
      </c>
      <c r="F37" s="436">
        <v>363112</v>
      </c>
      <c r="G37" s="13">
        <f t="shared" si="3"/>
        <v>2385920</v>
      </c>
      <c r="H37" s="342">
        <f t="shared" si="5"/>
        <v>5.4163289860501012</v>
      </c>
      <c r="I37" s="624">
        <f t="shared" si="0"/>
        <v>0.18462689444742492</v>
      </c>
      <c r="J37" s="264">
        <f t="shared" si="1"/>
        <v>440505.00000000006</v>
      </c>
      <c r="K37" s="341">
        <f>-'App.2-B_Fixed Asset 2011'!K37</f>
        <v>440505</v>
      </c>
      <c r="L37" s="264">
        <f t="shared" si="4"/>
        <v>5.8207660913467407E-11</v>
      </c>
    </row>
    <row r="38" spans="1:12" x14ac:dyDescent="0.2">
      <c r="A38" s="361">
        <v>1920</v>
      </c>
      <c r="B38" s="354" t="s">
        <v>366</v>
      </c>
      <c r="C38" s="436"/>
      <c r="D38" s="436"/>
      <c r="E38" s="800">
        <f t="shared" si="2"/>
        <v>0</v>
      </c>
      <c r="F38" s="436"/>
      <c r="G38" s="13">
        <f t="shared" si="3"/>
        <v>0</v>
      </c>
      <c r="H38" s="332"/>
      <c r="I38" s="624" t="str">
        <f t="shared" si="0"/>
        <v/>
      </c>
      <c r="J38" s="264">
        <f t="shared" si="1"/>
        <v>0</v>
      </c>
      <c r="K38" s="341">
        <f>-'App.2-B_Fixed Asset 2011'!K38</f>
        <v>0</v>
      </c>
      <c r="L38" s="264">
        <f t="shared" si="4"/>
        <v>0</v>
      </c>
    </row>
    <row r="39" spans="1:12" x14ac:dyDescent="0.2">
      <c r="A39" s="361">
        <v>1920</v>
      </c>
      <c r="B39" s="354" t="s">
        <v>365</v>
      </c>
      <c r="C39" s="436"/>
      <c r="D39" s="436"/>
      <c r="E39" s="800">
        <f t="shared" si="2"/>
        <v>0</v>
      </c>
      <c r="F39" s="436"/>
      <c r="G39" s="13">
        <f t="shared" si="3"/>
        <v>0</v>
      </c>
      <c r="H39" s="332"/>
      <c r="I39" s="624" t="str">
        <f t="shared" si="0"/>
        <v/>
      </c>
      <c r="J39" s="264">
        <f t="shared" si="1"/>
        <v>0</v>
      </c>
      <c r="K39" s="341">
        <f>-'App.2-B_Fixed Asset 2011'!K39</f>
        <v>0</v>
      </c>
      <c r="L39" s="264">
        <f t="shared" si="4"/>
        <v>0</v>
      </c>
    </row>
    <row r="40" spans="1:12" x14ac:dyDescent="0.2">
      <c r="A40" s="359">
        <v>1930</v>
      </c>
      <c r="B40" s="353" t="s">
        <v>430</v>
      </c>
      <c r="C40" s="436">
        <f>3335883.47+869716.99+66227.16</f>
        <v>4271827.62</v>
      </c>
      <c r="D40" s="436">
        <v>1854527</v>
      </c>
      <c r="E40" s="800">
        <f t="shared" si="2"/>
        <v>2417300.62</v>
      </c>
      <c r="F40" s="436">
        <v>314885</v>
      </c>
      <c r="G40" s="13">
        <f t="shared" si="3"/>
        <v>2574743.12</v>
      </c>
      <c r="H40" s="342">
        <f t="shared" ref="H40:H43" si="6">G40/K40</f>
        <v>8.1395756249920979</v>
      </c>
      <c r="I40" s="624">
        <f t="shared" si="0"/>
        <v>0.12285652791646258</v>
      </c>
      <c r="J40" s="264">
        <f t="shared" si="1"/>
        <v>316323.99999999994</v>
      </c>
      <c r="K40" s="341">
        <f>-'App.2-B_Fixed Asset 2011'!K40</f>
        <v>316324</v>
      </c>
      <c r="L40" s="264">
        <f t="shared" si="4"/>
        <v>-5.8207660913467407E-11</v>
      </c>
    </row>
    <row r="41" spans="1:12" x14ac:dyDescent="0.2">
      <c r="A41" s="359">
        <v>1935</v>
      </c>
      <c r="B41" s="353" t="s">
        <v>431</v>
      </c>
      <c r="C41" s="436">
        <v>81138</v>
      </c>
      <c r="D41" s="436">
        <v>42591</v>
      </c>
      <c r="E41" s="800">
        <f t="shared" si="2"/>
        <v>38547</v>
      </c>
      <c r="F41" s="436"/>
      <c r="G41" s="13">
        <f t="shared" si="3"/>
        <v>38547</v>
      </c>
      <c r="H41" s="342">
        <f t="shared" si="6"/>
        <v>8.0473903966597078</v>
      </c>
      <c r="I41" s="624">
        <f t="shared" si="0"/>
        <v>0.12426388564609438</v>
      </c>
      <c r="J41" s="264">
        <f t="shared" si="1"/>
        <v>4790</v>
      </c>
      <c r="K41" s="341">
        <f>-'App.2-B_Fixed Asset 2011'!K41</f>
        <v>4790</v>
      </c>
      <c r="L41" s="264">
        <f t="shared" si="4"/>
        <v>0</v>
      </c>
    </row>
    <row r="42" spans="1:12" x14ac:dyDescent="0.2">
      <c r="A42" s="359">
        <v>1940</v>
      </c>
      <c r="B42" s="353" t="s">
        <v>432</v>
      </c>
      <c r="C42" s="436">
        <v>849235</v>
      </c>
      <c r="D42" s="436">
        <v>496299</v>
      </c>
      <c r="E42" s="800">
        <f t="shared" si="2"/>
        <v>352936</v>
      </c>
      <c r="F42" s="436">
        <v>38586</v>
      </c>
      <c r="G42" s="13">
        <f t="shared" si="3"/>
        <v>372229</v>
      </c>
      <c r="H42" s="342">
        <f t="shared" si="6"/>
        <v>10.019892863872514</v>
      </c>
      <c r="I42" s="624">
        <f t="shared" si="0"/>
        <v>9.9801466301658384E-2</v>
      </c>
      <c r="J42" s="264">
        <f t="shared" si="1"/>
        <v>37149</v>
      </c>
      <c r="K42" s="341">
        <f>-'App.2-B_Fixed Asset 2011'!K42</f>
        <v>37149</v>
      </c>
      <c r="L42" s="264">
        <f t="shared" si="4"/>
        <v>0</v>
      </c>
    </row>
    <row r="43" spans="1:12" x14ac:dyDescent="0.2">
      <c r="A43" s="359">
        <v>1945</v>
      </c>
      <c r="B43" s="353" t="s">
        <v>433</v>
      </c>
      <c r="C43" s="436">
        <v>246881</v>
      </c>
      <c r="D43" s="436">
        <v>194133</v>
      </c>
      <c r="E43" s="800">
        <f t="shared" si="2"/>
        <v>52748</v>
      </c>
      <c r="F43" s="436">
        <v>66199</v>
      </c>
      <c r="G43" s="13">
        <f t="shared" si="3"/>
        <v>85847.5</v>
      </c>
      <c r="H43" s="342">
        <f t="shared" si="6"/>
        <v>10.124719896214176</v>
      </c>
      <c r="I43" s="624">
        <f t="shared" si="0"/>
        <v>9.8768164477707573E-2</v>
      </c>
      <c r="J43" s="264">
        <f t="shared" si="1"/>
        <v>8479</v>
      </c>
      <c r="K43" s="341">
        <f>-'App.2-B_Fixed Asset 2011'!K43</f>
        <v>8479</v>
      </c>
      <c r="L43" s="264">
        <f t="shared" si="4"/>
        <v>0</v>
      </c>
    </row>
    <row r="44" spans="1:12" x14ac:dyDescent="0.2">
      <c r="A44" s="359">
        <v>1950</v>
      </c>
      <c r="B44" s="353" t="s">
        <v>367</v>
      </c>
      <c r="C44" s="436"/>
      <c r="D44" s="436"/>
      <c r="E44" s="800">
        <f t="shared" si="2"/>
        <v>0</v>
      </c>
      <c r="F44" s="436"/>
      <c r="G44" s="13">
        <f t="shared" si="3"/>
        <v>0</v>
      </c>
      <c r="H44" s="332"/>
      <c r="I44" s="624" t="str">
        <f t="shared" si="0"/>
        <v/>
      </c>
      <c r="J44" s="264">
        <f t="shared" si="1"/>
        <v>0</v>
      </c>
      <c r="K44" s="341">
        <f>-'App.2-B_Fixed Asset 2011'!K44</f>
        <v>0</v>
      </c>
      <c r="L44" s="264">
        <f t="shared" si="4"/>
        <v>0</v>
      </c>
    </row>
    <row r="45" spans="1:12" x14ac:dyDescent="0.2">
      <c r="A45" s="359">
        <v>1955</v>
      </c>
      <c r="B45" s="353" t="s">
        <v>434</v>
      </c>
      <c r="C45" s="436">
        <v>248340</v>
      </c>
      <c r="D45" s="436">
        <v>122390</v>
      </c>
      <c r="E45" s="800">
        <f t="shared" si="2"/>
        <v>125950</v>
      </c>
      <c r="F45" s="436">
        <v>4635</v>
      </c>
      <c r="G45" s="13">
        <f t="shared" si="3"/>
        <v>128267.5</v>
      </c>
      <c r="H45" s="342">
        <f t="shared" ref="H45" si="7">G45/K45</f>
        <v>9.7601202252320807</v>
      </c>
      <c r="I45" s="624">
        <f t="shared" si="0"/>
        <v>0.10245775430253182</v>
      </c>
      <c r="J45" s="264">
        <f t="shared" si="1"/>
        <v>13142</v>
      </c>
      <c r="K45" s="341">
        <f>-'App.2-B_Fixed Asset 2011'!K45</f>
        <v>13142</v>
      </c>
      <c r="L45" s="264">
        <f t="shared" si="4"/>
        <v>0</v>
      </c>
    </row>
    <row r="46" spans="1:12" x14ac:dyDescent="0.2">
      <c r="A46" s="362">
        <v>1955</v>
      </c>
      <c r="B46" s="355" t="s">
        <v>368</v>
      </c>
      <c r="C46" s="436"/>
      <c r="D46" s="436"/>
      <c r="E46" s="800">
        <f t="shared" si="2"/>
        <v>0</v>
      </c>
      <c r="F46" s="436"/>
      <c r="G46" s="13">
        <f t="shared" si="3"/>
        <v>0</v>
      </c>
      <c r="H46" s="332"/>
      <c r="I46" s="624" t="str">
        <f t="shared" si="0"/>
        <v/>
      </c>
      <c r="J46" s="264">
        <f t="shared" si="1"/>
        <v>0</v>
      </c>
      <c r="K46" s="341">
        <f>-'App.2-B_Fixed Asset 2011'!K46</f>
        <v>0</v>
      </c>
      <c r="L46" s="264">
        <f t="shared" si="4"/>
        <v>0</v>
      </c>
    </row>
    <row r="47" spans="1:12" x14ac:dyDescent="0.2">
      <c r="A47" s="361">
        <v>1960</v>
      </c>
      <c r="B47" s="354" t="s">
        <v>369</v>
      </c>
      <c r="C47" s="436">
        <v>784532</v>
      </c>
      <c r="D47" s="436">
        <v>570190</v>
      </c>
      <c r="E47" s="800">
        <f t="shared" si="2"/>
        <v>214342</v>
      </c>
      <c r="F47" s="436"/>
      <c r="G47" s="13">
        <f t="shared" si="3"/>
        <v>214342</v>
      </c>
      <c r="H47" s="342">
        <f t="shared" ref="H47" si="8">G47/K47</f>
        <v>8.1285600515757146</v>
      </c>
      <c r="I47" s="624">
        <f t="shared" si="0"/>
        <v>0.12302301928693396</v>
      </c>
      <c r="J47" s="264">
        <f t="shared" si="1"/>
        <v>26368.999999999996</v>
      </c>
      <c r="K47" s="341">
        <f>-'App.2-B_Fixed Asset 2011'!K47</f>
        <v>26369</v>
      </c>
      <c r="L47" s="264">
        <f t="shared" si="4"/>
        <v>-3.637978807091713E-12</v>
      </c>
    </row>
    <row r="48" spans="1:12" x14ac:dyDescent="0.2">
      <c r="A48" s="359">
        <v>1975</v>
      </c>
      <c r="B48" s="353" t="s">
        <v>435</v>
      </c>
      <c r="C48" s="436">
        <v>0</v>
      </c>
      <c r="D48" s="436">
        <v>0</v>
      </c>
      <c r="E48" s="800">
        <f t="shared" si="2"/>
        <v>0</v>
      </c>
      <c r="F48" s="436"/>
      <c r="G48" s="13">
        <f t="shared" si="3"/>
        <v>0</v>
      </c>
      <c r="H48" s="332"/>
      <c r="I48" s="624" t="str">
        <f t="shared" si="0"/>
        <v/>
      </c>
      <c r="J48" s="264">
        <f t="shared" si="1"/>
        <v>0</v>
      </c>
      <c r="K48" s="341">
        <f>-'App.2-B_Fixed Asset 2011'!K48</f>
        <v>0</v>
      </c>
      <c r="L48" s="264">
        <f t="shared" si="4"/>
        <v>0</v>
      </c>
    </row>
    <row r="49" spans="1:14" x14ac:dyDescent="0.2">
      <c r="A49" s="359">
        <v>1980</v>
      </c>
      <c r="B49" s="353" t="s">
        <v>436</v>
      </c>
      <c r="C49" s="436">
        <v>1210302</v>
      </c>
      <c r="D49" s="436">
        <v>49</v>
      </c>
      <c r="E49" s="800">
        <f t="shared" si="2"/>
        <v>1210253</v>
      </c>
      <c r="F49" s="436">
        <v>28398</v>
      </c>
      <c r="G49" s="13">
        <f t="shared" si="3"/>
        <v>1224452</v>
      </c>
      <c r="H49" s="342">
        <f t="shared" ref="H49" si="9">G49/K49</f>
        <v>24.178586943643616</v>
      </c>
      <c r="I49" s="624">
        <f t="shared" si="0"/>
        <v>4.1358909945020304E-2</v>
      </c>
      <c r="J49" s="264">
        <f t="shared" si="1"/>
        <v>50642</v>
      </c>
      <c r="K49" s="341">
        <f>-'App.2-B_Fixed Asset 2011'!K49</f>
        <v>50642</v>
      </c>
      <c r="L49" s="264">
        <f t="shared" si="4"/>
        <v>0</v>
      </c>
    </row>
    <row r="50" spans="1:14" x14ac:dyDescent="0.2">
      <c r="A50" s="359">
        <v>1985</v>
      </c>
      <c r="B50" s="353" t="s">
        <v>437</v>
      </c>
      <c r="C50" s="436"/>
      <c r="D50" s="436"/>
      <c r="E50" s="800">
        <f t="shared" si="2"/>
        <v>0</v>
      </c>
      <c r="F50" s="436"/>
      <c r="G50" s="13">
        <f t="shared" si="3"/>
        <v>0</v>
      </c>
      <c r="H50" s="332"/>
      <c r="I50" s="624" t="str">
        <f t="shared" si="0"/>
        <v/>
      </c>
      <c r="J50" s="264">
        <f t="shared" si="1"/>
        <v>0</v>
      </c>
      <c r="K50" s="341">
        <f>-'App.2-B_Fixed Asset 2011'!K50</f>
        <v>0</v>
      </c>
      <c r="L50" s="264">
        <f t="shared" si="4"/>
        <v>0</v>
      </c>
    </row>
    <row r="51" spans="1:14" x14ac:dyDescent="0.2">
      <c r="A51" s="359">
        <v>1995</v>
      </c>
      <c r="B51" s="353" t="s">
        <v>438</v>
      </c>
      <c r="C51" s="436">
        <v>-5805348</v>
      </c>
      <c r="D51" s="436"/>
      <c r="E51" s="800">
        <f t="shared" si="2"/>
        <v>-5805348</v>
      </c>
      <c r="F51" s="436">
        <v>-682425</v>
      </c>
      <c r="G51" s="13">
        <f t="shared" si="3"/>
        <v>-6146560.5</v>
      </c>
      <c r="H51" s="332">
        <f>G51/K51</f>
        <v>25.881671417803922</v>
      </c>
      <c r="I51" s="624">
        <f t="shared" si="0"/>
        <v>3.8637381019840281E-2</v>
      </c>
      <c r="J51" s="267">
        <f t="shared" si="1"/>
        <v>-237487</v>
      </c>
      <c r="K51" s="341">
        <f>-'App.2-B_Fixed Asset 2011'!K51</f>
        <v>-237487</v>
      </c>
      <c r="L51" s="264">
        <f t="shared" si="4"/>
        <v>0</v>
      </c>
    </row>
    <row r="52" spans="1:14" ht="25.5" x14ac:dyDescent="0.2">
      <c r="A52" s="359">
        <v>1970</v>
      </c>
      <c r="B52" s="353" t="str">
        <f>'App.2-B_Fixed Asset 2011'!C52</f>
        <v>Load Management Controls - Customer Premises</v>
      </c>
      <c r="C52" s="436">
        <v>464917</v>
      </c>
      <c r="D52" s="436">
        <v>464917</v>
      </c>
      <c r="E52" s="800">
        <f t="shared" si="2"/>
        <v>0</v>
      </c>
      <c r="F52" s="436"/>
      <c r="G52" s="13"/>
      <c r="H52" s="332"/>
      <c r="I52" s="624"/>
      <c r="J52" s="267"/>
      <c r="K52" s="341"/>
      <c r="L52" s="264"/>
    </row>
    <row r="53" spans="1:14" x14ac:dyDescent="0.2">
      <c r="A53" s="265">
        <v>1990</v>
      </c>
      <c r="B53" s="266" t="s">
        <v>865</v>
      </c>
      <c r="C53" s="436">
        <v>566276</v>
      </c>
      <c r="D53" s="436"/>
      <c r="E53" s="800">
        <f t="shared" si="2"/>
        <v>566276</v>
      </c>
      <c r="F53" s="436"/>
      <c r="G53" s="13">
        <f t="shared" si="3"/>
        <v>566276</v>
      </c>
      <c r="H53" s="332"/>
      <c r="I53" s="624" t="str">
        <f t="shared" si="0"/>
        <v/>
      </c>
      <c r="J53" s="267">
        <f t="shared" si="1"/>
        <v>0</v>
      </c>
      <c r="K53" s="341">
        <f>-'App.2-B_Fixed Asset 2011'!K52</f>
        <v>0</v>
      </c>
      <c r="L53" s="264">
        <f t="shared" si="4"/>
        <v>0</v>
      </c>
    </row>
    <row r="54" spans="1:14" ht="13.5" thickBot="1" x14ac:dyDescent="0.25">
      <c r="A54" s="268"/>
      <c r="B54" s="269"/>
      <c r="C54" s="801"/>
      <c r="D54" s="801"/>
      <c r="E54" s="802">
        <f t="shared" si="2"/>
        <v>0</v>
      </c>
      <c r="F54" s="801"/>
      <c r="G54" s="803">
        <f t="shared" si="3"/>
        <v>0</v>
      </c>
      <c r="H54" s="333"/>
      <c r="I54" s="627" t="str">
        <f t="shared" si="0"/>
        <v/>
      </c>
      <c r="J54" s="363">
        <f t="shared" si="1"/>
        <v>0</v>
      </c>
      <c r="K54" s="629"/>
      <c r="L54" s="364">
        <f t="shared" si="4"/>
        <v>0</v>
      </c>
    </row>
    <row r="55" spans="1:14" ht="14.25" thickTop="1" thickBot="1" x14ac:dyDescent="0.25">
      <c r="A55" s="270"/>
      <c r="B55" s="271" t="s">
        <v>439</v>
      </c>
      <c r="C55" s="804">
        <f>SUM(C16:C54)</f>
        <v>101855017.5</v>
      </c>
      <c r="D55" s="804">
        <f>SUM(D16:D54)</f>
        <v>29205650</v>
      </c>
      <c r="E55" s="804">
        <f>SUM(E16:E54)</f>
        <v>72649367.5</v>
      </c>
      <c r="F55" s="804">
        <f>SUM(F16:F54)</f>
        <v>4576445</v>
      </c>
      <c r="G55" s="804">
        <f>SUM(G16:G54)</f>
        <v>74937590</v>
      </c>
      <c r="H55" s="273"/>
      <c r="I55" s="626"/>
      <c r="J55" s="338">
        <f>SUM(J16:J54)</f>
        <v>4259216</v>
      </c>
      <c r="K55" s="272">
        <f>SUM(K16:K54)</f>
        <v>4259216</v>
      </c>
      <c r="L55" s="338">
        <f>SUM(L16:L54)</f>
        <v>-3.637978807091713E-12</v>
      </c>
    </row>
    <row r="56" spans="1:14" x14ac:dyDescent="0.2">
      <c r="I56" s="873" t="s">
        <v>943</v>
      </c>
      <c r="J56" s="874">
        <v>4259217</v>
      </c>
    </row>
    <row r="57" spans="1:14" x14ac:dyDescent="0.2">
      <c r="A57" s="254" t="s">
        <v>16</v>
      </c>
      <c r="B57" s="275"/>
      <c r="C57" s="275"/>
      <c r="D57" s="275"/>
      <c r="E57" s="275"/>
      <c r="F57" s="275"/>
      <c r="G57" s="275"/>
      <c r="H57" s="275"/>
      <c r="I57" s="275"/>
      <c r="J57" s="275"/>
    </row>
    <row r="58" spans="1:14" ht="34.5" customHeight="1" x14ac:dyDescent="0.2">
      <c r="A58" s="356">
        <v>1</v>
      </c>
      <c r="B58" s="1258" t="s">
        <v>650</v>
      </c>
      <c r="C58" s="1258"/>
      <c r="D58" s="1258"/>
      <c r="E58" s="1258"/>
      <c r="F58" s="1258"/>
      <c r="G58" s="1258"/>
      <c r="H58" s="1258"/>
      <c r="I58" s="1258"/>
      <c r="J58" s="1258"/>
      <c r="K58" s="1258"/>
      <c r="L58" s="1258"/>
    </row>
    <row r="59" spans="1:14" ht="30" customHeight="1" x14ac:dyDescent="0.2">
      <c r="A59" s="335">
        <v>2</v>
      </c>
      <c r="B59" s="1274" t="s">
        <v>651</v>
      </c>
      <c r="C59" s="1274"/>
      <c r="D59" s="1274"/>
      <c r="E59" s="1274"/>
      <c r="F59" s="1274"/>
      <c r="G59" s="1274"/>
      <c r="H59" s="1274"/>
      <c r="I59" s="1274"/>
      <c r="J59" s="1274"/>
      <c r="K59" s="1274"/>
      <c r="L59" s="1274"/>
    </row>
    <row r="60" spans="1:14" ht="12.75" customHeight="1" x14ac:dyDescent="0.2">
      <c r="A60" s="254" t="s">
        <v>374</v>
      </c>
      <c r="B60" s="1272" t="s">
        <v>330</v>
      </c>
      <c r="C60" s="1272"/>
      <c r="D60" s="1272"/>
      <c r="E60" s="1272"/>
      <c r="F60" s="1272"/>
      <c r="G60" s="1272"/>
      <c r="H60" s="1272"/>
      <c r="I60" s="1272"/>
      <c r="J60" s="1272"/>
      <c r="K60" s="1272"/>
      <c r="L60" s="1272"/>
      <c r="M60" s="727"/>
      <c r="N60" s="727"/>
    </row>
    <row r="61" spans="1:14" x14ac:dyDescent="0.2">
      <c r="A61" s="275"/>
      <c r="B61" s="1272"/>
      <c r="C61" s="1272"/>
      <c r="D61" s="1272"/>
      <c r="E61" s="1272"/>
      <c r="F61" s="1272"/>
      <c r="G61" s="1272"/>
      <c r="H61" s="1272"/>
      <c r="I61" s="1272"/>
      <c r="J61" s="1272"/>
      <c r="K61" s="1272"/>
      <c r="L61" s="1272"/>
      <c r="M61" s="727"/>
      <c r="N61" s="727"/>
    </row>
    <row r="62" spans="1:14" x14ac:dyDescent="0.2">
      <c r="B62" s="1272"/>
      <c r="C62" s="1272"/>
      <c r="D62" s="1272"/>
      <c r="E62" s="1272"/>
      <c r="F62" s="1272"/>
      <c r="G62" s="1272"/>
      <c r="H62" s="1272"/>
      <c r="I62" s="1272"/>
      <c r="J62" s="1272"/>
      <c r="K62" s="1272"/>
      <c r="L62" s="1272"/>
      <c r="M62" s="727"/>
      <c r="N62" s="727"/>
    </row>
    <row r="73" spans="1:10" ht="12.75" customHeight="1" x14ac:dyDescent="0.2"/>
    <row r="74" spans="1:10" x14ac:dyDescent="0.2">
      <c r="A74" s="277"/>
      <c r="B74" s="277"/>
      <c r="C74" s="277"/>
      <c r="D74" s="726"/>
      <c r="E74" s="726"/>
      <c r="F74" s="277"/>
      <c r="G74" s="277"/>
      <c r="H74" s="277"/>
      <c r="I74" s="277"/>
      <c r="J74" s="275"/>
    </row>
    <row r="75" spans="1:10" x14ac:dyDescent="0.2">
      <c r="A75" s="254"/>
    </row>
    <row r="76" spans="1:10" x14ac:dyDescent="0.2">
      <c r="A76" s="275"/>
    </row>
    <row r="77" spans="1:10" x14ac:dyDescent="0.2">
      <c r="A77" s="275"/>
    </row>
  </sheetData>
  <mergeCells count="9">
    <mergeCell ref="B60:L62"/>
    <mergeCell ref="A10:L10"/>
    <mergeCell ref="A9:L9"/>
    <mergeCell ref="B59:L59"/>
    <mergeCell ref="B58:L58"/>
    <mergeCell ref="A14:A15"/>
    <mergeCell ref="B14:B15"/>
    <mergeCell ref="K14:K15"/>
    <mergeCell ref="A11:L11"/>
  </mergeCells>
  <dataValidations disablePrompts="1" count="1">
    <dataValidation allowBlank="1" showInputMessage="1" showErrorMessage="1" promptTitle="Date Format" prompt="E.g:  &quot;August 1, 2011&quot;"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dataValidations>
  <printOptions horizontalCentered="1"/>
  <pageMargins left="0.5" right="0.5" top="0.5" bottom="0.5" header="0.39370078740157499" footer="0.27559055118110198"/>
  <pageSetup scale="5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N63"/>
  <sheetViews>
    <sheetView showGridLines="0" topLeftCell="A32" zoomScaleNormal="100" workbookViewId="0">
      <selection sqref="A1:XFD1048576"/>
    </sheetView>
  </sheetViews>
  <sheetFormatPr defaultRowHeight="12.75" x14ac:dyDescent="0.2"/>
  <cols>
    <col min="1" max="1" width="9.140625" style="253"/>
    <col min="2" max="2" width="40.28515625" style="253" bestFit="1" customWidth="1"/>
    <col min="3" max="3" width="13.42578125" style="253" customWidth="1"/>
    <col min="4" max="4" width="12" style="253" customWidth="1"/>
    <col min="5" max="5" width="13" style="253" customWidth="1"/>
    <col min="6" max="6" width="12" style="253" customWidth="1"/>
    <col min="7" max="7" width="17.85546875" style="746" customWidth="1"/>
    <col min="8" max="8" width="7.7109375" style="253" customWidth="1"/>
    <col min="9" max="9" width="12.28515625" style="253" customWidth="1"/>
    <col min="10" max="10" width="12.7109375" style="746" customWidth="1"/>
    <col min="11" max="11" width="21.42578125" style="746" customWidth="1"/>
    <col min="12" max="12" width="11.42578125" style="253" customWidth="1"/>
    <col min="13" max="257" width="9.140625" style="253"/>
    <col min="258" max="258" width="2.7109375" style="253" customWidth="1"/>
    <col min="259" max="259" width="9.140625" style="253"/>
    <col min="260" max="260" width="40.28515625" style="253" bestFit="1" customWidth="1"/>
    <col min="261" max="261" width="10.7109375" style="253" customWidth="1"/>
    <col min="262" max="262" width="10" style="253" customWidth="1"/>
    <col min="263" max="263" width="17.85546875" style="253" customWidth="1"/>
    <col min="264" max="264" width="7.7109375" style="253" customWidth="1"/>
    <col min="265" max="265" width="12.28515625" style="253" customWidth="1"/>
    <col min="266" max="266" width="12.7109375" style="253" customWidth="1"/>
    <col min="267" max="267" width="14.140625" style="253" customWidth="1"/>
    <col min="268" max="268" width="11.140625" style="253" customWidth="1"/>
    <col min="269" max="513" width="9.140625" style="253"/>
    <col min="514" max="514" width="2.7109375" style="253" customWidth="1"/>
    <col min="515" max="515" width="9.140625" style="253"/>
    <col min="516" max="516" width="40.28515625" style="253" bestFit="1" customWidth="1"/>
    <col min="517" max="517" width="10.7109375" style="253" customWidth="1"/>
    <col min="518" max="518" width="10" style="253" customWidth="1"/>
    <col min="519" max="519" width="17.85546875" style="253" customWidth="1"/>
    <col min="520" max="520" width="7.7109375" style="253" customWidth="1"/>
    <col min="521" max="521" width="12.28515625" style="253" customWidth="1"/>
    <col min="522" max="522" width="12.7109375" style="253" customWidth="1"/>
    <col min="523" max="523" width="14.140625" style="253" customWidth="1"/>
    <col min="524" max="524" width="11.140625" style="253" customWidth="1"/>
    <col min="525" max="769" width="9.140625" style="253"/>
    <col min="770" max="770" width="2.7109375" style="253" customWidth="1"/>
    <col min="771" max="771" width="9.140625" style="253"/>
    <col min="772" max="772" width="40.28515625" style="253" bestFit="1" customWidth="1"/>
    <col min="773" max="773" width="10.7109375" style="253" customWidth="1"/>
    <col min="774" max="774" width="10" style="253" customWidth="1"/>
    <col min="775" max="775" width="17.85546875" style="253" customWidth="1"/>
    <col min="776" max="776" width="7.7109375" style="253" customWidth="1"/>
    <col min="777" max="777" width="12.28515625" style="253" customWidth="1"/>
    <col min="778" max="778" width="12.7109375" style="253" customWidth="1"/>
    <col min="779" max="779" width="14.140625" style="253" customWidth="1"/>
    <col min="780" max="780" width="11.140625" style="253" customWidth="1"/>
    <col min="781" max="1025" width="9.140625" style="253"/>
    <col min="1026" max="1026" width="2.7109375" style="253" customWidth="1"/>
    <col min="1027" max="1027" width="9.140625" style="253"/>
    <col min="1028" max="1028" width="40.28515625" style="253" bestFit="1" customWidth="1"/>
    <col min="1029" max="1029" width="10.7109375" style="253" customWidth="1"/>
    <col min="1030" max="1030" width="10" style="253" customWidth="1"/>
    <col min="1031" max="1031" width="17.85546875" style="253" customWidth="1"/>
    <col min="1032" max="1032" width="7.7109375" style="253" customWidth="1"/>
    <col min="1033" max="1033" width="12.28515625" style="253" customWidth="1"/>
    <col min="1034" max="1034" width="12.7109375" style="253" customWidth="1"/>
    <col min="1035" max="1035" width="14.140625" style="253" customWidth="1"/>
    <col min="1036" max="1036" width="11.140625" style="253" customWidth="1"/>
    <col min="1037" max="1281" width="9.140625" style="253"/>
    <col min="1282" max="1282" width="2.7109375" style="253" customWidth="1"/>
    <col min="1283" max="1283" width="9.140625" style="253"/>
    <col min="1284" max="1284" width="40.28515625" style="253" bestFit="1" customWidth="1"/>
    <col min="1285" max="1285" width="10.7109375" style="253" customWidth="1"/>
    <col min="1286" max="1286" width="10" style="253" customWidth="1"/>
    <col min="1287" max="1287" width="17.85546875" style="253" customWidth="1"/>
    <col min="1288" max="1288" width="7.7109375" style="253" customWidth="1"/>
    <col min="1289" max="1289" width="12.28515625" style="253" customWidth="1"/>
    <col min="1290" max="1290" width="12.7109375" style="253" customWidth="1"/>
    <col min="1291" max="1291" width="14.140625" style="253" customWidth="1"/>
    <col min="1292" max="1292" width="11.140625" style="253" customWidth="1"/>
    <col min="1293" max="1537" width="9.140625" style="253"/>
    <col min="1538" max="1538" width="2.7109375" style="253" customWidth="1"/>
    <col min="1539" max="1539" width="9.140625" style="253"/>
    <col min="1540" max="1540" width="40.28515625" style="253" bestFit="1" customWidth="1"/>
    <col min="1541" max="1541" width="10.7109375" style="253" customWidth="1"/>
    <col min="1542" max="1542" width="10" style="253" customWidth="1"/>
    <col min="1543" max="1543" width="17.85546875" style="253" customWidth="1"/>
    <col min="1544" max="1544" width="7.7109375" style="253" customWidth="1"/>
    <col min="1545" max="1545" width="12.28515625" style="253" customWidth="1"/>
    <col min="1546" max="1546" width="12.7109375" style="253" customWidth="1"/>
    <col min="1547" max="1547" width="14.140625" style="253" customWidth="1"/>
    <col min="1548" max="1548" width="11.140625" style="253" customWidth="1"/>
    <col min="1549" max="1793" width="9.140625" style="253"/>
    <col min="1794" max="1794" width="2.7109375" style="253" customWidth="1"/>
    <col min="1795" max="1795" width="9.140625" style="253"/>
    <col min="1796" max="1796" width="40.28515625" style="253" bestFit="1" customWidth="1"/>
    <col min="1797" max="1797" width="10.7109375" style="253" customWidth="1"/>
    <col min="1798" max="1798" width="10" style="253" customWidth="1"/>
    <col min="1799" max="1799" width="17.85546875" style="253" customWidth="1"/>
    <col min="1800" max="1800" width="7.7109375" style="253" customWidth="1"/>
    <col min="1801" max="1801" width="12.28515625" style="253" customWidth="1"/>
    <col min="1802" max="1802" width="12.7109375" style="253" customWidth="1"/>
    <col min="1803" max="1803" width="14.140625" style="253" customWidth="1"/>
    <col min="1804" max="1804" width="11.140625" style="253" customWidth="1"/>
    <col min="1805" max="2049" width="9.140625" style="253"/>
    <col min="2050" max="2050" width="2.7109375" style="253" customWidth="1"/>
    <col min="2051" max="2051" width="9.140625" style="253"/>
    <col min="2052" max="2052" width="40.28515625" style="253" bestFit="1" customWidth="1"/>
    <col min="2053" max="2053" width="10.7109375" style="253" customWidth="1"/>
    <col min="2054" max="2054" width="10" style="253" customWidth="1"/>
    <col min="2055" max="2055" width="17.85546875" style="253" customWidth="1"/>
    <col min="2056" max="2056" width="7.7109375" style="253" customWidth="1"/>
    <col min="2057" max="2057" width="12.28515625" style="253" customWidth="1"/>
    <col min="2058" max="2058" width="12.7109375" style="253" customWidth="1"/>
    <col min="2059" max="2059" width="14.140625" style="253" customWidth="1"/>
    <col min="2060" max="2060" width="11.140625" style="253" customWidth="1"/>
    <col min="2061" max="2305" width="9.140625" style="253"/>
    <col min="2306" max="2306" width="2.7109375" style="253" customWidth="1"/>
    <col min="2307" max="2307" width="9.140625" style="253"/>
    <col min="2308" max="2308" width="40.28515625" style="253" bestFit="1" customWidth="1"/>
    <col min="2309" max="2309" width="10.7109375" style="253" customWidth="1"/>
    <col min="2310" max="2310" width="10" style="253" customWidth="1"/>
    <col min="2311" max="2311" width="17.85546875" style="253" customWidth="1"/>
    <col min="2312" max="2312" width="7.7109375" style="253" customWidth="1"/>
    <col min="2313" max="2313" width="12.28515625" style="253" customWidth="1"/>
    <col min="2314" max="2314" width="12.7109375" style="253" customWidth="1"/>
    <col min="2315" max="2315" width="14.140625" style="253" customWidth="1"/>
    <col min="2316" max="2316" width="11.140625" style="253" customWidth="1"/>
    <col min="2317" max="2561" width="9.140625" style="253"/>
    <col min="2562" max="2562" width="2.7109375" style="253" customWidth="1"/>
    <col min="2563" max="2563" width="9.140625" style="253"/>
    <col min="2564" max="2564" width="40.28515625" style="253" bestFit="1" customWidth="1"/>
    <col min="2565" max="2565" width="10.7109375" style="253" customWidth="1"/>
    <col min="2566" max="2566" width="10" style="253" customWidth="1"/>
    <col min="2567" max="2567" width="17.85546875" style="253" customWidth="1"/>
    <col min="2568" max="2568" width="7.7109375" style="253" customWidth="1"/>
    <col min="2569" max="2569" width="12.28515625" style="253" customWidth="1"/>
    <col min="2570" max="2570" width="12.7109375" style="253" customWidth="1"/>
    <col min="2571" max="2571" width="14.140625" style="253" customWidth="1"/>
    <col min="2572" max="2572" width="11.140625" style="253" customWidth="1"/>
    <col min="2573" max="2817" width="9.140625" style="253"/>
    <col min="2818" max="2818" width="2.7109375" style="253" customWidth="1"/>
    <col min="2819" max="2819" width="9.140625" style="253"/>
    <col min="2820" max="2820" width="40.28515625" style="253" bestFit="1" customWidth="1"/>
    <col min="2821" max="2821" width="10.7109375" style="253" customWidth="1"/>
    <col min="2822" max="2822" width="10" style="253" customWidth="1"/>
    <col min="2823" max="2823" width="17.85546875" style="253" customWidth="1"/>
    <col min="2824" max="2824" width="7.7109375" style="253" customWidth="1"/>
    <col min="2825" max="2825" width="12.28515625" style="253" customWidth="1"/>
    <col min="2826" max="2826" width="12.7109375" style="253" customWidth="1"/>
    <col min="2827" max="2827" width="14.140625" style="253" customWidth="1"/>
    <col min="2828" max="2828" width="11.140625" style="253" customWidth="1"/>
    <col min="2829" max="3073" width="9.140625" style="253"/>
    <col min="3074" max="3074" width="2.7109375" style="253" customWidth="1"/>
    <col min="3075" max="3075" width="9.140625" style="253"/>
    <col min="3076" max="3076" width="40.28515625" style="253" bestFit="1" customWidth="1"/>
    <col min="3077" max="3077" width="10.7109375" style="253" customWidth="1"/>
    <col min="3078" max="3078" width="10" style="253" customWidth="1"/>
    <col min="3079" max="3079" width="17.85546875" style="253" customWidth="1"/>
    <col min="3080" max="3080" width="7.7109375" style="253" customWidth="1"/>
    <col min="3081" max="3081" width="12.28515625" style="253" customWidth="1"/>
    <col min="3082" max="3082" width="12.7109375" style="253" customWidth="1"/>
    <col min="3083" max="3083" width="14.140625" style="253" customWidth="1"/>
    <col min="3084" max="3084" width="11.140625" style="253" customWidth="1"/>
    <col min="3085" max="3329" width="9.140625" style="253"/>
    <col min="3330" max="3330" width="2.7109375" style="253" customWidth="1"/>
    <col min="3331" max="3331" width="9.140625" style="253"/>
    <col min="3332" max="3332" width="40.28515625" style="253" bestFit="1" customWidth="1"/>
    <col min="3333" max="3333" width="10.7109375" style="253" customWidth="1"/>
    <col min="3334" max="3334" width="10" style="253" customWidth="1"/>
    <col min="3335" max="3335" width="17.85546875" style="253" customWidth="1"/>
    <col min="3336" max="3336" width="7.7109375" style="253" customWidth="1"/>
    <col min="3337" max="3337" width="12.28515625" style="253" customWidth="1"/>
    <col min="3338" max="3338" width="12.7109375" style="253" customWidth="1"/>
    <col min="3339" max="3339" width="14.140625" style="253" customWidth="1"/>
    <col min="3340" max="3340" width="11.140625" style="253" customWidth="1"/>
    <col min="3341" max="3585" width="9.140625" style="253"/>
    <col min="3586" max="3586" width="2.7109375" style="253" customWidth="1"/>
    <col min="3587" max="3587" width="9.140625" style="253"/>
    <col min="3588" max="3588" width="40.28515625" style="253" bestFit="1" customWidth="1"/>
    <col min="3589" max="3589" width="10.7109375" style="253" customWidth="1"/>
    <col min="3590" max="3590" width="10" style="253" customWidth="1"/>
    <col min="3591" max="3591" width="17.85546875" style="253" customWidth="1"/>
    <col min="3592" max="3592" width="7.7109375" style="253" customWidth="1"/>
    <col min="3593" max="3593" width="12.28515625" style="253" customWidth="1"/>
    <col min="3594" max="3594" width="12.7109375" style="253" customWidth="1"/>
    <col min="3595" max="3595" width="14.140625" style="253" customWidth="1"/>
    <col min="3596" max="3596" width="11.140625" style="253" customWidth="1"/>
    <col min="3597" max="3841" width="9.140625" style="253"/>
    <col min="3842" max="3842" width="2.7109375" style="253" customWidth="1"/>
    <col min="3843" max="3843" width="9.140625" style="253"/>
    <col min="3844" max="3844" width="40.28515625" style="253" bestFit="1" customWidth="1"/>
    <col min="3845" max="3845" width="10.7109375" style="253" customWidth="1"/>
    <col min="3846" max="3846" width="10" style="253" customWidth="1"/>
    <col min="3847" max="3847" width="17.85546875" style="253" customWidth="1"/>
    <col min="3848" max="3848" width="7.7109375" style="253" customWidth="1"/>
    <col min="3849" max="3849" width="12.28515625" style="253" customWidth="1"/>
    <col min="3850" max="3850" width="12.7109375" style="253" customWidth="1"/>
    <col min="3851" max="3851" width="14.140625" style="253" customWidth="1"/>
    <col min="3852" max="3852" width="11.140625" style="253" customWidth="1"/>
    <col min="3853" max="4097" width="9.140625" style="253"/>
    <col min="4098" max="4098" width="2.7109375" style="253" customWidth="1"/>
    <col min="4099" max="4099" width="9.140625" style="253"/>
    <col min="4100" max="4100" width="40.28515625" style="253" bestFit="1" customWidth="1"/>
    <col min="4101" max="4101" width="10.7109375" style="253" customWidth="1"/>
    <col min="4102" max="4102" width="10" style="253" customWidth="1"/>
    <col min="4103" max="4103" width="17.85546875" style="253" customWidth="1"/>
    <col min="4104" max="4104" width="7.7109375" style="253" customWidth="1"/>
    <col min="4105" max="4105" width="12.28515625" style="253" customWidth="1"/>
    <col min="4106" max="4106" width="12.7109375" style="253" customWidth="1"/>
    <col min="4107" max="4107" width="14.140625" style="253" customWidth="1"/>
    <col min="4108" max="4108" width="11.140625" style="253" customWidth="1"/>
    <col min="4109" max="4353" width="9.140625" style="253"/>
    <col min="4354" max="4354" width="2.7109375" style="253" customWidth="1"/>
    <col min="4355" max="4355" width="9.140625" style="253"/>
    <col min="4356" max="4356" width="40.28515625" style="253" bestFit="1" customWidth="1"/>
    <col min="4357" max="4357" width="10.7109375" style="253" customWidth="1"/>
    <col min="4358" max="4358" width="10" style="253" customWidth="1"/>
    <col min="4359" max="4359" width="17.85546875" style="253" customWidth="1"/>
    <col min="4360" max="4360" width="7.7109375" style="253" customWidth="1"/>
    <col min="4361" max="4361" width="12.28515625" style="253" customWidth="1"/>
    <col min="4362" max="4362" width="12.7109375" style="253" customWidth="1"/>
    <col min="4363" max="4363" width="14.140625" style="253" customWidth="1"/>
    <col min="4364" max="4364" width="11.140625" style="253" customWidth="1"/>
    <col min="4365" max="4609" width="9.140625" style="253"/>
    <col min="4610" max="4610" width="2.7109375" style="253" customWidth="1"/>
    <col min="4611" max="4611" width="9.140625" style="253"/>
    <col min="4612" max="4612" width="40.28515625" style="253" bestFit="1" customWidth="1"/>
    <col min="4613" max="4613" width="10.7109375" style="253" customWidth="1"/>
    <col min="4614" max="4614" width="10" style="253" customWidth="1"/>
    <col min="4615" max="4615" width="17.85546875" style="253" customWidth="1"/>
    <col min="4616" max="4616" width="7.7109375" style="253" customWidth="1"/>
    <col min="4617" max="4617" width="12.28515625" style="253" customWidth="1"/>
    <col min="4618" max="4618" width="12.7109375" style="253" customWidth="1"/>
    <col min="4619" max="4619" width="14.140625" style="253" customWidth="1"/>
    <col min="4620" max="4620" width="11.140625" style="253" customWidth="1"/>
    <col min="4621" max="4865" width="9.140625" style="253"/>
    <col min="4866" max="4866" width="2.7109375" style="253" customWidth="1"/>
    <col min="4867" max="4867" width="9.140625" style="253"/>
    <col min="4868" max="4868" width="40.28515625" style="253" bestFit="1" customWidth="1"/>
    <col min="4869" max="4869" width="10.7109375" style="253" customWidth="1"/>
    <col min="4870" max="4870" width="10" style="253" customWidth="1"/>
    <col min="4871" max="4871" width="17.85546875" style="253" customWidth="1"/>
    <col min="4872" max="4872" width="7.7109375" style="253" customWidth="1"/>
    <col min="4873" max="4873" width="12.28515625" style="253" customWidth="1"/>
    <col min="4874" max="4874" width="12.7109375" style="253" customWidth="1"/>
    <col min="4875" max="4875" width="14.140625" style="253" customWidth="1"/>
    <col min="4876" max="4876" width="11.140625" style="253" customWidth="1"/>
    <col min="4877" max="5121" width="9.140625" style="253"/>
    <col min="5122" max="5122" width="2.7109375" style="253" customWidth="1"/>
    <col min="5123" max="5123" width="9.140625" style="253"/>
    <col min="5124" max="5124" width="40.28515625" style="253" bestFit="1" customWidth="1"/>
    <col min="5125" max="5125" width="10.7109375" style="253" customWidth="1"/>
    <col min="5126" max="5126" width="10" style="253" customWidth="1"/>
    <col min="5127" max="5127" width="17.85546875" style="253" customWidth="1"/>
    <col min="5128" max="5128" width="7.7109375" style="253" customWidth="1"/>
    <col min="5129" max="5129" width="12.28515625" style="253" customWidth="1"/>
    <col min="5130" max="5130" width="12.7109375" style="253" customWidth="1"/>
    <col min="5131" max="5131" width="14.140625" style="253" customWidth="1"/>
    <col min="5132" max="5132" width="11.140625" style="253" customWidth="1"/>
    <col min="5133" max="5377" width="9.140625" style="253"/>
    <col min="5378" max="5378" width="2.7109375" style="253" customWidth="1"/>
    <col min="5379" max="5379" width="9.140625" style="253"/>
    <col min="5380" max="5380" width="40.28515625" style="253" bestFit="1" customWidth="1"/>
    <col min="5381" max="5381" width="10.7109375" style="253" customWidth="1"/>
    <col min="5382" max="5382" width="10" style="253" customWidth="1"/>
    <col min="5383" max="5383" width="17.85546875" style="253" customWidth="1"/>
    <col min="5384" max="5384" width="7.7109375" style="253" customWidth="1"/>
    <col min="5385" max="5385" width="12.28515625" style="253" customWidth="1"/>
    <col min="5386" max="5386" width="12.7109375" style="253" customWidth="1"/>
    <col min="5387" max="5387" width="14.140625" style="253" customWidth="1"/>
    <col min="5388" max="5388" width="11.140625" style="253" customWidth="1"/>
    <col min="5389" max="5633" width="9.140625" style="253"/>
    <col min="5634" max="5634" width="2.7109375" style="253" customWidth="1"/>
    <col min="5635" max="5635" width="9.140625" style="253"/>
    <col min="5636" max="5636" width="40.28515625" style="253" bestFit="1" customWidth="1"/>
    <col min="5637" max="5637" width="10.7109375" style="253" customWidth="1"/>
    <col min="5638" max="5638" width="10" style="253" customWidth="1"/>
    <col min="5639" max="5639" width="17.85546875" style="253" customWidth="1"/>
    <col min="5640" max="5640" width="7.7109375" style="253" customWidth="1"/>
    <col min="5641" max="5641" width="12.28515625" style="253" customWidth="1"/>
    <col min="5642" max="5642" width="12.7109375" style="253" customWidth="1"/>
    <col min="5643" max="5643" width="14.140625" style="253" customWidth="1"/>
    <col min="5644" max="5644" width="11.140625" style="253" customWidth="1"/>
    <col min="5645" max="5889" width="9.140625" style="253"/>
    <col min="5890" max="5890" width="2.7109375" style="253" customWidth="1"/>
    <col min="5891" max="5891" width="9.140625" style="253"/>
    <col min="5892" max="5892" width="40.28515625" style="253" bestFit="1" customWidth="1"/>
    <col min="5893" max="5893" width="10.7109375" style="253" customWidth="1"/>
    <col min="5894" max="5894" width="10" style="253" customWidth="1"/>
    <col min="5895" max="5895" width="17.85546875" style="253" customWidth="1"/>
    <col min="5896" max="5896" width="7.7109375" style="253" customWidth="1"/>
    <col min="5897" max="5897" width="12.28515625" style="253" customWidth="1"/>
    <col min="5898" max="5898" width="12.7109375" style="253" customWidth="1"/>
    <col min="5899" max="5899" width="14.140625" style="253" customWidth="1"/>
    <col min="5900" max="5900" width="11.140625" style="253" customWidth="1"/>
    <col min="5901" max="6145" width="9.140625" style="253"/>
    <col min="6146" max="6146" width="2.7109375" style="253" customWidth="1"/>
    <col min="6147" max="6147" width="9.140625" style="253"/>
    <col min="6148" max="6148" width="40.28515625" style="253" bestFit="1" customWidth="1"/>
    <col min="6149" max="6149" width="10.7109375" style="253" customWidth="1"/>
    <col min="6150" max="6150" width="10" style="253" customWidth="1"/>
    <col min="6151" max="6151" width="17.85546875" style="253" customWidth="1"/>
    <col min="6152" max="6152" width="7.7109375" style="253" customWidth="1"/>
    <col min="6153" max="6153" width="12.28515625" style="253" customWidth="1"/>
    <col min="6154" max="6154" width="12.7109375" style="253" customWidth="1"/>
    <col min="6155" max="6155" width="14.140625" style="253" customWidth="1"/>
    <col min="6156" max="6156" width="11.140625" style="253" customWidth="1"/>
    <col min="6157" max="6401" width="9.140625" style="253"/>
    <col min="6402" max="6402" width="2.7109375" style="253" customWidth="1"/>
    <col min="6403" max="6403" width="9.140625" style="253"/>
    <col min="6404" max="6404" width="40.28515625" style="253" bestFit="1" customWidth="1"/>
    <col min="6405" max="6405" width="10.7109375" style="253" customWidth="1"/>
    <col min="6406" max="6406" width="10" style="253" customWidth="1"/>
    <col min="6407" max="6407" width="17.85546875" style="253" customWidth="1"/>
    <col min="6408" max="6408" width="7.7109375" style="253" customWidth="1"/>
    <col min="6409" max="6409" width="12.28515625" style="253" customWidth="1"/>
    <col min="6410" max="6410" width="12.7109375" style="253" customWidth="1"/>
    <col min="6411" max="6411" width="14.140625" style="253" customWidth="1"/>
    <col min="6412" max="6412" width="11.140625" style="253" customWidth="1"/>
    <col min="6413" max="6657" width="9.140625" style="253"/>
    <col min="6658" max="6658" width="2.7109375" style="253" customWidth="1"/>
    <col min="6659" max="6659" width="9.140625" style="253"/>
    <col min="6660" max="6660" width="40.28515625" style="253" bestFit="1" customWidth="1"/>
    <col min="6661" max="6661" width="10.7109375" style="253" customWidth="1"/>
    <col min="6662" max="6662" width="10" style="253" customWidth="1"/>
    <col min="6663" max="6663" width="17.85546875" style="253" customWidth="1"/>
    <col min="6664" max="6664" width="7.7109375" style="253" customWidth="1"/>
    <col min="6665" max="6665" width="12.28515625" style="253" customWidth="1"/>
    <col min="6666" max="6666" width="12.7109375" style="253" customWidth="1"/>
    <col min="6667" max="6667" width="14.140625" style="253" customWidth="1"/>
    <col min="6668" max="6668" width="11.140625" style="253" customWidth="1"/>
    <col min="6669" max="6913" width="9.140625" style="253"/>
    <col min="6914" max="6914" width="2.7109375" style="253" customWidth="1"/>
    <col min="6915" max="6915" width="9.140625" style="253"/>
    <col min="6916" max="6916" width="40.28515625" style="253" bestFit="1" customWidth="1"/>
    <col min="6917" max="6917" width="10.7109375" style="253" customWidth="1"/>
    <col min="6918" max="6918" width="10" style="253" customWidth="1"/>
    <col min="6919" max="6919" width="17.85546875" style="253" customWidth="1"/>
    <col min="6920" max="6920" width="7.7109375" style="253" customWidth="1"/>
    <col min="6921" max="6921" width="12.28515625" style="253" customWidth="1"/>
    <col min="6922" max="6922" width="12.7109375" style="253" customWidth="1"/>
    <col min="6923" max="6923" width="14.140625" style="253" customWidth="1"/>
    <col min="6924" max="6924" width="11.140625" style="253" customWidth="1"/>
    <col min="6925" max="7169" width="9.140625" style="253"/>
    <col min="7170" max="7170" width="2.7109375" style="253" customWidth="1"/>
    <col min="7171" max="7171" width="9.140625" style="253"/>
    <col min="7172" max="7172" width="40.28515625" style="253" bestFit="1" customWidth="1"/>
    <col min="7173" max="7173" width="10.7109375" style="253" customWidth="1"/>
    <col min="7174" max="7174" width="10" style="253" customWidth="1"/>
    <col min="7175" max="7175" width="17.85546875" style="253" customWidth="1"/>
    <col min="7176" max="7176" width="7.7109375" style="253" customWidth="1"/>
    <col min="7177" max="7177" width="12.28515625" style="253" customWidth="1"/>
    <col min="7178" max="7178" width="12.7109375" style="253" customWidth="1"/>
    <col min="7179" max="7179" width="14.140625" style="253" customWidth="1"/>
    <col min="7180" max="7180" width="11.140625" style="253" customWidth="1"/>
    <col min="7181" max="7425" width="9.140625" style="253"/>
    <col min="7426" max="7426" width="2.7109375" style="253" customWidth="1"/>
    <col min="7427" max="7427" width="9.140625" style="253"/>
    <col min="7428" max="7428" width="40.28515625" style="253" bestFit="1" customWidth="1"/>
    <col min="7429" max="7429" width="10.7109375" style="253" customWidth="1"/>
    <col min="7430" max="7430" width="10" style="253" customWidth="1"/>
    <col min="7431" max="7431" width="17.85546875" style="253" customWidth="1"/>
    <col min="7432" max="7432" width="7.7109375" style="253" customWidth="1"/>
    <col min="7433" max="7433" width="12.28515625" style="253" customWidth="1"/>
    <col min="7434" max="7434" width="12.7109375" style="253" customWidth="1"/>
    <col min="7435" max="7435" width="14.140625" style="253" customWidth="1"/>
    <col min="7436" max="7436" width="11.140625" style="253" customWidth="1"/>
    <col min="7437" max="7681" width="9.140625" style="253"/>
    <col min="7682" max="7682" width="2.7109375" style="253" customWidth="1"/>
    <col min="7683" max="7683" width="9.140625" style="253"/>
    <col min="7684" max="7684" width="40.28515625" style="253" bestFit="1" customWidth="1"/>
    <col min="7685" max="7685" width="10.7109375" style="253" customWidth="1"/>
    <col min="7686" max="7686" width="10" style="253" customWidth="1"/>
    <col min="7687" max="7687" width="17.85546875" style="253" customWidth="1"/>
    <col min="7688" max="7688" width="7.7109375" style="253" customWidth="1"/>
    <col min="7689" max="7689" width="12.28515625" style="253" customWidth="1"/>
    <col min="7690" max="7690" width="12.7109375" style="253" customWidth="1"/>
    <col min="7691" max="7691" width="14.140625" style="253" customWidth="1"/>
    <col min="7692" max="7692" width="11.140625" style="253" customWidth="1"/>
    <col min="7693" max="7937" width="9.140625" style="253"/>
    <col min="7938" max="7938" width="2.7109375" style="253" customWidth="1"/>
    <col min="7939" max="7939" width="9.140625" style="253"/>
    <col min="7940" max="7940" width="40.28515625" style="253" bestFit="1" customWidth="1"/>
    <col min="7941" max="7941" width="10.7109375" style="253" customWidth="1"/>
    <col min="7942" max="7942" width="10" style="253" customWidth="1"/>
    <col min="7943" max="7943" width="17.85546875" style="253" customWidth="1"/>
    <col min="7944" max="7944" width="7.7109375" style="253" customWidth="1"/>
    <col min="7945" max="7945" width="12.28515625" style="253" customWidth="1"/>
    <col min="7946" max="7946" width="12.7109375" style="253" customWidth="1"/>
    <col min="7947" max="7947" width="14.140625" style="253" customWidth="1"/>
    <col min="7948" max="7948" width="11.140625" style="253" customWidth="1"/>
    <col min="7949" max="8193" width="9.140625" style="253"/>
    <col min="8194" max="8194" width="2.7109375" style="253" customWidth="1"/>
    <col min="8195" max="8195" width="9.140625" style="253"/>
    <col min="8196" max="8196" width="40.28515625" style="253" bestFit="1" customWidth="1"/>
    <col min="8197" max="8197" width="10.7109375" style="253" customWidth="1"/>
    <col min="8198" max="8198" width="10" style="253" customWidth="1"/>
    <col min="8199" max="8199" width="17.85546875" style="253" customWidth="1"/>
    <col min="8200" max="8200" width="7.7109375" style="253" customWidth="1"/>
    <col min="8201" max="8201" width="12.28515625" style="253" customWidth="1"/>
    <col min="8202" max="8202" width="12.7109375" style="253" customWidth="1"/>
    <col min="8203" max="8203" width="14.140625" style="253" customWidth="1"/>
    <col min="8204" max="8204" width="11.140625" style="253" customWidth="1"/>
    <col min="8205" max="8449" width="9.140625" style="253"/>
    <col min="8450" max="8450" width="2.7109375" style="253" customWidth="1"/>
    <col min="8451" max="8451" width="9.140625" style="253"/>
    <col min="8452" max="8452" width="40.28515625" style="253" bestFit="1" customWidth="1"/>
    <col min="8453" max="8453" width="10.7109375" style="253" customWidth="1"/>
    <col min="8454" max="8454" width="10" style="253" customWidth="1"/>
    <col min="8455" max="8455" width="17.85546875" style="253" customWidth="1"/>
    <col min="8456" max="8456" width="7.7109375" style="253" customWidth="1"/>
    <col min="8457" max="8457" width="12.28515625" style="253" customWidth="1"/>
    <col min="8458" max="8458" width="12.7109375" style="253" customWidth="1"/>
    <col min="8459" max="8459" width="14.140625" style="253" customWidth="1"/>
    <col min="8460" max="8460" width="11.140625" style="253" customWidth="1"/>
    <col min="8461" max="8705" width="9.140625" style="253"/>
    <col min="8706" max="8706" width="2.7109375" style="253" customWidth="1"/>
    <col min="8707" max="8707" width="9.140625" style="253"/>
    <col min="8708" max="8708" width="40.28515625" style="253" bestFit="1" customWidth="1"/>
    <col min="8709" max="8709" width="10.7109375" style="253" customWidth="1"/>
    <col min="8710" max="8710" width="10" style="253" customWidth="1"/>
    <col min="8711" max="8711" width="17.85546875" style="253" customWidth="1"/>
    <col min="8712" max="8712" width="7.7109375" style="253" customWidth="1"/>
    <col min="8713" max="8713" width="12.28515625" style="253" customWidth="1"/>
    <col min="8714" max="8714" width="12.7109375" style="253" customWidth="1"/>
    <col min="8715" max="8715" width="14.140625" style="253" customWidth="1"/>
    <col min="8716" max="8716" width="11.140625" style="253" customWidth="1"/>
    <col min="8717" max="8961" width="9.140625" style="253"/>
    <col min="8962" max="8962" width="2.7109375" style="253" customWidth="1"/>
    <col min="8963" max="8963" width="9.140625" style="253"/>
    <col min="8964" max="8964" width="40.28515625" style="253" bestFit="1" customWidth="1"/>
    <col min="8965" max="8965" width="10.7109375" style="253" customWidth="1"/>
    <col min="8966" max="8966" width="10" style="253" customWidth="1"/>
    <col min="8967" max="8967" width="17.85546875" style="253" customWidth="1"/>
    <col min="8968" max="8968" width="7.7109375" style="253" customWidth="1"/>
    <col min="8969" max="8969" width="12.28515625" style="253" customWidth="1"/>
    <col min="8970" max="8970" width="12.7109375" style="253" customWidth="1"/>
    <col min="8971" max="8971" width="14.140625" style="253" customWidth="1"/>
    <col min="8972" max="8972" width="11.140625" style="253" customWidth="1"/>
    <col min="8973" max="9217" width="9.140625" style="253"/>
    <col min="9218" max="9218" width="2.7109375" style="253" customWidth="1"/>
    <col min="9219" max="9219" width="9.140625" style="253"/>
    <col min="9220" max="9220" width="40.28515625" style="253" bestFit="1" customWidth="1"/>
    <col min="9221" max="9221" width="10.7109375" style="253" customWidth="1"/>
    <col min="9222" max="9222" width="10" style="253" customWidth="1"/>
    <col min="9223" max="9223" width="17.85546875" style="253" customWidth="1"/>
    <col min="9224" max="9224" width="7.7109375" style="253" customWidth="1"/>
    <col min="9225" max="9225" width="12.28515625" style="253" customWidth="1"/>
    <col min="9226" max="9226" width="12.7109375" style="253" customWidth="1"/>
    <col min="9227" max="9227" width="14.140625" style="253" customWidth="1"/>
    <col min="9228" max="9228" width="11.140625" style="253" customWidth="1"/>
    <col min="9229" max="9473" width="9.140625" style="253"/>
    <col min="9474" max="9474" width="2.7109375" style="253" customWidth="1"/>
    <col min="9475" max="9475" width="9.140625" style="253"/>
    <col min="9476" max="9476" width="40.28515625" style="253" bestFit="1" customWidth="1"/>
    <col min="9477" max="9477" width="10.7109375" style="253" customWidth="1"/>
    <col min="9478" max="9478" width="10" style="253" customWidth="1"/>
    <col min="9479" max="9479" width="17.85546875" style="253" customWidth="1"/>
    <col min="9480" max="9480" width="7.7109375" style="253" customWidth="1"/>
    <col min="9481" max="9481" width="12.28515625" style="253" customWidth="1"/>
    <col min="9482" max="9482" width="12.7109375" style="253" customWidth="1"/>
    <col min="9483" max="9483" width="14.140625" style="253" customWidth="1"/>
    <col min="9484" max="9484" width="11.140625" style="253" customWidth="1"/>
    <col min="9485" max="9729" width="9.140625" style="253"/>
    <col min="9730" max="9730" width="2.7109375" style="253" customWidth="1"/>
    <col min="9731" max="9731" width="9.140625" style="253"/>
    <col min="9732" max="9732" width="40.28515625" style="253" bestFit="1" customWidth="1"/>
    <col min="9733" max="9733" width="10.7109375" style="253" customWidth="1"/>
    <col min="9734" max="9734" width="10" style="253" customWidth="1"/>
    <col min="9735" max="9735" width="17.85546875" style="253" customWidth="1"/>
    <col min="9736" max="9736" width="7.7109375" style="253" customWidth="1"/>
    <col min="9737" max="9737" width="12.28515625" style="253" customWidth="1"/>
    <col min="9738" max="9738" width="12.7109375" style="253" customWidth="1"/>
    <col min="9739" max="9739" width="14.140625" style="253" customWidth="1"/>
    <col min="9740" max="9740" width="11.140625" style="253" customWidth="1"/>
    <col min="9741" max="9985" width="9.140625" style="253"/>
    <col min="9986" max="9986" width="2.7109375" style="253" customWidth="1"/>
    <col min="9987" max="9987" width="9.140625" style="253"/>
    <col min="9988" max="9988" width="40.28515625" style="253" bestFit="1" customWidth="1"/>
    <col min="9989" max="9989" width="10.7109375" style="253" customWidth="1"/>
    <col min="9990" max="9990" width="10" style="253" customWidth="1"/>
    <col min="9991" max="9991" width="17.85546875" style="253" customWidth="1"/>
    <col min="9992" max="9992" width="7.7109375" style="253" customWidth="1"/>
    <col min="9993" max="9993" width="12.28515625" style="253" customWidth="1"/>
    <col min="9994" max="9994" width="12.7109375" style="253" customWidth="1"/>
    <col min="9995" max="9995" width="14.140625" style="253" customWidth="1"/>
    <col min="9996" max="9996" width="11.140625" style="253" customWidth="1"/>
    <col min="9997" max="10241" width="9.140625" style="253"/>
    <col min="10242" max="10242" width="2.7109375" style="253" customWidth="1"/>
    <col min="10243" max="10243" width="9.140625" style="253"/>
    <col min="10244" max="10244" width="40.28515625" style="253" bestFit="1" customWidth="1"/>
    <col min="10245" max="10245" width="10.7109375" style="253" customWidth="1"/>
    <col min="10246" max="10246" width="10" style="253" customWidth="1"/>
    <col min="10247" max="10247" width="17.85546875" style="253" customWidth="1"/>
    <col min="10248" max="10248" width="7.7109375" style="253" customWidth="1"/>
    <col min="10249" max="10249" width="12.28515625" style="253" customWidth="1"/>
    <col min="10250" max="10250" width="12.7109375" style="253" customWidth="1"/>
    <col min="10251" max="10251" width="14.140625" style="253" customWidth="1"/>
    <col min="10252" max="10252" width="11.140625" style="253" customWidth="1"/>
    <col min="10253" max="10497" width="9.140625" style="253"/>
    <col min="10498" max="10498" width="2.7109375" style="253" customWidth="1"/>
    <col min="10499" max="10499" width="9.140625" style="253"/>
    <col min="10500" max="10500" width="40.28515625" style="253" bestFit="1" customWidth="1"/>
    <col min="10501" max="10501" width="10.7109375" style="253" customWidth="1"/>
    <col min="10502" max="10502" width="10" style="253" customWidth="1"/>
    <col min="10503" max="10503" width="17.85546875" style="253" customWidth="1"/>
    <col min="10504" max="10504" width="7.7109375" style="253" customWidth="1"/>
    <col min="10505" max="10505" width="12.28515625" style="253" customWidth="1"/>
    <col min="10506" max="10506" width="12.7109375" style="253" customWidth="1"/>
    <col min="10507" max="10507" width="14.140625" style="253" customWidth="1"/>
    <col min="10508" max="10508" width="11.140625" style="253" customWidth="1"/>
    <col min="10509" max="10753" width="9.140625" style="253"/>
    <col min="10754" max="10754" width="2.7109375" style="253" customWidth="1"/>
    <col min="10755" max="10755" width="9.140625" style="253"/>
    <col min="10756" max="10756" width="40.28515625" style="253" bestFit="1" customWidth="1"/>
    <col min="10757" max="10757" width="10.7109375" style="253" customWidth="1"/>
    <col min="10758" max="10758" width="10" style="253" customWidth="1"/>
    <col min="10759" max="10759" width="17.85546875" style="253" customWidth="1"/>
    <col min="10760" max="10760" width="7.7109375" style="253" customWidth="1"/>
    <col min="10761" max="10761" width="12.28515625" style="253" customWidth="1"/>
    <col min="10762" max="10762" width="12.7109375" style="253" customWidth="1"/>
    <col min="10763" max="10763" width="14.140625" style="253" customWidth="1"/>
    <col min="10764" max="10764" width="11.140625" style="253" customWidth="1"/>
    <col min="10765" max="11009" width="9.140625" style="253"/>
    <col min="11010" max="11010" width="2.7109375" style="253" customWidth="1"/>
    <col min="11011" max="11011" width="9.140625" style="253"/>
    <col min="11012" max="11012" width="40.28515625" style="253" bestFit="1" customWidth="1"/>
    <col min="11013" max="11013" width="10.7109375" style="253" customWidth="1"/>
    <col min="11014" max="11014" width="10" style="253" customWidth="1"/>
    <col min="11015" max="11015" width="17.85546875" style="253" customWidth="1"/>
    <col min="11016" max="11016" width="7.7109375" style="253" customWidth="1"/>
    <col min="11017" max="11017" width="12.28515625" style="253" customWidth="1"/>
    <col min="11018" max="11018" width="12.7109375" style="253" customWidth="1"/>
    <col min="11019" max="11019" width="14.140625" style="253" customWidth="1"/>
    <col min="11020" max="11020" width="11.140625" style="253" customWidth="1"/>
    <col min="11021" max="11265" width="9.140625" style="253"/>
    <col min="11266" max="11266" width="2.7109375" style="253" customWidth="1"/>
    <col min="11267" max="11267" width="9.140625" style="253"/>
    <col min="11268" max="11268" width="40.28515625" style="253" bestFit="1" customWidth="1"/>
    <col min="11269" max="11269" width="10.7109375" style="253" customWidth="1"/>
    <col min="11270" max="11270" width="10" style="253" customWidth="1"/>
    <col min="11271" max="11271" width="17.85546875" style="253" customWidth="1"/>
    <col min="11272" max="11272" width="7.7109375" style="253" customWidth="1"/>
    <col min="11273" max="11273" width="12.28515625" style="253" customWidth="1"/>
    <col min="11274" max="11274" width="12.7109375" style="253" customWidth="1"/>
    <col min="11275" max="11275" width="14.140625" style="253" customWidth="1"/>
    <col min="11276" max="11276" width="11.140625" style="253" customWidth="1"/>
    <col min="11277" max="11521" width="9.140625" style="253"/>
    <col min="11522" max="11522" width="2.7109375" style="253" customWidth="1"/>
    <col min="11523" max="11523" width="9.140625" style="253"/>
    <col min="11524" max="11524" width="40.28515625" style="253" bestFit="1" customWidth="1"/>
    <col min="11525" max="11525" width="10.7109375" style="253" customWidth="1"/>
    <col min="11526" max="11526" width="10" style="253" customWidth="1"/>
    <col min="11527" max="11527" width="17.85546875" style="253" customWidth="1"/>
    <col min="11528" max="11528" width="7.7109375" style="253" customWidth="1"/>
    <col min="11529" max="11529" width="12.28515625" style="253" customWidth="1"/>
    <col min="11530" max="11530" width="12.7109375" style="253" customWidth="1"/>
    <col min="11531" max="11531" width="14.140625" style="253" customWidth="1"/>
    <col min="11532" max="11532" width="11.140625" style="253" customWidth="1"/>
    <col min="11533" max="11777" width="9.140625" style="253"/>
    <col min="11778" max="11778" width="2.7109375" style="253" customWidth="1"/>
    <col min="11779" max="11779" width="9.140625" style="253"/>
    <col min="11780" max="11780" width="40.28515625" style="253" bestFit="1" customWidth="1"/>
    <col min="11781" max="11781" width="10.7109375" style="253" customWidth="1"/>
    <col min="11782" max="11782" width="10" style="253" customWidth="1"/>
    <col min="11783" max="11783" width="17.85546875" style="253" customWidth="1"/>
    <col min="11784" max="11784" width="7.7109375" style="253" customWidth="1"/>
    <col min="11785" max="11785" width="12.28515625" style="253" customWidth="1"/>
    <col min="11786" max="11786" width="12.7109375" style="253" customWidth="1"/>
    <col min="11787" max="11787" width="14.140625" style="253" customWidth="1"/>
    <col min="11788" max="11788" width="11.140625" style="253" customWidth="1"/>
    <col min="11789" max="12033" width="9.140625" style="253"/>
    <col min="12034" max="12034" width="2.7109375" style="253" customWidth="1"/>
    <col min="12035" max="12035" width="9.140625" style="253"/>
    <col min="12036" max="12036" width="40.28515625" style="253" bestFit="1" customWidth="1"/>
    <col min="12037" max="12037" width="10.7109375" style="253" customWidth="1"/>
    <col min="12038" max="12038" width="10" style="253" customWidth="1"/>
    <col min="12039" max="12039" width="17.85546875" style="253" customWidth="1"/>
    <col min="12040" max="12040" width="7.7109375" style="253" customWidth="1"/>
    <col min="12041" max="12041" width="12.28515625" style="253" customWidth="1"/>
    <col min="12042" max="12042" width="12.7109375" style="253" customWidth="1"/>
    <col min="12043" max="12043" width="14.140625" style="253" customWidth="1"/>
    <col min="12044" max="12044" width="11.140625" style="253" customWidth="1"/>
    <col min="12045" max="12289" width="9.140625" style="253"/>
    <col min="12290" max="12290" width="2.7109375" style="253" customWidth="1"/>
    <col min="12291" max="12291" width="9.140625" style="253"/>
    <col min="12292" max="12292" width="40.28515625" style="253" bestFit="1" customWidth="1"/>
    <col min="12293" max="12293" width="10.7109375" style="253" customWidth="1"/>
    <col min="12294" max="12294" width="10" style="253" customWidth="1"/>
    <col min="12295" max="12295" width="17.85546875" style="253" customWidth="1"/>
    <col min="12296" max="12296" width="7.7109375" style="253" customWidth="1"/>
    <col min="12297" max="12297" width="12.28515625" style="253" customWidth="1"/>
    <col min="12298" max="12298" width="12.7109375" style="253" customWidth="1"/>
    <col min="12299" max="12299" width="14.140625" style="253" customWidth="1"/>
    <col min="12300" max="12300" width="11.140625" style="253" customWidth="1"/>
    <col min="12301" max="12545" width="9.140625" style="253"/>
    <col min="12546" max="12546" width="2.7109375" style="253" customWidth="1"/>
    <col min="12547" max="12547" width="9.140625" style="253"/>
    <col min="12548" max="12548" width="40.28515625" style="253" bestFit="1" customWidth="1"/>
    <col min="12549" max="12549" width="10.7109375" style="253" customWidth="1"/>
    <col min="12550" max="12550" width="10" style="253" customWidth="1"/>
    <col min="12551" max="12551" width="17.85546875" style="253" customWidth="1"/>
    <col min="12552" max="12552" width="7.7109375" style="253" customWidth="1"/>
    <col min="12553" max="12553" width="12.28515625" style="253" customWidth="1"/>
    <col min="12554" max="12554" width="12.7109375" style="253" customWidth="1"/>
    <col min="12555" max="12555" width="14.140625" style="253" customWidth="1"/>
    <col min="12556" max="12556" width="11.140625" style="253" customWidth="1"/>
    <col min="12557" max="12801" width="9.140625" style="253"/>
    <col min="12802" max="12802" width="2.7109375" style="253" customWidth="1"/>
    <col min="12803" max="12803" width="9.140625" style="253"/>
    <col min="12804" max="12804" width="40.28515625" style="253" bestFit="1" customWidth="1"/>
    <col min="12805" max="12805" width="10.7109375" style="253" customWidth="1"/>
    <col min="12806" max="12806" width="10" style="253" customWidth="1"/>
    <col min="12807" max="12807" width="17.85546875" style="253" customWidth="1"/>
    <col min="12808" max="12808" width="7.7109375" style="253" customWidth="1"/>
    <col min="12809" max="12809" width="12.28515625" style="253" customWidth="1"/>
    <col min="12810" max="12810" width="12.7109375" style="253" customWidth="1"/>
    <col min="12811" max="12811" width="14.140625" style="253" customWidth="1"/>
    <col min="12812" max="12812" width="11.140625" style="253" customWidth="1"/>
    <col min="12813" max="13057" width="9.140625" style="253"/>
    <col min="13058" max="13058" width="2.7109375" style="253" customWidth="1"/>
    <col min="13059" max="13059" width="9.140625" style="253"/>
    <col min="13060" max="13060" width="40.28515625" style="253" bestFit="1" customWidth="1"/>
    <col min="13061" max="13061" width="10.7109375" style="253" customWidth="1"/>
    <col min="13062" max="13062" width="10" style="253" customWidth="1"/>
    <col min="13063" max="13063" width="17.85546875" style="253" customWidth="1"/>
    <col min="13064" max="13064" width="7.7109375" style="253" customWidth="1"/>
    <col min="13065" max="13065" width="12.28515625" style="253" customWidth="1"/>
    <col min="13066" max="13066" width="12.7109375" style="253" customWidth="1"/>
    <col min="13067" max="13067" width="14.140625" style="253" customWidth="1"/>
    <col min="13068" max="13068" width="11.140625" style="253" customWidth="1"/>
    <col min="13069" max="13313" width="9.140625" style="253"/>
    <col min="13314" max="13314" width="2.7109375" style="253" customWidth="1"/>
    <col min="13315" max="13315" width="9.140625" style="253"/>
    <col min="13316" max="13316" width="40.28515625" style="253" bestFit="1" customWidth="1"/>
    <col min="13317" max="13317" width="10.7109375" style="253" customWidth="1"/>
    <col min="13318" max="13318" width="10" style="253" customWidth="1"/>
    <col min="13319" max="13319" width="17.85546875" style="253" customWidth="1"/>
    <col min="13320" max="13320" width="7.7109375" style="253" customWidth="1"/>
    <col min="13321" max="13321" width="12.28515625" style="253" customWidth="1"/>
    <col min="13322" max="13322" width="12.7109375" style="253" customWidth="1"/>
    <col min="13323" max="13323" width="14.140625" style="253" customWidth="1"/>
    <col min="13324" max="13324" width="11.140625" style="253" customWidth="1"/>
    <col min="13325" max="13569" width="9.140625" style="253"/>
    <col min="13570" max="13570" width="2.7109375" style="253" customWidth="1"/>
    <col min="13571" max="13571" width="9.140625" style="253"/>
    <col min="13572" max="13572" width="40.28515625" style="253" bestFit="1" customWidth="1"/>
    <col min="13573" max="13573" width="10.7109375" style="253" customWidth="1"/>
    <col min="13574" max="13574" width="10" style="253" customWidth="1"/>
    <col min="13575" max="13575" width="17.85546875" style="253" customWidth="1"/>
    <col min="13576" max="13576" width="7.7109375" style="253" customWidth="1"/>
    <col min="13577" max="13577" width="12.28515625" style="253" customWidth="1"/>
    <col min="13578" max="13578" width="12.7109375" style="253" customWidth="1"/>
    <col min="13579" max="13579" width="14.140625" style="253" customWidth="1"/>
    <col min="13580" max="13580" width="11.140625" style="253" customWidth="1"/>
    <col min="13581" max="13825" width="9.140625" style="253"/>
    <col min="13826" max="13826" width="2.7109375" style="253" customWidth="1"/>
    <col min="13827" max="13827" width="9.140625" style="253"/>
    <col min="13828" max="13828" width="40.28515625" style="253" bestFit="1" customWidth="1"/>
    <col min="13829" max="13829" width="10.7109375" style="253" customWidth="1"/>
    <col min="13830" max="13830" width="10" style="253" customWidth="1"/>
    <col min="13831" max="13831" width="17.85546875" style="253" customWidth="1"/>
    <col min="13832" max="13832" width="7.7109375" style="253" customWidth="1"/>
    <col min="13833" max="13833" width="12.28515625" style="253" customWidth="1"/>
    <col min="13834" max="13834" width="12.7109375" style="253" customWidth="1"/>
    <col min="13835" max="13835" width="14.140625" style="253" customWidth="1"/>
    <col min="13836" max="13836" width="11.140625" style="253" customWidth="1"/>
    <col min="13837" max="14081" width="9.140625" style="253"/>
    <col min="14082" max="14082" width="2.7109375" style="253" customWidth="1"/>
    <col min="14083" max="14083" width="9.140625" style="253"/>
    <col min="14084" max="14084" width="40.28515625" style="253" bestFit="1" customWidth="1"/>
    <col min="14085" max="14085" width="10.7109375" style="253" customWidth="1"/>
    <col min="14086" max="14086" width="10" style="253" customWidth="1"/>
    <col min="14087" max="14087" width="17.85546875" style="253" customWidth="1"/>
    <col min="14088" max="14088" width="7.7109375" style="253" customWidth="1"/>
    <col min="14089" max="14089" width="12.28515625" style="253" customWidth="1"/>
    <col min="14090" max="14090" width="12.7109375" style="253" customWidth="1"/>
    <col min="14091" max="14091" width="14.140625" style="253" customWidth="1"/>
    <col min="14092" max="14092" width="11.140625" style="253" customWidth="1"/>
    <col min="14093" max="14337" width="9.140625" style="253"/>
    <col min="14338" max="14338" width="2.7109375" style="253" customWidth="1"/>
    <col min="14339" max="14339" width="9.140625" style="253"/>
    <col min="14340" max="14340" width="40.28515625" style="253" bestFit="1" customWidth="1"/>
    <col min="14341" max="14341" width="10.7109375" style="253" customWidth="1"/>
    <col min="14342" max="14342" width="10" style="253" customWidth="1"/>
    <col min="14343" max="14343" width="17.85546875" style="253" customWidth="1"/>
    <col min="14344" max="14344" width="7.7109375" style="253" customWidth="1"/>
    <col min="14345" max="14345" width="12.28515625" style="253" customWidth="1"/>
    <col min="14346" max="14346" width="12.7109375" style="253" customWidth="1"/>
    <col min="14347" max="14347" width="14.140625" style="253" customWidth="1"/>
    <col min="14348" max="14348" width="11.140625" style="253" customWidth="1"/>
    <col min="14349" max="14593" width="9.140625" style="253"/>
    <col min="14594" max="14594" width="2.7109375" style="253" customWidth="1"/>
    <col min="14595" max="14595" width="9.140625" style="253"/>
    <col min="14596" max="14596" width="40.28515625" style="253" bestFit="1" customWidth="1"/>
    <col min="14597" max="14597" width="10.7109375" style="253" customWidth="1"/>
    <col min="14598" max="14598" width="10" style="253" customWidth="1"/>
    <col min="14599" max="14599" width="17.85546875" style="253" customWidth="1"/>
    <col min="14600" max="14600" width="7.7109375" style="253" customWidth="1"/>
    <col min="14601" max="14601" width="12.28515625" style="253" customWidth="1"/>
    <col min="14602" max="14602" width="12.7109375" style="253" customWidth="1"/>
    <col min="14603" max="14603" width="14.140625" style="253" customWidth="1"/>
    <col min="14604" max="14604" width="11.140625" style="253" customWidth="1"/>
    <col min="14605" max="14849" width="9.140625" style="253"/>
    <col min="14850" max="14850" width="2.7109375" style="253" customWidth="1"/>
    <col min="14851" max="14851" width="9.140625" style="253"/>
    <col min="14852" max="14852" width="40.28515625" style="253" bestFit="1" customWidth="1"/>
    <col min="14853" max="14853" width="10.7109375" style="253" customWidth="1"/>
    <col min="14854" max="14854" width="10" style="253" customWidth="1"/>
    <col min="14855" max="14855" width="17.85546875" style="253" customWidth="1"/>
    <col min="14856" max="14856" width="7.7109375" style="253" customWidth="1"/>
    <col min="14857" max="14857" width="12.28515625" style="253" customWidth="1"/>
    <col min="14858" max="14858" width="12.7109375" style="253" customWidth="1"/>
    <col min="14859" max="14859" width="14.140625" style="253" customWidth="1"/>
    <col min="14860" max="14860" width="11.140625" style="253" customWidth="1"/>
    <col min="14861" max="15105" width="9.140625" style="253"/>
    <col min="15106" max="15106" width="2.7109375" style="253" customWidth="1"/>
    <col min="15107" max="15107" width="9.140625" style="253"/>
    <col min="15108" max="15108" width="40.28515625" style="253" bestFit="1" customWidth="1"/>
    <col min="15109" max="15109" width="10.7109375" style="253" customWidth="1"/>
    <col min="15110" max="15110" width="10" style="253" customWidth="1"/>
    <col min="15111" max="15111" width="17.85546875" style="253" customWidth="1"/>
    <col min="15112" max="15112" width="7.7109375" style="253" customWidth="1"/>
    <col min="15113" max="15113" width="12.28515625" style="253" customWidth="1"/>
    <col min="15114" max="15114" width="12.7109375" style="253" customWidth="1"/>
    <col min="15115" max="15115" width="14.140625" style="253" customWidth="1"/>
    <col min="15116" max="15116" width="11.140625" style="253" customWidth="1"/>
    <col min="15117" max="15361" width="9.140625" style="253"/>
    <col min="15362" max="15362" width="2.7109375" style="253" customWidth="1"/>
    <col min="15363" max="15363" width="9.140625" style="253"/>
    <col min="15364" max="15364" width="40.28515625" style="253" bestFit="1" customWidth="1"/>
    <col min="15365" max="15365" width="10.7109375" style="253" customWidth="1"/>
    <col min="15366" max="15366" width="10" style="253" customWidth="1"/>
    <col min="15367" max="15367" width="17.85546875" style="253" customWidth="1"/>
    <col min="15368" max="15368" width="7.7109375" style="253" customWidth="1"/>
    <col min="15369" max="15369" width="12.28515625" style="253" customWidth="1"/>
    <col min="15370" max="15370" width="12.7109375" style="253" customWidth="1"/>
    <col min="15371" max="15371" width="14.140625" style="253" customWidth="1"/>
    <col min="15372" max="15372" width="11.140625" style="253" customWidth="1"/>
    <col min="15373" max="15617" width="9.140625" style="253"/>
    <col min="15618" max="15618" width="2.7109375" style="253" customWidth="1"/>
    <col min="15619" max="15619" width="9.140625" style="253"/>
    <col min="15620" max="15620" width="40.28515625" style="253" bestFit="1" customWidth="1"/>
    <col min="15621" max="15621" width="10.7109375" style="253" customWidth="1"/>
    <col min="15622" max="15622" width="10" style="253" customWidth="1"/>
    <col min="15623" max="15623" width="17.85546875" style="253" customWidth="1"/>
    <col min="15624" max="15624" width="7.7109375" style="253" customWidth="1"/>
    <col min="15625" max="15625" width="12.28515625" style="253" customWidth="1"/>
    <col min="15626" max="15626" width="12.7109375" style="253" customWidth="1"/>
    <col min="15627" max="15627" width="14.140625" style="253" customWidth="1"/>
    <col min="15628" max="15628" width="11.140625" style="253" customWidth="1"/>
    <col min="15629" max="15873" width="9.140625" style="253"/>
    <col min="15874" max="15874" width="2.7109375" style="253" customWidth="1"/>
    <col min="15875" max="15875" width="9.140625" style="253"/>
    <col min="15876" max="15876" width="40.28515625" style="253" bestFit="1" customWidth="1"/>
    <col min="15877" max="15877" width="10.7109375" style="253" customWidth="1"/>
    <col min="15878" max="15878" width="10" style="253" customWidth="1"/>
    <col min="15879" max="15879" width="17.85546875" style="253" customWidth="1"/>
    <col min="15880" max="15880" width="7.7109375" style="253" customWidth="1"/>
    <col min="15881" max="15881" width="12.28515625" style="253" customWidth="1"/>
    <col min="15882" max="15882" width="12.7109375" style="253" customWidth="1"/>
    <col min="15883" max="15883" width="14.140625" style="253" customWidth="1"/>
    <col min="15884" max="15884" width="11.140625" style="253" customWidth="1"/>
    <col min="15885" max="16129" width="9.140625" style="253"/>
    <col min="16130" max="16130" width="2.7109375" style="253" customWidth="1"/>
    <col min="16131" max="16131" width="9.140625" style="253"/>
    <col min="16132" max="16132" width="40.28515625" style="253" bestFit="1" customWidth="1"/>
    <col min="16133" max="16133" width="10.7109375" style="253" customWidth="1"/>
    <col min="16134" max="16134" width="10" style="253" customWidth="1"/>
    <col min="16135" max="16135" width="17.85546875" style="253" customWidth="1"/>
    <col min="16136" max="16136" width="7.7109375" style="253" customWidth="1"/>
    <col min="16137" max="16137" width="12.28515625" style="253" customWidth="1"/>
    <col min="16138" max="16138" width="12.7109375" style="253" customWidth="1"/>
    <col min="16139" max="16139" width="14.140625" style="253" customWidth="1"/>
    <col min="16140" max="16140" width="11.140625" style="253" customWidth="1"/>
    <col min="16141" max="16384" width="9.140625" style="253"/>
  </cols>
  <sheetData>
    <row r="1" spans="1:13" x14ac:dyDescent="0.2">
      <c r="K1" s="819" t="s">
        <v>444</v>
      </c>
      <c r="L1" s="250" t="str">
        <f>'LDC Info'!$E$18</f>
        <v>EB-2012-0107</v>
      </c>
      <c r="M1" s="256"/>
    </row>
    <row r="2" spans="1:13" x14ac:dyDescent="0.2">
      <c r="K2" s="819" t="s">
        <v>445</v>
      </c>
      <c r="L2" s="251">
        <v>4</v>
      </c>
      <c r="M2" s="256"/>
    </row>
    <row r="3" spans="1:13" x14ac:dyDescent="0.2">
      <c r="K3" s="819" t="s">
        <v>446</v>
      </c>
      <c r="L3" s="251">
        <v>7</v>
      </c>
      <c r="M3" s="256"/>
    </row>
    <row r="4" spans="1:13" x14ac:dyDescent="0.2">
      <c r="K4" s="819" t="s">
        <v>447</v>
      </c>
      <c r="L4" s="251">
        <v>1</v>
      </c>
      <c r="M4" s="256"/>
    </row>
    <row r="5" spans="1:13" x14ac:dyDescent="0.2">
      <c r="K5" s="819" t="s">
        <v>1036</v>
      </c>
      <c r="L5" s="252">
        <v>2</v>
      </c>
      <c r="M5" s="256"/>
    </row>
    <row r="6" spans="1:13" x14ac:dyDescent="0.2">
      <c r="K6" s="819"/>
      <c r="L6" s="250"/>
      <c r="M6" s="256"/>
    </row>
    <row r="7" spans="1:13" x14ac:dyDescent="0.2">
      <c r="K7" s="819" t="s">
        <v>449</v>
      </c>
      <c r="L7" s="934">
        <v>41200</v>
      </c>
      <c r="M7" s="257"/>
    </row>
    <row r="9" spans="1:13" ht="18" x14ac:dyDescent="0.25">
      <c r="A9" s="1282" t="s">
        <v>654</v>
      </c>
      <c r="B9" s="1282"/>
      <c r="C9" s="1282"/>
      <c r="D9" s="1282"/>
      <c r="E9" s="1282"/>
      <c r="F9" s="1282"/>
      <c r="G9" s="1282"/>
      <c r="H9" s="1282"/>
      <c r="I9" s="1282"/>
      <c r="J9" s="1282"/>
      <c r="K9" s="1282"/>
      <c r="L9" s="1282"/>
    </row>
    <row r="10" spans="1:13" ht="18" x14ac:dyDescent="0.25">
      <c r="A10" s="1282" t="s">
        <v>5</v>
      </c>
      <c r="B10" s="1282"/>
      <c r="C10" s="1282"/>
      <c r="D10" s="1282"/>
      <c r="E10" s="1282"/>
      <c r="F10" s="1282"/>
      <c r="G10" s="1282"/>
      <c r="H10" s="1282"/>
      <c r="I10" s="1282"/>
      <c r="J10" s="1282"/>
      <c r="K10" s="1282"/>
      <c r="L10" s="1282"/>
    </row>
    <row r="11" spans="1:13" ht="18.75" customHeight="1" x14ac:dyDescent="0.2">
      <c r="A11" s="1281" t="s">
        <v>567</v>
      </c>
      <c r="B11" s="1281"/>
      <c r="C11" s="1281"/>
      <c r="D11" s="1281"/>
      <c r="E11" s="1281"/>
      <c r="F11" s="1281"/>
      <c r="G11" s="1281"/>
      <c r="H11" s="1281"/>
      <c r="I11" s="1281"/>
      <c r="J11" s="1281"/>
      <c r="K11" s="1281"/>
      <c r="L11" s="1281"/>
    </row>
    <row r="12" spans="1:13" ht="13.5" customHeight="1" x14ac:dyDescent="0.25">
      <c r="A12" s="258"/>
      <c r="B12" s="258"/>
      <c r="C12" s="334" t="s">
        <v>42</v>
      </c>
      <c r="D12" s="729">
        <v>2012</v>
      </c>
      <c r="E12" s="334" t="s">
        <v>175</v>
      </c>
      <c r="H12" s="258"/>
      <c r="I12" s="258"/>
      <c r="J12" s="813"/>
    </row>
    <row r="13" spans="1:13" ht="15" customHeight="1" thickBot="1" x14ac:dyDescent="0.25"/>
    <row r="14" spans="1:13" ht="63.75" customHeight="1" x14ac:dyDescent="0.2">
      <c r="A14" s="1275" t="s">
        <v>6</v>
      </c>
      <c r="B14" s="1277" t="s">
        <v>395</v>
      </c>
      <c r="C14" s="259" t="s">
        <v>823</v>
      </c>
      <c r="D14" s="259" t="s">
        <v>816</v>
      </c>
      <c r="E14" s="259" t="s">
        <v>817</v>
      </c>
      <c r="F14" s="259" t="s">
        <v>397</v>
      </c>
      <c r="G14" s="808" t="s">
        <v>9</v>
      </c>
      <c r="H14" s="259" t="s">
        <v>10</v>
      </c>
      <c r="I14" s="259" t="s">
        <v>440</v>
      </c>
      <c r="J14" s="814" t="s">
        <v>568</v>
      </c>
      <c r="K14" s="1283" t="s">
        <v>815</v>
      </c>
      <c r="L14" s="260" t="s">
        <v>556</v>
      </c>
    </row>
    <row r="15" spans="1:13" ht="30.75" customHeight="1" thickBot="1" x14ac:dyDescent="0.25">
      <c r="A15" s="1276"/>
      <c r="B15" s="1278"/>
      <c r="C15" s="344" t="s">
        <v>7</v>
      </c>
      <c r="D15" s="344" t="s">
        <v>818</v>
      </c>
      <c r="E15" s="344" t="s">
        <v>819</v>
      </c>
      <c r="F15" s="344" t="s">
        <v>8</v>
      </c>
      <c r="G15" s="809" t="s">
        <v>821</v>
      </c>
      <c r="H15" s="344" t="s">
        <v>11</v>
      </c>
      <c r="I15" s="344" t="s">
        <v>12</v>
      </c>
      <c r="J15" s="815" t="s">
        <v>13</v>
      </c>
      <c r="K15" s="1284"/>
      <c r="L15" s="346" t="s">
        <v>549</v>
      </c>
    </row>
    <row r="16" spans="1:13" ht="25.5" x14ac:dyDescent="0.2">
      <c r="A16" s="365">
        <v>1611</v>
      </c>
      <c r="B16" s="357" t="s">
        <v>548</v>
      </c>
      <c r="C16" s="435">
        <f>'App.2-B_Fixed Asset 2011'!H16</f>
        <v>9500884</v>
      </c>
      <c r="D16" s="435">
        <v>3981024</v>
      </c>
      <c r="E16" s="806">
        <f>C16-D16</f>
        <v>5519860</v>
      </c>
      <c r="F16" s="435">
        <f>'App.2-B_Fixed Asset 2012 CGAAP'!F16</f>
        <v>2290004</v>
      </c>
      <c r="G16" s="807">
        <f>E16+0.5*F16</f>
        <v>6664862</v>
      </c>
      <c r="H16" s="342">
        <f>G16/K16</f>
        <v>5.1312771870933966</v>
      </c>
      <c r="I16" s="628">
        <f t="shared" ref="I16:I54" si="0">IF(H16=0,0,1/H16)</f>
        <v>0.19488325489710065</v>
      </c>
      <c r="J16" s="805">
        <f t="shared" ref="J16:J54" si="1">IF(H16=0,0,G16/H16)</f>
        <v>1298870</v>
      </c>
      <c r="K16" s="435">
        <f>-'App.2-B_Fixed Asset 2012 CGAAP'!K16</f>
        <v>1298870</v>
      </c>
      <c r="L16" s="366">
        <f t="shared" ref="L16:L54" si="2">IF(ISERROR(+J16-K16), 0, +J16-K16)</f>
        <v>0</v>
      </c>
    </row>
    <row r="17" spans="1:12" ht="25.5" x14ac:dyDescent="0.2">
      <c r="A17" s="359">
        <v>1612</v>
      </c>
      <c r="B17" s="351" t="s">
        <v>702</v>
      </c>
      <c r="C17" s="435">
        <f>'App.2-B_Fixed Asset 2011'!H17</f>
        <v>283160</v>
      </c>
      <c r="D17" s="436">
        <v>253355</v>
      </c>
      <c r="E17" s="800">
        <f t="shared" ref="E17:E54" si="3">C17-D17</f>
        <v>29805</v>
      </c>
      <c r="F17" s="435">
        <f>'App.2-B_Fixed Asset 2012 CGAAP'!F17</f>
        <v>0</v>
      </c>
      <c r="G17" s="13">
        <f t="shared" ref="G17:G54" si="4">E17+0.5*F17</f>
        <v>29805</v>
      </c>
      <c r="H17" s="342">
        <f t="shared" ref="H17:H49" si="5">G17/K17</f>
        <v>25.004194630872483</v>
      </c>
      <c r="I17" s="624">
        <f t="shared" si="0"/>
        <v>3.9993289716490521E-2</v>
      </c>
      <c r="J17" s="459">
        <f t="shared" si="1"/>
        <v>1192</v>
      </c>
      <c r="K17" s="435">
        <f>-'App.2-B_Fixed Asset 2012 CGAAP'!K17</f>
        <v>1192</v>
      </c>
      <c r="L17" s="264">
        <f t="shared" si="2"/>
        <v>0</v>
      </c>
    </row>
    <row r="18" spans="1:12" x14ac:dyDescent="0.2">
      <c r="A18" s="360">
        <v>1805</v>
      </c>
      <c r="B18" s="352" t="s">
        <v>408</v>
      </c>
      <c r="C18" s="435">
        <f>'App.2-B_Fixed Asset 2011'!H18</f>
        <v>497489</v>
      </c>
      <c r="D18" s="436"/>
      <c r="E18" s="800">
        <f t="shared" si="3"/>
        <v>497489</v>
      </c>
      <c r="F18" s="435">
        <f>'App.2-B_Fixed Asset 2012 CGAAP'!F18</f>
        <v>0</v>
      </c>
      <c r="G18" s="13">
        <f t="shared" si="4"/>
        <v>497489</v>
      </c>
      <c r="H18" s="342"/>
      <c r="I18" s="624">
        <f t="shared" si="0"/>
        <v>0</v>
      </c>
      <c r="J18" s="459">
        <f t="shared" si="1"/>
        <v>0</v>
      </c>
      <c r="K18" s="435">
        <f>-'App.2-B_Fixed Asset 2012 CGAAP'!K18</f>
        <v>0</v>
      </c>
      <c r="L18" s="264">
        <f t="shared" si="2"/>
        <v>0</v>
      </c>
    </row>
    <row r="19" spans="1:12" x14ac:dyDescent="0.2">
      <c r="A19" s="359">
        <v>1808</v>
      </c>
      <c r="B19" s="353" t="s">
        <v>409</v>
      </c>
      <c r="C19" s="435">
        <f>'App.2-B_Fixed Asset 2011'!H19</f>
        <v>0</v>
      </c>
      <c r="D19" s="436"/>
      <c r="E19" s="800">
        <f t="shared" si="3"/>
        <v>0</v>
      </c>
      <c r="F19" s="435">
        <f>'App.2-B_Fixed Asset 2012 CGAAP'!F19</f>
        <v>0</v>
      </c>
      <c r="G19" s="13">
        <f t="shared" si="4"/>
        <v>0</v>
      </c>
      <c r="H19" s="342"/>
      <c r="I19" s="624">
        <f t="shared" si="0"/>
        <v>0</v>
      </c>
      <c r="J19" s="459">
        <f t="shared" si="1"/>
        <v>0</v>
      </c>
      <c r="K19" s="435">
        <f>-'App.2-B_Fixed Asset 2012 CGAAP'!K19</f>
        <v>0</v>
      </c>
      <c r="L19" s="264">
        <f t="shared" si="2"/>
        <v>0</v>
      </c>
    </row>
    <row r="20" spans="1:12" x14ac:dyDescent="0.2">
      <c r="A20" s="359">
        <v>1810</v>
      </c>
      <c r="B20" s="353" t="s">
        <v>442</v>
      </c>
      <c r="C20" s="435">
        <f>'App.2-B_Fixed Asset 2011'!H20</f>
        <v>0</v>
      </c>
      <c r="D20" s="436"/>
      <c r="E20" s="800">
        <f t="shared" si="3"/>
        <v>0</v>
      </c>
      <c r="F20" s="435">
        <f>'App.2-B_Fixed Asset 2012 CGAAP'!F20</f>
        <v>0</v>
      </c>
      <c r="G20" s="13">
        <f t="shared" si="4"/>
        <v>0</v>
      </c>
      <c r="H20" s="342"/>
      <c r="I20" s="624">
        <f t="shared" si="0"/>
        <v>0</v>
      </c>
      <c r="J20" s="459">
        <f t="shared" si="1"/>
        <v>0</v>
      </c>
      <c r="K20" s="435">
        <f>-'App.2-B_Fixed Asset 2012 CGAAP'!K20</f>
        <v>0</v>
      </c>
      <c r="L20" s="264">
        <f t="shared" si="2"/>
        <v>0</v>
      </c>
    </row>
    <row r="21" spans="1:12" x14ac:dyDescent="0.2">
      <c r="A21" s="359">
        <v>1815</v>
      </c>
      <c r="B21" s="353" t="s">
        <v>410</v>
      </c>
      <c r="C21" s="435">
        <f>'App.2-B_Fixed Asset 2011'!H21</f>
        <v>0</v>
      </c>
      <c r="D21" s="436"/>
      <c r="E21" s="800">
        <f t="shared" si="3"/>
        <v>0</v>
      </c>
      <c r="F21" s="435">
        <f>'App.2-B_Fixed Asset 2012 CGAAP'!F21</f>
        <v>0</v>
      </c>
      <c r="G21" s="13">
        <f t="shared" si="4"/>
        <v>0</v>
      </c>
      <c r="H21" s="342"/>
      <c r="I21" s="624">
        <f t="shared" si="0"/>
        <v>0</v>
      </c>
      <c r="J21" s="459">
        <f t="shared" si="1"/>
        <v>0</v>
      </c>
      <c r="K21" s="435">
        <f>-'App.2-B_Fixed Asset 2012 CGAAP'!K21</f>
        <v>0</v>
      </c>
      <c r="L21" s="264">
        <f t="shared" si="2"/>
        <v>0</v>
      </c>
    </row>
    <row r="22" spans="1:12" x14ac:dyDescent="0.2">
      <c r="A22" s="359">
        <v>1820</v>
      </c>
      <c r="B22" s="354" t="s">
        <v>356</v>
      </c>
      <c r="C22" s="435">
        <f>'App.2-B_Fixed Asset 2011'!H22</f>
        <v>6455582</v>
      </c>
      <c r="D22" s="436">
        <v>1539400</v>
      </c>
      <c r="E22" s="800">
        <f t="shared" si="3"/>
        <v>4916182</v>
      </c>
      <c r="F22" s="435">
        <f>'App.2-B_Fixed Asset 2012 CGAAP'!F22</f>
        <v>343530</v>
      </c>
      <c r="G22" s="13">
        <f t="shared" si="4"/>
        <v>5087947</v>
      </c>
      <c r="H22" s="342">
        <f t="shared" si="5"/>
        <v>30.415752032520324</v>
      </c>
      <c r="I22" s="624">
        <f t="shared" si="0"/>
        <v>3.2877700966617775E-2</v>
      </c>
      <c r="J22" s="459">
        <f t="shared" si="1"/>
        <v>167280</v>
      </c>
      <c r="K22" s="435">
        <f>-'App.2-B_Fixed Asset 2012 CGAAP'!K22</f>
        <v>167280</v>
      </c>
      <c r="L22" s="264">
        <f t="shared" si="2"/>
        <v>0</v>
      </c>
    </row>
    <row r="23" spans="1:12" x14ac:dyDescent="0.2">
      <c r="A23" s="359">
        <v>1825</v>
      </c>
      <c r="B23" s="353" t="s">
        <v>411</v>
      </c>
      <c r="C23" s="435">
        <f>'App.2-B_Fixed Asset 2011'!H23</f>
        <v>0</v>
      </c>
      <c r="D23" s="436"/>
      <c r="E23" s="800">
        <f t="shared" si="3"/>
        <v>0</v>
      </c>
      <c r="F23" s="435">
        <f>'App.2-B_Fixed Asset 2012 CGAAP'!F23</f>
        <v>0</v>
      </c>
      <c r="G23" s="13">
        <f t="shared" si="4"/>
        <v>0</v>
      </c>
      <c r="H23" s="342"/>
      <c r="I23" s="624">
        <f t="shared" si="0"/>
        <v>0</v>
      </c>
      <c r="J23" s="459">
        <f t="shared" si="1"/>
        <v>0</v>
      </c>
      <c r="K23" s="435">
        <f>-'App.2-B_Fixed Asset 2012 CGAAP'!K23</f>
        <v>0</v>
      </c>
      <c r="L23" s="264">
        <f t="shared" si="2"/>
        <v>0</v>
      </c>
    </row>
    <row r="24" spans="1:12" x14ac:dyDescent="0.2">
      <c r="A24" s="359">
        <v>1830</v>
      </c>
      <c r="B24" s="353" t="s">
        <v>412</v>
      </c>
      <c r="C24" s="435">
        <f>'App.2-B_Fixed Asset 2011'!H24</f>
        <v>2257678</v>
      </c>
      <c r="D24" s="436"/>
      <c r="E24" s="800">
        <f t="shared" si="3"/>
        <v>2257678</v>
      </c>
      <c r="F24" s="435">
        <f>'App.2-B_Fixed Asset 2012 CGAAP'!F24</f>
        <v>1104207</v>
      </c>
      <c r="G24" s="13">
        <f t="shared" si="4"/>
        <v>2809781.5</v>
      </c>
      <c r="H24" s="342">
        <f t="shared" si="5"/>
        <v>25.000057833812317</v>
      </c>
      <c r="I24" s="624">
        <f t="shared" si="0"/>
        <v>3.9999907466114357E-2</v>
      </c>
      <c r="J24" s="459">
        <f t="shared" si="1"/>
        <v>112391</v>
      </c>
      <c r="K24" s="435">
        <f>-'App.2-B_Fixed Asset 2012 CGAAP'!K24</f>
        <v>112391</v>
      </c>
      <c r="L24" s="264">
        <f t="shared" si="2"/>
        <v>0</v>
      </c>
    </row>
    <row r="25" spans="1:12" x14ac:dyDescent="0.2">
      <c r="A25" s="359">
        <v>1835</v>
      </c>
      <c r="B25" s="353" t="s">
        <v>357</v>
      </c>
      <c r="C25" s="435">
        <f>'App.2-B_Fixed Asset 2011'!H25</f>
        <v>27485935</v>
      </c>
      <c r="D25" s="436">
        <v>6734667</v>
      </c>
      <c r="E25" s="800">
        <f t="shared" si="3"/>
        <v>20751268</v>
      </c>
      <c r="F25" s="435">
        <f>'App.2-B_Fixed Asset 2012 CGAAP'!F25</f>
        <v>905870</v>
      </c>
      <c r="G25" s="13">
        <f t="shared" si="4"/>
        <v>21204203</v>
      </c>
      <c r="H25" s="342">
        <f t="shared" si="5"/>
        <v>25.000416198001776</v>
      </c>
      <c r="I25" s="624">
        <f t="shared" si="0"/>
        <v>3.99993340942831E-2</v>
      </c>
      <c r="J25" s="459">
        <f t="shared" si="1"/>
        <v>848154</v>
      </c>
      <c r="K25" s="435">
        <f>-'App.2-B_Fixed Asset 2012 CGAAP'!K25</f>
        <v>848154</v>
      </c>
      <c r="L25" s="264">
        <f t="shared" si="2"/>
        <v>0</v>
      </c>
    </row>
    <row r="26" spans="1:12" x14ac:dyDescent="0.2">
      <c r="A26" s="359">
        <v>1840</v>
      </c>
      <c r="B26" s="353" t="s">
        <v>358</v>
      </c>
      <c r="C26" s="435">
        <f>'App.2-B_Fixed Asset 2011'!H26</f>
        <v>1150356</v>
      </c>
      <c r="D26" s="436"/>
      <c r="E26" s="800">
        <f t="shared" si="3"/>
        <v>1150356</v>
      </c>
      <c r="F26" s="435">
        <f>'App.2-B_Fixed Asset 2012 CGAAP'!F26</f>
        <v>142899</v>
      </c>
      <c r="G26" s="13">
        <f t="shared" si="4"/>
        <v>1221805.5</v>
      </c>
      <c r="H26" s="342">
        <f t="shared" si="5"/>
        <v>25.000112538877065</v>
      </c>
      <c r="I26" s="624">
        <f t="shared" si="0"/>
        <v>3.9999819938607253E-2</v>
      </c>
      <c r="J26" s="459">
        <f t="shared" si="1"/>
        <v>48872</v>
      </c>
      <c r="K26" s="435">
        <f>-'App.2-B_Fixed Asset 2012 CGAAP'!K26</f>
        <v>48872</v>
      </c>
      <c r="L26" s="264">
        <f t="shared" si="2"/>
        <v>0</v>
      </c>
    </row>
    <row r="27" spans="1:12" x14ac:dyDescent="0.2">
      <c r="A27" s="359">
        <v>1845</v>
      </c>
      <c r="B27" s="353" t="s">
        <v>359</v>
      </c>
      <c r="C27" s="435">
        <f>'App.2-B_Fixed Asset 2011'!H27</f>
        <v>20300059</v>
      </c>
      <c r="D27" s="436">
        <v>4048327</v>
      </c>
      <c r="E27" s="800">
        <f t="shared" si="3"/>
        <v>16251732</v>
      </c>
      <c r="F27" s="435">
        <f>'App.2-B_Fixed Asset 2012 CGAAP'!F27</f>
        <v>1033864</v>
      </c>
      <c r="G27" s="13">
        <f t="shared" si="4"/>
        <v>16768664</v>
      </c>
      <c r="H27" s="342">
        <f t="shared" si="5"/>
        <v>24.912885608505228</v>
      </c>
      <c r="I27" s="624">
        <f t="shared" si="0"/>
        <v>4.013987041543679E-2</v>
      </c>
      <c r="J27" s="459">
        <f t="shared" si="1"/>
        <v>673092</v>
      </c>
      <c r="K27" s="435">
        <f>-'App.2-B_Fixed Asset 2012 CGAAP'!K27</f>
        <v>673092</v>
      </c>
      <c r="L27" s="264">
        <f t="shared" si="2"/>
        <v>0</v>
      </c>
    </row>
    <row r="28" spans="1:12" x14ac:dyDescent="0.2">
      <c r="A28" s="359">
        <v>1850</v>
      </c>
      <c r="B28" s="353" t="s">
        <v>413</v>
      </c>
      <c r="C28" s="435">
        <f>'App.2-B_Fixed Asset 2011'!H28</f>
        <v>15367543</v>
      </c>
      <c r="D28" s="436">
        <v>3654153</v>
      </c>
      <c r="E28" s="800">
        <f t="shared" si="3"/>
        <v>11713390</v>
      </c>
      <c r="F28" s="435">
        <f>'App.2-B_Fixed Asset 2012 CGAAP'!F28</f>
        <v>809618</v>
      </c>
      <c r="G28" s="13">
        <f t="shared" si="4"/>
        <v>12118199</v>
      </c>
      <c r="H28" s="342">
        <f t="shared" si="5"/>
        <v>25.191351762617298</v>
      </c>
      <c r="I28" s="624">
        <f t="shared" si="0"/>
        <v>3.9696162771382111E-2</v>
      </c>
      <c r="J28" s="459">
        <f t="shared" si="1"/>
        <v>481045.99999999994</v>
      </c>
      <c r="K28" s="435">
        <f>-'App.2-B_Fixed Asset 2012 CGAAP'!K28</f>
        <v>481046</v>
      </c>
      <c r="L28" s="264">
        <f t="shared" si="2"/>
        <v>-5.8207660913467407E-11</v>
      </c>
    </row>
    <row r="29" spans="1:12" x14ac:dyDescent="0.2">
      <c r="A29" s="359">
        <v>1855</v>
      </c>
      <c r="B29" s="353" t="s">
        <v>360</v>
      </c>
      <c r="C29" s="435">
        <f>'App.2-B_Fixed Asset 2011'!H29</f>
        <v>555088</v>
      </c>
      <c r="D29" s="436"/>
      <c r="E29" s="800">
        <f t="shared" si="3"/>
        <v>555088</v>
      </c>
      <c r="F29" s="435">
        <f>'App.2-B_Fixed Asset 2012 CGAAP'!F29</f>
        <v>48636</v>
      </c>
      <c r="G29" s="13">
        <f t="shared" si="4"/>
        <v>579406</v>
      </c>
      <c r="H29" s="342">
        <f t="shared" si="5"/>
        <v>25.00025888850535</v>
      </c>
      <c r="I29" s="624">
        <f t="shared" si="0"/>
        <v>3.9999585782680883E-2</v>
      </c>
      <c r="J29" s="459">
        <f t="shared" si="1"/>
        <v>23176</v>
      </c>
      <c r="K29" s="435">
        <f>-'App.2-B_Fixed Asset 2012 CGAAP'!K29</f>
        <v>23176</v>
      </c>
      <c r="L29" s="264">
        <f t="shared" si="2"/>
        <v>0</v>
      </c>
    </row>
    <row r="30" spans="1:12" x14ac:dyDescent="0.2">
      <c r="A30" s="359">
        <v>1860</v>
      </c>
      <c r="B30" s="353" t="s">
        <v>414</v>
      </c>
      <c r="C30" s="435">
        <f>'App.2-B_Fixed Asset 2011'!H30</f>
        <v>7862812</v>
      </c>
      <c r="D30" s="436">
        <v>2705965.2</v>
      </c>
      <c r="E30" s="800">
        <f t="shared" si="3"/>
        <v>5156846.8</v>
      </c>
      <c r="F30" s="435">
        <f>'App.2-B_Fixed Asset 2012 CGAAP'!F30</f>
        <v>28450</v>
      </c>
      <c r="G30" s="13">
        <f t="shared" si="4"/>
        <v>5171071.8</v>
      </c>
      <c r="H30" s="342">
        <f t="shared" si="5"/>
        <v>25.253566510065145</v>
      </c>
      <c r="I30" s="624">
        <f t="shared" si="0"/>
        <v>3.9598367208902419E-2</v>
      </c>
      <c r="J30" s="459">
        <f t="shared" si="1"/>
        <v>204766</v>
      </c>
      <c r="K30" s="435">
        <f>-'App.2-B_Fixed Asset 2012 CGAAP'!K30</f>
        <v>204766</v>
      </c>
      <c r="L30" s="264">
        <f t="shared" si="2"/>
        <v>0</v>
      </c>
    </row>
    <row r="31" spans="1:12" x14ac:dyDescent="0.2">
      <c r="A31" s="360">
        <v>1860</v>
      </c>
      <c r="B31" s="352" t="s">
        <v>361</v>
      </c>
      <c r="C31" s="435">
        <f>'App.2-B_Fixed Asset 2011'!H31</f>
        <v>0</v>
      </c>
      <c r="D31" s="436"/>
      <c r="E31" s="800">
        <f t="shared" si="3"/>
        <v>0</v>
      </c>
      <c r="F31" s="435">
        <f>'App.2-B_Fixed Asset 2012 CGAAP'!F31</f>
        <v>0</v>
      </c>
      <c r="G31" s="13">
        <f t="shared" si="4"/>
        <v>0</v>
      </c>
      <c r="H31" s="342"/>
      <c r="I31" s="624">
        <f t="shared" si="0"/>
        <v>0</v>
      </c>
      <c r="J31" s="459">
        <f t="shared" si="1"/>
        <v>0</v>
      </c>
      <c r="K31" s="435">
        <f>-'App.2-B_Fixed Asset 2012 CGAAP'!K31</f>
        <v>0</v>
      </c>
      <c r="L31" s="264">
        <f t="shared" si="2"/>
        <v>0</v>
      </c>
    </row>
    <row r="32" spans="1:12" x14ac:dyDescent="0.2">
      <c r="A32" s="360">
        <v>1905</v>
      </c>
      <c r="B32" s="352" t="s">
        <v>408</v>
      </c>
      <c r="C32" s="435">
        <f>'App.2-B_Fixed Asset 2011'!H32</f>
        <v>0</v>
      </c>
      <c r="D32" s="436"/>
      <c r="E32" s="800">
        <f t="shared" si="3"/>
        <v>0</v>
      </c>
      <c r="F32" s="435">
        <f>'App.2-B_Fixed Asset 2012 CGAAP'!F32</f>
        <v>0</v>
      </c>
      <c r="G32" s="13">
        <f t="shared" si="4"/>
        <v>0</v>
      </c>
      <c r="H32" s="342"/>
      <c r="I32" s="624">
        <f t="shared" si="0"/>
        <v>0</v>
      </c>
      <c r="J32" s="459">
        <f t="shared" si="1"/>
        <v>0</v>
      </c>
      <c r="K32" s="435">
        <f>-'App.2-B_Fixed Asset 2012 CGAAP'!K32</f>
        <v>0</v>
      </c>
      <c r="L32" s="264">
        <f t="shared" si="2"/>
        <v>0</v>
      </c>
    </row>
    <row r="33" spans="1:12" x14ac:dyDescent="0.2">
      <c r="A33" s="359">
        <v>1908</v>
      </c>
      <c r="B33" s="353" t="s">
        <v>416</v>
      </c>
      <c r="C33" s="435">
        <f>'App.2-B_Fixed Asset 2011'!H33</f>
        <v>6009894</v>
      </c>
      <c r="D33" s="436">
        <v>768716</v>
      </c>
      <c r="E33" s="800">
        <f t="shared" si="3"/>
        <v>5241178</v>
      </c>
      <c r="F33" s="435">
        <f>'App.2-B_Fixed Asset 2012 CGAAP'!F33</f>
        <v>2178441</v>
      </c>
      <c r="G33" s="13">
        <f t="shared" si="4"/>
        <v>6330398.5</v>
      </c>
      <c r="H33" s="342">
        <f t="shared" si="5"/>
        <v>59.406892830330328</v>
      </c>
      <c r="I33" s="624">
        <f t="shared" si="0"/>
        <v>1.683306351093063E-2</v>
      </c>
      <c r="J33" s="459">
        <f t="shared" si="1"/>
        <v>106560</v>
      </c>
      <c r="K33" s="435">
        <f>-'App.2-B_Fixed Asset 2012 CGAAP'!K33</f>
        <v>106560</v>
      </c>
      <c r="L33" s="264">
        <f t="shared" si="2"/>
        <v>0</v>
      </c>
    </row>
    <row r="34" spans="1:12" x14ac:dyDescent="0.2">
      <c r="A34" s="359">
        <v>1910</v>
      </c>
      <c r="B34" s="353" t="s">
        <v>442</v>
      </c>
      <c r="C34" s="435">
        <f>'App.2-B_Fixed Asset 2011'!H34</f>
        <v>0</v>
      </c>
      <c r="D34" s="436"/>
      <c r="E34" s="800">
        <f t="shared" si="3"/>
        <v>0</v>
      </c>
      <c r="F34" s="435">
        <f>'App.2-B_Fixed Asset 2012 CGAAP'!F34</f>
        <v>0</v>
      </c>
      <c r="G34" s="13">
        <f t="shared" si="4"/>
        <v>0</v>
      </c>
      <c r="H34" s="342"/>
      <c r="I34" s="624">
        <f t="shared" si="0"/>
        <v>0</v>
      </c>
      <c r="J34" s="459">
        <f t="shared" si="1"/>
        <v>0</v>
      </c>
      <c r="K34" s="435">
        <f>-'App.2-B_Fixed Asset 2012 CGAAP'!K34</f>
        <v>0</v>
      </c>
      <c r="L34" s="264">
        <f t="shared" si="2"/>
        <v>0</v>
      </c>
    </row>
    <row r="35" spans="1:12" x14ac:dyDescent="0.2">
      <c r="A35" s="359">
        <v>1915</v>
      </c>
      <c r="B35" s="353" t="s">
        <v>362</v>
      </c>
      <c r="C35" s="435">
        <f>'App.2-B_Fixed Asset 2011'!H35</f>
        <v>876633</v>
      </c>
      <c r="D35" s="436">
        <v>551049</v>
      </c>
      <c r="E35" s="800">
        <f t="shared" si="3"/>
        <v>325584</v>
      </c>
      <c r="F35" s="435">
        <f>'App.2-B_Fixed Asset 2012 CGAAP'!F35</f>
        <v>117811</v>
      </c>
      <c r="G35" s="13">
        <f t="shared" si="4"/>
        <v>384489.5</v>
      </c>
      <c r="H35" s="342">
        <f t="shared" si="5"/>
        <v>10.030509756861107</v>
      </c>
      <c r="I35" s="624">
        <f t="shared" si="0"/>
        <v>9.9695830445304751E-2</v>
      </c>
      <c r="J35" s="459">
        <f t="shared" si="1"/>
        <v>38332</v>
      </c>
      <c r="K35" s="435">
        <f>-'App.2-B_Fixed Asset 2012 CGAAP'!K35</f>
        <v>38332</v>
      </c>
      <c r="L35" s="264">
        <f t="shared" si="2"/>
        <v>0</v>
      </c>
    </row>
    <row r="36" spans="1:12" x14ac:dyDescent="0.2">
      <c r="A36" s="359">
        <v>1915</v>
      </c>
      <c r="B36" s="353" t="s">
        <v>363</v>
      </c>
      <c r="C36" s="435">
        <f>'App.2-B_Fixed Asset 2011'!H36</f>
        <v>0</v>
      </c>
      <c r="D36" s="436"/>
      <c r="E36" s="800">
        <f t="shared" si="3"/>
        <v>0</v>
      </c>
      <c r="F36" s="435">
        <f>'App.2-B_Fixed Asset 2012 CGAAP'!F36</f>
        <v>0</v>
      </c>
      <c r="G36" s="13">
        <f t="shared" si="4"/>
        <v>0</v>
      </c>
      <c r="H36" s="342"/>
      <c r="I36" s="624">
        <f t="shared" si="0"/>
        <v>0</v>
      </c>
      <c r="J36" s="459">
        <f t="shared" si="1"/>
        <v>0</v>
      </c>
      <c r="K36" s="435">
        <f>-'App.2-B_Fixed Asset 2012 CGAAP'!K36</f>
        <v>0</v>
      </c>
      <c r="L36" s="264">
        <f t="shared" si="2"/>
        <v>0</v>
      </c>
    </row>
    <row r="37" spans="1:12" x14ac:dyDescent="0.2">
      <c r="A37" s="359">
        <v>1920</v>
      </c>
      <c r="B37" s="353" t="s">
        <v>364</v>
      </c>
      <c r="C37" s="435">
        <f>'App.2-B_Fixed Asset 2011'!H37</f>
        <v>5099380</v>
      </c>
      <c r="D37" s="436">
        <v>2903985</v>
      </c>
      <c r="E37" s="800">
        <f t="shared" si="3"/>
        <v>2195395</v>
      </c>
      <c r="F37" s="435">
        <f>'App.2-B_Fixed Asset 2012 CGAAP'!F37</f>
        <v>1122129</v>
      </c>
      <c r="G37" s="13">
        <f t="shared" si="4"/>
        <v>2756459.5</v>
      </c>
      <c r="H37" s="342">
        <f t="shared" si="5"/>
        <v>5.2840863562559788</v>
      </c>
      <c r="I37" s="624">
        <f t="shared" si="0"/>
        <v>0.18924747488580912</v>
      </c>
      <c r="J37" s="459">
        <f t="shared" si="1"/>
        <v>521653</v>
      </c>
      <c r="K37" s="435">
        <f>-'App.2-B_Fixed Asset 2012 CGAAP'!K37</f>
        <v>521653</v>
      </c>
      <c r="L37" s="264">
        <f t="shared" si="2"/>
        <v>0</v>
      </c>
    </row>
    <row r="38" spans="1:12" x14ac:dyDescent="0.2">
      <c r="A38" s="361">
        <v>1920</v>
      </c>
      <c r="B38" s="354" t="s">
        <v>366</v>
      </c>
      <c r="C38" s="435">
        <f>'App.2-B_Fixed Asset 2011'!H38</f>
        <v>0</v>
      </c>
      <c r="D38" s="436"/>
      <c r="E38" s="800">
        <f t="shared" si="3"/>
        <v>0</v>
      </c>
      <c r="F38" s="435">
        <f>'App.2-B_Fixed Asset 2012 CGAAP'!F38</f>
        <v>0</v>
      </c>
      <c r="G38" s="13">
        <f t="shared" si="4"/>
        <v>0</v>
      </c>
      <c r="H38" s="342"/>
      <c r="I38" s="624">
        <f t="shared" si="0"/>
        <v>0</v>
      </c>
      <c r="J38" s="459">
        <f t="shared" si="1"/>
        <v>0</v>
      </c>
      <c r="K38" s="435">
        <f>-'App.2-B_Fixed Asset 2012 CGAAP'!K38</f>
        <v>0</v>
      </c>
      <c r="L38" s="264">
        <f t="shared" si="2"/>
        <v>0</v>
      </c>
    </row>
    <row r="39" spans="1:12" x14ac:dyDescent="0.2">
      <c r="A39" s="361">
        <v>1920</v>
      </c>
      <c r="B39" s="354" t="s">
        <v>365</v>
      </c>
      <c r="C39" s="435">
        <f>'App.2-B_Fixed Asset 2011'!H39</f>
        <v>0</v>
      </c>
      <c r="D39" s="436"/>
      <c r="E39" s="800">
        <f t="shared" si="3"/>
        <v>0</v>
      </c>
      <c r="F39" s="435">
        <f>'App.2-B_Fixed Asset 2012 CGAAP'!F39</f>
        <v>0</v>
      </c>
      <c r="G39" s="13">
        <f t="shared" si="4"/>
        <v>0</v>
      </c>
      <c r="H39" s="342"/>
      <c r="I39" s="624">
        <f t="shared" si="0"/>
        <v>0</v>
      </c>
      <c r="J39" s="459">
        <f t="shared" si="1"/>
        <v>0</v>
      </c>
      <c r="K39" s="435">
        <f>-'App.2-B_Fixed Asset 2012 CGAAP'!K39</f>
        <v>0</v>
      </c>
      <c r="L39" s="264">
        <f t="shared" si="2"/>
        <v>0</v>
      </c>
    </row>
    <row r="40" spans="1:12" x14ac:dyDescent="0.2">
      <c r="A40" s="359">
        <v>1930</v>
      </c>
      <c r="B40" s="353" t="s">
        <v>430</v>
      </c>
      <c r="C40" s="435">
        <f>'App.2-B_Fixed Asset 2011'!H40</f>
        <v>4341254</v>
      </c>
      <c r="D40" s="436">
        <v>1826199</v>
      </c>
      <c r="E40" s="800">
        <f t="shared" si="3"/>
        <v>2515055</v>
      </c>
      <c r="F40" s="435">
        <f>'App.2-B_Fixed Asset 2012 CGAAP'!F40</f>
        <v>623434</v>
      </c>
      <c r="G40" s="13">
        <f t="shared" si="4"/>
        <v>2826772</v>
      </c>
      <c r="H40" s="342">
        <f t="shared" si="5"/>
        <v>7.9830667389634451</v>
      </c>
      <c r="I40" s="624">
        <f t="shared" si="0"/>
        <v>0.1252651434215423</v>
      </c>
      <c r="J40" s="459">
        <f t="shared" si="1"/>
        <v>354096</v>
      </c>
      <c r="K40" s="435">
        <f>-'App.2-B_Fixed Asset 2012 CGAAP'!K40</f>
        <v>354096</v>
      </c>
      <c r="L40" s="264">
        <f t="shared" si="2"/>
        <v>0</v>
      </c>
    </row>
    <row r="41" spans="1:12" x14ac:dyDescent="0.2">
      <c r="A41" s="359">
        <v>1935</v>
      </c>
      <c r="B41" s="353" t="s">
        <v>431</v>
      </c>
      <c r="C41" s="435">
        <f>'App.2-B_Fixed Asset 2011'!H41</f>
        <v>81138</v>
      </c>
      <c r="D41" s="436">
        <v>42591</v>
      </c>
      <c r="E41" s="800">
        <f t="shared" si="3"/>
        <v>38547</v>
      </c>
      <c r="F41" s="435">
        <f>'App.2-B_Fixed Asset 2012 CGAAP'!F41</f>
        <v>0</v>
      </c>
      <c r="G41" s="13">
        <f t="shared" si="4"/>
        <v>38547</v>
      </c>
      <c r="H41" s="342">
        <f t="shared" si="5"/>
        <v>8.0473903966597078</v>
      </c>
      <c r="I41" s="624">
        <f t="shared" si="0"/>
        <v>0.12426388564609438</v>
      </c>
      <c r="J41" s="459">
        <f t="shared" si="1"/>
        <v>4790</v>
      </c>
      <c r="K41" s="435">
        <f>-'App.2-B_Fixed Asset 2012 CGAAP'!K41</f>
        <v>4790</v>
      </c>
      <c r="L41" s="264">
        <f t="shared" si="2"/>
        <v>0</v>
      </c>
    </row>
    <row r="42" spans="1:12" x14ac:dyDescent="0.2">
      <c r="A42" s="359">
        <v>1940</v>
      </c>
      <c r="B42" s="353" t="s">
        <v>432</v>
      </c>
      <c r="C42" s="435">
        <f>'App.2-B_Fixed Asset 2011'!H42</f>
        <v>887821</v>
      </c>
      <c r="D42" s="436">
        <v>496299</v>
      </c>
      <c r="E42" s="800">
        <f t="shared" si="3"/>
        <v>391522</v>
      </c>
      <c r="F42" s="435">
        <f>'App.2-B_Fixed Asset 2012 CGAAP'!F42</f>
        <v>55534</v>
      </c>
      <c r="G42" s="13">
        <f t="shared" si="4"/>
        <v>419289</v>
      </c>
      <c r="H42" s="342">
        <f t="shared" si="5"/>
        <v>9.9999761501586022</v>
      </c>
      <c r="I42" s="624">
        <f t="shared" si="0"/>
        <v>0.10000023849898279</v>
      </c>
      <c r="J42" s="459">
        <f t="shared" si="1"/>
        <v>41929</v>
      </c>
      <c r="K42" s="435">
        <f>-'App.2-B_Fixed Asset 2012 CGAAP'!K42</f>
        <v>41929</v>
      </c>
      <c r="L42" s="264">
        <f t="shared" si="2"/>
        <v>0</v>
      </c>
    </row>
    <row r="43" spans="1:12" x14ac:dyDescent="0.2">
      <c r="A43" s="359">
        <v>1945</v>
      </c>
      <c r="B43" s="353" t="s">
        <v>433</v>
      </c>
      <c r="C43" s="435">
        <f>'App.2-B_Fixed Asset 2011'!H43</f>
        <v>313080</v>
      </c>
      <c r="D43" s="436">
        <v>194133</v>
      </c>
      <c r="E43" s="800">
        <f t="shared" si="3"/>
        <v>118947</v>
      </c>
      <c r="F43" s="435">
        <f>'App.2-B_Fixed Asset 2012 CGAAP'!F43</f>
        <v>60084</v>
      </c>
      <c r="G43" s="13">
        <f t="shared" si="4"/>
        <v>148989</v>
      </c>
      <c r="H43" s="342">
        <f t="shared" si="5"/>
        <v>9.9999328814014365</v>
      </c>
      <c r="I43" s="624">
        <f t="shared" si="0"/>
        <v>0.10000067119049057</v>
      </c>
      <c r="J43" s="459">
        <f t="shared" si="1"/>
        <v>14899</v>
      </c>
      <c r="K43" s="435">
        <f>-'App.2-B_Fixed Asset 2012 CGAAP'!K43</f>
        <v>14899</v>
      </c>
      <c r="L43" s="264">
        <f t="shared" si="2"/>
        <v>0</v>
      </c>
    </row>
    <row r="44" spans="1:12" x14ac:dyDescent="0.2">
      <c r="A44" s="359">
        <v>1950</v>
      </c>
      <c r="B44" s="353" t="s">
        <v>367</v>
      </c>
      <c r="C44" s="435">
        <f>'App.2-B_Fixed Asset 2011'!H44</f>
        <v>0</v>
      </c>
      <c r="D44" s="436"/>
      <c r="E44" s="800">
        <f t="shared" si="3"/>
        <v>0</v>
      </c>
      <c r="F44" s="435">
        <f>'App.2-B_Fixed Asset 2012 CGAAP'!F44</f>
        <v>0</v>
      </c>
      <c r="G44" s="13">
        <f t="shared" si="4"/>
        <v>0</v>
      </c>
      <c r="H44" s="342"/>
      <c r="I44" s="624">
        <f t="shared" si="0"/>
        <v>0</v>
      </c>
      <c r="J44" s="459">
        <f t="shared" si="1"/>
        <v>0</v>
      </c>
      <c r="K44" s="435">
        <f>-'App.2-B_Fixed Asset 2012 CGAAP'!K44</f>
        <v>0</v>
      </c>
      <c r="L44" s="264">
        <f t="shared" si="2"/>
        <v>0</v>
      </c>
    </row>
    <row r="45" spans="1:12" x14ac:dyDescent="0.2">
      <c r="A45" s="359">
        <v>1955</v>
      </c>
      <c r="B45" s="353" t="s">
        <v>434</v>
      </c>
      <c r="C45" s="435">
        <f>'App.2-B_Fixed Asset 2011'!H45</f>
        <v>252975</v>
      </c>
      <c r="D45" s="436">
        <v>122390</v>
      </c>
      <c r="E45" s="800">
        <f t="shared" si="3"/>
        <v>130585</v>
      </c>
      <c r="F45" s="435">
        <f>'App.2-B_Fixed Asset 2012 CGAAP'!F45</f>
        <v>0</v>
      </c>
      <c r="G45" s="13">
        <f t="shared" si="4"/>
        <v>130585</v>
      </c>
      <c r="H45" s="342">
        <f t="shared" si="5"/>
        <v>9.9175970228601802</v>
      </c>
      <c r="I45" s="624">
        <f t="shared" si="0"/>
        <v>0.10083087644063254</v>
      </c>
      <c r="J45" s="459">
        <f t="shared" si="1"/>
        <v>13167</v>
      </c>
      <c r="K45" s="435">
        <f>-'App.2-B_Fixed Asset 2012 CGAAP'!K45</f>
        <v>13167</v>
      </c>
      <c r="L45" s="264">
        <f t="shared" si="2"/>
        <v>0</v>
      </c>
    </row>
    <row r="46" spans="1:12" x14ac:dyDescent="0.2">
      <c r="A46" s="362">
        <v>1955</v>
      </c>
      <c r="B46" s="355" t="s">
        <v>368</v>
      </c>
      <c r="C46" s="435">
        <f>'App.2-B_Fixed Asset 2011'!H46</f>
        <v>0</v>
      </c>
      <c r="D46" s="436"/>
      <c r="E46" s="800">
        <f t="shared" si="3"/>
        <v>0</v>
      </c>
      <c r="F46" s="435">
        <f>'App.2-B_Fixed Asset 2012 CGAAP'!F46</f>
        <v>0</v>
      </c>
      <c r="G46" s="13">
        <f t="shared" si="4"/>
        <v>0</v>
      </c>
      <c r="H46" s="342"/>
      <c r="I46" s="624">
        <f t="shared" si="0"/>
        <v>0</v>
      </c>
      <c r="J46" s="459">
        <f t="shared" si="1"/>
        <v>0</v>
      </c>
      <c r="K46" s="435">
        <f>-'App.2-B_Fixed Asset 2012 CGAAP'!K46</f>
        <v>0</v>
      </c>
      <c r="L46" s="264">
        <f t="shared" si="2"/>
        <v>0</v>
      </c>
    </row>
    <row r="47" spans="1:12" x14ac:dyDescent="0.2">
      <c r="A47" s="361">
        <v>1960</v>
      </c>
      <c r="B47" s="354" t="s">
        <v>369</v>
      </c>
      <c r="C47" s="435">
        <f>'App.2-B_Fixed Asset 2011'!H47</f>
        <v>784532</v>
      </c>
      <c r="D47" s="436">
        <v>675138</v>
      </c>
      <c r="E47" s="800">
        <f t="shared" si="3"/>
        <v>109394</v>
      </c>
      <c r="F47" s="435">
        <f>'App.2-B_Fixed Asset 2012 CGAAP'!F47</f>
        <v>0</v>
      </c>
      <c r="G47" s="13">
        <f t="shared" si="4"/>
        <v>109394</v>
      </c>
      <c r="H47" s="342">
        <f t="shared" si="5"/>
        <v>19.229038495341889</v>
      </c>
      <c r="I47" s="624">
        <f t="shared" si="0"/>
        <v>5.2004680329816991E-2</v>
      </c>
      <c r="J47" s="459">
        <f t="shared" si="1"/>
        <v>5689</v>
      </c>
      <c r="K47" s="435">
        <f>-'App.2-B_Fixed Asset 2012 CGAAP'!K47</f>
        <v>5689</v>
      </c>
      <c r="L47" s="264">
        <f t="shared" si="2"/>
        <v>0</v>
      </c>
    </row>
    <row r="48" spans="1:12" x14ac:dyDescent="0.2">
      <c r="A48" s="359">
        <v>1975</v>
      </c>
      <c r="B48" s="353" t="s">
        <v>435</v>
      </c>
      <c r="C48" s="435">
        <f>'App.2-B_Fixed Asset 2011'!H48</f>
        <v>0</v>
      </c>
      <c r="D48" s="436"/>
      <c r="E48" s="800">
        <f t="shared" si="3"/>
        <v>0</v>
      </c>
      <c r="F48" s="435">
        <f>'App.2-B_Fixed Asset 2012 CGAAP'!F48</f>
        <v>0</v>
      </c>
      <c r="G48" s="13">
        <f t="shared" si="4"/>
        <v>0</v>
      </c>
      <c r="H48" s="342"/>
      <c r="I48" s="624">
        <f t="shared" si="0"/>
        <v>0</v>
      </c>
      <c r="J48" s="459">
        <f t="shared" si="1"/>
        <v>0</v>
      </c>
      <c r="K48" s="435">
        <f>-'App.2-B_Fixed Asset 2012 CGAAP'!K48</f>
        <v>0</v>
      </c>
      <c r="L48" s="264">
        <f t="shared" si="2"/>
        <v>0</v>
      </c>
    </row>
    <row r="49" spans="1:14" x14ac:dyDescent="0.2">
      <c r="A49" s="359">
        <v>1980</v>
      </c>
      <c r="B49" s="353" t="s">
        <v>436</v>
      </c>
      <c r="C49" s="435">
        <f>'App.2-B_Fixed Asset 2011'!H49</f>
        <v>1238700</v>
      </c>
      <c r="D49" s="436">
        <v>266928</v>
      </c>
      <c r="E49" s="800">
        <f t="shared" si="3"/>
        <v>971772</v>
      </c>
      <c r="F49" s="435">
        <f>'App.2-B_Fixed Asset 2012 CGAAP'!F49</f>
        <v>0</v>
      </c>
      <c r="G49" s="13">
        <f t="shared" si="4"/>
        <v>971772</v>
      </c>
      <c r="H49" s="342">
        <f t="shared" si="5"/>
        <v>24.117039757780315</v>
      </c>
      <c r="I49" s="624">
        <f t="shared" si="0"/>
        <v>4.1464458741350851E-2</v>
      </c>
      <c r="J49" s="459">
        <f t="shared" si="1"/>
        <v>40294</v>
      </c>
      <c r="K49" s="435">
        <f>-'App.2-B_Fixed Asset 2012 CGAAP'!K49</f>
        <v>40294</v>
      </c>
      <c r="L49" s="264">
        <f t="shared" si="2"/>
        <v>0</v>
      </c>
    </row>
    <row r="50" spans="1:14" x14ac:dyDescent="0.2">
      <c r="A50" s="359">
        <v>1985</v>
      </c>
      <c r="B50" s="353" t="s">
        <v>437</v>
      </c>
      <c r="C50" s="435">
        <f>'App.2-CE_CGAAP_DepExp_2011'!C50+'App.2-CE_CGAAP_DepExp_2011'!F50</f>
        <v>0</v>
      </c>
      <c r="D50" s="436"/>
      <c r="E50" s="800">
        <f t="shared" si="3"/>
        <v>0</v>
      </c>
      <c r="F50" s="435">
        <f>'App.2-B_Fixed Asset 2012 CGAAP'!F50</f>
        <v>0</v>
      </c>
      <c r="G50" s="13">
        <f t="shared" si="4"/>
        <v>0</v>
      </c>
      <c r="H50" s="342"/>
      <c r="I50" s="624">
        <f t="shared" si="0"/>
        <v>0</v>
      </c>
      <c r="J50" s="459">
        <f t="shared" si="1"/>
        <v>0</v>
      </c>
      <c r="K50" s="435">
        <f>-'App.2-B_Fixed Asset 2012 CGAAP'!K50</f>
        <v>0</v>
      </c>
      <c r="L50" s="264">
        <f t="shared" si="2"/>
        <v>0</v>
      </c>
    </row>
    <row r="51" spans="1:14" x14ac:dyDescent="0.2">
      <c r="A51" s="359">
        <v>1995</v>
      </c>
      <c r="B51" s="353" t="s">
        <v>438</v>
      </c>
      <c r="C51" s="435">
        <f>'App.2-CE_CGAAP_DepExp_2011'!C51+'App.2-CE_CGAAP_DepExp_2011'!F51</f>
        <v>-6487773</v>
      </c>
      <c r="D51" s="436"/>
      <c r="E51" s="800">
        <f t="shared" si="3"/>
        <v>-6487773</v>
      </c>
      <c r="F51" s="435">
        <f>'App.2-B_Fixed Asset 2012 CGAAP'!F51</f>
        <v>-491240</v>
      </c>
      <c r="G51" s="13">
        <f t="shared" si="4"/>
        <v>-6733393</v>
      </c>
      <c r="H51" s="342">
        <f>G51/-270579</f>
        <v>24.885127818492936</v>
      </c>
      <c r="I51" s="624">
        <f t="shared" si="0"/>
        <v>4.0184643908353482E-2</v>
      </c>
      <c r="J51" s="816">
        <f t="shared" si="1"/>
        <v>-270579</v>
      </c>
      <c r="K51" s="435">
        <f>-'App.2-B_Fixed Asset 2012 CGAAP'!K51</f>
        <v>-270579</v>
      </c>
      <c r="L51" s="843">
        <f t="shared" si="2"/>
        <v>0</v>
      </c>
    </row>
    <row r="52" spans="1:14" ht="25.5" x14ac:dyDescent="0.2">
      <c r="A52" s="359">
        <v>1970</v>
      </c>
      <c r="B52" s="353" t="str">
        <f>'App.2-CE_CGAAP_DepExp_2011'!B52</f>
        <v>Load Management Controls - Customer Premises</v>
      </c>
      <c r="C52" s="435">
        <f>'App.2-CE_CGAAP_DepExp_2011'!C52+'App.2-CE_CGAAP_DepExp_2011'!F52</f>
        <v>464917</v>
      </c>
      <c r="D52" s="436">
        <v>464917</v>
      </c>
      <c r="E52" s="800">
        <f t="shared" si="3"/>
        <v>0</v>
      </c>
      <c r="F52" s="435">
        <f>'App.2-B_Fixed Asset 2012 CGAAP'!F52</f>
        <v>0</v>
      </c>
      <c r="G52" s="13">
        <f t="shared" si="4"/>
        <v>0</v>
      </c>
      <c r="H52" s="342"/>
      <c r="I52" s="624">
        <f t="shared" ref="I52" si="6">IF(H52=0,0,1/H52)</f>
        <v>0</v>
      </c>
      <c r="J52" s="816">
        <f t="shared" ref="J52" si="7">IF(H52=0,0,G52/H52)</f>
        <v>0</v>
      </c>
      <c r="K52" s="435">
        <f>-'App.2-B_Fixed Asset 2012 CGAAP'!K52</f>
        <v>0</v>
      </c>
      <c r="L52" s="264">
        <f t="shared" ref="L52" si="8">IF(ISERROR(+J52-K52), 0, +J52-K52)</f>
        <v>0</v>
      </c>
    </row>
    <row r="53" spans="1:14" x14ac:dyDescent="0.2">
      <c r="A53" s="265">
        <v>1990</v>
      </c>
      <c r="B53" s="266" t="s">
        <v>865</v>
      </c>
      <c r="C53" s="435">
        <f>'App.2-B_Fixed Asset 2011'!H53</f>
        <v>567497</v>
      </c>
      <c r="D53" s="436"/>
      <c r="E53" s="800">
        <f t="shared" si="3"/>
        <v>567497</v>
      </c>
      <c r="F53" s="435">
        <f>'App.2-B_Fixed Asset 2012 CGAAP'!F53</f>
        <v>0</v>
      </c>
      <c r="G53" s="13">
        <f t="shared" si="4"/>
        <v>567497</v>
      </c>
      <c r="H53" s="342"/>
      <c r="I53" s="624">
        <f t="shared" si="0"/>
        <v>0</v>
      </c>
      <c r="J53" s="816">
        <f t="shared" si="1"/>
        <v>0</v>
      </c>
      <c r="K53" s="435">
        <f>-'App.2-B_Fixed Asset 2012 CGAAP'!K53</f>
        <v>0</v>
      </c>
      <c r="L53" s="264">
        <f t="shared" si="2"/>
        <v>0</v>
      </c>
    </row>
    <row r="54" spans="1:14" ht="13.5" thickBot="1" x14ac:dyDescent="0.25">
      <c r="A54" s="268"/>
      <c r="B54" s="269"/>
      <c r="C54" s="629"/>
      <c r="D54" s="801"/>
      <c r="E54" s="802">
        <f t="shared" si="3"/>
        <v>0</v>
      </c>
      <c r="F54" s="801"/>
      <c r="G54" s="803">
        <f t="shared" si="4"/>
        <v>0</v>
      </c>
      <c r="H54" s="333"/>
      <c r="I54" s="627">
        <f t="shared" si="0"/>
        <v>0</v>
      </c>
      <c r="J54" s="817">
        <f t="shared" si="1"/>
        <v>0</v>
      </c>
      <c r="K54" s="801"/>
      <c r="L54" s="364">
        <f t="shared" si="2"/>
        <v>0</v>
      </c>
    </row>
    <row r="55" spans="1:14" ht="14.25" thickTop="1" thickBot="1" x14ac:dyDescent="0.25">
      <c r="A55" s="270"/>
      <c r="B55" s="271" t="s">
        <v>439</v>
      </c>
      <c r="C55" s="804">
        <f>SUM(C16:C54)</f>
        <v>106146634</v>
      </c>
      <c r="D55" s="804">
        <f>SUM(D16:D54)</f>
        <v>31229236.199999999</v>
      </c>
      <c r="E55" s="804">
        <f>SUM(E16:E54)</f>
        <v>74917397.799999997</v>
      </c>
      <c r="F55" s="804">
        <f>SUM(F16:F54)</f>
        <v>10373271</v>
      </c>
      <c r="G55" s="804">
        <f>SUM(G16:G54)</f>
        <v>80104033.299999997</v>
      </c>
      <c r="H55" s="273"/>
      <c r="I55" s="626"/>
      <c r="J55" s="818">
        <f>SUM(J16:J54)</f>
        <v>4729669</v>
      </c>
      <c r="K55" s="804">
        <f>SUM(K16:K54)</f>
        <v>4729669</v>
      </c>
      <c r="L55" s="338">
        <f>SUM(L16:L54)</f>
        <v>-5.8207660913467407E-11</v>
      </c>
    </row>
    <row r="57" spans="1:14" x14ac:dyDescent="0.2">
      <c r="A57" s="254" t="s">
        <v>16</v>
      </c>
      <c r="B57" s="275"/>
      <c r="C57" s="275"/>
      <c r="D57" s="275"/>
      <c r="E57" s="275"/>
      <c r="F57" s="275"/>
      <c r="G57" s="810"/>
      <c r="H57" s="275"/>
      <c r="I57" s="275"/>
      <c r="J57" s="810"/>
    </row>
    <row r="58" spans="1:14" ht="12.75" customHeight="1" x14ac:dyDescent="0.2">
      <c r="A58" s="356">
        <v>1</v>
      </c>
      <c r="B58" s="1258" t="s">
        <v>650</v>
      </c>
      <c r="C58" s="1258"/>
      <c r="D58" s="1258"/>
      <c r="E58" s="1258"/>
      <c r="F58" s="1258"/>
      <c r="G58" s="1258"/>
      <c r="H58" s="1258"/>
      <c r="I58" s="1258"/>
      <c r="J58" s="1258"/>
      <c r="K58" s="1258"/>
      <c r="L58" s="1258"/>
    </row>
    <row r="59" spans="1:14" x14ac:dyDescent="0.2">
      <c r="A59" s="335">
        <v>2</v>
      </c>
      <c r="B59" s="1274" t="s">
        <v>651</v>
      </c>
      <c r="C59" s="1274"/>
      <c r="D59" s="1274"/>
      <c r="E59" s="1274"/>
      <c r="F59" s="1274"/>
      <c r="G59" s="1274"/>
      <c r="H59" s="1274"/>
      <c r="I59" s="1274"/>
      <c r="J59" s="1274"/>
      <c r="K59" s="1274"/>
      <c r="L59" s="1274"/>
    </row>
    <row r="60" spans="1:14" x14ac:dyDescent="0.2">
      <c r="A60" s="335"/>
    </row>
    <row r="61" spans="1:14" ht="12.75" customHeight="1" x14ac:dyDescent="0.2">
      <c r="A61" s="254" t="s">
        <v>374</v>
      </c>
      <c r="B61" s="1272" t="s">
        <v>330</v>
      </c>
      <c r="C61" s="1272"/>
      <c r="D61" s="1272"/>
      <c r="E61" s="1272"/>
      <c r="F61" s="1272"/>
      <c r="G61" s="1272"/>
      <c r="H61" s="1272"/>
      <c r="I61" s="1272"/>
      <c r="J61" s="1272"/>
      <c r="K61" s="1272"/>
      <c r="L61" s="1272"/>
      <c r="M61" s="276"/>
      <c r="N61" s="276"/>
    </row>
    <row r="62" spans="1:14" ht="24.75" customHeight="1" x14ac:dyDescent="0.2">
      <c r="A62" s="275"/>
      <c r="B62" s="1272"/>
      <c r="C62" s="1272"/>
      <c r="D62" s="1272"/>
      <c r="E62" s="1272"/>
      <c r="F62" s="1272"/>
      <c r="G62" s="1272"/>
      <c r="H62" s="1272"/>
      <c r="I62" s="1272"/>
      <c r="J62" s="1272"/>
      <c r="K62" s="1272"/>
      <c r="L62" s="1272"/>
      <c r="M62" s="276"/>
      <c r="N62" s="276"/>
    </row>
    <row r="63" spans="1:14" x14ac:dyDescent="0.2">
      <c r="B63" s="276"/>
      <c r="C63" s="276"/>
      <c r="D63" s="727"/>
      <c r="E63" s="727"/>
      <c r="F63" s="276"/>
      <c r="G63" s="811"/>
      <c r="H63" s="276"/>
      <c r="I63" s="276"/>
      <c r="J63" s="811"/>
      <c r="K63" s="811"/>
      <c r="L63" s="276"/>
      <c r="M63" s="276"/>
      <c r="N63" s="276"/>
    </row>
  </sheetData>
  <mergeCells count="9">
    <mergeCell ref="A10:L10"/>
    <mergeCell ref="A9:L9"/>
    <mergeCell ref="B58:L58"/>
    <mergeCell ref="B59:L59"/>
    <mergeCell ref="B61:L62"/>
    <mergeCell ref="A14:A15"/>
    <mergeCell ref="B14:B15"/>
    <mergeCell ref="K14:K15"/>
    <mergeCell ref="A11:L11"/>
  </mergeCells>
  <dataValidations count="1">
    <dataValidation allowBlank="1" showInputMessage="1" showErrorMessage="1" promptTitle="Date Format" prompt="E.g:  &quot;August 1, 2011&quot;" sqref="WVR983036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2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J131068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J196604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J262140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J327676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J393212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J458748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J524284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J589820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J655356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J720892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J786428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J851964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J917500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J983036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dataValidations>
  <printOptions horizontalCentered="1"/>
  <pageMargins left="0.5" right="0.5" top="0.5" bottom="0.5" header="0.39370078740157499" footer="0.27559055118110198"/>
  <pageSetup scale="5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P90"/>
  <sheetViews>
    <sheetView showGridLines="0" zoomScaleNormal="100" workbookViewId="0">
      <selection activeCell="A10" sqref="A10:O10"/>
    </sheetView>
  </sheetViews>
  <sheetFormatPr defaultRowHeight="12.75" x14ac:dyDescent="0.2"/>
  <cols>
    <col min="1" max="1" width="9.140625" style="946"/>
    <col min="2" max="2" width="40.28515625" style="946" bestFit="1" customWidth="1"/>
    <col min="3" max="3" width="13.42578125" style="946" bestFit="1" customWidth="1"/>
    <col min="4" max="4" width="12.28515625" style="946" customWidth="1"/>
    <col min="5" max="5" width="14.85546875" style="946" customWidth="1"/>
    <col min="6" max="6" width="9.5703125" style="946" customWidth="1"/>
    <col min="7" max="7" width="12.28515625" style="946" customWidth="1"/>
    <col min="8" max="8" width="12.28515625" style="862" customWidth="1"/>
    <col min="9" max="9" width="14.28515625" style="862" customWidth="1"/>
    <col min="10" max="10" width="12.85546875" style="862" customWidth="1"/>
    <col min="11" max="11" width="18" style="862" customWidth="1"/>
    <col min="12" max="12" width="12.7109375" style="946" customWidth="1"/>
    <col min="13" max="13" width="12.28515625" style="946" bestFit="1" customWidth="1"/>
    <col min="14" max="14" width="17.5703125" style="946" customWidth="1"/>
    <col min="15" max="15" width="15.7109375" style="946" customWidth="1"/>
    <col min="16" max="256" width="9.140625" style="946"/>
    <col min="257" max="257" width="2.7109375" style="946" customWidth="1"/>
    <col min="258" max="258" width="9.140625" style="946"/>
    <col min="259" max="259" width="40.28515625" style="946" bestFit="1" customWidth="1"/>
    <col min="260" max="260" width="12" style="946" customWidth="1"/>
    <col min="261" max="261" width="10" style="946" customWidth="1"/>
    <col min="262" max="262" width="14.85546875" style="946" customWidth="1"/>
    <col min="263" max="263" width="9.5703125" style="946" customWidth="1"/>
    <col min="264" max="265" width="12.28515625" style="946" customWidth="1"/>
    <col min="266" max="268" width="12.85546875" style="946" customWidth="1"/>
    <col min="269" max="269" width="12.7109375" style="946" customWidth="1"/>
    <col min="270" max="270" width="12.28515625" style="946" bestFit="1" customWidth="1"/>
    <col min="271" max="271" width="13.85546875" style="946" customWidth="1"/>
    <col min="272" max="512" width="9.140625" style="946"/>
    <col min="513" max="513" width="2.7109375" style="946" customWidth="1"/>
    <col min="514" max="514" width="9.140625" style="946"/>
    <col min="515" max="515" width="40.28515625" style="946" bestFit="1" customWidth="1"/>
    <col min="516" max="516" width="12" style="946" customWidth="1"/>
    <col min="517" max="517" width="10" style="946" customWidth="1"/>
    <col min="518" max="518" width="14.85546875" style="946" customWidth="1"/>
    <col min="519" max="519" width="9.5703125" style="946" customWidth="1"/>
    <col min="520" max="521" width="12.28515625" style="946" customWidth="1"/>
    <col min="522" max="524" width="12.85546875" style="946" customWidth="1"/>
    <col min="525" max="525" width="12.7109375" style="946" customWidth="1"/>
    <col min="526" max="526" width="12.28515625" style="946" bestFit="1" customWidth="1"/>
    <col min="527" max="527" width="13.85546875" style="946" customWidth="1"/>
    <col min="528" max="768" width="9.140625" style="946"/>
    <col min="769" max="769" width="2.7109375" style="946" customWidth="1"/>
    <col min="770" max="770" width="9.140625" style="946"/>
    <col min="771" max="771" width="40.28515625" style="946" bestFit="1" customWidth="1"/>
    <col min="772" max="772" width="12" style="946" customWidth="1"/>
    <col min="773" max="773" width="10" style="946" customWidth="1"/>
    <col min="774" max="774" width="14.85546875" style="946" customWidth="1"/>
    <col min="775" max="775" width="9.5703125" style="946" customWidth="1"/>
    <col min="776" max="777" width="12.28515625" style="946" customWidth="1"/>
    <col min="778" max="780" width="12.85546875" style="946" customWidth="1"/>
    <col min="781" max="781" width="12.7109375" style="946" customWidth="1"/>
    <col min="782" max="782" width="12.28515625" style="946" bestFit="1" customWidth="1"/>
    <col min="783" max="783" width="13.85546875" style="946" customWidth="1"/>
    <col min="784" max="1024" width="9.140625" style="946"/>
    <col min="1025" max="1025" width="2.7109375" style="946" customWidth="1"/>
    <col min="1026" max="1026" width="9.140625" style="946"/>
    <col min="1027" max="1027" width="40.28515625" style="946" bestFit="1" customWidth="1"/>
    <col min="1028" max="1028" width="12" style="946" customWidth="1"/>
    <col min="1029" max="1029" width="10" style="946" customWidth="1"/>
    <col min="1030" max="1030" width="14.85546875" style="946" customWidth="1"/>
    <col min="1031" max="1031" width="9.5703125" style="946" customWidth="1"/>
    <col min="1032" max="1033" width="12.28515625" style="946" customWidth="1"/>
    <col min="1034" max="1036" width="12.85546875" style="946" customWidth="1"/>
    <col min="1037" max="1037" width="12.7109375" style="946" customWidth="1"/>
    <col min="1038" max="1038" width="12.28515625" style="946" bestFit="1" customWidth="1"/>
    <col min="1039" max="1039" width="13.85546875" style="946" customWidth="1"/>
    <col min="1040" max="1280" width="9.140625" style="946"/>
    <col min="1281" max="1281" width="2.7109375" style="946" customWidth="1"/>
    <col min="1282" max="1282" width="9.140625" style="946"/>
    <col min="1283" max="1283" width="40.28515625" style="946" bestFit="1" customWidth="1"/>
    <col min="1284" max="1284" width="12" style="946" customWidth="1"/>
    <col min="1285" max="1285" width="10" style="946" customWidth="1"/>
    <col min="1286" max="1286" width="14.85546875" style="946" customWidth="1"/>
    <col min="1287" max="1287" width="9.5703125" style="946" customWidth="1"/>
    <col min="1288" max="1289" width="12.28515625" style="946" customWidth="1"/>
    <col min="1290" max="1292" width="12.85546875" style="946" customWidth="1"/>
    <col min="1293" max="1293" width="12.7109375" style="946" customWidth="1"/>
    <col min="1294" max="1294" width="12.28515625" style="946" bestFit="1" customWidth="1"/>
    <col min="1295" max="1295" width="13.85546875" style="946" customWidth="1"/>
    <col min="1296" max="1536" width="9.140625" style="946"/>
    <col min="1537" max="1537" width="2.7109375" style="946" customWidth="1"/>
    <col min="1538" max="1538" width="9.140625" style="946"/>
    <col min="1539" max="1539" width="40.28515625" style="946" bestFit="1" customWidth="1"/>
    <col min="1540" max="1540" width="12" style="946" customWidth="1"/>
    <col min="1541" max="1541" width="10" style="946" customWidth="1"/>
    <col min="1542" max="1542" width="14.85546875" style="946" customWidth="1"/>
    <col min="1543" max="1543" width="9.5703125" style="946" customWidth="1"/>
    <col min="1544" max="1545" width="12.28515625" style="946" customWidth="1"/>
    <col min="1546" max="1548" width="12.85546875" style="946" customWidth="1"/>
    <col min="1549" max="1549" width="12.7109375" style="946" customWidth="1"/>
    <col min="1550" max="1550" width="12.28515625" style="946" bestFit="1" customWidth="1"/>
    <col min="1551" max="1551" width="13.85546875" style="946" customWidth="1"/>
    <col min="1552" max="1792" width="9.140625" style="946"/>
    <col min="1793" max="1793" width="2.7109375" style="946" customWidth="1"/>
    <col min="1794" max="1794" width="9.140625" style="946"/>
    <col min="1795" max="1795" width="40.28515625" style="946" bestFit="1" customWidth="1"/>
    <col min="1796" max="1796" width="12" style="946" customWidth="1"/>
    <col min="1797" max="1797" width="10" style="946" customWidth="1"/>
    <col min="1798" max="1798" width="14.85546875" style="946" customWidth="1"/>
    <col min="1799" max="1799" width="9.5703125" style="946" customWidth="1"/>
    <col min="1800" max="1801" width="12.28515625" style="946" customWidth="1"/>
    <col min="1802" max="1804" width="12.85546875" style="946" customWidth="1"/>
    <col min="1805" max="1805" width="12.7109375" style="946" customWidth="1"/>
    <col min="1806" max="1806" width="12.28515625" style="946" bestFit="1" customWidth="1"/>
    <col min="1807" max="1807" width="13.85546875" style="946" customWidth="1"/>
    <col min="1808" max="2048" width="9.140625" style="946"/>
    <col min="2049" max="2049" width="2.7109375" style="946" customWidth="1"/>
    <col min="2050" max="2050" width="9.140625" style="946"/>
    <col min="2051" max="2051" width="40.28515625" style="946" bestFit="1" customWidth="1"/>
    <col min="2052" max="2052" width="12" style="946" customWidth="1"/>
    <col min="2053" max="2053" width="10" style="946" customWidth="1"/>
    <col min="2054" max="2054" width="14.85546875" style="946" customWidth="1"/>
    <col min="2055" max="2055" width="9.5703125" style="946" customWidth="1"/>
    <col min="2056" max="2057" width="12.28515625" style="946" customWidth="1"/>
    <col min="2058" max="2060" width="12.85546875" style="946" customWidth="1"/>
    <col min="2061" max="2061" width="12.7109375" style="946" customWidth="1"/>
    <col min="2062" max="2062" width="12.28515625" style="946" bestFit="1" customWidth="1"/>
    <col min="2063" max="2063" width="13.85546875" style="946" customWidth="1"/>
    <col min="2064" max="2304" width="9.140625" style="946"/>
    <col min="2305" max="2305" width="2.7109375" style="946" customWidth="1"/>
    <col min="2306" max="2306" width="9.140625" style="946"/>
    <col min="2307" max="2307" width="40.28515625" style="946" bestFit="1" customWidth="1"/>
    <col min="2308" max="2308" width="12" style="946" customWidth="1"/>
    <col min="2309" max="2309" width="10" style="946" customWidth="1"/>
    <col min="2310" max="2310" width="14.85546875" style="946" customWidth="1"/>
    <col min="2311" max="2311" width="9.5703125" style="946" customWidth="1"/>
    <col min="2312" max="2313" width="12.28515625" style="946" customWidth="1"/>
    <col min="2314" max="2316" width="12.85546875" style="946" customWidth="1"/>
    <col min="2317" max="2317" width="12.7109375" style="946" customWidth="1"/>
    <col min="2318" max="2318" width="12.28515625" style="946" bestFit="1" customWidth="1"/>
    <col min="2319" max="2319" width="13.85546875" style="946" customWidth="1"/>
    <col min="2320" max="2560" width="9.140625" style="946"/>
    <col min="2561" max="2561" width="2.7109375" style="946" customWidth="1"/>
    <col min="2562" max="2562" width="9.140625" style="946"/>
    <col min="2563" max="2563" width="40.28515625" style="946" bestFit="1" customWidth="1"/>
    <col min="2564" max="2564" width="12" style="946" customWidth="1"/>
    <col min="2565" max="2565" width="10" style="946" customWidth="1"/>
    <col min="2566" max="2566" width="14.85546875" style="946" customWidth="1"/>
    <col min="2567" max="2567" width="9.5703125" style="946" customWidth="1"/>
    <col min="2568" max="2569" width="12.28515625" style="946" customWidth="1"/>
    <col min="2570" max="2572" width="12.85546875" style="946" customWidth="1"/>
    <col min="2573" max="2573" width="12.7109375" style="946" customWidth="1"/>
    <col min="2574" max="2574" width="12.28515625" style="946" bestFit="1" customWidth="1"/>
    <col min="2575" max="2575" width="13.85546875" style="946" customWidth="1"/>
    <col min="2576" max="2816" width="9.140625" style="946"/>
    <col min="2817" max="2817" width="2.7109375" style="946" customWidth="1"/>
    <col min="2818" max="2818" width="9.140625" style="946"/>
    <col min="2819" max="2819" width="40.28515625" style="946" bestFit="1" customWidth="1"/>
    <col min="2820" max="2820" width="12" style="946" customWidth="1"/>
    <col min="2821" max="2821" width="10" style="946" customWidth="1"/>
    <col min="2822" max="2822" width="14.85546875" style="946" customWidth="1"/>
    <col min="2823" max="2823" width="9.5703125" style="946" customWidth="1"/>
    <col min="2824" max="2825" width="12.28515625" style="946" customWidth="1"/>
    <col min="2826" max="2828" width="12.85546875" style="946" customWidth="1"/>
    <col min="2829" max="2829" width="12.7109375" style="946" customWidth="1"/>
    <col min="2830" max="2830" width="12.28515625" style="946" bestFit="1" customWidth="1"/>
    <col min="2831" max="2831" width="13.85546875" style="946" customWidth="1"/>
    <col min="2832" max="3072" width="9.140625" style="946"/>
    <col min="3073" max="3073" width="2.7109375" style="946" customWidth="1"/>
    <col min="3074" max="3074" width="9.140625" style="946"/>
    <col min="3075" max="3075" width="40.28515625" style="946" bestFit="1" customWidth="1"/>
    <col min="3076" max="3076" width="12" style="946" customWidth="1"/>
    <col min="3077" max="3077" width="10" style="946" customWidth="1"/>
    <col min="3078" max="3078" width="14.85546875" style="946" customWidth="1"/>
    <col min="3079" max="3079" width="9.5703125" style="946" customWidth="1"/>
    <col min="3080" max="3081" width="12.28515625" style="946" customWidth="1"/>
    <col min="3082" max="3084" width="12.85546875" style="946" customWidth="1"/>
    <col min="3085" max="3085" width="12.7109375" style="946" customWidth="1"/>
    <col min="3086" max="3086" width="12.28515625" style="946" bestFit="1" customWidth="1"/>
    <col min="3087" max="3087" width="13.85546875" style="946" customWidth="1"/>
    <col min="3088" max="3328" width="9.140625" style="946"/>
    <col min="3329" max="3329" width="2.7109375" style="946" customWidth="1"/>
    <col min="3330" max="3330" width="9.140625" style="946"/>
    <col min="3331" max="3331" width="40.28515625" style="946" bestFit="1" customWidth="1"/>
    <col min="3332" max="3332" width="12" style="946" customWidth="1"/>
    <col min="3333" max="3333" width="10" style="946" customWidth="1"/>
    <col min="3334" max="3334" width="14.85546875" style="946" customWidth="1"/>
    <col min="3335" max="3335" width="9.5703125" style="946" customWidth="1"/>
    <col min="3336" max="3337" width="12.28515625" style="946" customWidth="1"/>
    <col min="3338" max="3340" width="12.85546875" style="946" customWidth="1"/>
    <col min="3341" max="3341" width="12.7109375" style="946" customWidth="1"/>
    <col min="3342" max="3342" width="12.28515625" style="946" bestFit="1" customWidth="1"/>
    <col min="3343" max="3343" width="13.85546875" style="946" customWidth="1"/>
    <col min="3344" max="3584" width="9.140625" style="946"/>
    <col min="3585" max="3585" width="2.7109375" style="946" customWidth="1"/>
    <col min="3586" max="3586" width="9.140625" style="946"/>
    <col min="3587" max="3587" width="40.28515625" style="946" bestFit="1" customWidth="1"/>
    <col min="3588" max="3588" width="12" style="946" customWidth="1"/>
    <col min="3589" max="3589" width="10" style="946" customWidth="1"/>
    <col min="3590" max="3590" width="14.85546875" style="946" customWidth="1"/>
    <col min="3591" max="3591" width="9.5703125" style="946" customWidth="1"/>
    <col min="3592" max="3593" width="12.28515625" style="946" customWidth="1"/>
    <col min="3594" max="3596" width="12.85546875" style="946" customWidth="1"/>
    <col min="3597" max="3597" width="12.7109375" style="946" customWidth="1"/>
    <col min="3598" max="3598" width="12.28515625" style="946" bestFit="1" customWidth="1"/>
    <col min="3599" max="3599" width="13.85546875" style="946" customWidth="1"/>
    <col min="3600" max="3840" width="9.140625" style="946"/>
    <col min="3841" max="3841" width="2.7109375" style="946" customWidth="1"/>
    <col min="3842" max="3842" width="9.140625" style="946"/>
    <col min="3843" max="3843" width="40.28515625" style="946" bestFit="1" customWidth="1"/>
    <col min="3844" max="3844" width="12" style="946" customWidth="1"/>
    <col min="3845" max="3845" width="10" style="946" customWidth="1"/>
    <col min="3846" max="3846" width="14.85546875" style="946" customWidth="1"/>
    <col min="3847" max="3847" width="9.5703125" style="946" customWidth="1"/>
    <col min="3848" max="3849" width="12.28515625" style="946" customWidth="1"/>
    <col min="3850" max="3852" width="12.85546875" style="946" customWidth="1"/>
    <col min="3853" max="3853" width="12.7109375" style="946" customWidth="1"/>
    <col min="3854" max="3854" width="12.28515625" style="946" bestFit="1" customWidth="1"/>
    <col min="3855" max="3855" width="13.85546875" style="946" customWidth="1"/>
    <col min="3856" max="4096" width="9.140625" style="946"/>
    <col min="4097" max="4097" width="2.7109375" style="946" customWidth="1"/>
    <col min="4098" max="4098" width="9.140625" style="946"/>
    <col min="4099" max="4099" width="40.28515625" style="946" bestFit="1" customWidth="1"/>
    <col min="4100" max="4100" width="12" style="946" customWidth="1"/>
    <col min="4101" max="4101" width="10" style="946" customWidth="1"/>
    <col min="4102" max="4102" width="14.85546875" style="946" customWidth="1"/>
    <col min="4103" max="4103" width="9.5703125" style="946" customWidth="1"/>
    <col min="4104" max="4105" width="12.28515625" style="946" customWidth="1"/>
    <col min="4106" max="4108" width="12.85546875" style="946" customWidth="1"/>
    <col min="4109" max="4109" width="12.7109375" style="946" customWidth="1"/>
    <col min="4110" max="4110" width="12.28515625" style="946" bestFit="1" customWidth="1"/>
    <col min="4111" max="4111" width="13.85546875" style="946" customWidth="1"/>
    <col min="4112" max="4352" width="9.140625" style="946"/>
    <col min="4353" max="4353" width="2.7109375" style="946" customWidth="1"/>
    <col min="4354" max="4354" width="9.140625" style="946"/>
    <col min="4355" max="4355" width="40.28515625" style="946" bestFit="1" customWidth="1"/>
    <col min="4356" max="4356" width="12" style="946" customWidth="1"/>
    <col min="4357" max="4357" width="10" style="946" customWidth="1"/>
    <col min="4358" max="4358" width="14.85546875" style="946" customWidth="1"/>
    <col min="4359" max="4359" width="9.5703125" style="946" customWidth="1"/>
    <col min="4360" max="4361" width="12.28515625" style="946" customWidth="1"/>
    <col min="4362" max="4364" width="12.85546875" style="946" customWidth="1"/>
    <col min="4365" max="4365" width="12.7109375" style="946" customWidth="1"/>
    <col min="4366" max="4366" width="12.28515625" style="946" bestFit="1" customWidth="1"/>
    <col min="4367" max="4367" width="13.85546875" style="946" customWidth="1"/>
    <col min="4368" max="4608" width="9.140625" style="946"/>
    <col min="4609" max="4609" width="2.7109375" style="946" customWidth="1"/>
    <col min="4610" max="4610" width="9.140625" style="946"/>
    <col min="4611" max="4611" width="40.28515625" style="946" bestFit="1" customWidth="1"/>
    <col min="4612" max="4612" width="12" style="946" customWidth="1"/>
    <col min="4613" max="4613" width="10" style="946" customWidth="1"/>
    <col min="4614" max="4614" width="14.85546875" style="946" customWidth="1"/>
    <col min="4615" max="4615" width="9.5703125" style="946" customWidth="1"/>
    <col min="4616" max="4617" width="12.28515625" style="946" customWidth="1"/>
    <col min="4618" max="4620" width="12.85546875" style="946" customWidth="1"/>
    <col min="4621" max="4621" width="12.7109375" style="946" customWidth="1"/>
    <col min="4622" max="4622" width="12.28515625" style="946" bestFit="1" customWidth="1"/>
    <col min="4623" max="4623" width="13.85546875" style="946" customWidth="1"/>
    <col min="4624" max="4864" width="9.140625" style="946"/>
    <col min="4865" max="4865" width="2.7109375" style="946" customWidth="1"/>
    <col min="4866" max="4866" width="9.140625" style="946"/>
    <col min="4867" max="4867" width="40.28515625" style="946" bestFit="1" customWidth="1"/>
    <col min="4868" max="4868" width="12" style="946" customWidth="1"/>
    <col min="4869" max="4869" width="10" style="946" customWidth="1"/>
    <col min="4870" max="4870" width="14.85546875" style="946" customWidth="1"/>
    <col min="4871" max="4871" width="9.5703125" style="946" customWidth="1"/>
    <col min="4872" max="4873" width="12.28515625" style="946" customWidth="1"/>
    <col min="4874" max="4876" width="12.85546875" style="946" customWidth="1"/>
    <col min="4877" max="4877" width="12.7109375" style="946" customWidth="1"/>
    <col min="4878" max="4878" width="12.28515625" style="946" bestFit="1" customWidth="1"/>
    <col min="4879" max="4879" width="13.85546875" style="946" customWidth="1"/>
    <col min="4880" max="5120" width="9.140625" style="946"/>
    <col min="5121" max="5121" width="2.7109375" style="946" customWidth="1"/>
    <col min="5122" max="5122" width="9.140625" style="946"/>
    <col min="5123" max="5123" width="40.28515625" style="946" bestFit="1" customWidth="1"/>
    <col min="5124" max="5124" width="12" style="946" customWidth="1"/>
    <col min="5125" max="5125" width="10" style="946" customWidth="1"/>
    <col min="5126" max="5126" width="14.85546875" style="946" customWidth="1"/>
    <col min="5127" max="5127" width="9.5703125" style="946" customWidth="1"/>
    <col min="5128" max="5129" width="12.28515625" style="946" customWidth="1"/>
    <col min="5130" max="5132" width="12.85546875" style="946" customWidth="1"/>
    <col min="5133" max="5133" width="12.7109375" style="946" customWidth="1"/>
    <col min="5134" max="5134" width="12.28515625" style="946" bestFit="1" customWidth="1"/>
    <col min="5135" max="5135" width="13.85546875" style="946" customWidth="1"/>
    <col min="5136" max="5376" width="9.140625" style="946"/>
    <col min="5377" max="5377" width="2.7109375" style="946" customWidth="1"/>
    <col min="5378" max="5378" width="9.140625" style="946"/>
    <col min="5379" max="5379" width="40.28515625" style="946" bestFit="1" customWidth="1"/>
    <col min="5380" max="5380" width="12" style="946" customWidth="1"/>
    <col min="5381" max="5381" width="10" style="946" customWidth="1"/>
    <col min="5382" max="5382" width="14.85546875" style="946" customWidth="1"/>
    <col min="5383" max="5383" width="9.5703125" style="946" customWidth="1"/>
    <col min="5384" max="5385" width="12.28515625" style="946" customWidth="1"/>
    <col min="5386" max="5388" width="12.85546875" style="946" customWidth="1"/>
    <col min="5389" max="5389" width="12.7109375" style="946" customWidth="1"/>
    <col min="5390" max="5390" width="12.28515625" style="946" bestFit="1" customWidth="1"/>
    <col min="5391" max="5391" width="13.85546875" style="946" customWidth="1"/>
    <col min="5392" max="5632" width="9.140625" style="946"/>
    <col min="5633" max="5633" width="2.7109375" style="946" customWidth="1"/>
    <col min="5634" max="5634" width="9.140625" style="946"/>
    <col min="5635" max="5635" width="40.28515625" style="946" bestFit="1" customWidth="1"/>
    <col min="5636" max="5636" width="12" style="946" customWidth="1"/>
    <col min="5637" max="5637" width="10" style="946" customWidth="1"/>
    <col min="5638" max="5638" width="14.85546875" style="946" customWidth="1"/>
    <col min="5639" max="5639" width="9.5703125" style="946" customWidth="1"/>
    <col min="5640" max="5641" width="12.28515625" style="946" customWidth="1"/>
    <col min="5642" max="5644" width="12.85546875" style="946" customWidth="1"/>
    <col min="5645" max="5645" width="12.7109375" style="946" customWidth="1"/>
    <col min="5646" max="5646" width="12.28515625" style="946" bestFit="1" customWidth="1"/>
    <col min="5647" max="5647" width="13.85546875" style="946" customWidth="1"/>
    <col min="5648" max="5888" width="9.140625" style="946"/>
    <col min="5889" max="5889" width="2.7109375" style="946" customWidth="1"/>
    <col min="5890" max="5890" width="9.140625" style="946"/>
    <col min="5891" max="5891" width="40.28515625" style="946" bestFit="1" customWidth="1"/>
    <col min="5892" max="5892" width="12" style="946" customWidth="1"/>
    <col min="5893" max="5893" width="10" style="946" customWidth="1"/>
    <col min="5894" max="5894" width="14.85546875" style="946" customWidth="1"/>
    <col min="5895" max="5895" width="9.5703125" style="946" customWidth="1"/>
    <col min="5896" max="5897" width="12.28515625" style="946" customWidth="1"/>
    <col min="5898" max="5900" width="12.85546875" style="946" customWidth="1"/>
    <col min="5901" max="5901" width="12.7109375" style="946" customWidth="1"/>
    <col min="5902" max="5902" width="12.28515625" style="946" bestFit="1" customWidth="1"/>
    <col min="5903" max="5903" width="13.85546875" style="946" customWidth="1"/>
    <col min="5904" max="6144" width="9.140625" style="946"/>
    <col min="6145" max="6145" width="2.7109375" style="946" customWidth="1"/>
    <col min="6146" max="6146" width="9.140625" style="946"/>
    <col min="6147" max="6147" width="40.28515625" style="946" bestFit="1" customWidth="1"/>
    <col min="6148" max="6148" width="12" style="946" customWidth="1"/>
    <col min="6149" max="6149" width="10" style="946" customWidth="1"/>
    <col min="6150" max="6150" width="14.85546875" style="946" customWidth="1"/>
    <col min="6151" max="6151" width="9.5703125" style="946" customWidth="1"/>
    <col min="6152" max="6153" width="12.28515625" style="946" customWidth="1"/>
    <col min="6154" max="6156" width="12.85546875" style="946" customWidth="1"/>
    <col min="6157" max="6157" width="12.7109375" style="946" customWidth="1"/>
    <col min="6158" max="6158" width="12.28515625" style="946" bestFit="1" customWidth="1"/>
    <col min="6159" max="6159" width="13.85546875" style="946" customWidth="1"/>
    <col min="6160" max="6400" width="9.140625" style="946"/>
    <col min="6401" max="6401" width="2.7109375" style="946" customWidth="1"/>
    <col min="6402" max="6402" width="9.140625" style="946"/>
    <col min="6403" max="6403" width="40.28515625" style="946" bestFit="1" customWidth="1"/>
    <col min="6404" max="6404" width="12" style="946" customWidth="1"/>
    <col min="6405" max="6405" width="10" style="946" customWidth="1"/>
    <col min="6406" max="6406" width="14.85546875" style="946" customWidth="1"/>
    <col min="6407" max="6407" width="9.5703125" style="946" customWidth="1"/>
    <col min="6408" max="6409" width="12.28515625" style="946" customWidth="1"/>
    <col min="6410" max="6412" width="12.85546875" style="946" customWidth="1"/>
    <col min="6413" max="6413" width="12.7109375" style="946" customWidth="1"/>
    <col min="6414" max="6414" width="12.28515625" style="946" bestFit="1" customWidth="1"/>
    <col min="6415" max="6415" width="13.85546875" style="946" customWidth="1"/>
    <col min="6416" max="6656" width="9.140625" style="946"/>
    <col min="6657" max="6657" width="2.7109375" style="946" customWidth="1"/>
    <col min="6658" max="6658" width="9.140625" style="946"/>
    <col min="6659" max="6659" width="40.28515625" style="946" bestFit="1" customWidth="1"/>
    <col min="6660" max="6660" width="12" style="946" customWidth="1"/>
    <col min="6661" max="6661" width="10" style="946" customWidth="1"/>
    <col min="6662" max="6662" width="14.85546875" style="946" customWidth="1"/>
    <col min="6663" max="6663" width="9.5703125" style="946" customWidth="1"/>
    <col min="6664" max="6665" width="12.28515625" style="946" customWidth="1"/>
    <col min="6666" max="6668" width="12.85546875" style="946" customWidth="1"/>
    <col min="6669" max="6669" width="12.7109375" style="946" customWidth="1"/>
    <col min="6670" max="6670" width="12.28515625" style="946" bestFit="1" customWidth="1"/>
    <col min="6671" max="6671" width="13.85546875" style="946" customWidth="1"/>
    <col min="6672" max="6912" width="9.140625" style="946"/>
    <col min="6913" max="6913" width="2.7109375" style="946" customWidth="1"/>
    <col min="6914" max="6914" width="9.140625" style="946"/>
    <col min="6915" max="6915" width="40.28515625" style="946" bestFit="1" customWidth="1"/>
    <col min="6916" max="6916" width="12" style="946" customWidth="1"/>
    <col min="6917" max="6917" width="10" style="946" customWidth="1"/>
    <col min="6918" max="6918" width="14.85546875" style="946" customWidth="1"/>
    <col min="6919" max="6919" width="9.5703125" style="946" customWidth="1"/>
    <col min="6920" max="6921" width="12.28515625" style="946" customWidth="1"/>
    <col min="6922" max="6924" width="12.85546875" style="946" customWidth="1"/>
    <col min="6925" max="6925" width="12.7109375" style="946" customWidth="1"/>
    <col min="6926" max="6926" width="12.28515625" style="946" bestFit="1" customWidth="1"/>
    <col min="6927" max="6927" width="13.85546875" style="946" customWidth="1"/>
    <col min="6928" max="7168" width="9.140625" style="946"/>
    <col min="7169" max="7169" width="2.7109375" style="946" customWidth="1"/>
    <col min="7170" max="7170" width="9.140625" style="946"/>
    <col min="7171" max="7171" width="40.28515625" style="946" bestFit="1" customWidth="1"/>
    <col min="7172" max="7172" width="12" style="946" customWidth="1"/>
    <col min="7173" max="7173" width="10" style="946" customWidth="1"/>
    <col min="7174" max="7174" width="14.85546875" style="946" customWidth="1"/>
    <col min="7175" max="7175" width="9.5703125" style="946" customWidth="1"/>
    <col min="7176" max="7177" width="12.28515625" style="946" customWidth="1"/>
    <col min="7178" max="7180" width="12.85546875" style="946" customWidth="1"/>
    <col min="7181" max="7181" width="12.7109375" style="946" customWidth="1"/>
    <col min="7182" max="7182" width="12.28515625" style="946" bestFit="1" customWidth="1"/>
    <col min="7183" max="7183" width="13.85546875" style="946" customWidth="1"/>
    <col min="7184" max="7424" width="9.140625" style="946"/>
    <col min="7425" max="7425" width="2.7109375" style="946" customWidth="1"/>
    <col min="7426" max="7426" width="9.140625" style="946"/>
    <col min="7427" max="7427" width="40.28515625" style="946" bestFit="1" customWidth="1"/>
    <col min="7428" max="7428" width="12" style="946" customWidth="1"/>
    <col min="7429" max="7429" width="10" style="946" customWidth="1"/>
    <col min="7430" max="7430" width="14.85546875" style="946" customWidth="1"/>
    <col min="7431" max="7431" width="9.5703125" style="946" customWidth="1"/>
    <col min="7432" max="7433" width="12.28515625" style="946" customWidth="1"/>
    <col min="7434" max="7436" width="12.85546875" style="946" customWidth="1"/>
    <col min="7437" max="7437" width="12.7109375" style="946" customWidth="1"/>
    <col min="7438" max="7438" width="12.28515625" style="946" bestFit="1" customWidth="1"/>
    <col min="7439" max="7439" width="13.85546875" style="946" customWidth="1"/>
    <col min="7440" max="7680" width="9.140625" style="946"/>
    <col min="7681" max="7681" width="2.7109375" style="946" customWidth="1"/>
    <col min="7682" max="7682" width="9.140625" style="946"/>
    <col min="7683" max="7683" width="40.28515625" style="946" bestFit="1" customWidth="1"/>
    <col min="7684" max="7684" width="12" style="946" customWidth="1"/>
    <col min="7685" max="7685" width="10" style="946" customWidth="1"/>
    <col min="7686" max="7686" width="14.85546875" style="946" customWidth="1"/>
    <col min="7687" max="7687" width="9.5703125" style="946" customWidth="1"/>
    <col min="7688" max="7689" width="12.28515625" style="946" customWidth="1"/>
    <col min="7690" max="7692" width="12.85546875" style="946" customWidth="1"/>
    <col min="7693" max="7693" width="12.7109375" style="946" customWidth="1"/>
    <col min="7694" max="7694" width="12.28515625" style="946" bestFit="1" customWidth="1"/>
    <col min="7695" max="7695" width="13.85546875" style="946" customWidth="1"/>
    <col min="7696" max="7936" width="9.140625" style="946"/>
    <col min="7937" max="7937" width="2.7109375" style="946" customWidth="1"/>
    <col min="7938" max="7938" width="9.140625" style="946"/>
    <col min="7939" max="7939" width="40.28515625" style="946" bestFit="1" customWidth="1"/>
    <col min="7940" max="7940" width="12" style="946" customWidth="1"/>
    <col min="7941" max="7941" width="10" style="946" customWidth="1"/>
    <col min="7942" max="7942" width="14.85546875" style="946" customWidth="1"/>
    <col min="7943" max="7943" width="9.5703125" style="946" customWidth="1"/>
    <col min="7944" max="7945" width="12.28515625" style="946" customWidth="1"/>
    <col min="7946" max="7948" width="12.85546875" style="946" customWidth="1"/>
    <col min="7949" max="7949" width="12.7109375" style="946" customWidth="1"/>
    <col min="7950" max="7950" width="12.28515625" style="946" bestFit="1" customWidth="1"/>
    <col min="7951" max="7951" width="13.85546875" style="946" customWidth="1"/>
    <col min="7952" max="8192" width="9.140625" style="946"/>
    <col min="8193" max="8193" width="2.7109375" style="946" customWidth="1"/>
    <col min="8194" max="8194" width="9.140625" style="946"/>
    <col min="8195" max="8195" width="40.28515625" style="946" bestFit="1" customWidth="1"/>
    <col min="8196" max="8196" width="12" style="946" customWidth="1"/>
    <col min="8197" max="8197" width="10" style="946" customWidth="1"/>
    <col min="8198" max="8198" width="14.85546875" style="946" customWidth="1"/>
    <col min="8199" max="8199" width="9.5703125" style="946" customWidth="1"/>
    <col min="8200" max="8201" width="12.28515625" style="946" customWidth="1"/>
    <col min="8202" max="8204" width="12.85546875" style="946" customWidth="1"/>
    <col min="8205" max="8205" width="12.7109375" style="946" customWidth="1"/>
    <col min="8206" max="8206" width="12.28515625" style="946" bestFit="1" customWidth="1"/>
    <col min="8207" max="8207" width="13.85546875" style="946" customWidth="1"/>
    <col min="8208" max="8448" width="9.140625" style="946"/>
    <col min="8449" max="8449" width="2.7109375" style="946" customWidth="1"/>
    <col min="8450" max="8450" width="9.140625" style="946"/>
    <col min="8451" max="8451" width="40.28515625" style="946" bestFit="1" customWidth="1"/>
    <col min="8452" max="8452" width="12" style="946" customWidth="1"/>
    <col min="8453" max="8453" width="10" style="946" customWidth="1"/>
    <col min="8454" max="8454" width="14.85546875" style="946" customWidth="1"/>
    <col min="8455" max="8455" width="9.5703125" style="946" customWidth="1"/>
    <col min="8456" max="8457" width="12.28515625" style="946" customWidth="1"/>
    <col min="8458" max="8460" width="12.85546875" style="946" customWidth="1"/>
    <col min="8461" max="8461" width="12.7109375" style="946" customWidth="1"/>
    <col min="8462" max="8462" width="12.28515625" style="946" bestFit="1" customWidth="1"/>
    <col min="8463" max="8463" width="13.85546875" style="946" customWidth="1"/>
    <col min="8464" max="8704" width="9.140625" style="946"/>
    <col min="8705" max="8705" width="2.7109375" style="946" customWidth="1"/>
    <col min="8706" max="8706" width="9.140625" style="946"/>
    <col min="8707" max="8707" width="40.28515625" style="946" bestFit="1" customWidth="1"/>
    <col min="8708" max="8708" width="12" style="946" customWidth="1"/>
    <col min="8709" max="8709" width="10" style="946" customWidth="1"/>
    <col min="8710" max="8710" width="14.85546875" style="946" customWidth="1"/>
    <col min="8711" max="8711" width="9.5703125" style="946" customWidth="1"/>
    <col min="8712" max="8713" width="12.28515625" style="946" customWidth="1"/>
    <col min="8714" max="8716" width="12.85546875" style="946" customWidth="1"/>
    <col min="8717" max="8717" width="12.7109375" style="946" customWidth="1"/>
    <col min="8718" max="8718" width="12.28515625" style="946" bestFit="1" customWidth="1"/>
    <col min="8719" max="8719" width="13.85546875" style="946" customWidth="1"/>
    <col min="8720" max="8960" width="9.140625" style="946"/>
    <col min="8961" max="8961" width="2.7109375" style="946" customWidth="1"/>
    <col min="8962" max="8962" width="9.140625" style="946"/>
    <col min="8963" max="8963" width="40.28515625" style="946" bestFit="1" customWidth="1"/>
    <col min="8964" max="8964" width="12" style="946" customWidth="1"/>
    <col min="8965" max="8965" width="10" style="946" customWidth="1"/>
    <col min="8966" max="8966" width="14.85546875" style="946" customWidth="1"/>
    <col min="8967" max="8967" width="9.5703125" style="946" customWidth="1"/>
    <col min="8968" max="8969" width="12.28515625" style="946" customWidth="1"/>
    <col min="8970" max="8972" width="12.85546875" style="946" customWidth="1"/>
    <col min="8973" max="8973" width="12.7109375" style="946" customWidth="1"/>
    <col min="8974" max="8974" width="12.28515625" style="946" bestFit="1" customWidth="1"/>
    <col min="8975" max="8975" width="13.85546875" style="946" customWidth="1"/>
    <col min="8976" max="9216" width="9.140625" style="946"/>
    <col min="9217" max="9217" width="2.7109375" style="946" customWidth="1"/>
    <col min="9218" max="9218" width="9.140625" style="946"/>
    <col min="9219" max="9219" width="40.28515625" style="946" bestFit="1" customWidth="1"/>
    <col min="9220" max="9220" width="12" style="946" customWidth="1"/>
    <col min="9221" max="9221" width="10" style="946" customWidth="1"/>
    <col min="9222" max="9222" width="14.85546875" style="946" customWidth="1"/>
    <col min="9223" max="9223" width="9.5703125" style="946" customWidth="1"/>
    <col min="9224" max="9225" width="12.28515625" style="946" customWidth="1"/>
    <col min="9226" max="9228" width="12.85546875" style="946" customWidth="1"/>
    <col min="9229" max="9229" width="12.7109375" style="946" customWidth="1"/>
    <col min="9230" max="9230" width="12.28515625" style="946" bestFit="1" customWidth="1"/>
    <col min="9231" max="9231" width="13.85546875" style="946" customWidth="1"/>
    <col min="9232" max="9472" width="9.140625" style="946"/>
    <col min="9473" max="9473" width="2.7109375" style="946" customWidth="1"/>
    <col min="9474" max="9474" width="9.140625" style="946"/>
    <col min="9475" max="9475" width="40.28515625" style="946" bestFit="1" customWidth="1"/>
    <col min="9476" max="9476" width="12" style="946" customWidth="1"/>
    <col min="9477" max="9477" width="10" style="946" customWidth="1"/>
    <col min="9478" max="9478" width="14.85546875" style="946" customWidth="1"/>
    <col min="9479" max="9479" width="9.5703125" style="946" customWidth="1"/>
    <col min="9480" max="9481" width="12.28515625" style="946" customWidth="1"/>
    <col min="9482" max="9484" width="12.85546875" style="946" customWidth="1"/>
    <col min="9485" max="9485" width="12.7109375" style="946" customWidth="1"/>
    <col min="9486" max="9486" width="12.28515625" style="946" bestFit="1" customWidth="1"/>
    <col min="9487" max="9487" width="13.85546875" style="946" customWidth="1"/>
    <col min="9488" max="9728" width="9.140625" style="946"/>
    <col min="9729" max="9729" width="2.7109375" style="946" customWidth="1"/>
    <col min="9730" max="9730" width="9.140625" style="946"/>
    <col min="9731" max="9731" width="40.28515625" style="946" bestFit="1" customWidth="1"/>
    <col min="9732" max="9732" width="12" style="946" customWidth="1"/>
    <col min="9733" max="9733" width="10" style="946" customWidth="1"/>
    <col min="9734" max="9734" width="14.85546875" style="946" customWidth="1"/>
    <col min="9735" max="9735" width="9.5703125" style="946" customWidth="1"/>
    <col min="9736" max="9737" width="12.28515625" style="946" customWidth="1"/>
    <col min="9738" max="9740" width="12.85546875" style="946" customWidth="1"/>
    <col min="9741" max="9741" width="12.7109375" style="946" customWidth="1"/>
    <col min="9742" max="9742" width="12.28515625" style="946" bestFit="1" customWidth="1"/>
    <col min="9743" max="9743" width="13.85546875" style="946" customWidth="1"/>
    <col min="9744" max="9984" width="9.140625" style="946"/>
    <col min="9985" max="9985" width="2.7109375" style="946" customWidth="1"/>
    <col min="9986" max="9986" width="9.140625" style="946"/>
    <col min="9987" max="9987" width="40.28515625" style="946" bestFit="1" customWidth="1"/>
    <col min="9988" max="9988" width="12" style="946" customWidth="1"/>
    <col min="9989" max="9989" width="10" style="946" customWidth="1"/>
    <col min="9990" max="9990" width="14.85546875" style="946" customWidth="1"/>
    <col min="9991" max="9991" width="9.5703125" style="946" customWidth="1"/>
    <col min="9992" max="9993" width="12.28515625" style="946" customWidth="1"/>
    <col min="9994" max="9996" width="12.85546875" style="946" customWidth="1"/>
    <col min="9997" max="9997" width="12.7109375" style="946" customWidth="1"/>
    <col min="9998" max="9998" width="12.28515625" style="946" bestFit="1" customWidth="1"/>
    <col min="9999" max="9999" width="13.85546875" style="946" customWidth="1"/>
    <col min="10000" max="10240" width="9.140625" style="946"/>
    <col min="10241" max="10241" width="2.7109375" style="946" customWidth="1"/>
    <col min="10242" max="10242" width="9.140625" style="946"/>
    <col min="10243" max="10243" width="40.28515625" style="946" bestFit="1" customWidth="1"/>
    <col min="10244" max="10244" width="12" style="946" customWidth="1"/>
    <col min="10245" max="10245" width="10" style="946" customWidth="1"/>
    <col min="10246" max="10246" width="14.85546875" style="946" customWidth="1"/>
    <col min="10247" max="10247" width="9.5703125" style="946" customWidth="1"/>
    <col min="10248" max="10249" width="12.28515625" style="946" customWidth="1"/>
    <col min="10250" max="10252" width="12.85546875" style="946" customWidth="1"/>
    <col min="10253" max="10253" width="12.7109375" style="946" customWidth="1"/>
    <col min="10254" max="10254" width="12.28515625" style="946" bestFit="1" customWidth="1"/>
    <col min="10255" max="10255" width="13.85546875" style="946" customWidth="1"/>
    <col min="10256" max="10496" width="9.140625" style="946"/>
    <col min="10497" max="10497" width="2.7109375" style="946" customWidth="1"/>
    <col min="10498" max="10498" width="9.140625" style="946"/>
    <col min="10499" max="10499" width="40.28515625" style="946" bestFit="1" customWidth="1"/>
    <col min="10500" max="10500" width="12" style="946" customWidth="1"/>
    <col min="10501" max="10501" width="10" style="946" customWidth="1"/>
    <col min="10502" max="10502" width="14.85546875" style="946" customWidth="1"/>
    <col min="10503" max="10503" width="9.5703125" style="946" customWidth="1"/>
    <col min="10504" max="10505" width="12.28515625" style="946" customWidth="1"/>
    <col min="10506" max="10508" width="12.85546875" style="946" customWidth="1"/>
    <col min="10509" max="10509" width="12.7109375" style="946" customWidth="1"/>
    <col min="10510" max="10510" width="12.28515625" style="946" bestFit="1" customWidth="1"/>
    <col min="10511" max="10511" width="13.85546875" style="946" customWidth="1"/>
    <col min="10512" max="10752" width="9.140625" style="946"/>
    <col min="10753" max="10753" width="2.7109375" style="946" customWidth="1"/>
    <col min="10754" max="10754" width="9.140625" style="946"/>
    <col min="10755" max="10755" width="40.28515625" style="946" bestFit="1" customWidth="1"/>
    <col min="10756" max="10756" width="12" style="946" customWidth="1"/>
    <col min="10757" max="10757" width="10" style="946" customWidth="1"/>
    <col min="10758" max="10758" width="14.85546875" style="946" customWidth="1"/>
    <col min="10759" max="10759" width="9.5703125" style="946" customWidth="1"/>
    <col min="10760" max="10761" width="12.28515625" style="946" customWidth="1"/>
    <col min="10762" max="10764" width="12.85546875" style="946" customWidth="1"/>
    <col min="10765" max="10765" width="12.7109375" style="946" customWidth="1"/>
    <col min="10766" max="10766" width="12.28515625" style="946" bestFit="1" customWidth="1"/>
    <col min="10767" max="10767" width="13.85546875" style="946" customWidth="1"/>
    <col min="10768" max="11008" width="9.140625" style="946"/>
    <col min="11009" max="11009" width="2.7109375" style="946" customWidth="1"/>
    <col min="11010" max="11010" width="9.140625" style="946"/>
    <col min="11011" max="11011" width="40.28515625" style="946" bestFit="1" customWidth="1"/>
    <col min="11012" max="11012" width="12" style="946" customWidth="1"/>
    <col min="11013" max="11013" width="10" style="946" customWidth="1"/>
    <col min="11014" max="11014" width="14.85546875" style="946" customWidth="1"/>
    <col min="11015" max="11015" width="9.5703125" style="946" customWidth="1"/>
    <col min="11016" max="11017" width="12.28515625" style="946" customWidth="1"/>
    <col min="11018" max="11020" width="12.85546875" style="946" customWidth="1"/>
    <col min="11021" max="11021" width="12.7109375" style="946" customWidth="1"/>
    <col min="11022" max="11022" width="12.28515625" style="946" bestFit="1" customWidth="1"/>
    <col min="11023" max="11023" width="13.85546875" style="946" customWidth="1"/>
    <col min="11024" max="11264" width="9.140625" style="946"/>
    <col min="11265" max="11265" width="2.7109375" style="946" customWidth="1"/>
    <col min="11266" max="11266" width="9.140625" style="946"/>
    <col min="11267" max="11267" width="40.28515625" style="946" bestFit="1" customWidth="1"/>
    <col min="11268" max="11268" width="12" style="946" customWidth="1"/>
    <col min="11269" max="11269" width="10" style="946" customWidth="1"/>
    <col min="11270" max="11270" width="14.85546875" style="946" customWidth="1"/>
    <col min="11271" max="11271" width="9.5703125" style="946" customWidth="1"/>
    <col min="11272" max="11273" width="12.28515625" style="946" customWidth="1"/>
    <col min="11274" max="11276" width="12.85546875" style="946" customWidth="1"/>
    <col min="11277" max="11277" width="12.7109375" style="946" customWidth="1"/>
    <col min="11278" max="11278" width="12.28515625" style="946" bestFit="1" customWidth="1"/>
    <col min="11279" max="11279" width="13.85546875" style="946" customWidth="1"/>
    <col min="11280" max="11520" width="9.140625" style="946"/>
    <col min="11521" max="11521" width="2.7109375" style="946" customWidth="1"/>
    <col min="11522" max="11522" width="9.140625" style="946"/>
    <col min="11523" max="11523" width="40.28515625" style="946" bestFit="1" customWidth="1"/>
    <col min="11524" max="11524" width="12" style="946" customWidth="1"/>
    <col min="11525" max="11525" width="10" style="946" customWidth="1"/>
    <col min="11526" max="11526" width="14.85546875" style="946" customWidth="1"/>
    <col min="11527" max="11527" width="9.5703125" style="946" customWidth="1"/>
    <col min="11528" max="11529" width="12.28515625" style="946" customWidth="1"/>
    <col min="11530" max="11532" width="12.85546875" style="946" customWidth="1"/>
    <col min="11533" max="11533" width="12.7109375" style="946" customWidth="1"/>
    <col min="11534" max="11534" width="12.28515625" style="946" bestFit="1" customWidth="1"/>
    <col min="11535" max="11535" width="13.85546875" style="946" customWidth="1"/>
    <col min="11536" max="11776" width="9.140625" style="946"/>
    <col min="11777" max="11777" width="2.7109375" style="946" customWidth="1"/>
    <col min="11778" max="11778" width="9.140625" style="946"/>
    <col min="11779" max="11779" width="40.28515625" style="946" bestFit="1" customWidth="1"/>
    <col min="11780" max="11780" width="12" style="946" customWidth="1"/>
    <col min="11781" max="11781" width="10" style="946" customWidth="1"/>
    <col min="11782" max="11782" width="14.85546875" style="946" customWidth="1"/>
    <col min="11783" max="11783" width="9.5703125" style="946" customWidth="1"/>
    <col min="11784" max="11785" width="12.28515625" style="946" customWidth="1"/>
    <col min="11786" max="11788" width="12.85546875" style="946" customWidth="1"/>
    <col min="11789" max="11789" width="12.7109375" style="946" customWidth="1"/>
    <col min="11790" max="11790" width="12.28515625" style="946" bestFit="1" customWidth="1"/>
    <col min="11791" max="11791" width="13.85546875" style="946" customWidth="1"/>
    <col min="11792" max="12032" width="9.140625" style="946"/>
    <col min="12033" max="12033" width="2.7109375" style="946" customWidth="1"/>
    <col min="12034" max="12034" width="9.140625" style="946"/>
    <col min="12035" max="12035" width="40.28515625" style="946" bestFit="1" customWidth="1"/>
    <col min="12036" max="12036" width="12" style="946" customWidth="1"/>
    <col min="12037" max="12037" width="10" style="946" customWidth="1"/>
    <col min="12038" max="12038" width="14.85546875" style="946" customWidth="1"/>
    <col min="12039" max="12039" width="9.5703125" style="946" customWidth="1"/>
    <col min="12040" max="12041" width="12.28515625" style="946" customWidth="1"/>
    <col min="12042" max="12044" width="12.85546875" style="946" customWidth="1"/>
    <col min="12045" max="12045" width="12.7109375" style="946" customWidth="1"/>
    <col min="12046" max="12046" width="12.28515625" style="946" bestFit="1" customWidth="1"/>
    <col min="12047" max="12047" width="13.85546875" style="946" customWidth="1"/>
    <col min="12048" max="12288" width="9.140625" style="946"/>
    <col min="12289" max="12289" width="2.7109375" style="946" customWidth="1"/>
    <col min="12290" max="12290" width="9.140625" style="946"/>
    <col min="12291" max="12291" width="40.28515625" style="946" bestFit="1" customWidth="1"/>
    <col min="12292" max="12292" width="12" style="946" customWidth="1"/>
    <col min="12293" max="12293" width="10" style="946" customWidth="1"/>
    <col min="12294" max="12294" width="14.85546875" style="946" customWidth="1"/>
    <col min="12295" max="12295" width="9.5703125" style="946" customWidth="1"/>
    <col min="12296" max="12297" width="12.28515625" style="946" customWidth="1"/>
    <col min="12298" max="12300" width="12.85546875" style="946" customWidth="1"/>
    <col min="12301" max="12301" width="12.7109375" style="946" customWidth="1"/>
    <col min="12302" max="12302" width="12.28515625" style="946" bestFit="1" customWidth="1"/>
    <col min="12303" max="12303" width="13.85546875" style="946" customWidth="1"/>
    <col min="12304" max="12544" width="9.140625" style="946"/>
    <col min="12545" max="12545" width="2.7109375" style="946" customWidth="1"/>
    <col min="12546" max="12546" width="9.140625" style="946"/>
    <col min="12547" max="12547" width="40.28515625" style="946" bestFit="1" customWidth="1"/>
    <col min="12548" max="12548" width="12" style="946" customWidth="1"/>
    <col min="12549" max="12549" width="10" style="946" customWidth="1"/>
    <col min="12550" max="12550" width="14.85546875" style="946" customWidth="1"/>
    <col min="12551" max="12551" width="9.5703125" style="946" customWidth="1"/>
    <col min="12552" max="12553" width="12.28515625" style="946" customWidth="1"/>
    <col min="12554" max="12556" width="12.85546875" style="946" customWidth="1"/>
    <col min="12557" max="12557" width="12.7109375" style="946" customWidth="1"/>
    <col min="12558" max="12558" width="12.28515625" style="946" bestFit="1" customWidth="1"/>
    <col min="12559" max="12559" width="13.85546875" style="946" customWidth="1"/>
    <col min="12560" max="12800" width="9.140625" style="946"/>
    <col min="12801" max="12801" width="2.7109375" style="946" customWidth="1"/>
    <col min="12802" max="12802" width="9.140625" style="946"/>
    <col min="12803" max="12803" width="40.28515625" style="946" bestFit="1" customWidth="1"/>
    <col min="12804" max="12804" width="12" style="946" customWidth="1"/>
    <col min="12805" max="12805" width="10" style="946" customWidth="1"/>
    <col min="12806" max="12806" width="14.85546875" style="946" customWidth="1"/>
    <col min="12807" max="12807" width="9.5703125" style="946" customWidth="1"/>
    <col min="12808" max="12809" width="12.28515625" style="946" customWidth="1"/>
    <col min="12810" max="12812" width="12.85546875" style="946" customWidth="1"/>
    <col min="12813" max="12813" width="12.7109375" style="946" customWidth="1"/>
    <col min="12814" max="12814" width="12.28515625" style="946" bestFit="1" customWidth="1"/>
    <col min="12815" max="12815" width="13.85546875" style="946" customWidth="1"/>
    <col min="12816" max="13056" width="9.140625" style="946"/>
    <col min="13057" max="13057" width="2.7109375" style="946" customWidth="1"/>
    <col min="13058" max="13058" width="9.140625" style="946"/>
    <col min="13059" max="13059" width="40.28515625" style="946" bestFit="1" customWidth="1"/>
    <col min="13060" max="13060" width="12" style="946" customWidth="1"/>
    <col min="13061" max="13061" width="10" style="946" customWidth="1"/>
    <col min="13062" max="13062" width="14.85546875" style="946" customWidth="1"/>
    <col min="13063" max="13063" width="9.5703125" style="946" customWidth="1"/>
    <col min="13064" max="13065" width="12.28515625" style="946" customWidth="1"/>
    <col min="13066" max="13068" width="12.85546875" style="946" customWidth="1"/>
    <col min="13069" max="13069" width="12.7109375" style="946" customWidth="1"/>
    <col min="13070" max="13070" width="12.28515625" style="946" bestFit="1" customWidth="1"/>
    <col min="13071" max="13071" width="13.85546875" style="946" customWidth="1"/>
    <col min="13072" max="13312" width="9.140625" style="946"/>
    <col min="13313" max="13313" width="2.7109375" style="946" customWidth="1"/>
    <col min="13314" max="13314" width="9.140625" style="946"/>
    <col min="13315" max="13315" width="40.28515625" style="946" bestFit="1" customWidth="1"/>
    <col min="13316" max="13316" width="12" style="946" customWidth="1"/>
    <col min="13317" max="13317" width="10" style="946" customWidth="1"/>
    <col min="13318" max="13318" width="14.85546875" style="946" customWidth="1"/>
    <col min="13319" max="13319" width="9.5703125" style="946" customWidth="1"/>
    <col min="13320" max="13321" width="12.28515625" style="946" customWidth="1"/>
    <col min="13322" max="13324" width="12.85546875" style="946" customWidth="1"/>
    <col min="13325" max="13325" width="12.7109375" style="946" customWidth="1"/>
    <col min="13326" max="13326" width="12.28515625" style="946" bestFit="1" customWidth="1"/>
    <col min="13327" max="13327" width="13.85546875" style="946" customWidth="1"/>
    <col min="13328" max="13568" width="9.140625" style="946"/>
    <col min="13569" max="13569" width="2.7109375" style="946" customWidth="1"/>
    <col min="13570" max="13570" width="9.140625" style="946"/>
    <col min="13571" max="13571" width="40.28515625" style="946" bestFit="1" customWidth="1"/>
    <col min="13572" max="13572" width="12" style="946" customWidth="1"/>
    <col min="13573" max="13573" width="10" style="946" customWidth="1"/>
    <col min="13574" max="13574" width="14.85546875" style="946" customWidth="1"/>
    <col min="13575" max="13575" width="9.5703125" style="946" customWidth="1"/>
    <col min="13576" max="13577" width="12.28515625" style="946" customWidth="1"/>
    <col min="13578" max="13580" width="12.85546875" style="946" customWidth="1"/>
    <col min="13581" max="13581" width="12.7109375" style="946" customWidth="1"/>
    <col min="13582" max="13582" width="12.28515625" style="946" bestFit="1" customWidth="1"/>
    <col min="13583" max="13583" width="13.85546875" style="946" customWidth="1"/>
    <col min="13584" max="13824" width="9.140625" style="946"/>
    <col min="13825" max="13825" width="2.7109375" style="946" customWidth="1"/>
    <col min="13826" max="13826" width="9.140625" style="946"/>
    <col min="13827" max="13827" width="40.28515625" style="946" bestFit="1" customWidth="1"/>
    <col min="13828" max="13828" width="12" style="946" customWidth="1"/>
    <col min="13829" max="13829" width="10" style="946" customWidth="1"/>
    <col min="13830" max="13830" width="14.85546875" style="946" customWidth="1"/>
    <col min="13831" max="13831" width="9.5703125" style="946" customWidth="1"/>
    <col min="13832" max="13833" width="12.28515625" style="946" customWidth="1"/>
    <col min="13834" max="13836" width="12.85546875" style="946" customWidth="1"/>
    <col min="13837" max="13837" width="12.7109375" style="946" customWidth="1"/>
    <col min="13838" max="13838" width="12.28515625" style="946" bestFit="1" customWidth="1"/>
    <col min="13839" max="13839" width="13.85546875" style="946" customWidth="1"/>
    <col min="13840" max="14080" width="9.140625" style="946"/>
    <col min="14081" max="14081" width="2.7109375" style="946" customWidth="1"/>
    <col min="14082" max="14082" width="9.140625" style="946"/>
    <col min="14083" max="14083" width="40.28515625" style="946" bestFit="1" customWidth="1"/>
    <col min="14084" max="14084" width="12" style="946" customWidth="1"/>
    <col min="14085" max="14085" width="10" style="946" customWidth="1"/>
    <col min="14086" max="14086" width="14.85546875" style="946" customWidth="1"/>
    <col min="14087" max="14087" width="9.5703125" style="946" customWidth="1"/>
    <col min="14088" max="14089" width="12.28515625" style="946" customWidth="1"/>
    <col min="14090" max="14092" width="12.85546875" style="946" customWidth="1"/>
    <col min="14093" max="14093" width="12.7109375" style="946" customWidth="1"/>
    <col min="14094" max="14094" width="12.28515625" style="946" bestFit="1" customWidth="1"/>
    <col min="14095" max="14095" width="13.85546875" style="946" customWidth="1"/>
    <col min="14096" max="14336" width="9.140625" style="946"/>
    <col min="14337" max="14337" width="2.7109375" style="946" customWidth="1"/>
    <col min="14338" max="14338" width="9.140625" style="946"/>
    <col min="14339" max="14339" width="40.28515625" style="946" bestFit="1" customWidth="1"/>
    <col min="14340" max="14340" width="12" style="946" customWidth="1"/>
    <col min="14341" max="14341" width="10" style="946" customWidth="1"/>
    <col min="14342" max="14342" width="14.85546875" style="946" customWidth="1"/>
    <col min="14343" max="14343" width="9.5703125" style="946" customWidth="1"/>
    <col min="14344" max="14345" width="12.28515625" style="946" customWidth="1"/>
    <col min="14346" max="14348" width="12.85546875" style="946" customWidth="1"/>
    <col min="14349" max="14349" width="12.7109375" style="946" customWidth="1"/>
    <col min="14350" max="14350" width="12.28515625" style="946" bestFit="1" customWidth="1"/>
    <col min="14351" max="14351" width="13.85546875" style="946" customWidth="1"/>
    <col min="14352" max="14592" width="9.140625" style="946"/>
    <col min="14593" max="14593" width="2.7109375" style="946" customWidth="1"/>
    <col min="14594" max="14594" width="9.140625" style="946"/>
    <col min="14595" max="14595" width="40.28515625" style="946" bestFit="1" customWidth="1"/>
    <col min="14596" max="14596" width="12" style="946" customWidth="1"/>
    <col min="14597" max="14597" width="10" style="946" customWidth="1"/>
    <col min="14598" max="14598" width="14.85546875" style="946" customWidth="1"/>
    <col min="14599" max="14599" width="9.5703125" style="946" customWidth="1"/>
    <col min="14600" max="14601" width="12.28515625" style="946" customWidth="1"/>
    <col min="14602" max="14604" width="12.85546875" style="946" customWidth="1"/>
    <col min="14605" max="14605" width="12.7109375" style="946" customWidth="1"/>
    <col min="14606" max="14606" width="12.28515625" style="946" bestFit="1" customWidth="1"/>
    <col min="14607" max="14607" width="13.85546875" style="946" customWidth="1"/>
    <col min="14608" max="14848" width="9.140625" style="946"/>
    <col min="14849" max="14849" width="2.7109375" style="946" customWidth="1"/>
    <col min="14850" max="14850" width="9.140625" style="946"/>
    <col min="14851" max="14851" width="40.28515625" style="946" bestFit="1" customWidth="1"/>
    <col min="14852" max="14852" width="12" style="946" customWidth="1"/>
    <col min="14853" max="14853" width="10" style="946" customWidth="1"/>
    <col min="14854" max="14854" width="14.85546875" style="946" customWidth="1"/>
    <col min="14855" max="14855" width="9.5703125" style="946" customWidth="1"/>
    <col min="14856" max="14857" width="12.28515625" style="946" customWidth="1"/>
    <col min="14858" max="14860" width="12.85546875" style="946" customWidth="1"/>
    <col min="14861" max="14861" width="12.7109375" style="946" customWidth="1"/>
    <col min="14862" max="14862" width="12.28515625" style="946" bestFit="1" customWidth="1"/>
    <col min="14863" max="14863" width="13.85546875" style="946" customWidth="1"/>
    <col min="14864" max="15104" width="9.140625" style="946"/>
    <col min="15105" max="15105" width="2.7109375" style="946" customWidth="1"/>
    <col min="15106" max="15106" width="9.140625" style="946"/>
    <col min="15107" max="15107" width="40.28515625" style="946" bestFit="1" customWidth="1"/>
    <col min="15108" max="15108" width="12" style="946" customWidth="1"/>
    <col min="15109" max="15109" width="10" style="946" customWidth="1"/>
    <col min="15110" max="15110" width="14.85546875" style="946" customWidth="1"/>
    <col min="15111" max="15111" width="9.5703125" style="946" customWidth="1"/>
    <col min="15112" max="15113" width="12.28515625" style="946" customWidth="1"/>
    <col min="15114" max="15116" width="12.85546875" style="946" customWidth="1"/>
    <col min="15117" max="15117" width="12.7109375" style="946" customWidth="1"/>
    <col min="15118" max="15118" width="12.28515625" style="946" bestFit="1" customWidth="1"/>
    <col min="15119" max="15119" width="13.85546875" style="946" customWidth="1"/>
    <col min="15120" max="15360" width="9.140625" style="946"/>
    <col min="15361" max="15361" width="2.7109375" style="946" customWidth="1"/>
    <col min="15362" max="15362" width="9.140625" style="946"/>
    <col min="15363" max="15363" width="40.28515625" style="946" bestFit="1" customWidth="1"/>
    <col min="15364" max="15364" width="12" style="946" customWidth="1"/>
    <col min="15365" max="15365" width="10" style="946" customWidth="1"/>
    <col min="15366" max="15366" width="14.85546875" style="946" customWidth="1"/>
    <col min="15367" max="15367" width="9.5703125" style="946" customWidth="1"/>
    <col min="15368" max="15369" width="12.28515625" style="946" customWidth="1"/>
    <col min="15370" max="15372" width="12.85546875" style="946" customWidth="1"/>
    <col min="15373" max="15373" width="12.7109375" style="946" customWidth="1"/>
    <col min="15374" max="15374" width="12.28515625" style="946" bestFit="1" customWidth="1"/>
    <col min="15375" max="15375" width="13.85546875" style="946" customWidth="1"/>
    <col min="15376" max="15616" width="9.140625" style="946"/>
    <col min="15617" max="15617" width="2.7109375" style="946" customWidth="1"/>
    <col min="15618" max="15618" width="9.140625" style="946"/>
    <col min="15619" max="15619" width="40.28515625" style="946" bestFit="1" customWidth="1"/>
    <col min="15620" max="15620" width="12" style="946" customWidth="1"/>
    <col min="15621" max="15621" width="10" style="946" customWidth="1"/>
    <col min="15622" max="15622" width="14.85546875" style="946" customWidth="1"/>
    <col min="15623" max="15623" width="9.5703125" style="946" customWidth="1"/>
    <col min="15624" max="15625" width="12.28515625" style="946" customWidth="1"/>
    <col min="15626" max="15628" width="12.85546875" style="946" customWidth="1"/>
    <col min="15629" max="15629" width="12.7109375" style="946" customWidth="1"/>
    <col min="15630" max="15630" width="12.28515625" style="946" bestFit="1" customWidth="1"/>
    <col min="15631" max="15631" width="13.85546875" style="946" customWidth="1"/>
    <col min="15632" max="15872" width="9.140625" style="946"/>
    <col min="15873" max="15873" width="2.7109375" style="946" customWidth="1"/>
    <col min="15874" max="15874" width="9.140625" style="946"/>
    <col min="15875" max="15875" width="40.28515625" style="946" bestFit="1" customWidth="1"/>
    <col min="15876" max="15876" width="12" style="946" customWidth="1"/>
    <col min="15877" max="15877" width="10" style="946" customWidth="1"/>
    <col min="15878" max="15878" width="14.85546875" style="946" customWidth="1"/>
    <col min="15879" max="15879" width="9.5703125" style="946" customWidth="1"/>
    <col min="15880" max="15881" width="12.28515625" style="946" customWidth="1"/>
    <col min="15882" max="15884" width="12.85546875" style="946" customWidth="1"/>
    <col min="15885" max="15885" width="12.7109375" style="946" customWidth="1"/>
    <col min="15886" max="15886" width="12.28515625" style="946" bestFit="1" customWidth="1"/>
    <col min="15887" max="15887" width="13.85546875" style="946" customWidth="1"/>
    <col min="15888" max="16128" width="9.140625" style="946"/>
    <col min="16129" max="16129" width="2.7109375" style="946" customWidth="1"/>
    <col min="16130" max="16130" width="9.140625" style="946"/>
    <col min="16131" max="16131" width="40.28515625" style="946" bestFit="1" customWidth="1"/>
    <col min="16132" max="16132" width="12" style="946" customWidth="1"/>
    <col min="16133" max="16133" width="10" style="946" customWidth="1"/>
    <col min="16134" max="16134" width="14.85546875" style="946" customWidth="1"/>
    <col min="16135" max="16135" width="9.5703125" style="946" customWidth="1"/>
    <col min="16136" max="16137" width="12.28515625" style="946" customWidth="1"/>
    <col min="16138" max="16140" width="12.85546875" style="946" customWidth="1"/>
    <col min="16141" max="16141" width="12.7109375" style="946" customWidth="1"/>
    <col min="16142" max="16142" width="12.28515625" style="946" bestFit="1" customWidth="1"/>
    <col min="16143" max="16143" width="13.85546875" style="946" customWidth="1"/>
    <col min="16144" max="16384" width="9.140625" style="946"/>
  </cols>
  <sheetData>
    <row r="1" spans="1:16" x14ac:dyDescent="0.2">
      <c r="N1" s="254" t="s">
        <v>444</v>
      </c>
      <c r="O1" s="947" t="s">
        <v>866</v>
      </c>
      <c r="P1" s="256"/>
    </row>
    <row r="2" spans="1:16" x14ac:dyDescent="0.2">
      <c r="N2" s="254" t="s">
        <v>445</v>
      </c>
      <c r="O2" s="948">
        <v>4</v>
      </c>
      <c r="P2" s="256"/>
    </row>
    <row r="3" spans="1:16" x14ac:dyDescent="0.2">
      <c r="N3" s="254" t="s">
        <v>446</v>
      </c>
      <c r="O3" s="948">
        <v>7</v>
      </c>
      <c r="P3" s="256"/>
    </row>
    <row r="4" spans="1:16" x14ac:dyDescent="0.2">
      <c r="N4" s="254" t="s">
        <v>447</v>
      </c>
      <c r="O4" s="948">
        <v>1</v>
      </c>
      <c r="P4" s="256"/>
    </row>
    <row r="5" spans="1:16" x14ac:dyDescent="0.2">
      <c r="N5" s="254" t="s">
        <v>1036</v>
      </c>
      <c r="O5" s="949">
        <v>3</v>
      </c>
      <c r="P5" s="256"/>
    </row>
    <row r="6" spans="1:16" x14ac:dyDescent="0.2">
      <c r="N6" s="254"/>
      <c r="O6" s="947"/>
      <c r="P6" s="256"/>
    </row>
    <row r="7" spans="1:16" x14ac:dyDescent="0.2">
      <c r="N7" s="254" t="s">
        <v>449</v>
      </c>
      <c r="O7" s="933">
        <v>41200</v>
      </c>
      <c r="P7" s="257"/>
    </row>
    <row r="9" spans="1:16" ht="18" x14ac:dyDescent="0.2">
      <c r="A9" s="1273" t="s">
        <v>655</v>
      </c>
      <c r="B9" s="1273"/>
      <c r="C9" s="1273"/>
      <c r="D9" s="1273"/>
      <c r="E9" s="1273"/>
      <c r="F9" s="1273"/>
      <c r="G9" s="1273"/>
      <c r="H9" s="1273"/>
      <c r="I9" s="1273"/>
      <c r="J9" s="1273"/>
      <c r="K9" s="1273"/>
      <c r="L9" s="1273"/>
      <c r="M9" s="1273"/>
      <c r="N9" s="1273"/>
      <c r="O9" s="1273"/>
    </row>
    <row r="10" spans="1:16" ht="18" x14ac:dyDescent="0.2">
      <c r="A10" s="1273" t="s">
        <v>5</v>
      </c>
      <c r="B10" s="1273"/>
      <c r="C10" s="1273"/>
      <c r="D10" s="1273"/>
      <c r="E10" s="1273"/>
      <c r="F10" s="1273"/>
      <c r="G10" s="1273"/>
      <c r="H10" s="1273"/>
      <c r="I10" s="1273"/>
      <c r="J10" s="1273"/>
      <c r="K10" s="1273"/>
      <c r="L10" s="1273"/>
      <c r="M10" s="1273"/>
      <c r="N10" s="1273"/>
      <c r="O10" s="1273"/>
    </row>
    <row r="11" spans="1:16" ht="22.5" customHeight="1" x14ac:dyDescent="0.2">
      <c r="A11" s="1281" t="s">
        <v>567</v>
      </c>
      <c r="B11" s="1281"/>
      <c r="C11" s="1281"/>
      <c r="D11" s="1281"/>
      <c r="E11" s="1281"/>
      <c r="F11" s="1281"/>
      <c r="G11" s="1281"/>
      <c r="H11" s="1281"/>
      <c r="I11" s="1281"/>
      <c r="J11" s="1281"/>
      <c r="K11" s="1281"/>
      <c r="L11" s="1281"/>
      <c r="M11" s="1281"/>
      <c r="N11" s="1281"/>
      <c r="O11" s="1281"/>
    </row>
    <row r="12" spans="1:16" ht="13.5" customHeight="1" x14ac:dyDescent="0.25">
      <c r="A12" s="954"/>
      <c r="B12" s="954"/>
      <c r="C12" s="958" t="s">
        <v>42</v>
      </c>
      <c r="D12" s="958">
        <v>2012</v>
      </c>
      <c r="E12" s="958" t="s">
        <v>176</v>
      </c>
      <c r="F12" s="954"/>
      <c r="G12" s="954"/>
      <c r="H12" s="863"/>
      <c r="I12" s="863"/>
      <c r="J12" s="863"/>
      <c r="K12" s="863"/>
      <c r="L12" s="954"/>
    </row>
    <row r="13" spans="1:16" ht="13.5" thickBot="1" x14ac:dyDescent="0.25"/>
    <row r="14" spans="1:16" ht="61.5" customHeight="1" x14ac:dyDescent="0.2">
      <c r="A14" s="1275" t="s">
        <v>6</v>
      </c>
      <c r="B14" s="1277" t="s">
        <v>395</v>
      </c>
      <c r="C14" s="959" t="s">
        <v>569</v>
      </c>
      <c r="D14" s="959" t="s">
        <v>397</v>
      </c>
      <c r="E14" s="959" t="s">
        <v>550</v>
      </c>
      <c r="F14" s="959" t="s">
        <v>551</v>
      </c>
      <c r="G14" s="959" t="s">
        <v>552</v>
      </c>
      <c r="H14" s="864" t="s">
        <v>553</v>
      </c>
      <c r="I14" s="865" t="s">
        <v>554</v>
      </c>
      <c r="J14" s="865" t="s">
        <v>568</v>
      </c>
      <c r="K14" s="1287" t="s">
        <v>815</v>
      </c>
      <c r="L14" s="960" t="s">
        <v>556</v>
      </c>
      <c r="M14" s="960" t="s">
        <v>563</v>
      </c>
      <c r="N14" s="1279" t="s">
        <v>827</v>
      </c>
      <c r="O14" s="960" t="s">
        <v>826</v>
      </c>
    </row>
    <row r="15" spans="1:16" ht="19.5" customHeight="1" thickBot="1" x14ac:dyDescent="0.25">
      <c r="A15" s="1276"/>
      <c r="B15" s="1278"/>
      <c r="C15" s="344" t="s">
        <v>7</v>
      </c>
      <c r="D15" s="344" t="s">
        <v>8</v>
      </c>
      <c r="E15" s="367" t="s">
        <v>557</v>
      </c>
      <c r="F15" s="344" t="s">
        <v>11</v>
      </c>
      <c r="G15" s="344" t="s">
        <v>12</v>
      </c>
      <c r="H15" s="866" t="s">
        <v>558</v>
      </c>
      <c r="I15" s="867" t="s">
        <v>559</v>
      </c>
      <c r="J15" s="868" t="s">
        <v>560</v>
      </c>
      <c r="K15" s="1288"/>
      <c r="L15" s="346" t="s">
        <v>561</v>
      </c>
      <c r="M15" s="346" t="s">
        <v>564</v>
      </c>
      <c r="N15" s="1289"/>
      <c r="O15" s="368" t="s">
        <v>820</v>
      </c>
    </row>
    <row r="16" spans="1:16" ht="25.5" x14ac:dyDescent="0.2">
      <c r="A16" s="991">
        <v>1611</v>
      </c>
      <c r="B16" s="992" t="s">
        <v>548</v>
      </c>
      <c r="C16" s="435">
        <v>3493756.3599999985</v>
      </c>
      <c r="D16" s="435">
        <v>2012306</v>
      </c>
      <c r="E16" s="342">
        <v>2.6879370298763403</v>
      </c>
      <c r="F16" s="342">
        <v>5</v>
      </c>
      <c r="G16" s="628">
        <v>0.2</v>
      </c>
      <c r="H16" s="820">
        <v>1299791</v>
      </c>
      <c r="I16" s="820">
        <v>201230.1</v>
      </c>
      <c r="J16" s="821">
        <v>1501021.1</v>
      </c>
      <c r="K16" s="822">
        <v>1501021</v>
      </c>
      <c r="L16" s="823">
        <v>0.10000000009313226</v>
      </c>
      <c r="M16" s="820">
        <v>402461.2</v>
      </c>
      <c r="N16" s="824">
        <v>-377574.5</v>
      </c>
      <c r="O16" s="823">
        <v>2079826.7</v>
      </c>
    </row>
    <row r="17" spans="1:15" ht="25.5" x14ac:dyDescent="0.2">
      <c r="A17" s="993">
        <v>1612</v>
      </c>
      <c r="B17" s="994" t="s">
        <v>702</v>
      </c>
      <c r="C17" s="435">
        <v>15817.410000000033</v>
      </c>
      <c r="D17" s="435">
        <v>0</v>
      </c>
      <c r="E17" s="332">
        <v>12.997050123253929</v>
      </c>
      <c r="F17" s="332"/>
      <c r="G17" s="624">
        <v>0</v>
      </c>
      <c r="H17" s="12">
        <v>1217</v>
      </c>
      <c r="I17" s="12">
        <v>0</v>
      </c>
      <c r="J17" s="825">
        <v>1217</v>
      </c>
      <c r="K17" s="822">
        <v>1217</v>
      </c>
      <c r="L17" s="458">
        <v>0</v>
      </c>
      <c r="M17" s="12">
        <v>0</v>
      </c>
      <c r="N17" s="824"/>
      <c r="O17" s="823">
        <v>1217</v>
      </c>
    </row>
    <row r="18" spans="1:15" x14ac:dyDescent="0.2">
      <c r="A18" s="995">
        <v>1805</v>
      </c>
      <c r="B18" s="996" t="s">
        <v>408</v>
      </c>
      <c r="C18" s="435">
        <v>497489.18</v>
      </c>
      <c r="D18" s="435">
        <v>0</v>
      </c>
      <c r="E18" s="332">
        <v>0</v>
      </c>
      <c r="F18" s="332"/>
      <c r="G18" s="624">
        <v>0</v>
      </c>
      <c r="H18" s="12">
        <v>0</v>
      </c>
      <c r="I18" s="12">
        <v>0</v>
      </c>
      <c r="J18" s="825">
        <v>0</v>
      </c>
      <c r="K18" s="822">
        <v>0</v>
      </c>
      <c r="L18" s="458">
        <v>0</v>
      </c>
      <c r="M18" s="12">
        <v>0</v>
      </c>
      <c r="N18" s="824"/>
      <c r="O18" s="823">
        <v>0</v>
      </c>
    </row>
    <row r="19" spans="1:15" x14ac:dyDescent="0.2">
      <c r="A19" s="993">
        <v>1808</v>
      </c>
      <c r="B19" s="997" t="s">
        <v>409</v>
      </c>
      <c r="C19" s="435">
        <v>0</v>
      </c>
      <c r="D19" s="435">
        <v>0</v>
      </c>
      <c r="E19" s="332"/>
      <c r="F19" s="332"/>
      <c r="G19" s="624">
        <v>0</v>
      </c>
      <c r="H19" s="12">
        <v>0</v>
      </c>
      <c r="I19" s="12">
        <v>0</v>
      </c>
      <c r="J19" s="825">
        <v>0</v>
      </c>
      <c r="K19" s="822">
        <v>0</v>
      </c>
      <c r="L19" s="458">
        <v>0</v>
      </c>
      <c r="M19" s="12">
        <v>0</v>
      </c>
      <c r="N19" s="824"/>
      <c r="O19" s="823">
        <v>0</v>
      </c>
    </row>
    <row r="20" spans="1:15" x14ac:dyDescent="0.2">
      <c r="A20" s="993">
        <v>1810</v>
      </c>
      <c r="B20" s="997" t="s">
        <v>442</v>
      </c>
      <c r="C20" s="435">
        <v>0</v>
      </c>
      <c r="D20" s="435">
        <v>0</v>
      </c>
      <c r="E20" s="332"/>
      <c r="F20" s="332"/>
      <c r="G20" s="624">
        <v>0</v>
      </c>
      <c r="H20" s="12">
        <v>0</v>
      </c>
      <c r="I20" s="12">
        <v>0</v>
      </c>
      <c r="J20" s="825">
        <v>0</v>
      </c>
      <c r="K20" s="822">
        <v>0</v>
      </c>
      <c r="L20" s="458">
        <v>0</v>
      </c>
      <c r="M20" s="12">
        <v>0</v>
      </c>
      <c r="N20" s="824"/>
      <c r="O20" s="823">
        <v>0</v>
      </c>
    </row>
    <row r="21" spans="1:15" x14ac:dyDescent="0.2">
      <c r="A21" s="993">
        <v>1815</v>
      </c>
      <c r="B21" s="997" t="s">
        <v>410</v>
      </c>
      <c r="C21" s="435">
        <v>0</v>
      </c>
      <c r="D21" s="435">
        <v>0</v>
      </c>
      <c r="E21" s="332"/>
      <c r="F21" s="332"/>
      <c r="G21" s="624">
        <v>0</v>
      </c>
      <c r="H21" s="12">
        <v>0</v>
      </c>
      <c r="I21" s="12">
        <v>0</v>
      </c>
      <c r="J21" s="825">
        <v>0</v>
      </c>
      <c r="K21" s="822">
        <v>0</v>
      </c>
      <c r="L21" s="458">
        <v>0</v>
      </c>
      <c r="M21" s="12">
        <v>0</v>
      </c>
      <c r="N21" s="824"/>
      <c r="O21" s="823">
        <v>0</v>
      </c>
    </row>
    <row r="22" spans="1:15" x14ac:dyDescent="0.2">
      <c r="A22" s="993">
        <v>1820</v>
      </c>
      <c r="B22" s="994" t="s">
        <v>356</v>
      </c>
      <c r="C22" s="435">
        <v>3240155.3899999997</v>
      </c>
      <c r="D22" s="435">
        <v>301888</v>
      </c>
      <c r="E22" s="332">
        <v>17.219206944747064</v>
      </c>
      <c r="F22" s="332">
        <v>35.399624765478421</v>
      </c>
      <c r="G22" s="624">
        <v>2.8248887004451984E-2</v>
      </c>
      <c r="H22" s="12">
        <v>188171</v>
      </c>
      <c r="I22" s="12">
        <v>4264</v>
      </c>
      <c r="J22" s="825">
        <v>192435</v>
      </c>
      <c r="K22" s="822">
        <v>192435</v>
      </c>
      <c r="L22" s="458">
        <v>0</v>
      </c>
      <c r="M22" s="12">
        <v>8528</v>
      </c>
      <c r="N22" s="824">
        <v>75004</v>
      </c>
      <c r="O22" s="823">
        <v>121695</v>
      </c>
    </row>
    <row r="23" spans="1:15" x14ac:dyDescent="0.2">
      <c r="A23" s="993">
        <v>1825</v>
      </c>
      <c r="B23" s="997" t="s">
        <v>411</v>
      </c>
      <c r="C23" s="435">
        <v>0</v>
      </c>
      <c r="D23" s="435">
        <v>0</v>
      </c>
      <c r="E23" s="332"/>
      <c r="F23" s="332"/>
      <c r="G23" s="624">
        <v>0</v>
      </c>
      <c r="H23" s="12">
        <v>0</v>
      </c>
      <c r="I23" s="12">
        <v>0</v>
      </c>
      <c r="J23" s="825">
        <v>0</v>
      </c>
      <c r="K23" s="822">
        <v>0</v>
      </c>
      <c r="L23" s="458">
        <v>0</v>
      </c>
      <c r="M23" s="12">
        <v>0</v>
      </c>
      <c r="N23" s="824"/>
      <c r="O23" s="823">
        <v>0</v>
      </c>
    </row>
    <row r="24" spans="1:15" x14ac:dyDescent="0.2">
      <c r="A24" s="993">
        <v>1830</v>
      </c>
      <c r="B24" s="997" t="s">
        <v>412</v>
      </c>
      <c r="C24" s="435">
        <v>1628387.38</v>
      </c>
      <c r="D24" s="435">
        <v>985044</v>
      </c>
      <c r="E24" s="332">
        <v>42.556642797407484</v>
      </c>
      <c r="F24" s="332">
        <v>44.999725902238467</v>
      </c>
      <c r="G24" s="624">
        <v>2.2222357579965969E-2</v>
      </c>
      <c r="H24" s="12">
        <v>38264</v>
      </c>
      <c r="I24" s="12">
        <v>10945</v>
      </c>
      <c r="J24" s="825">
        <v>49209</v>
      </c>
      <c r="K24" s="822">
        <v>49209</v>
      </c>
      <c r="L24" s="458">
        <v>0</v>
      </c>
      <c r="M24" s="12">
        <v>21890</v>
      </c>
      <c r="N24" s="824"/>
      <c r="O24" s="823">
        <v>60154</v>
      </c>
    </row>
    <row r="25" spans="1:15" x14ac:dyDescent="0.2">
      <c r="A25" s="993">
        <v>1835</v>
      </c>
      <c r="B25" s="997" t="s">
        <v>357</v>
      </c>
      <c r="C25" s="435">
        <v>8791434.4800000042</v>
      </c>
      <c r="D25" s="435">
        <v>810478</v>
      </c>
      <c r="E25" s="332">
        <v>33.364964078742148</v>
      </c>
      <c r="F25" s="332">
        <v>47.844037780401415</v>
      </c>
      <c r="G25" s="624">
        <v>2.0901245931413313E-2</v>
      </c>
      <c r="H25" s="12">
        <v>263493</v>
      </c>
      <c r="I25" s="12">
        <v>8470</v>
      </c>
      <c r="J25" s="825">
        <v>271963</v>
      </c>
      <c r="K25" s="822">
        <v>271963</v>
      </c>
      <c r="L25" s="458">
        <v>0</v>
      </c>
      <c r="M25" s="12">
        <v>16940</v>
      </c>
      <c r="N25" s="824"/>
      <c r="O25" s="823">
        <v>280433</v>
      </c>
    </row>
    <row r="26" spans="1:15" x14ac:dyDescent="0.2">
      <c r="A26" s="993">
        <v>1840</v>
      </c>
      <c r="B26" s="997" t="s">
        <v>358</v>
      </c>
      <c r="C26" s="435">
        <v>798052.34</v>
      </c>
      <c r="D26" s="435">
        <v>127029</v>
      </c>
      <c r="E26" s="332">
        <v>49.605441322725014</v>
      </c>
      <c r="F26" s="332">
        <v>50.011417322834646</v>
      </c>
      <c r="G26" s="624">
        <v>1.9995434113470153E-2</v>
      </c>
      <c r="H26" s="12">
        <v>16087.999999999998</v>
      </c>
      <c r="I26" s="12">
        <v>1270</v>
      </c>
      <c r="J26" s="825">
        <v>17358</v>
      </c>
      <c r="K26" s="822">
        <v>17358</v>
      </c>
      <c r="L26" s="458">
        <v>0</v>
      </c>
      <c r="M26" s="12">
        <v>2540</v>
      </c>
      <c r="N26" s="824"/>
      <c r="O26" s="823">
        <v>18628</v>
      </c>
    </row>
    <row r="27" spans="1:15" x14ac:dyDescent="0.2">
      <c r="A27" s="993">
        <v>1845</v>
      </c>
      <c r="B27" s="997" t="s">
        <v>359</v>
      </c>
      <c r="C27" s="435">
        <v>6691024.3900000015</v>
      </c>
      <c r="D27" s="435">
        <v>915874</v>
      </c>
      <c r="E27" s="332">
        <v>21.394231124639891</v>
      </c>
      <c r="F27" s="332">
        <v>41.0190791830885</v>
      </c>
      <c r="G27" s="624">
        <v>2.4378899280905451E-2</v>
      </c>
      <c r="H27" s="12">
        <v>312749</v>
      </c>
      <c r="I27" s="12">
        <v>11164</v>
      </c>
      <c r="J27" s="825">
        <v>323913</v>
      </c>
      <c r="K27" s="822">
        <v>323912.58310400031</v>
      </c>
      <c r="L27" s="458">
        <v>0.41689599968958646</v>
      </c>
      <c r="M27" s="12">
        <v>22328</v>
      </c>
      <c r="N27" s="824"/>
      <c r="O27" s="823">
        <v>335077</v>
      </c>
    </row>
    <row r="28" spans="1:15" x14ac:dyDescent="0.2">
      <c r="A28" s="993">
        <v>1850</v>
      </c>
      <c r="B28" s="997" t="s">
        <v>413</v>
      </c>
      <c r="C28" s="435">
        <v>5613069.2600000007</v>
      </c>
      <c r="D28" s="435">
        <v>715088</v>
      </c>
      <c r="E28" s="332">
        <v>30.01480808512914</v>
      </c>
      <c r="F28" s="332">
        <v>39.998210090614165</v>
      </c>
      <c r="G28" s="624">
        <v>2.5001118743427381E-2</v>
      </c>
      <c r="H28" s="12">
        <v>187010</v>
      </c>
      <c r="I28" s="12">
        <v>8939</v>
      </c>
      <c r="J28" s="825">
        <v>195949</v>
      </c>
      <c r="K28" s="822">
        <v>195949.44835417726</v>
      </c>
      <c r="L28" s="458">
        <v>-0.44835417726426385</v>
      </c>
      <c r="M28" s="12">
        <v>17878</v>
      </c>
      <c r="N28" s="824"/>
      <c r="O28" s="823">
        <v>204888</v>
      </c>
    </row>
    <row r="29" spans="1:15" x14ac:dyDescent="0.2">
      <c r="A29" s="993">
        <v>1855</v>
      </c>
      <c r="B29" s="997" t="s">
        <v>360</v>
      </c>
      <c r="C29" s="435">
        <v>370481.85</v>
      </c>
      <c r="D29" s="435">
        <v>43116</v>
      </c>
      <c r="E29" s="332">
        <v>22.441204797383243</v>
      </c>
      <c r="F29" s="332">
        <v>25.009280742459396</v>
      </c>
      <c r="G29" s="624">
        <v>3.9985156322478899E-2</v>
      </c>
      <c r="H29" s="12">
        <v>16509</v>
      </c>
      <c r="I29" s="12">
        <v>862</v>
      </c>
      <c r="J29" s="825">
        <v>17371</v>
      </c>
      <c r="K29" s="822">
        <v>17370.68283787879</v>
      </c>
      <c r="L29" s="860">
        <v>0.31716212120954879</v>
      </c>
      <c r="M29" s="859">
        <v>1724</v>
      </c>
      <c r="N29" s="824"/>
      <c r="O29" s="861">
        <v>18233</v>
      </c>
    </row>
    <row r="30" spans="1:15" x14ac:dyDescent="0.2">
      <c r="A30" s="993">
        <v>1860</v>
      </c>
      <c r="B30" s="997" t="s">
        <v>414</v>
      </c>
      <c r="C30" s="435">
        <v>2902375.370000001</v>
      </c>
      <c r="D30" s="435">
        <v>25000</v>
      </c>
      <c r="E30" s="332">
        <v>14.221753087024702</v>
      </c>
      <c r="F30" s="332">
        <v>25</v>
      </c>
      <c r="G30" s="624">
        <v>0.04</v>
      </c>
      <c r="H30" s="12">
        <v>204080</v>
      </c>
      <c r="I30" s="12">
        <v>500</v>
      </c>
      <c r="J30" s="825">
        <v>204580</v>
      </c>
      <c r="K30" s="822">
        <v>204580</v>
      </c>
      <c r="L30" s="458">
        <v>0</v>
      </c>
      <c r="M30" s="12">
        <v>1000</v>
      </c>
      <c r="N30" s="824">
        <v>155558</v>
      </c>
      <c r="O30" s="823">
        <v>49522</v>
      </c>
    </row>
    <row r="31" spans="1:15" x14ac:dyDescent="0.2">
      <c r="A31" s="995">
        <v>1860</v>
      </c>
      <c r="B31" s="996" t="s">
        <v>361</v>
      </c>
      <c r="C31" s="435">
        <v>0</v>
      </c>
      <c r="D31" s="435">
        <v>0</v>
      </c>
      <c r="E31" s="332"/>
      <c r="F31" s="332"/>
      <c r="G31" s="624">
        <v>0</v>
      </c>
      <c r="H31" s="12">
        <v>0</v>
      </c>
      <c r="I31" s="12">
        <v>0</v>
      </c>
      <c r="J31" s="825">
        <v>0</v>
      </c>
      <c r="K31" s="822">
        <v>0</v>
      </c>
      <c r="L31" s="458">
        <v>0</v>
      </c>
      <c r="M31" s="12">
        <v>0</v>
      </c>
      <c r="N31" s="824">
        <v>-282779</v>
      </c>
      <c r="O31" s="823">
        <v>282779</v>
      </c>
    </row>
    <row r="32" spans="1:15" x14ac:dyDescent="0.2">
      <c r="A32" s="995">
        <v>1905</v>
      </c>
      <c r="B32" s="996" t="s">
        <v>408</v>
      </c>
      <c r="C32" s="435">
        <v>0</v>
      </c>
      <c r="D32" s="435">
        <v>0</v>
      </c>
      <c r="E32" s="332"/>
      <c r="F32" s="332"/>
      <c r="G32" s="624">
        <v>0</v>
      </c>
      <c r="H32" s="12">
        <v>0</v>
      </c>
      <c r="I32" s="12">
        <v>0</v>
      </c>
      <c r="J32" s="825">
        <v>0</v>
      </c>
      <c r="K32" s="822">
        <v>0</v>
      </c>
      <c r="L32" s="458">
        <v>0</v>
      </c>
      <c r="M32" s="12">
        <v>0</v>
      </c>
      <c r="N32" s="824"/>
      <c r="O32" s="823">
        <v>0</v>
      </c>
    </row>
    <row r="33" spans="1:15" x14ac:dyDescent="0.2">
      <c r="A33" s="993">
        <v>1908</v>
      </c>
      <c r="B33" s="997" t="s">
        <v>416</v>
      </c>
      <c r="C33" s="435">
        <v>4066489.4699999983</v>
      </c>
      <c r="D33" s="435">
        <v>1910100</v>
      </c>
      <c r="E33" s="332">
        <v>36.373218633440359</v>
      </c>
      <c r="F33" s="332">
        <v>54.768322055281565</v>
      </c>
      <c r="G33" s="624">
        <v>1.8258729909428825E-2</v>
      </c>
      <c r="H33" s="12">
        <v>111798.99999999999</v>
      </c>
      <c r="I33" s="12">
        <v>17438</v>
      </c>
      <c r="J33" s="825">
        <v>129236.99999999999</v>
      </c>
      <c r="K33" s="822">
        <v>129237</v>
      </c>
      <c r="L33" s="458">
        <v>-1.4551915228366852E-11</v>
      </c>
      <c r="M33" s="12">
        <v>34876</v>
      </c>
      <c r="N33" s="824"/>
      <c r="O33" s="823">
        <v>146675</v>
      </c>
    </row>
    <row r="34" spans="1:15" x14ac:dyDescent="0.2">
      <c r="A34" s="993">
        <v>1910</v>
      </c>
      <c r="B34" s="997" t="s">
        <v>442</v>
      </c>
      <c r="C34" s="435">
        <v>0</v>
      </c>
      <c r="D34" s="435">
        <v>0</v>
      </c>
      <c r="E34" s="332"/>
      <c r="F34" s="332"/>
      <c r="G34" s="624">
        <v>0</v>
      </c>
      <c r="H34" s="12">
        <v>0</v>
      </c>
      <c r="I34" s="12">
        <v>0</v>
      </c>
      <c r="J34" s="825">
        <v>0</v>
      </c>
      <c r="K34" s="822">
        <v>0</v>
      </c>
      <c r="L34" s="458">
        <v>0</v>
      </c>
      <c r="M34" s="12">
        <v>0</v>
      </c>
      <c r="N34" s="824"/>
      <c r="O34" s="823">
        <v>0</v>
      </c>
    </row>
    <row r="35" spans="1:15" x14ac:dyDescent="0.2">
      <c r="A35" s="993">
        <v>1915</v>
      </c>
      <c r="B35" s="997" t="s">
        <v>362</v>
      </c>
      <c r="C35" s="435">
        <v>185496.81</v>
      </c>
      <c r="D35" s="435">
        <v>108014</v>
      </c>
      <c r="E35" s="332">
        <v>4.3679196100593387</v>
      </c>
      <c r="F35" s="332">
        <v>10.001296296296296</v>
      </c>
      <c r="G35" s="624">
        <v>9.9987038717203325E-2</v>
      </c>
      <c r="H35" s="12">
        <v>42468</v>
      </c>
      <c r="I35" s="12">
        <v>5400</v>
      </c>
      <c r="J35" s="825">
        <v>47868</v>
      </c>
      <c r="K35" s="822">
        <v>47868</v>
      </c>
      <c r="L35" s="458">
        <v>0</v>
      </c>
      <c r="M35" s="12">
        <v>10800</v>
      </c>
      <c r="N35" s="824"/>
      <c r="O35" s="823">
        <v>53268</v>
      </c>
    </row>
    <row r="36" spans="1:15" x14ac:dyDescent="0.2">
      <c r="A36" s="993">
        <v>1915</v>
      </c>
      <c r="B36" s="997" t="s">
        <v>363</v>
      </c>
      <c r="C36" s="435">
        <v>0</v>
      </c>
      <c r="D36" s="435">
        <v>0</v>
      </c>
      <c r="E36" s="332"/>
      <c r="F36" s="332"/>
      <c r="G36" s="624">
        <v>0</v>
      </c>
      <c r="H36" s="12">
        <v>0</v>
      </c>
      <c r="I36" s="12">
        <v>0</v>
      </c>
      <c r="J36" s="825">
        <v>0</v>
      </c>
      <c r="K36" s="822">
        <v>0</v>
      </c>
      <c r="L36" s="458">
        <v>0</v>
      </c>
      <c r="M36" s="12">
        <v>0</v>
      </c>
      <c r="N36" s="824"/>
      <c r="O36" s="823">
        <v>0</v>
      </c>
    </row>
    <row r="37" spans="1:15" x14ac:dyDescent="0.2">
      <c r="A37" s="993">
        <v>1920</v>
      </c>
      <c r="B37" s="997" t="s">
        <v>364</v>
      </c>
      <c r="C37" s="435">
        <v>1145489.0999999999</v>
      </c>
      <c r="D37" s="435">
        <v>994250</v>
      </c>
      <c r="E37" s="332">
        <v>3.0135409377186839</v>
      </c>
      <c r="F37" s="332">
        <v>5</v>
      </c>
      <c r="G37" s="624">
        <v>0.2</v>
      </c>
      <c r="H37" s="12">
        <v>380114</v>
      </c>
      <c r="I37" s="12">
        <v>99425</v>
      </c>
      <c r="J37" s="825">
        <v>479539</v>
      </c>
      <c r="K37" s="822">
        <v>479539</v>
      </c>
      <c r="L37" s="458">
        <v>0</v>
      </c>
      <c r="M37" s="12">
        <v>198850</v>
      </c>
      <c r="N37" s="824">
        <v>-3003</v>
      </c>
      <c r="O37" s="823">
        <v>581967</v>
      </c>
    </row>
    <row r="38" spans="1:15" x14ac:dyDescent="0.2">
      <c r="A38" s="998">
        <v>1920</v>
      </c>
      <c r="B38" s="994" t="s">
        <v>366</v>
      </c>
      <c r="C38" s="435">
        <v>0</v>
      </c>
      <c r="D38" s="435">
        <v>0</v>
      </c>
      <c r="E38" s="332"/>
      <c r="F38" s="332"/>
      <c r="G38" s="624">
        <v>0</v>
      </c>
      <c r="H38" s="12">
        <v>0</v>
      </c>
      <c r="I38" s="12">
        <v>0</v>
      </c>
      <c r="J38" s="825">
        <v>0</v>
      </c>
      <c r="K38" s="822">
        <v>0</v>
      </c>
      <c r="L38" s="458">
        <v>0</v>
      </c>
      <c r="M38" s="12">
        <v>0</v>
      </c>
      <c r="N38" s="824"/>
      <c r="O38" s="823">
        <v>0</v>
      </c>
    </row>
    <row r="39" spans="1:15" x14ac:dyDescent="0.2">
      <c r="A39" s="998">
        <v>1920</v>
      </c>
      <c r="B39" s="994" t="s">
        <v>365</v>
      </c>
      <c r="C39" s="435">
        <v>0</v>
      </c>
      <c r="D39" s="435">
        <v>0</v>
      </c>
      <c r="E39" s="332"/>
      <c r="F39" s="332"/>
      <c r="G39" s="624">
        <v>0</v>
      </c>
      <c r="H39" s="12">
        <v>0</v>
      </c>
      <c r="I39" s="12">
        <v>0</v>
      </c>
      <c r="J39" s="825">
        <v>0</v>
      </c>
      <c r="K39" s="822">
        <v>0</v>
      </c>
      <c r="L39" s="458">
        <v>0</v>
      </c>
      <c r="M39" s="12">
        <v>0</v>
      </c>
      <c r="N39" s="824"/>
      <c r="O39" s="823">
        <v>0</v>
      </c>
    </row>
    <row r="40" spans="1:15" x14ac:dyDescent="0.2">
      <c r="A40" s="993">
        <v>1930</v>
      </c>
      <c r="B40" s="997" t="s">
        <v>430</v>
      </c>
      <c r="C40" s="435">
        <v>1525332.2399999998</v>
      </c>
      <c r="D40" s="435">
        <v>554434</v>
      </c>
      <c r="E40" s="332">
        <v>6.4131625771514091</v>
      </c>
      <c r="F40" s="332">
        <v>9.1629867125008264</v>
      </c>
      <c r="G40" s="624">
        <v>0.10913472117510831</v>
      </c>
      <c r="H40" s="12">
        <v>237844</v>
      </c>
      <c r="I40" s="12">
        <v>30254</v>
      </c>
      <c r="J40" s="825">
        <v>268098</v>
      </c>
      <c r="K40" s="822">
        <v>268098</v>
      </c>
      <c r="L40" s="458">
        <v>0</v>
      </c>
      <c r="M40" s="12">
        <v>60508</v>
      </c>
      <c r="N40" s="824">
        <v>1750</v>
      </c>
      <c r="O40" s="823">
        <v>296602</v>
      </c>
    </row>
    <row r="41" spans="1:15" x14ac:dyDescent="0.2">
      <c r="A41" s="993">
        <v>1935</v>
      </c>
      <c r="B41" s="997" t="s">
        <v>431</v>
      </c>
      <c r="C41" s="435">
        <v>9853.5099999999802</v>
      </c>
      <c r="D41" s="435">
        <v>0</v>
      </c>
      <c r="E41" s="332">
        <v>1.9999005480008079</v>
      </c>
      <c r="F41" s="332"/>
      <c r="G41" s="624">
        <v>0</v>
      </c>
      <c r="H41" s="12">
        <v>4927</v>
      </c>
      <c r="I41" s="12">
        <v>0</v>
      </c>
      <c r="J41" s="825">
        <v>4927</v>
      </c>
      <c r="K41" s="822">
        <v>4927</v>
      </c>
      <c r="L41" s="458">
        <v>0</v>
      </c>
      <c r="M41" s="12">
        <v>0</v>
      </c>
      <c r="N41" s="824"/>
      <c r="O41" s="823">
        <v>4927</v>
      </c>
    </row>
    <row r="42" spans="1:15" x14ac:dyDescent="0.2">
      <c r="A42" s="993">
        <v>1940</v>
      </c>
      <c r="B42" s="997" t="s">
        <v>432</v>
      </c>
      <c r="C42" s="435">
        <v>234064.56000000006</v>
      </c>
      <c r="D42" s="435">
        <v>48800</v>
      </c>
      <c r="E42" s="332">
        <v>4.5100882500289039</v>
      </c>
      <c r="F42" s="332">
        <v>10</v>
      </c>
      <c r="G42" s="624">
        <v>0.1</v>
      </c>
      <c r="H42" s="12">
        <v>51898</v>
      </c>
      <c r="I42" s="12">
        <v>2440</v>
      </c>
      <c r="J42" s="825">
        <v>54338</v>
      </c>
      <c r="K42" s="822">
        <v>54338</v>
      </c>
      <c r="L42" s="458">
        <v>0</v>
      </c>
      <c r="M42" s="12">
        <v>4880</v>
      </c>
      <c r="N42" s="824">
        <v>-4680</v>
      </c>
      <c r="O42" s="823">
        <v>61458</v>
      </c>
    </row>
    <row r="43" spans="1:15" x14ac:dyDescent="0.2">
      <c r="A43" s="993">
        <v>1945</v>
      </c>
      <c r="B43" s="997" t="s">
        <v>433</v>
      </c>
      <c r="C43" s="435">
        <v>89149.829999999987</v>
      </c>
      <c r="D43" s="435">
        <v>52852</v>
      </c>
      <c r="E43" s="332">
        <v>5.2673459379615943</v>
      </c>
      <c r="F43" s="332">
        <v>9.9984865682936057</v>
      </c>
      <c r="G43" s="624">
        <v>0.10001513660788618</v>
      </c>
      <c r="H43" s="12">
        <v>16925</v>
      </c>
      <c r="I43" s="12">
        <v>2643</v>
      </c>
      <c r="J43" s="825">
        <v>19568</v>
      </c>
      <c r="K43" s="822">
        <v>19568</v>
      </c>
      <c r="L43" s="458">
        <v>0</v>
      </c>
      <c r="M43" s="12">
        <v>5286</v>
      </c>
      <c r="N43" s="824"/>
      <c r="O43" s="823">
        <v>22211</v>
      </c>
    </row>
    <row r="44" spans="1:15" x14ac:dyDescent="0.2">
      <c r="A44" s="993">
        <v>1950</v>
      </c>
      <c r="B44" s="997" t="s">
        <v>367</v>
      </c>
      <c r="C44" s="435">
        <v>0</v>
      </c>
      <c r="D44" s="435">
        <v>0</v>
      </c>
      <c r="E44" s="332"/>
      <c r="F44" s="332"/>
      <c r="G44" s="624">
        <v>0</v>
      </c>
      <c r="H44" s="12">
        <v>0</v>
      </c>
      <c r="I44" s="12">
        <v>0</v>
      </c>
      <c r="J44" s="825">
        <v>0</v>
      </c>
      <c r="K44" s="822">
        <v>0</v>
      </c>
      <c r="L44" s="458">
        <v>0</v>
      </c>
      <c r="M44" s="12">
        <v>0</v>
      </c>
      <c r="N44" s="824"/>
      <c r="O44" s="823">
        <v>0</v>
      </c>
    </row>
    <row r="45" spans="1:15" x14ac:dyDescent="0.2">
      <c r="A45" s="993">
        <v>1955</v>
      </c>
      <c r="B45" s="997" t="s">
        <v>434</v>
      </c>
      <c r="C45" s="435">
        <v>91081.89</v>
      </c>
      <c r="D45" s="435">
        <v>0</v>
      </c>
      <c r="E45" s="332">
        <v>5.5114298680866511</v>
      </c>
      <c r="F45" s="332"/>
      <c r="G45" s="624">
        <v>0</v>
      </c>
      <c r="H45" s="12">
        <v>16526</v>
      </c>
      <c r="I45" s="12">
        <v>0</v>
      </c>
      <c r="J45" s="825">
        <v>16526</v>
      </c>
      <c r="K45" s="822">
        <v>16526</v>
      </c>
      <c r="L45" s="458">
        <v>0</v>
      </c>
      <c r="M45" s="12">
        <v>0</v>
      </c>
      <c r="N45" s="824"/>
      <c r="O45" s="823">
        <v>16526</v>
      </c>
    </row>
    <row r="46" spans="1:15" x14ac:dyDescent="0.2">
      <c r="A46" s="999">
        <v>1955</v>
      </c>
      <c r="B46" s="1000" t="s">
        <v>368</v>
      </c>
      <c r="C46" s="435">
        <v>0</v>
      </c>
      <c r="D46" s="435">
        <v>0</v>
      </c>
      <c r="E46" s="332"/>
      <c r="F46" s="332"/>
      <c r="G46" s="624">
        <v>0</v>
      </c>
      <c r="H46" s="12">
        <v>0</v>
      </c>
      <c r="I46" s="12">
        <v>0</v>
      </c>
      <c r="J46" s="825">
        <v>0</v>
      </c>
      <c r="K46" s="822">
        <v>0</v>
      </c>
      <c r="L46" s="458">
        <v>0</v>
      </c>
      <c r="M46" s="12">
        <v>0</v>
      </c>
      <c r="N46" s="824"/>
      <c r="O46" s="823">
        <v>0</v>
      </c>
    </row>
    <row r="47" spans="1:15" x14ac:dyDescent="0.2">
      <c r="A47" s="998">
        <v>1960</v>
      </c>
      <c r="B47" s="994" t="s">
        <v>369</v>
      </c>
      <c r="C47" s="435">
        <v>72206.87</v>
      </c>
      <c r="D47" s="435">
        <v>0</v>
      </c>
      <c r="E47" s="332">
        <v>13.999005428460643</v>
      </c>
      <c r="F47" s="332"/>
      <c r="G47" s="624">
        <v>0</v>
      </c>
      <c r="H47" s="12">
        <v>5158</v>
      </c>
      <c r="I47" s="12">
        <v>0</v>
      </c>
      <c r="J47" s="825">
        <v>5158</v>
      </c>
      <c r="K47" s="822">
        <v>5158</v>
      </c>
      <c r="L47" s="458">
        <v>0</v>
      </c>
      <c r="M47" s="12">
        <v>0</v>
      </c>
      <c r="N47" s="824"/>
      <c r="O47" s="823">
        <v>5158</v>
      </c>
    </row>
    <row r="48" spans="1:15" x14ac:dyDescent="0.2">
      <c r="A48" s="993">
        <v>1975</v>
      </c>
      <c r="B48" s="997" t="s">
        <v>435</v>
      </c>
      <c r="C48" s="435">
        <v>0</v>
      </c>
      <c r="D48" s="435">
        <v>0</v>
      </c>
      <c r="E48" s="332"/>
      <c r="F48" s="332"/>
      <c r="G48" s="624">
        <v>0</v>
      </c>
      <c r="H48" s="12">
        <v>0</v>
      </c>
      <c r="I48" s="12">
        <v>0</v>
      </c>
      <c r="J48" s="825">
        <v>0</v>
      </c>
      <c r="K48" s="822">
        <v>0</v>
      </c>
      <c r="L48" s="458">
        <v>0</v>
      </c>
      <c r="M48" s="12">
        <v>0</v>
      </c>
      <c r="N48" s="824"/>
      <c r="O48" s="823">
        <v>0</v>
      </c>
    </row>
    <row r="49" spans="1:15" x14ac:dyDescent="0.2">
      <c r="A49" s="993">
        <v>1980</v>
      </c>
      <c r="B49" s="997" t="s">
        <v>436</v>
      </c>
      <c r="C49" s="435">
        <v>444006.33000000007</v>
      </c>
      <c r="D49" s="435">
        <v>0</v>
      </c>
      <c r="E49" s="332">
        <v>11.576532565051886</v>
      </c>
      <c r="F49" s="332"/>
      <c r="G49" s="624">
        <v>0</v>
      </c>
      <c r="H49" s="12">
        <v>38354</v>
      </c>
      <c r="I49" s="12">
        <v>0</v>
      </c>
      <c r="J49" s="825">
        <v>38354</v>
      </c>
      <c r="K49" s="822">
        <v>38354</v>
      </c>
      <c r="L49" s="458">
        <v>0</v>
      </c>
      <c r="M49" s="12">
        <v>0</v>
      </c>
      <c r="N49" s="824"/>
      <c r="O49" s="823">
        <v>38354</v>
      </c>
    </row>
    <row r="50" spans="1:15" x14ac:dyDescent="0.2">
      <c r="A50" s="993">
        <v>1985</v>
      </c>
      <c r="B50" s="997" t="s">
        <v>437</v>
      </c>
      <c r="C50" s="435">
        <v>0</v>
      </c>
      <c r="D50" s="435">
        <v>0</v>
      </c>
      <c r="E50" s="332"/>
      <c r="F50" s="332"/>
      <c r="G50" s="624">
        <v>0</v>
      </c>
      <c r="H50" s="12">
        <v>0</v>
      </c>
      <c r="I50" s="12">
        <v>0</v>
      </c>
      <c r="J50" s="825">
        <v>0</v>
      </c>
      <c r="K50" s="822">
        <v>0</v>
      </c>
      <c r="L50" s="458">
        <v>0</v>
      </c>
      <c r="M50" s="12">
        <v>0</v>
      </c>
      <c r="N50" s="824"/>
      <c r="O50" s="823">
        <v>0</v>
      </c>
    </row>
    <row r="51" spans="1:15" x14ac:dyDescent="0.2">
      <c r="A51" s="993">
        <v>1995</v>
      </c>
      <c r="B51" s="997" t="s">
        <v>438</v>
      </c>
      <c r="C51" s="435">
        <v>0</v>
      </c>
      <c r="D51" s="435">
        <v>-491240</v>
      </c>
      <c r="E51" s="332"/>
      <c r="F51" s="332">
        <v>41.114830934047539</v>
      </c>
      <c r="G51" s="624">
        <v>2.4322123605569578E-2</v>
      </c>
      <c r="H51" s="12">
        <v>0</v>
      </c>
      <c r="I51" s="12">
        <v>-5974</v>
      </c>
      <c r="J51" s="825">
        <v>-5974</v>
      </c>
      <c r="K51" s="822">
        <v>-5974</v>
      </c>
      <c r="L51" s="458">
        <v>0</v>
      </c>
      <c r="M51" s="12">
        <v>-11948</v>
      </c>
      <c r="N51" s="824"/>
      <c r="O51" s="823">
        <v>-11948</v>
      </c>
    </row>
    <row r="52" spans="1:15" x14ac:dyDescent="0.2">
      <c r="A52" s="265">
        <v>1990</v>
      </c>
      <c r="B52" s="266" t="s">
        <v>982</v>
      </c>
      <c r="C52" s="435">
        <v>567497</v>
      </c>
      <c r="D52" s="331"/>
      <c r="E52" s="332"/>
      <c r="F52" s="332"/>
      <c r="G52" s="624">
        <v>0</v>
      </c>
      <c r="H52" s="12">
        <v>0</v>
      </c>
      <c r="I52" s="12">
        <v>0</v>
      </c>
      <c r="J52" s="825">
        <v>0</v>
      </c>
      <c r="K52" s="826"/>
      <c r="L52" s="458">
        <v>0</v>
      </c>
      <c r="M52" s="12">
        <v>0</v>
      </c>
      <c r="N52" s="824"/>
      <c r="O52" s="823">
        <v>0</v>
      </c>
    </row>
    <row r="53" spans="1:15" ht="13.5" thickBot="1" x14ac:dyDescent="0.25">
      <c r="A53" s="268"/>
      <c r="B53" s="269"/>
      <c r="C53" s="435"/>
      <c r="D53" s="631"/>
      <c r="E53" s="339"/>
      <c r="F53" s="339"/>
      <c r="G53" s="625">
        <v>0</v>
      </c>
      <c r="H53" s="827">
        <v>0</v>
      </c>
      <c r="I53" s="827">
        <v>0</v>
      </c>
      <c r="J53" s="828">
        <v>0</v>
      </c>
      <c r="K53" s="829"/>
      <c r="L53" s="830">
        <v>0</v>
      </c>
      <c r="M53" s="827">
        <v>0</v>
      </c>
      <c r="N53" s="824"/>
      <c r="O53" s="823">
        <v>0</v>
      </c>
    </row>
    <row r="54" spans="1:15" ht="14.25" thickTop="1" thickBot="1" x14ac:dyDescent="0.25">
      <c r="A54" s="270"/>
      <c r="B54" s="271" t="s">
        <v>439</v>
      </c>
      <c r="C54" s="119">
        <v>42472711.020000011</v>
      </c>
      <c r="D54" s="119">
        <v>9113033</v>
      </c>
      <c r="E54" s="274"/>
      <c r="F54" s="340"/>
      <c r="G54" s="630"/>
      <c r="H54" s="869">
        <v>3433385</v>
      </c>
      <c r="I54" s="869">
        <v>399270.1</v>
      </c>
      <c r="J54" s="869">
        <v>3832655.1</v>
      </c>
      <c r="K54" s="869">
        <v>3832654.7142960564</v>
      </c>
      <c r="L54" s="119">
        <v>0.38570394371345174</v>
      </c>
      <c r="M54" s="119">
        <v>798541.2</v>
      </c>
      <c r="N54" s="872">
        <v>-435724.5</v>
      </c>
      <c r="O54" s="121">
        <v>4667650.7</v>
      </c>
    </row>
    <row r="55" spans="1:15" x14ac:dyDescent="0.2">
      <c r="I55" s="740" t="s">
        <v>949</v>
      </c>
      <c r="J55" s="435">
        <v>-5000</v>
      </c>
      <c r="K55" s="435">
        <v>-5000</v>
      </c>
    </row>
    <row r="56" spans="1:15" ht="13.5" thickBot="1" x14ac:dyDescent="0.25">
      <c r="A56" s="254" t="s">
        <v>16</v>
      </c>
      <c r="J56" s="889">
        <v>3827655.1</v>
      </c>
      <c r="K56" s="889">
        <v>3827654.7142960564</v>
      </c>
    </row>
    <row r="57" spans="1:15" ht="13.5" thickTop="1" x14ac:dyDescent="0.2"/>
    <row r="58" spans="1:15" x14ac:dyDescent="0.2">
      <c r="A58" s="335">
        <v>1</v>
      </c>
      <c r="B58" s="1274" t="s">
        <v>650</v>
      </c>
      <c r="C58" s="1274"/>
      <c r="D58" s="1274"/>
      <c r="E58" s="1274"/>
      <c r="F58" s="1274"/>
      <c r="G58" s="1274"/>
      <c r="H58" s="1274"/>
      <c r="I58" s="1274"/>
      <c r="J58" s="1274"/>
      <c r="K58" s="1274"/>
      <c r="L58" s="1274"/>
      <c r="M58" s="1274"/>
      <c r="N58" s="1274"/>
      <c r="O58" s="1274"/>
    </row>
    <row r="59" spans="1:15" x14ac:dyDescent="0.2">
      <c r="A59" s="335">
        <v>2</v>
      </c>
      <c r="B59" s="1286" t="s">
        <v>651</v>
      </c>
      <c r="C59" s="1286"/>
      <c r="D59" s="1286"/>
      <c r="E59" s="1286"/>
      <c r="F59" s="1286"/>
      <c r="G59" s="1286"/>
      <c r="H59" s="1286"/>
      <c r="I59" s="1286"/>
      <c r="J59" s="1286"/>
      <c r="K59" s="1286"/>
      <c r="L59" s="1286"/>
      <c r="M59" s="1286"/>
      <c r="N59" s="1286"/>
      <c r="O59" s="1286"/>
    </row>
    <row r="60" spans="1:15" ht="14.25" customHeight="1" x14ac:dyDescent="0.2">
      <c r="A60" s="335">
        <v>3</v>
      </c>
      <c r="B60" s="1274" t="s">
        <v>652</v>
      </c>
      <c r="C60" s="1274"/>
      <c r="D60" s="1274"/>
      <c r="E60" s="1274"/>
      <c r="F60" s="1274"/>
      <c r="G60" s="1274"/>
      <c r="H60" s="1274"/>
      <c r="I60" s="1274"/>
      <c r="J60" s="1274"/>
      <c r="K60" s="1274"/>
      <c r="L60" s="1274"/>
      <c r="M60" s="1274"/>
      <c r="N60" s="1274"/>
      <c r="O60" s="1274"/>
    </row>
    <row r="61" spans="1:15" ht="44.25" customHeight="1" x14ac:dyDescent="0.2">
      <c r="A61" s="335">
        <v>4</v>
      </c>
      <c r="B61" s="1274" t="s">
        <v>656</v>
      </c>
      <c r="C61" s="1274"/>
      <c r="D61" s="1274"/>
      <c r="E61" s="1274"/>
      <c r="F61" s="1274"/>
      <c r="G61" s="1274"/>
      <c r="H61" s="1274"/>
      <c r="I61" s="1274"/>
      <c r="J61" s="1274"/>
      <c r="K61" s="1274"/>
      <c r="L61" s="1274"/>
      <c r="M61" s="1274"/>
      <c r="N61" s="1274"/>
      <c r="O61" s="1274"/>
    </row>
    <row r="62" spans="1:15" ht="12.75" customHeight="1" x14ac:dyDescent="0.2">
      <c r="A62" s="335">
        <v>5</v>
      </c>
      <c r="B62" s="1274" t="s">
        <v>649</v>
      </c>
      <c r="C62" s="1274"/>
      <c r="D62" s="1274"/>
      <c r="E62" s="1274"/>
      <c r="F62" s="1274"/>
      <c r="G62" s="1274"/>
      <c r="H62" s="1274"/>
      <c r="I62" s="1274"/>
      <c r="J62" s="1274"/>
      <c r="K62" s="1274"/>
      <c r="L62" s="1274"/>
      <c r="M62" s="1274"/>
      <c r="N62" s="1274"/>
      <c r="O62" s="1274"/>
    </row>
    <row r="63" spans="1:15" ht="12.75" customHeight="1" x14ac:dyDescent="0.2">
      <c r="A63" s="337">
        <v>6</v>
      </c>
      <c r="B63" s="1258" t="s">
        <v>825</v>
      </c>
      <c r="C63" s="1258"/>
      <c r="D63" s="1258"/>
      <c r="E63" s="1258"/>
      <c r="F63" s="1258"/>
      <c r="G63" s="1258"/>
      <c r="H63" s="1258"/>
      <c r="I63" s="1258"/>
      <c r="J63" s="1258"/>
      <c r="K63" s="1258"/>
      <c r="L63" s="1258"/>
      <c r="M63" s="1258"/>
      <c r="N63" s="1258"/>
      <c r="O63" s="1258"/>
    </row>
    <row r="65" spans="1:12" x14ac:dyDescent="0.2">
      <c r="A65" s="254" t="s">
        <v>374</v>
      </c>
      <c r="B65" s="1285" t="s">
        <v>330</v>
      </c>
      <c r="C65" s="1285"/>
      <c r="D65" s="1285"/>
      <c r="E65" s="1285"/>
      <c r="F65" s="1285"/>
      <c r="G65" s="1285"/>
      <c r="H65" s="1285"/>
      <c r="I65" s="1285"/>
      <c r="J65" s="1285"/>
      <c r="K65" s="1285"/>
      <c r="L65" s="1285"/>
    </row>
    <row r="66" spans="1:12" x14ac:dyDescent="0.2">
      <c r="B66" s="1285"/>
      <c r="C66" s="1285"/>
      <c r="D66" s="1285"/>
      <c r="E66" s="1285"/>
      <c r="F66" s="1285"/>
      <c r="G66" s="1285"/>
      <c r="H66" s="1285"/>
      <c r="I66" s="1285"/>
      <c r="J66" s="1285"/>
      <c r="K66" s="1285"/>
      <c r="L66" s="1285"/>
    </row>
    <row r="67" spans="1:12" x14ac:dyDescent="0.2">
      <c r="B67" s="1285"/>
      <c r="C67" s="1285"/>
      <c r="D67" s="1285"/>
      <c r="E67" s="1285"/>
      <c r="F67" s="1285"/>
      <c r="G67" s="1285"/>
      <c r="H67" s="1285"/>
      <c r="I67" s="1285"/>
      <c r="J67" s="1285"/>
      <c r="K67" s="1285"/>
      <c r="L67" s="1285"/>
    </row>
    <row r="75" spans="1:12" x14ac:dyDescent="0.2">
      <c r="B75" s="275"/>
      <c r="C75" s="275"/>
      <c r="D75" s="275"/>
      <c r="E75" s="275"/>
      <c r="F75" s="275"/>
      <c r="G75" s="275"/>
      <c r="H75" s="870"/>
      <c r="I75" s="870"/>
      <c r="J75" s="870"/>
      <c r="K75" s="870"/>
      <c r="L75" s="275"/>
    </row>
    <row r="76" spans="1:12" x14ac:dyDescent="0.2">
      <c r="A76" s="275"/>
      <c r="B76" s="275"/>
      <c r="C76" s="275"/>
      <c r="D76" s="275"/>
      <c r="E76" s="275"/>
      <c r="F76" s="275"/>
      <c r="G76" s="275"/>
      <c r="H76" s="870"/>
      <c r="I76" s="870"/>
      <c r="J76" s="870"/>
      <c r="K76" s="870"/>
      <c r="L76" s="275"/>
    </row>
    <row r="78" spans="1:12" x14ac:dyDescent="0.2">
      <c r="L78" s="275"/>
    </row>
    <row r="79" spans="1:12" ht="12.75" customHeight="1" x14ac:dyDescent="0.2">
      <c r="L79" s="275"/>
    </row>
    <row r="80" spans="1:12" x14ac:dyDescent="0.2">
      <c r="L80" s="275"/>
    </row>
    <row r="81" spans="1:12" x14ac:dyDescent="0.2">
      <c r="L81" s="275"/>
    </row>
    <row r="82" spans="1:12" x14ac:dyDescent="0.2">
      <c r="A82" s="962"/>
      <c r="B82" s="962"/>
      <c r="C82" s="962"/>
      <c r="D82" s="962"/>
      <c r="E82" s="962"/>
      <c r="F82" s="962"/>
      <c r="G82" s="962"/>
      <c r="H82" s="870"/>
      <c r="I82" s="870"/>
      <c r="J82" s="870"/>
      <c r="K82" s="870"/>
      <c r="L82" s="275"/>
    </row>
    <row r="83" spans="1:12" x14ac:dyDescent="0.2">
      <c r="A83" s="962"/>
      <c r="B83" s="962"/>
      <c r="C83" s="962"/>
      <c r="D83" s="962"/>
      <c r="E83" s="962"/>
      <c r="F83" s="962"/>
      <c r="G83" s="962"/>
      <c r="H83" s="870"/>
      <c r="I83" s="870"/>
      <c r="J83" s="870"/>
      <c r="K83" s="870"/>
      <c r="L83" s="275"/>
    </row>
    <row r="84" spans="1:12" x14ac:dyDescent="0.2">
      <c r="L84" s="275"/>
    </row>
    <row r="85" spans="1:12" x14ac:dyDescent="0.2">
      <c r="H85" s="871"/>
      <c r="I85" s="871"/>
      <c r="J85" s="871"/>
      <c r="K85" s="871"/>
      <c r="L85" s="275"/>
    </row>
    <row r="86" spans="1:12" ht="14.25" x14ac:dyDescent="0.2">
      <c r="A86" s="282"/>
      <c r="B86" s="957"/>
      <c r="C86" s="957"/>
      <c r="D86" s="957"/>
      <c r="E86" s="957"/>
      <c r="F86" s="957"/>
      <c r="G86" s="956"/>
      <c r="H86" s="871"/>
      <c r="I86" s="871"/>
      <c r="J86" s="871"/>
      <c r="K86" s="871"/>
      <c r="L86" s="275"/>
    </row>
    <row r="87" spans="1:12" ht="14.25" x14ac:dyDescent="0.2">
      <c r="A87" s="282"/>
      <c r="B87" s="957"/>
      <c r="C87" s="957"/>
      <c r="D87" s="957"/>
      <c r="E87" s="957"/>
      <c r="F87" s="957"/>
      <c r="G87" s="956"/>
      <c r="H87" s="871"/>
      <c r="I87" s="871"/>
      <c r="J87" s="871"/>
      <c r="K87" s="871"/>
      <c r="L87" s="275"/>
    </row>
    <row r="89" spans="1:12" x14ac:dyDescent="0.2">
      <c r="A89" s="275"/>
    </row>
    <row r="90" spans="1:12" x14ac:dyDescent="0.2">
      <c r="A90" s="275"/>
    </row>
  </sheetData>
  <mergeCells count="14">
    <mergeCell ref="A9:O9"/>
    <mergeCell ref="A10:O10"/>
    <mergeCell ref="A11:O11"/>
    <mergeCell ref="A14:A15"/>
    <mergeCell ref="B14:B15"/>
    <mergeCell ref="K14:K15"/>
    <mergeCell ref="N14:N15"/>
    <mergeCell ref="B65:L67"/>
    <mergeCell ref="B58:O58"/>
    <mergeCell ref="B59:O59"/>
    <mergeCell ref="B60:O60"/>
    <mergeCell ref="B61:O61"/>
    <mergeCell ref="B62:O62"/>
    <mergeCell ref="B63:O63"/>
  </mergeCells>
  <dataValidations disablePrompts="1" count="1">
    <dataValidation allowBlank="1" showInputMessage="1" showErrorMessage="1" promptTitle="Date Format" prompt="E.g:  &quot;August 1, 2011&quot;" sqref="WVU983047 WLY983047 WCC983047 VSG983047 VIK983047 UYO983047 UOS983047 UEW983047 TVA983047 TLE983047 TBI983047 SRM983047 SHQ983047 RXU983047 RNY983047 REC983047 QUG983047 QKK983047 QAO983047 PQS983047 PGW983047 OXA983047 ONE983047 ODI983047 NTM983047 NJQ983047 MZU983047 MPY983047 MGC983047 LWG983047 LMK983047 LCO983047 KSS983047 KIW983047 JZA983047 JPE983047 JFI983047 IVM983047 ILQ983047 IBU983047 HRY983047 HIC983047 GYG983047 GOK983047 GEO983047 FUS983047 FKW983047 FBA983047 ERE983047 EHI983047 DXM983047 DNQ983047 DDU983047 CTY983047 CKC983047 CAG983047 BQK983047 BGO983047 AWS983047 AMW983047 ADA983047 TE983047 JI983047 L983047 WVU917511 WLY917511 WCC917511 VSG917511 VIK917511 UYO917511 UOS917511 UEW917511 TVA917511 TLE917511 TBI917511 SRM917511 SHQ917511 RXU917511 RNY917511 REC917511 QUG917511 QKK917511 QAO917511 PQS917511 PGW917511 OXA917511 ONE917511 ODI917511 NTM917511 NJQ917511 MZU917511 MPY917511 MGC917511 LWG917511 LMK917511 LCO917511 KSS917511 KIW917511 JZA917511 JPE917511 JFI917511 IVM917511 ILQ917511 IBU917511 HRY917511 HIC917511 GYG917511 GOK917511 GEO917511 FUS917511 FKW917511 FBA917511 ERE917511 EHI917511 DXM917511 DNQ917511 DDU917511 CTY917511 CKC917511 CAG917511 BQK917511 BGO917511 AWS917511 AMW917511 ADA917511 TE917511 JI917511 L917511 WVU851975 WLY851975 WCC851975 VSG851975 VIK851975 UYO851975 UOS851975 UEW851975 TVA851975 TLE851975 TBI851975 SRM851975 SHQ851975 RXU851975 RNY851975 REC851975 QUG851975 QKK851975 QAO851975 PQS851975 PGW851975 OXA851975 ONE851975 ODI851975 NTM851975 NJQ851975 MZU851975 MPY851975 MGC851975 LWG851975 LMK851975 LCO851975 KSS851975 KIW851975 JZA851975 JPE851975 JFI851975 IVM851975 ILQ851975 IBU851975 HRY851975 HIC851975 GYG851975 GOK851975 GEO851975 FUS851975 FKW851975 FBA851975 ERE851975 EHI851975 DXM851975 DNQ851975 DDU851975 CTY851975 CKC851975 CAG851975 BQK851975 BGO851975 AWS851975 AMW851975 ADA851975 TE851975 JI851975 L851975 WVU786439 WLY786439 WCC786439 VSG786439 VIK786439 UYO786439 UOS786439 UEW786439 TVA786439 TLE786439 TBI786439 SRM786439 SHQ786439 RXU786439 RNY786439 REC786439 QUG786439 QKK786439 QAO786439 PQS786439 PGW786439 OXA786439 ONE786439 ODI786439 NTM786439 NJQ786439 MZU786439 MPY786439 MGC786439 LWG786439 LMK786439 LCO786439 KSS786439 KIW786439 JZA786439 JPE786439 JFI786439 IVM786439 ILQ786439 IBU786439 HRY786439 HIC786439 GYG786439 GOK786439 GEO786439 FUS786439 FKW786439 FBA786439 ERE786439 EHI786439 DXM786439 DNQ786439 DDU786439 CTY786439 CKC786439 CAG786439 BQK786439 BGO786439 AWS786439 AMW786439 ADA786439 TE786439 JI786439 L786439 WVU720903 WLY720903 WCC720903 VSG720903 VIK720903 UYO720903 UOS720903 UEW720903 TVA720903 TLE720903 TBI720903 SRM720903 SHQ720903 RXU720903 RNY720903 REC720903 QUG720903 QKK720903 QAO720903 PQS720903 PGW720903 OXA720903 ONE720903 ODI720903 NTM720903 NJQ720903 MZU720903 MPY720903 MGC720903 LWG720903 LMK720903 LCO720903 KSS720903 KIW720903 JZA720903 JPE720903 JFI720903 IVM720903 ILQ720903 IBU720903 HRY720903 HIC720903 GYG720903 GOK720903 GEO720903 FUS720903 FKW720903 FBA720903 ERE720903 EHI720903 DXM720903 DNQ720903 DDU720903 CTY720903 CKC720903 CAG720903 BQK720903 BGO720903 AWS720903 AMW720903 ADA720903 TE720903 JI720903 L720903 WVU655367 WLY655367 WCC655367 VSG655367 VIK655367 UYO655367 UOS655367 UEW655367 TVA655367 TLE655367 TBI655367 SRM655367 SHQ655367 RXU655367 RNY655367 REC655367 QUG655367 QKK655367 QAO655367 PQS655367 PGW655367 OXA655367 ONE655367 ODI655367 NTM655367 NJQ655367 MZU655367 MPY655367 MGC655367 LWG655367 LMK655367 LCO655367 KSS655367 KIW655367 JZA655367 JPE655367 JFI655367 IVM655367 ILQ655367 IBU655367 HRY655367 HIC655367 GYG655367 GOK655367 GEO655367 FUS655367 FKW655367 FBA655367 ERE655367 EHI655367 DXM655367 DNQ655367 DDU655367 CTY655367 CKC655367 CAG655367 BQK655367 BGO655367 AWS655367 AMW655367 ADA655367 TE655367 JI655367 L655367 WVU589831 WLY589831 WCC589831 VSG589831 VIK589831 UYO589831 UOS589831 UEW589831 TVA589831 TLE589831 TBI589831 SRM589831 SHQ589831 RXU589831 RNY589831 REC589831 QUG589831 QKK589831 QAO589831 PQS589831 PGW589831 OXA589831 ONE589831 ODI589831 NTM589831 NJQ589831 MZU589831 MPY589831 MGC589831 LWG589831 LMK589831 LCO589831 KSS589831 KIW589831 JZA589831 JPE589831 JFI589831 IVM589831 ILQ589831 IBU589831 HRY589831 HIC589831 GYG589831 GOK589831 GEO589831 FUS589831 FKW589831 FBA589831 ERE589831 EHI589831 DXM589831 DNQ589831 DDU589831 CTY589831 CKC589831 CAG589831 BQK589831 BGO589831 AWS589831 AMW589831 ADA589831 TE589831 JI589831 L589831 WVU524295 WLY524295 WCC524295 VSG524295 VIK524295 UYO524295 UOS524295 UEW524295 TVA524295 TLE524295 TBI524295 SRM524295 SHQ524295 RXU524295 RNY524295 REC524295 QUG524295 QKK524295 QAO524295 PQS524295 PGW524295 OXA524295 ONE524295 ODI524295 NTM524295 NJQ524295 MZU524295 MPY524295 MGC524295 LWG524295 LMK524295 LCO524295 KSS524295 KIW524295 JZA524295 JPE524295 JFI524295 IVM524295 ILQ524295 IBU524295 HRY524295 HIC524295 GYG524295 GOK524295 GEO524295 FUS524295 FKW524295 FBA524295 ERE524295 EHI524295 DXM524295 DNQ524295 DDU524295 CTY524295 CKC524295 CAG524295 BQK524295 BGO524295 AWS524295 AMW524295 ADA524295 TE524295 JI524295 L524295 WVU458759 WLY458759 WCC458759 VSG458759 VIK458759 UYO458759 UOS458759 UEW458759 TVA458759 TLE458759 TBI458759 SRM458759 SHQ458759 RXU458759 RNY458759 REC458759 QUG458759 QKK458759 QAO458759 PQS458759 PGW458759 OXA458759 ONE458759 ODI458759 NTM458759 NJQ458759 MZU458759 MPY458759 MGC458759 LWG458759 LMK458759 LCO458759 KSS458759 KIW458759 JZA458759 JPE458759 JFI458759 IVM458759 ILQ458759 IBU458759 HRY458759 HIC458759 GYG458759 GOK458759 GEO458759 FUS458759 FKW458759 FBA458759 ERE458759 EHI458759 DXM458759 DNQ458759 DDU458759 CTY458759 CKC458759 CAG458759 BQK458759 BGO458759 AWS458759 AMW458759 ADA458759 TE458759 JI458759 L458759 WVU393223 WLY393223 WCC393223 VSG393223 VIK393223 UYO393223 UOS393223 UEW393223 TVA393223 TLE393223 TBI393223 SRM393223 SHQ393223 RXU393223 RNY393223 REC393223 QUG393223 QKK393223 QAO393223 PQS393223 PGW393223 OXA393223 ONE393223 ODI393223 NTM393223 NJQ393223 MZU393223 MPY393223 MGC393223 LWG393223 LMK393223 LCO393223 KSS393223 KIW393223 JZA393223 JPE393223 JFI393223 IVM393223 ILQ393223 IBU393223 HRY393223 HIC393223 GYG393223 GOK393223 GEO393223 FUS393223 FKW393223 FBA393223 ERE393223 EHI393223 DXM393223 DNQ393223 DDU393223 CTY393223 CKC393223 CAG393223 BQK393223 BGO393223 AWS393223 AMW393223 ADA393223 TE393223 JI393223 L393223 WVU327687 WLY327687 WCC327687 VSG327687 VIK327687 UYO327687 UOS327687 UEW327687 TVA327687 TLE327687 TBI327687 SRM327687 SHQ327687 RXU327687 RNY327687 REC327687 QUG327687 QKK327687 QAO327687 PQS327687 PGW327687 OXA327687 ONE327687 ODI327687 NTM327687 NJQ327687 MZU327687 MPY327687 MGC327687 LWG327687 LMK327687 LCO327687 KSS327687 KIW327687 JZA327687 JPE327687 JFI327687 IVM327687 ILQ327687 IBU327687 HRY327687 HIC327687 GYG327687 GOK327687 GEO327687 FUS327687 FKW327687 FBA327687 ERE327687 EHI327687 DXM327687 DNQ327687 DDU327687 CTY327687 CKC327687 CAG327687 BQK327687 BGO327687 AWS327687 AMW327687 ADA327687 TE327687 JI327687 L327687 WVU262151 WLY262151 WCC262151 VSG262151 VIK262151 UYO262151 UOS262151 UEW262151 TVA262151 TLE262151 TBI262151 SRM262151 SHQ262151 RXU262151 RNY262151 REC262151 QUG262151 QKK262151 QAO262151 PQS262151 PGW262151 OXA262151 ONE262151 ODI262151 NTM262151 NJQ262151 MZU262151 MPY262151 MGC262151 LWG262151 LMK262151 LCO262151 KSS262151 KIW262151 JZA262151 JPE262151 JFI262151 IVM262151 ILQ262151 IBU262151 HRY262151 HIC262151 GYG262151 GOK262151 GEO262151 FUS262151 FKW262151 FBA262151 ERE262151 EHI262151 DXM262151 DNQ262151 DDU262151 CTY262151 CKC262151 CAG262151 BQK262151 BGO262151 AWS262151 AMW262151 ADA262151 TE262151 JI262151 L262151 WVU196615 WLY196615 WCC196615 VSG196615 VIK196615 UYO196615 UOS196615 UEW196615 TVA196615 TLE196615 TBI196615 SRM196615 SHQ196615 RXU196615 RNY196615 REC196615 QUG196615 QKK196615 QAO196615 PQS196615 PGW196615 OXA196615 ONE196615 ODI196615 NTM196615 NJQ196615 MZU196615 MPY196615 MGC196615 LWG196615 LMK196615 LCO196615 KSS196615 KIW196615 JZA196615 JPE196615 JFI196615 IVM196615 ILQ196615 IBU196615 HRY196615 HIC196615 GYG196615 GOK196615 GEO196615 FUS196615 FKW196615 FBA196615 ERE196615 EHI196615 DXM196615 DNQ196615 DDU196615 CTY196615 CKC196615 CAG196615 BQK196615 BGO196615 AWS196615 AMW196615 ADA196615 TE196615 JI196615 L196615 WVU131079 WLY131079 WCC131079 VSG131079 VIK131079 UYO131079 UOS131079 UEW131079 TVA131079 TLE131079 TBI131079 SRM131079 SHQ131079 RXU131079 RNY131079 REC131079 QUG131079 QKK131079 QAO131079 PQS131079 PGW131079 OXA131079 ONE131079 ODI131079 NTM131079 NJQ131079 MZU131079 MPY131079 MGC131079 LWG131079 LMK131079 LCO131079 KSS131079 KIW131079 JZA131079 JPE131079 JFI131079 IVM131079 ILQ131079 IBU131079 HRY131079 HIC131079 GYG131079 GOK131079 GEO131079 FUS131079 FKW131079 FBA131079 ERE131079 EHI131079 DXM131079 DNQ131079 DDU131079 CTY131079 CKC131079 CAG131079 BQK131079 BGO131079 AWS131079 AMW131079 ADA131079 TE131079 JI131079 L131079 WVU65543 WLY65543 WCC65543 VSG65543 VIK65543 UYO65543 UOS65543 UEW65543 TVA65543 TLE65543 TBI65543 SRM65543 SHQ65543 RXU65543 RNY65543 REC65543 QUG65543 QKK65543 QAO65543 PQS65543 PGW65543 OXA65543 ONE65543 ODI65543 NTM65543 NJQ65543 MZU65543 MPY65543 MGC65543 LWG65543 LMK65543 LCO65543 KSS65543 KIW65543 JZA65543 JPE65543 JFI65543 IVM65543 ILQ65543 IBU65543 HRY65543 HIC65543 GYG65543 GOK65543 GEO65543 FUS65543 FKW65543 FBA65543 ERE65543 EHI65543 DXM65543 DNQ65543 DDU65543 CTY65543 CKC65543 CAG65543 BQK65543 BGO65543 AWS65543 AMW65543 ADA65543 TE65543 JI65543 L65543 WVU7 WLY7 WCC7 VSG7 VIK7 UYO7 UOS7 UEW7 TVA7 TLE7 TBI7 SRM7 SHQ7 RXU7 RNY7 REC7 QUG7 QKK7 QAO7 PQS7 PGW7 OXA7 ONE7 ODI7 NTM7 NJQ7 MZU7 MPY7 MGC7 LWG7 LMK7 LCO7 KSS7 KIW7 JZA7 JPE7 JFI7 IVM7 ILQ7 IBU7 HRY7 HIC7 GYG7 GOK7 GEO7 FUS7 FKW7 FBA7 ERE7 EHI7 DXM7 DNQ7 DDU7 CTY7 CKC7 CAG7 BQK7 BGO7 AWS7 AMW7 ADA7 TE7 JI7"/>
  </dataValidations>
  <printOptions horizontalCentered="1"/>
  <pageMargins left="0.5" right="0.5" top="0.5" bottom="0.5" header="0.39370078740157499" footer="0.27559055118110198"/>
  <pageSetup scale="5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L77"/>
  <sheetViews>
    <sheetView showGridLines="0" topLeftCell="A34" zoomScaleNormal="100" workbookViewId="0">
      <selection activeCell="Q17" sqref="Q17"/>
    </sheetView>
  </sheetViews>
  <sheetFormatPr defaultRowHeight="12.75" x14ac:dyDescent="0.2"/>
  <cols>
    <col min="1" max="1" width="9.140625" style="946"/>
    <col min="2" max="2" width="40.28515625" style="946" bestFit="1" customWidth="1"/>
    <col min="3" max="3" width="14" style="946" bestFit="1" customWidth="1"/>
    <col min="4" max="4" width="10.140625" style="946" customWidth="1"/>
    <col min="5" max="5" width="12.28515625" style="946" customWidth="1"/>
    <col min="6" max="7" width="15.7109375" style="946" customWidth="1"/>
    <col min="8" max="8" width="14" style="946" bestFit="1" customWidth="1"/>
    <col min="9" max="9" width="12.85546875" style="946" customWidth="1"/>
    <col min="10" max="10" width="14.42578125" style="946" customWidth="1"/>
    <col min="11" max="255" width="9.140625" style="946"/>
    <col min="256" max="256" width="2.7109375" style="946" customWidth="1"/>
    <col min="257" max="257" width="9.140625" style="946"/>
    <col min="258" max="258" width="40.28515625" style="946" bestFit="1" customWidth="1"/>
    <col min="259" max="259" width="10" style="946" customWidth="1"/>
    <col min="260" max="260" width="10.140625" style="946" customWidth="1"/>
    <col min="261" max="261" width="12.28515625" style="946" customWidth="1"/>
    <col min="262" max="262" width="15.7109375" style="946" customWidth="1"/>
    <col min="263" max="263" width="12.85546875" style="946" customWidth="1"/>
    <col min="264" max="264" width="12.7109375" style="946" customWidth="1"/>
    <col min="265" max="265" width="12.85546875" style="946" customWidth="1"/>
    <col min="266" max="266" width="14.42578125" style="946" customWidth="1"/>
    <col min="267" max="511" width="9.140625" style="946"/>
    <col min="512" max="512" width="2.7109375" style="946" customWidth="1"/>
    <col min="513" max="513" width="9.140625" style="946"/>
    <col min="514" max="514" width="40.28515625" style="946" bestFit="1" customWidth="1"/>
    <col min="515" max="515" width="10" style="946" customWidth="1"/>
    <col min="516" max="516" width="10.140625" style="946" customWidth="1"/>
    <col min="517" max="517" width="12.28515625" style="946" customWidth="1"/>
    <col min="518" max="518" width="15.7109375" style="946" customWidth="1"/>
    <col min="519" max="519" width="12.85546875" style="946" customWidth="1"/>
    <col min="520" max="520" width="12.7109375" style="946" customWidth="1"/>
    <col min="521" max="521" width="12.85546875" style="946" customWidth="1"/>
    <col min="522" max="522" width="14.42578125" style="946" customWidth="1"/>
    <col min="523" max="767" width="9.140625" style="946"/>
    <col min="768" max="768" width="2.7109375" style="946" customWidth="1"/>
    <col min="769" max="769" width="9.140625" style="946"/>
    <col min="770" max="770" width="40.28515625" style="946" bestFit="1" customWidth="1"/>
    <col min="771" max="771" width="10" style="946" customWidth="1"/>
    <col min="772" max="772" width="10.140625" style="946" customWidth="1"/>
    <col min="773" max="773" width="12.28515625" style="946" customWidth="1"/>
    <col min="774" max="774" width="15.7109375" style="946" customWidth="1"/>
    <col min="775" max="775" width="12.85546875" style="946" customWidth="1"/>
    <col min="776" max="776" width="12.7109375" style="946" customWidth="1"/>
    <col min="777" max="777" width="12.85546875" style="946" customWidth="1"/>
    <col min="778" max="778" width="14.42578125" style="946" customWidth="1"/>
    <col min="779" max="1023" width="9.140625" style="946"/>
    <col min="1024" max="1024" width="2.7109375" style="946" customWidth="1"/>
    <col min="1025" max="1025" width="9.140625" style="946"/>
    <col min="1026" max="1026" width="40.28515625" style="946" bestFit="1" customWidth="1"/>
    <col min="1027" max="1027" width="10" style="946" customWidth="1"/>
    <col min="1028" max="1028" width="10.140625" style="946" customWidth="1"/>
    <col min="1029" max="1029" width="12.28515625" style="946" customWidth="1"/>
    <col min="1030" max="1030" width="15.7109375" style="946" customWidth="1"/>
    <col min="1031" max="1031" width="12.85546875" style="946" customWidth="1"/>
    <col min="1032" max="1032" width="12.7109375" style="946" customWidth="1"/>
    <col min="1033" max="1033" width="12.85546875" style="946" customWidth="1"/>
    <col min="1034" max="1034" width="14.42578125" style="946" customWidth="1"/>
    <col min="1035" max="1279" width="9.140625" style="946"/>
    <col min="1280" max="1280" width="2.7109375" style="946" customWidth="1"/>
    <col min="1281" max="1281" width="9.140625" style="946"/>
    <col min="1282" max="1282" width="40.28515625" style="946" bestFit="1" customWidth="1"/>
    <col min="1283" max="1283" width="10" style="946" customWidth="1"/>
    <col min="1284" max="1284" width="10.140625" style="946" customWidth="1"/>
    <col min="1285" max="1285" width="12.28515625" style="946" customWidth="1"/>
    <col min="1286" max="1286" width="15.7109375" style="946" customWidth="1"/>
    <col min="1287" max="1287" width="12.85546875" style="946" customWidth="1"/>
    <col min="1288" max="1288" width="12.7109375" style="946" customWidth="1"/>
    <col min="1289" max="1289" width="12.85546875" style="946" customWidth="1"/>
    <col min="1290" max="1290" width="14.42578125" style="946" customWidth="1"/>
    <col min="1291" max="1535" width="9.140625" style="946"/>
    <col min="1536" max="1536" width="2.7109375" style="946" customWidth="1"/>
    <col min="1537" max="1537" width="9.140625" style="946"/>
    <col min="1538" max="1538" width="40.28515625" style="946" bestFit="1" customWidth="1"/>
    <col min="1539" max="1539" width="10" style="946" customWidth="1"/>
    <col min="1540" max="1540" width="10.140625" style="946" customWidth="1"/>
    <col min="1541" max="1541" width="12.28515625" style="946" customWidth="1"/>
    <col min="1542" max="1542" width="15.7109375" style="946" customWidth="1"/>
    <col min="1543" max="1543" width="12.85546875" style="946" customWidth="1"/>
    <col min="1544" max="1544" width="12.7109375" style="946" customWidth="1"/>
    <col min="1545" max="1545" width="12.85546875" style="946" customWidth="1"/>
    <col min="1546" max="1546" width="14.42578125" style="946" customWidth="1"/>
    <col min="1547" max="1791" width="9.140625" style="946"/>
    <col min="1792" max="1792" width="2.7109375" style="946" customWidth="1"/>
    <col min="1793" max="1793" width="9.140625" style="946"/>
    <col min="1794" max="1794" width="40.28515625" style="946" bestFit="1" customWidth="1"/>
    <col min="1795" max="1795" width="10" style="946" customWidth="1"/>
    <col min="1796" max="1796" width="10.140625" style="946" customWidth="1"/>
    <col min="1797" max="1797" width="12.28515625" style="946" customWidth="1"/>
    <col min="1798" max="1798" width="15.7109375" style="946" customWidth="1"/>
    <col min="1799" max="1799" width="12.85546875" style="946" customWidth="1"/>
    <col min="1800" max="1800" width="12.7109375" style="946" customWidth="1"/>
    <col min="1801" max="1801" width="12.85546875" style="946" customWidth="1"/>
    <col min="1802" max="1802" width="14.42578125" style="946" customWidth="1"/>
    <col min="1803" max="2047" width="9.140625" style="946"/>
    <col min="2048" max="2048" width="2.7109375" style="946" customWidth="1"/>
    <col min="2049" max="2049" width="9.140625" style="946"/>
    <col min="2050" max="2050" width="40.28515625" style="946" bestFit="1" customWidth="1"/>
    <col min="2051" max="2051" width="10" style="946" customWidth="1"/>
    <col min="2052" max="2052" width="10.140625" style="946" customWidth="1"/>
    <col min="2053" max="2053" width="12.28515625" style="946" customWidth="1"/>
    <col min="2054" max="2054" width="15.7109375" style="946" customWidth="1"/>
    <col min="2055" max="2055" width="12.85546875" style="946" customWidth="1"/>
    <col min="2056" max="2056" width="12.7109375" style="946" customWidth="1"/>
    <col min="2057" max="2057" width="12.85546875" style="946" customWidth="1"/>
    <col min="2058" max="2058" width="14.42578125" style="946" customWidth="1"/>
    <col min="2059" max="2303" width="9.140625" style="946"/>
    <col min="2304" max="2304" width="2.7109375" style="946" customWidth="1"/>
    <col min="2305" max="2305" width="9.140625" style="946"/>
    <col min="2306" max="2306" width="40.28515625" style="946" bestFit="1" customWidth="1"/>
    <col min="2307" max="2307" width="10" style="946" customWidth="1"/>
    <col min="2308" max="2308" width="10.140625" style="946" customWidth="1"/>
    <col min="2309" max="2309" width="12.28515625" style="946" customWidth="1"/>
    <col min="2310" max="2310" width="15.7109375" style="946" customWidth="1"/>
    <col min="2311" max="2311" width="12.85546875" style="946" customWidth="1"/>
    <col min="2312" max="2312" width="12.7109375" style="946" customWidth="1"/>
    <col min="2313" max="2313" width="12.85546875" style="946" customWidth="1"/>
    <col min="2314" max="2314" width="14.42578125" style="946" customWidth="1"/>
    <col min="2315" max="2559" width="9.140625" style="946"/>
    <col min="2560" max="2560" width="2.7109375" style="946" customWidth="1"/>
    <col min="2561" max="2561" width="9.140625" style="946"/>
    <col min="2562" max="2562" width="40.28515625" style="946" bestFit="1" customWidth="1"/>
    <col min="2563" max="2563" width="10" style="946" customWidth="1"/>
    <col min="2564" max="2564" width="10.140625" style="946" customWidth="1"/>
    <col min="2565" max="2565" width="12.28515625" style="946" customWidth="1"/>
    <col min="2566" max="2566" width="15.7109375" style="946" customWidth="1"/>
    <col min="2567" max="2567" width="12.85546875" style="946" customWidth="1"/>
    <col min="2568" max="2568" width="12.7109375" style="946" customWidth="1"/>
    <col min="2569" max="2569" width="12.85546875" style="946" customWidth="1"/>
    <col min="2570" max="2570" width="14.42578125" style="946" customWidth="1"/>
    <col min="2571" max="2815" width="9.140625" style="946"/>
    <col min="2816" max="2816" width="2.7109375" style="946" customWidth="1"/>
    <col min="2817" max="2817" width="9.140625" style="946"/>
    <col min="2818" max="2818" width="40.28515625" style="946" bestFit="1" customWidth="1"/>
    <col min="2819" max="2819" width="10" style="946" customWidth="1"/>
    <col min="2820" max="2820" width="10.140625" style="946" customWidth="1"/>
    <col min="2821" max="2821" width="12.28515625" style="946" customWidth="1"/>
    <col min="2822" max="2822" width="15.7109375" style="946" customWidth="1"/>
    <col min="2823" max="2823" width="12.85546875" style="946" customWidth="1"/>
    <col min="2824" max="2824" width="12.7109375" style="946" customWidth="1"/>
    <col min="2825" max="2825" width="12.85546875" style="946" customWidth="1"/>
    <col min="2826" max="2826" width="14.42578125" style="946" customWidth="1"/>
    <col min="2827" max="3071" width="9.140625" style="946"/>
    <col min="3072" max="3072" width="2.7109375" style="946" customWidth="1"/>
    <col min="3073" max="3073" width="9.140625" style="946"/>
    <col min="3074" max="3074" width="40.28515625" style="946" bestFit="1" customWidth="1"/>
    <col min="3075" max="3075" width="10" style="946" customWidth="1"/>
    <col min="3076" max="3076" width="10.140625" style="946" customWidth="1"/>
    <col min="3077" max="3077" width="12.28515625" style="946" customWidth="1"/>
    <col min="3078" max="3078" width="15.7109375" style="946" customWidth="1"/>
    <col min="3079" max="3079" width="12.85546875" style="946" customWidth="1"/>
    <col min="3080" max="3080" width="12.7109375" style="946" customWidth="1"/>
    <col min="3081" max="3081" width="12.85546875" style="946" customWidth="1"/>
    <col min="3082" max="3082" width="14.42578125" style="946" customWidth="1"/>
    <col min="3083" max="3327" width="9.140625" style="946"/>
    <col min="3328" max="3328" width="2.7109375" style="946" customWidth="1"/>
    <col min="3329" max="3329" width="9.140625" style="946"/>
    <col min="3330" max="3330" width="40.28515625" style="946" bestFit="1" customWidth="1"/>
    <col min="3331" max="3331" width="10" style="946" customWidth="1"/>
    <col min="3332" max="3332" width="10.140625" style="946" customWidth="1"/>
    <col min="3333" max="3333" width="12.28515625" style="946" customWidth="1"/>
    <col min="3334" max="3334" width="15.7109375" style="946" customWidth="1"/>
    <col min="3335" max="3335" width="12.85546875" style="946" customWidth="1"/>
    <col min="3336" max="3336" width="12.7109375" style="946" customWidth="1"/>
    <col min="3337" max="3337" width="12.85546875" style="946" customWidth="1"/>
    <col min="3338" max="3338" width="14.42578125" style="946" customWidth="1"/>
    <col min="3339" max="3583" width="9.140625" style="946"/>
    <col min="3584" max="3584" width="2.7109375" style="946" customWidth="1"/>
    <col min="3585" max="3585" width="9.140625" style="946"/>
    <col min="3586" max="3586" width="40.28515625" style="946" bestFit="1" customWidth="1"/>
    <col min="3587" max="3587" width="10" style="946" customWidth="1"/>
    <col min="3588" max="3588" width="10.140625" style="946" customWidth="1"/>
    <col min="3589" max="3589" width="12.28515625" style="946" customWidth="1"/>
    <col min="3590" max="3590" width="15.7109375" style="946" customWidth="1"/>
    <col min="3591" max="3591" width="12.85546875" style="946" customWidth="1"/>
    <col min="3592" max="3592" width="12.7109375" style="946" customWidth="1"/>
    <col min="3593" max="3593" width="12.85546875" style="946" customWidth="1"/>
    <col min="3594" max="3594" width="14.42578125" style="946" customWidth="1"/>
    <col min="3595" max="3839" width="9.140625" style="946"/>
    <col min="3840" max="3840" width="2.7109375" style="946" customWidth="1"/>
    <col min="3841" max="3841" width="9.140625" style="946"/>
    <col min="3842" max="3842" width="40.28515625" style="946" bestFit="1" customWidth="1"/>
    <col min="3843" max="3843" width="10" style="946" customWidth="1"/>
    <col min="3844" max="3844" width="10.140625" style="946" customWidth="1"/>
    <col min="3845" max="3845" width="12.28515625" style="946" customWidth="1"/>
    <col min="3846" max="3846" width="15.7109375" style="946" customWidth="1"/>
    <col min="3847" max="3847" width="12.85546875" style="946" customWidth="1"/>
    <col min="3848" max="3848" width="12.7109375" style="946" customWidth="1"/>
    <col min="3849" max="3849" width="12.85546875" style="946" customWidth="1"/>
    <col min="3850" max="3850" width="14.42578125" style="946" customWidth="1"/>
    <col min="3851" max="4095" width="9.140625" style="946"/>
    <col min="4096" max="4096" width="2.7109375" style="946" customWidth="1"/>
    <col min="4097" max="4097" width="9.140625" style="946"/>
    <col min="4098" max="4098" width="40.28515625" style="946" bestFit="1" customWidth="1"/>
    <col min="4099" max="4099" width="10" style="946" customWidth="1"/>
    <col min="4100" max="4100" width="10.140625" style="946" customWidth="1"/>
    <col min="4101" max="4101" width="12.28515625" style="946" customWidth="1"/>
    <col min="4102" max="4102" width="15.7109375" style="946" customWidth="1"/>
    <col min="4103" max="4103" width="12.85546875" style="946" customWidth="1"/>
    <col min="4104" max="4104" width="12.7109375" style="946" customWidth="1"/>
    <col min="4105" max="4105" width="12.85546875" style="946" customWidth="1"/>
    <col min="4106" max="4106" width="14.42578125" style="946" customWidth="1"/>
    <col min="4107" max="4351" width="9.140625" style="946"/>
    <col min="4352" max="4352" width="2.7109375" style="946" customWidth="1"/>
    <col min="4353" max="4353" width="9.140625" style="946"/>
    <col min="4354" max="4354" width="40.28515625" style="946" bestFit="1" customWidth="1"/>
    <col min="4355" max="4355" width="10" style="946" customWidth="1"/>
    <col min="4356" max="4356" width="10.140625" style="946" customWidth="1"/>
    <col min="4357" max="4357" width="12.28515625" style="946" customWidth="1"/>
    <col min="4358" max="4358" width="15.7109375" style="946" customWidth="1"/>
    <col min="4359" max="4359" width="12.85546875" style="946" customWidth="1"/>
    <col min="4360" max="4360" width="12.7109375" style="946" customWidth="1"/>
    <col min="4361" max="4361" width="12.85546875" style="946" customWidth="1"/>
    <col min="4362" max="4362" width="14.42578125" style="946" customWidth="1"/>
    <col min="4363" max="4607" width="9.140625" style="946"/>
    <col min="4608" max="4608" width="2.7109375" style="946" customWidth="1"/>
    <col min="4609" max="4609" width="9.140625" style="946"/>
    <col min="4610" max="4610" width="40.28515625" style="946" bestFit="1" customWidth="1"/>
    <col min="4611" max="4611" width="10" style="946" customWidth="1"/>
    <col min="4612" max="4612" width="10.140625" style="946" customWidth="1"/>
    <col min="4613" max="4613" width="12.28515625" style="946" customWidth="1"/>
    <col min="4614" max="4614" width="15.7109375" style="946" customWidth="1"/>
    <col min="4615" max="4615" width="12.85546875" style="946" customWidth="1"/>
    <col min="4616" max="4616" width="12.7109375" style="946" customWidth="1"/>
    <col min="4617" max="4617" width="12.85546875" style="946" customWidth="1"/>
    <col min="4618" max="4618" width="14.42578125" style="946" customWidth="1"/>
    <col min="4619" max="4863" width="9.140625" style="946"/>
    <col min="4864" max="4864" width="2.7109375" style="946" customWidth="1"/>
    <col min="4865" max="4865" width="9.140625" style="946"/>
    <col min="4866" max="4866" width="40.28515625" style="946" bestFit="1" customWidth="1"/>
    <col min="4867" max="4867" width="10" style="946" customWidth="1"/>
    <col min="4868" max="4868" width="10.140625" style="946" customWidth="1"/>
    <col min="4869" max="4869" width="12.28515625" style="946" customWidth="1"/>
    <col min="4870" max="4870" width="15.7109375" style="946" customWidth="1"/>
    <col min="4871" max="4871" width="12.85546875" style="946" customWidth="1"/>
    <col min="4872" max="4872" width="12.7109375" style="946" customWidth="1"/>
    <col min="4873" max="4873" width="12.85546875" style="946" customWidth="1"/>
    <col min="4874" max="4874" width="14.42578125" style="946" customWidth="1"/>
    <col min="4875" max="5119" width="9.140625" style="946"/>
    <col min="5120" max="5120" width="2.7109375" style="946" customWidth="1"/>
    <col min="5121" max="5121" width="9.140625" style="946"/>
    <col min="5122" max="5122" width="40.28515625" style="946" bestFit="1" customWidth="1"/>
    <col min="5123" max="5123" width="10" style="946" customWidth="1"/>
    <col min="5124" max="5124" width="10.140625" style="946" customWidth="1"/>
    <col min="5125" max="5125" width="12.28515625" style="946" customWidth="1"/>
    <col min="5126" max="5126" width="15.7109375" style="946" customWidth="1"/>
    <col min="5127" max="5127" width="12.85546875" style="946" customWidth="1"/>
    <col min="5128" max="5128" width="12.7109375" style="946" customWidth="1"/>
    <col min="5129" max="5129" width="12.85546875" style="946" customWidth="1"/>
    <col min="5130" max="5130" width="14.42578125" style="946" customWidth="1"/>
    <col min="5131" max="5375" width="9.140625" style="946"/>
    <col min="5376" max="5376" width="2.7109375" style="946" customWidth="1"/>
    <col min="5377" max="5377" width="9.140625" style="946"/>
    <col min="5378" max="5378" width="40.28515625" style="946" bestFit="1" customWidth="1"/>
    <col min="5379" max="5379" width="10" style="946" customWidth="1"/>
    <col min="5380" max="5380" width="10.140625" style="946" customWidth="1"/>
    <col min="5381" max="5381" width="12.28515625" style="946" customWidth="1"/>
    <col min="5382" max="5382" width="15.7109375" style="946" customWidth="1"/>
    <col min="5383" max="5383" width="12.85546875" style="946" customWidth="1"/>
    <col min="5384" max="5384" width="12.7109375" style="946" customWidth="1"/>
    <col min="5385" max="5385" width="12.85546875" style="946" customWidth="1"/>
    <col min="5386" max="5386" width="14.42578125" style="946" customWidth="1"/>
    <col min="5387" max="5631" width="9.140625" style="946"/>
    <col min="5632" max="5632" width="2.7109375" style="946" customWidth="1"/>
    <col min="5633" max="5633" width="9.140625" style="946"/>
    <col min="5634" max="5634" width="40.28515625" style="946" bestFit="1" customWidth="1"/>
    <col min="5635" max="5635" width="10" style="946" customWidth="1"/>
    <col min="5636" max="5636" width="10.140625" style="946" customWidth="1"/>
    <col min="5637" max="5637" width="12.28515625" style="946" customWidth="1"/>
    <col min="5638" max="5638" width="15.7109375" style="946" customWidth="1"/>
    <col min="5639" max="5639" width="12.85546875" style="946" customWidth="1"/>
    <col min="5640" max="5640" width="12.7109375" style="946" customWidth="1"/>
    <col min="5641" max="5641" width="12.85546875" style="946" customWidth="1"/>
    <col min="5642" max="5642" width="14.42578125" style="946" customWidth="1"/>
    <col min="5643" max="5887" width="9.140625" style="946"/>
    <col min="5888" max="5888" width="2.7109375" style="946" customWidth="1"/>
    <col min="5889" max="5889" width="9.140625" style="946"/>
    <col min="5890" max="5890" width="40.28515625" style="946" bestFit="1" customWidth="1"/>
    <col min="5891" max="5891" width="10" style="946" customWidth="1"/>
    <col min="5892" max="5892" width="10.140625" style="946" customWidth="1"/>
    <col min="5893" max="5893" width="12.28515625" style="946" customWidth="1"/>
    <col min="5894" max="5894" width="15.7109375" style="946" customWidth="1"/>
    <col min="5895" max="5895" width="12.85546875" style="946" customWidth="1"/>
    <col min="5896" max="5896" width="12.7109375" style="946" customWidth="1"/>
    <col min="5897" max="5897" width="12.85546875" style="946" customWidth="1"/>
    <col min="5898" max="5898" width="14.42578125" style="946" customWidth="1"/>
    <col min="5899" max="6143" width="9.140625" style="946"/>
    <col min="6144" max="6144" width="2.7109375" style="946" customWidth="1"/>
    <col min="6145" max="6145" width="9.140625" style="946"/>
    <col min="6146" max="6146" width="40.28515625" style="946" bestFit="1" customWidth="1"/>
    <col min="6147" max="6147" width="10" style="946" customWidth="1"/>
    <col min="6148" max="6148" width="10.140625" style="946" customWidth="1"/>
    <col min="6149" max="6149" width="12.28515625" style="946" customWidth="1"/>
    <col min="6150" max="6150" width="15.7109375" style="946" customWidth="1"/>
    <col min="6151" max="6151" width="12.85546875" style="946" customWidth="1"/>
    <col min="6152" max="6152" width="12.7109375" style="946" customWidth="1"/>
    <col min="6153" max="6153" width="12.85546875" style="946" customWidth="1"/>
    <col min="6154" max="6154" width="14.42578125" style="946" customWidth="1"/>
    <col min="6155" max="6399" width="9.140625" style="946"/>
    <col min="6400" max="6400" width="2.7109375" style="946" customWidth="1"/>
    <col min="6401" max="6401" width="9.140625" style="946"/>
    <col min="6402" max="6402" width="40.28515625" style="946" bestFit="1" customWidth="1"/>
    <col min="6403" max="6403" width="10" style="946" customWidth="1"/>
    <col min="6404" max="6404" width="10.140625" style="946" customWidth="1"/>
    <col min="6405" max="6405" width="12.28515625" style="946" customWidth="1"/>
    <col min="6406" max="6406" width="15.7109375" style="946" customWidth="1"/>
    <col min="6407" max="6407" width="12.85546875" style="946" customWidth="1"/>
    <col min="6408" max="6408" width="12.7109375" style="946" customWidth="1"/>
    <col min="6409" max="6409" width="12.85546875" style="946" customWidth="1"/>
    <col min="6410" max="6410" width="14.42578125" style="946" customWidth="1"/>
    <col min="6411" max="6655" width="9.140625" style="946"/>
    <col min="6656" max="6656" width="2.7109375" style="946" customWidth="1"/>
    <col min="6657" max="6657" width="9.140625" style="946"/>
    <col min="6658" max="6658" width="40.28515625" style="946" bestFit="1" customWidth="1"/>
    <col min="6659" max="6659" width="10" style="946" customWidth="1"/>
    <col min="6660" max="6660" width="10.140625" style="946" customWidth="1"/>
    <col min="6661" max="6661" width="12.28515625" style="946" customWidth="1"/>
    <col min="6662" max="6662" width="15.7109375" style="946" customWidth="1"/>
    <col min="6663" max="6663" width="12.85546875" style="946" customWidth="1"/>
    <col min="6664" max="6664" width="12.7109375" style="946" customWidth="1"/>
    <col min="6665" max="6665" width="12.85546875" style="946" customWidth="1"/>
    <col min="6666" max="6666" width="14.42578125" style="946" customWidth="1"/>
    <col min="6667" max="6911" width="9.140625" style="946"/>
    <col min="6912" max="6912" width="2.7109375" style="946" customWidth="1"/>
    <col min="6913" max="6913" width="9.140625" style="946"/>
    <col min="6914" max="6914" width="40.28515625" style="946" bestFit="1" customWidth="1"/>
    <col min="6915" max="6915" width="10" style="946" customWidth="1"/>
    <col min="6916" max="6916" width="10.140625" style="946" customWidth="1"/>
    <col min="6917" max="6917" width="12.28515625" style="946" customWidth="1"/>
    <col min="6918" max="6918" width="15.7109375" style="946" customWidth="1"/>
    <col min="6919" max="6919" width="12.85546875" style="946" customWidth="1"/>
    <col min="6920" max="6920" width="12.7109375" style="946" customWidth="1"/>
    <col min="6921" max="6921" width="12.85546875" style="946" customWidth="1"/>
    <col min="6922" max="6922" width="14.42578125" style="946" customWidth="1"/>
    <col min="6923" max="7167" width="9.140625" style="946"/>
    <col min="7168" max="7168" width="2.7109375" style="946" customWidth="1"/>
    <col min="7169" max="7169" width="9.140625" style="946"/>
    <col min="7170" max="7170" width="40.28515625" style="946" bestFit="1" customWidth="1"/>
    <col min="7171" max="7171" width="10" style="946" customWidth="1"/>
    <col min="7172" max="7172" width="10.140625" style="946" customWidth="1"/>
    <col min="7173" max="7173" width="12.28515625" style="946" customWidth="1"/>
    <col min="7174" max="7174" width="15.7109375" style="946" customWidth="1"/>
    <col min="7175" max="7175" width="12.85546875" style="946" customWidth="1"/>
    <col min="7176" max="7176" width="12.7109375" style="946" customWidth="1"/>
    <col min="7177" max="7177" width="12.85546875" style="946" customWidth="1"/>
    <col min="7178" max="7178" width="14.42578125" style="946" customWidth="1"/>
    <col min="7179" max="7423" width="9.140625" style="946"/>
    <col min="7424" max="7424" width="2.7109375" style="946" customWidth="1"/>
    <col min="7425" max="7425" width="9.140625" style="946"/>
    <col min="7426" max="7426" width="40.28515625" style="946" bestFit="1" customWidth="1"/>
    <col min="7427" max="7427" width="10" style="946" customWidth="1"/>
    <col min="7428" max="7428" width="10.140625" style="946" customWidth="1"/>
    <col min="7429" max="7429" width="12.28515625" style="946" customWidth="1"/>
    <col min="7430" max="7430" width="15.7109375" style="946" customWidth="1"/>
    <col min="7431" max="7431" width="12.85546875" style="946" customWidth="1"/>
    <col min="7432" max="7432" width="12.7109375" style="946" customWidth="1"/>
    <col min="7433" max="7433" width="12.85546875" style="946" customWidth="1"/>
    <col min="7434" max="7434" width="14.42578125" style="946" customWidth="1"/>
    <col min="7435" max="7679" width="9.140625" style="946"/>
    <col min="7680" max="7680" width="2.7109375" style="946" customWidth="1"/>
    <col min="7681" max="7681" width="9.140625" style="946"/>
    <col min="7682" max="7682" width="40.28515625" style="946" bestFit="1" customWidth="1"/>
    <col min="7683" max="7683" width="10" style="946" customWidth="1"/>
    <col min="7684" max="7684" width="10.140625" style="946" customWidth="1"/>
    <col min="7685" max="7685" width="12.28515625" style="946" customWidth="1"/>
    <col min="7686" max="7686" width="15.7109375" style="946" customWidth="1"/>
    <col min="7687" max="7687" width="12.85546875" style="946" customWidth="1"/>
    <col min="7688" max="7688" width="12.7109375" style="946" customWidth="1"/>
    <col min="7689" max="7689" width="12.85546875" style="946" customWidth="1"/>
    <col min="7690" max="7690" width="14.42578125" style="946" customWidth="1"/>
    <col min="7691" max="7935" width="9.140625" style="946"/>
    <col min="7936" max="7936" width="2.7109375" style="946" customWidth="1"/>
    <col min="7937" max="7937" width="9.140625" style="946"/>
    <col min="7938" max="7938" width="40.28515625" style="946" bestFit="1" customWidth="1"/>
    <col min="7939" max="7939" width="10" style="946" customWidth="1"/>
    <col min="7940" max="7940" width="10.140625" style="946" customWidth="1"/>
    <col min="7941" max="7941" width="12.28515625" style="946" customWidth="1"/>
    <col min="7942" max="7942" width="15.7109375" style="946" customWidth="1"/>
    <col min="7943" max="7943" width="12.85546875" style="946" customWidth="1"/>
    <col min="7944" max="7944" width="12.7109375" style="946" customWidth="1"/>
    <col min="7945" max="7945" width="12.85546875" style="946" customWidth="1"/>
    <col min="7946" max="7946" width="14.42578125" style="946" customWidth="1"/>
    <col min="7947" max="8191" width="9.140625" style="946"/>
    <col min="8192" max="8192" width="2.7109375" style="946" customWidth="1"/>
    <col min="8193" max="8193" width="9.140625" style="946"/>
    <col min="8194" max="8194" width="40.28515625" style="946" bestFit="1" customWidth="1"/>
    <col min="8195" max="8195" width="10" style="946" customWidth="1"/>
    <col min="8196" max="8196" width="10.140625" style="946" customWidth="1"/>
    <col min="8197" max="8197" width="12.28515625" style="946" customWidth="1"/>
    <col min="8198" max="8198" width="15.7109375" style="946" customWidth="1"/>
    <col min="8199" max="8199" width="12.85546875" style="946" customWidth="1"/>
    <col min="8200" max="8200" width="12.7109375" style="946" customWidth="1"/>
    <col min="8201" max="8201" width="12.85546875" style="946" customWidth="1"/>
    <col min="8202" max="8202" width="14.42578125" style="946" customWidth="1"/>
    <col min="8203" max="8447" width="9.140625" style="946"/>
    <col min="8448" max="8448" width="2.7109375" style="946" customWidth="1"/>
    <col min="8449" max="8449" width="9.140625" style="946"/>
    <col min="8450" max="8450" width="40.28515625" style="946" bestFit="1" customWidth="1"/>
    <col min="8451" max="8451" width="10" style="946" customWidth="1"/>
    <col min="8452" max="8452" width="10.140625" style="946" customWidth="1"/>
    <col min="8453" max="8453" width="12.28515625" style="946" customWidth="1"/>
    <col min="8454" max="8454" width="15.7109375" style="946" customWidth="1"/>
    <col min="8455" max="8455" width="12.85546875" style="946" customWidth="1"/>
    <col min="8456" max="8456" width="12.7109375" style="946" customWidth="1"/>
    <col min="8457" max="8457" width="12.85546875" style="946" customWidth="1"/>
    <col min="8458" max="8458" width="14.42578125" style="946" customWidth="1"/>
    <col min="8459" max="8703" width="9.140625" style="946"/>
    <col min="8704" max="8704" width="2.7109375" style="946" customWidth="1"/>
    <col min="8705" max="8705" width="9.140625" style="946"/>
    <col min="8706" max="8706" width="40.28515625" style="946" bestFit="1" customWidth="1"/>
    <col min="8707" max="8707" width="10" style="946" customWidth="1"/>
    <col min="8708" max="8708" width="10.140625" style="946" customWidth="1"/>
    <col min="8709" max="8709" width="12.28515625" style="946" customWidth="1"/>
    <col min="8710" max="8710" width="15.7109375" style="946" customWidth="1"/>
    <col min="8711" max="8711" width="12.85546875" style="946" customWidth="1"/>
    <col min="8712" max="8712" width="12.7109375" style="946" customWidth="1"/>
    <col min="8713" max="8713" width="12.85546875" style="946" customWidth="1"/>
    <col min="8714" max="8714" width="14.42578125" style="946" customWidth="1"/>
    <col min="8715" max="8959" width="9.140625" style="946"/>
    <col min="8960" max="8960" width="2.7109375" style="946" customWidth="1"/>
    <col min="8961" max="8961" width="9.140625" style="946"/>
    <col min="8962" max="8962" width="40.28515625" style="946" bestFit="1" customWidth="1"/>
    <col min="8963" max="8963" width="10" style="946" customWidth="1"/>
    <col min="8964" max="8964" width="10.140625" style="946" customWidth="1"/>
    <col min="8965" max="8965" width="12.28515625" style="946" customWidth="1"/>
    <col min="8966" max="8966" width="15.7109375" style="946" customWidth="1"/>
    <col min="8967" max="8967" width="12.85546875" style="946" customWidth="1"/>
    <col min="8968" max="8968" width="12.7109375" style="946" customWidth="1"/>
    <col min="8969" max="8969" width="12.85546875" style="946" customWidth="1"/>
    <col min="8970" max="8970" width="14.42578125" style="946" customWidth="1"/>
    <col min="8971" max="9215" width="9.140625" style="946"/>
    <col min="9216" max="9216" width="2.7109375" style="946" customWidth="1"/>
    <col min="9217" max="9217" width="9.140625" style="946"/>
    <col min="9218" max="9218" width="40.28515625" style="946" bestFit="1" customWidth="1"/>
    <col min="9219" max="9219" width="10" style="946" customWidth="1"/>
    <col min="9220" max="9220" width="10.140625" style="946" customWidth="1"/>
    <col min="9221" max="9221" width="12.28515625" style="946" customWidth="1"/>
    <col min="9222" max="9222" width="15.7109375" style="946" customWidth="1"/>
    <col min="9223" max="9223" width="12.85546875" style="946" customWidth="1"/>
    <col min="9224" max="9224" width="12.7109375" style="946" customWidth="1"/>
    <col min="9225" max="9225" width="12.85546875" style="946" customWidth="1"/>
    <col min="9226" max="9226" width="14.42578125" style="946" customWidth="1"/>
    <col min="9227" max="9471" width="9.140625" style="946"/>
    <col min="9472" max="9472" width="2.7109375" style="946" customWidth="1"/>
    <col min="9473" max="9473" width="9.140625" style="946"/>
    <col min="9474" max="9474" width="40.28515625" style="946" bestFit="1" customWidth="1"/>
    <col min="9475" max="9475" width="10" style="946" customWidth="1"/>
    <col min="9476" max="9476" width="10.140625" style="946" customWidth="1"/>
    <col min="9477" max="9477" width="12.28515625" style="946" customWidth="1"/>
    <col min="9478" max="9478" width="15.7109375" style="946" customWidth="1"/>
    <col min="9479" max="9479" width="12.85546875" style="946" customWidth="1"/>
    <col min="9480" max="9480" width="12.7109375" style="946" customWidth="1"/>
    <col min="9481" max="9481" width="12.85546875" style="946" customWidth="1"/>
    <col min="9482" max="9482" width="14.42578125" style="946" customWidth="1"/>
    <col min="9483" max="9727" width="9.140625" style="946"/>
    <col min="9728" max="9728" width="2.7109375" style="946" customWidth="1"/>
    <col min="9729" max="9729" width="9.140625" style="946"/>
    <col min="9730" max="9730" width="40.28515625" style="946" bestFit="1" customWidth="1"/>
    <col min="9731" max="9731" width="10" style="946" customWidth="1"/>
    <col min="9732" max="9732" width="10.140625" style="946" customWidth="1"/>
    <col min="9733" max="9733" width="12.28515625" style="946" customWidth="1"/>
    <col min="9734" max="9734" width="15.7109375" style="946" customWidth="1"/>
    <col min="9735" max="9735" width="12.85546875" style="946" customWidth="1"/>
    <col min="9736" max="9736" width="12.7109375" style="946" customWidth="1"/>
    <col min="9737" max="9737" width="12.85546875" style="946" customWidth="1"/>
    <col min="9738" max="9738" width="14.42578125" style="946" customWidth="1"/>
    <col min="9739" max="9983" width="9.140625" style="946"/>
    <col min="9984" max="9984" width="2.7109375" style="946" customWidth="1"/>
    <col min="9985" max="9985" width="9.140625" style="946"/>
    <col min="9986" max="9986" width="40.28515625" style="946" bestFit="1" customWidth="1"/>
    <col min="9987" max="9987" width="10" style="946" customWidth="1"/>
    <col min="9988" max="9988" width="10.140625" style="946" customWidth="1"/>
    <col min="9989" max="9989" width="12.28515625" style="946" customWidth="1"/>
    <col min="9990" max="9990" width="15.7109375" style="946" customWidth="1"/>
    <col min="9991" max="9991" width="12.85546875" style="946" customWidth="1"/>
    <col min="9992" max="9992" width="12.7109375" style="946" customWidth="1"/>
    <col min="9993" max="9993" width="12.85546875" style="946" customWidth="1"/>
    <col min="9994" max="9994" width="14.42578125" style="946" customWidth="1"/>
    <col min="9995" max="10239" width="9.140625" style="946"/>
    <col min="10240" max="10240" width="2.7109375" style="946" customWidth="1"/>
    <col min="10241" max="10241" width="9.140625" style="946"/>
    <col min="10242" max="10242" width="40.28515625" style="946" bestFit="1" customWidth="1"/>
    <col min="10243" max="10243" width="10" style="946" customWidth="1"/>
    <col min="10244" max="10244" width="10.140625" style="946" customWidth="1"/>
    <col min="10245" max="10245" width="12.28515625" style="946" customWidth="1"/>
    <col min="10246" max="10246" width="15.7109375" style="946" customWidth="1"/>
    <col min="10247" max="10247" width="12.85546875" style="946" customWidth="1"/>
    <col min="10248" max="10248" width="12.7109375" style="946" customWidth="1"/>
    <col min="10249" max="10249" width="12.85546875" style="946" customWidth="1"/>
    <col min="10250" max="10250" width="14.42578125" style="946" customWidth="1"/>
    <col min="10251" max="10495" width="9.140625" style="946"/>
    <col min="10496" max="10496" width="2.7109375" style="946" customWidth="1"/>
    <col min="10497" max="10497" width="9.140625" style="946"/>
    <col min="10498" max="10498" width="40.28515625" style="946" bestFit="1" customWidth="1"/>
    <col min="10499" max="10499" width="10" style="946" customWidth="1"/>
    <col min="10500" max="10500" width="10.140625" style="946" customWidth="1"/>
    <col min="10501" max="10501" width="12.28515625" style="946" customWidth="1"/>
    <col min="10502" max="10502" width="15.7109375" style="946" customWidth="1"/>
    <col min="10503" max="10503" width="12.85546875" style="946" customWidth="1"/>
    <col min="10504" max="10504" width="12.7109375" style="946" customWidth="1"/>
    <col min="10505" max="10505" width="12.85546875" style="946" customWidth="1"/>
    <col min="10506" max="10506" width="14.42578125" style="946" customWidth="1"/>
    <col min="10507" max="10751" width="9.140625" style="946"/>
    <col min="10752" max="10752" width="2.7109375" style="946" customWidth="1"/>
    <col min="10753" max="10753" width="9.140625" style="946"/>
    <col min="10754" max="10754" width="40.28515625" style="946" bestFit="1" customWidth="1"/>
    <col min="10755" max="10755" width="10" style="946" customWidth="1"/>
    <col min="10756" max="10756" width="10.140625" style="946" customWidth="1"/>
    <col min="10757" max="10757" width="12.28515625" style="946" customWidth="1"/>
    <col min="10758" max="10758" width="15.7109375" style="946" customWidth="1"/>
    <col min="10759" max="10759" width="12.85546875" style="946" customWidth="1"/>
    <col min="10760" max="10760" width="12.7109375" style="946" customWidth="1"/>
    <col min="10761" max="10761" width="12.85546875" style="946" customWidth="1"/>
    <col min="10762" max="10762" width="14.42578125" style="946" customWidth="1"/>
    <col min="10763" max="11007" width="9.140625" style="946"/>
    <col min="11008" max="11008" width="2.7109375" style="946" customWidth="1"/>
    <col min="11009" max="11009" width="9.140625" style="946"/>
    <col min="11010" max="11010" width="40.28515625" style="946" bestFit="1" customWidth="1"/>
    <col min="11011" max="11011" width="10" style="946" customWidth="1"/>
    <col min="11012" max="11012" width="10.140625" style="946" customWidth="1"/>
    <col min="11013" max="11013" width="12.28515625" style="946" customWidth="1"/>
    <col min="11014" max="11014" width="15.7109375" style="946" customWidth="1"/>
    <col min="11015" max="11015" width="12.85546875" style="946" customWidth="1"/>
    <col min="11016" max="11016" width="12.7109375" style="946" customWidth="1"/>
    <col min="11017" max="11017" width="12.85546875" style="946" customWidth="1"/>
    <col min="11018" max="11018" width="14.42578125" style="946" customWidth="1"/>
    <col min="11019" max="11263" width="9.140625" style="946"/>
    <col min="11264" max="11264" width="2.7109375" style="946" customWidth="1"/>
    <col min="11265" max="11265" width="9.140625" style="946"/>
    <col min="11266" max="11266" width="40.28515625" style="946" bestFit="1" customWidth="1"/>
    <col min="11267" max="11267" width="10" style="946" customWidth="1"/>
    <col min="11268" max="11268" width="10.140625" style="946" customWidth="1"/>
    <col min="11269" max="11269" width="12.28515625" style="946" customWidth="1"/>
    <col min="11270" max="11270" width="15.7109375" style="946" customWidth="1"/>
    <col min="11271" max="11271" width="12.85546875" style="946" customWidth="1"/>
    <col min="11272" max="11272" width="12.7109375" style="946" customWidth="1"/>
    <col min="11273" max="11273" width="12.85546875" style="946" customWidth="1"/>
    <col min="11274" max="11274" width="14.42578125" style="946" customWidth="1"/>
    <col min="11275" max="11519" width="9.140625" style="946"/>
    <col min="11520" max="11520" width="2.7109375" style="946" customWidth="1"/>
    <col min="11521" max="11521" width="9.140625" style="946"/>
    <col min="11522" max="11522" width="40.28515625" style="946" bestFit="1" customWidth="1"/>
    <col min="11523" max="11523" width="10" style="946" customWidth="1"/>
    <col min="11524" max="11524" width="10.140625" style="946" customWidth="1"/>
    <col min="11525" max="11525" width="12.28515625" style="946" customWidth="1"/>
    <col min="11526" max="11526" width="15.7109375" style="946" customWidth="1"/>
    <col min="11527" max="11527" width="12.85546875" style="946" customWidth="1"/>
    <col min="11528" max="11528" width="12.7109375" style="946" customWidth="1"/>
    <col min="11529" max="11529" width="12.85546875" style="946" customWidth="1"/>
    <col min="11530" max="11530" width="14.42578125" style="946" customWidth="1"/>
    <col min="11531" max="11775" width="9.140625" style="946"/>
    <col min="11776" max="11776" width="2.7109375" style="946" customWidth="1"/>
    <col min="11777" max="11777" width="9.140625" style="946"/>
    <col min="11778" max="11778" width="40.28515625" style="946" bestFit="1" customWidth="1"/>
    <col min="11779" max="11779" width="10" style="946" customWidth="1"/>
    <col min="11780" max="11780" width="10.140625" style="946" customWidth="1"/>
    <col min="11781" max="11781" width="12.28515625" style="946" customWidth="1"/>
    <col min="11782" max="11782" width="15.7109375" style="946" customWidth="1"/>
    <col min="11783" max="11783" width="12.85546875" style="946" customWidth="1"/>
    <col min="11784" max="11784" width="12.7109375" style="946" customWidth="1"/>
    <col min="11785" max="11785" width="12.85546875" style="946" customWidth="1"/>
    <col min="11786" max="11786" width="14.42578125" style="946" customWidth="1"/>
    <col min="11787" max="12031" width="9.140625" style="946"/>
    <col min="12032" max="12032" width="2.7109375" style="946" customWidth="1"/>
    <col min="12033" max="12033" width="9.140625" style="946"/>
    <col min="12034" max="12034" width="40.28515625" style="946" bestFit="1" customWidth="1"/>
    <col min="12035" max="12035" width="10" style="946" customWidth="1"/>
    <col min="12036" max="12036" width="10.140625" style="946" customWidth="1"/>
    <col min="12037" max="12037" width="12.28515625" style="946" customWidth="1"/>
    <col min="12038" max="12038" width="15.7109375" style="946" customWidth="1"/>
    <col min="12039" max="12039" width="12.85546875" style="946" customWidth="1"/>
    <col min="12040" max="12040" width="12.7109375" style="946" customWidth="1"/>
    <col min="12041" max="12041" width="12.85546875" style="946" customWidth="1"/>
    <col min="12042" max="12042" width="14.42578125" style="946" customWidth="1"/>
    <col min="12043" max="12287" width="9.140625" style="946"/>
    <col min="12288" max="12288" width="2.7109375" style="946" customWidth="1"/>
    <col min="12289" max="12289" width="9.140625" style="946"/>
    <col min="12290" max="12290" width="40.28515625" style="946" bestFit="1" customWidth="1"/>
    <col min="12291" max="12291" width="10" style="946" customWidth="1"/>
    <col min="12292" max="12292" width="10.140625" style="946" customWidth="1"/>
    <col min="12293" max="12293" width="12.28515625" style="946" customWidth="1"/>
    <col min="12294" max="12294" width="15.7109375" style="946" customWidth="1"/>
    <col min="12295" max="12295" width="12.85546875" style="946" customWidth="1"/>
    <col min="12296" max="12296" width="12.7109375" style="946" customWidth="1"/>
    <col min="12297" max="12297" width="12.85546875" style="946" customWidth="1"/>
    <col min="12298" max="12298" width="14.42578125" style="946" customWidth="1"/>
    <col min="12299" max="12543" width="9.140625" style="946"/>
    <col min="12544" max="12544" width="2.7109375" style="946" customWidth="1"/>
    <col min="12545" max="12545" width="9.140625" style="946"/>
    <col min="12546" max="12546" width="40.28515625" style="946" bestFit="1" customWidth="1"/>
    <col min="12547" max="12547" width="10" style="946" customWidth="1"/>
    <col min="12548" max="12548" width="10.140625" style="946" customWidth="1"/>
    <col min="12549" max="12549" width="12.28515625" style="946" customWidth="1"/>
    <col min="12550" max="12550" width="15.7109375" style="946" customWidth="1"/>
    <col min="12551" max="12551" width="12.85546875" style="946" customWidth="1"/>
    <col min="12552" max="12552" width="12.7109375" style="946" customWidth="1"/>
    <col min="12553" max="12553" width="12.85546875" style="946" customWidth="1"/>
    <col min="12554" max="12554" width="14.42578125" style="946" customWidth="1"/>
    <col min="12555" max="12799" width="9.140625" style="946"/>
    <col min="12800" max="12800" width="2.7109375" style="946" customWidth="1"/>
    <col min="12801" max="12801" width="9.140625" style="946"/>
    <col min="12802" max="12802" width="40.28515625" style="946" bestFit="1" customWidth="1"/>
    <col min="12803" max="12803" width="10" style="946" customWidth="1"/>
    <col min="12804" max="12804" width="10.140625" style="946" customWidth="1"/>
    <col min="12805" max="12805" width="12.28515625" style="946" customWidth="1"/>
    <col min="12806" max="12806" width="15.7109375" style="946" customWidth="1"/>
    <col min="12807" max="12807" width="12.85546875" style="946" customWidth="1"/>
    <col min="12808" max="12808" width="12.7109375" style="946" customWidth="1"/>
    <col min="12809" max="12809" width="12.85546875" style="946" customWidth="1"/>
    <col min="12810" max="12810" width="14.42578125" style="946" customWidth="1"/>
    <col min="12811" max="13055" width="9.140625" style="946"/>
    <col min="13056" max="13056" width="2.7109375" style="946" customWidth="1"/>
    <col min="13057" max="13057" width="9.140625" style="946"/>
    <col min="13058" max="13058" width="40.28515625" style="946" bestFit="1" customWidth="1"/>
    <col min="13059" max="13059" width="10" style="946" customWidth="1"/>
    <col min="13060" max="13060" width="10.140625" style="946" customWidth="1"/>
    <col min="13061" max="13061" width="12.28515625" style="946" customWidth="1"/>
    <col min="13062" max="13062" width="15.7109375" style="946" customWidth="1"/>
    <col min="13063" max="13063" width="12.85546875" style="946" customWidth="1"/>
    <col min="13064" max="13064" width="12.7109375" style="946" customWidth="1"/>
    <col min="13065" max="13065" width="12.85546875" style="946" customWidth="1"/>
    <col min="13066" max="13066" width="14.42578125" style="946" customWidth="1"/>
    <col min="13067" max="13311" width="9.140625" style="946"/>
    <col min="13312" max="13312" width="2.7109375" style="946" customWidth="1"/>
    <col min="13313" max="13313" width="9.140625" style="946"/>
    <col min="13314" max="13314" width="40.28515625" style="946" bestFit="1" customWidth="1"/>
    <col min="13315" max="13315" width="10" style="946" customWidth="1"/>
    <col min="13316" max="13316" width="10.140625" style="946" customWidth="1"/>
    <col min="13317" max="13317" width="12.28515625" style="946" customWidth="1"/>
    <col min="13318" max="13318" width="15.7109375" style="946" customWidth="1"/>
    <col min="13319" max="13319" width="12.85546875" style="946" customWidth="1"/>
    <col min="13320" max="13320" width="12.7109375" style="946" customWidth="1"/>
    <col min="13321" max="13321" width="12.85546875" style="946" customWidth="1"/>
    <col min="13322" max="13322" width="14.42578125" style="946" customWidth="1"/>
    <col min="13323" max="13567" width="9.140625" style="946"/>
    <col min="13568" max="13568" width="2.7109375" style="946" customWidth="1"/>
    <col min="13569" max="13569" width="9.140625" style="946"/>
    <col min="13570" max="13570" width="40.28515625" style="946" bestFit="1" customWidth="1"/>
    <col min="13571" max="13571" width="10" style="946" customWidth="1"/>
    <col min="13572" max="13572" width="10.140625" style="946" customWidth="1"/>
    <col min="13573" max="13573" width="12.28515625" style="946" customWidth="1"/>
    <col min="13574" max="13574" width="15.7109375" style="946" customWidth="1"/>
    <col min="13575" max="13575" width="12.85546875" style="946" customWidth="1"/>
    <col min="13576" max="13576" width="12.7109375" style="946" customWidth="1"/>
    <col min="13577" max="13577" width="12.85546875" style="946" customWidth="1"/>
    <col min="13578" max="13578" width="14.42578125" style="946" customWidth="1"/>
    <col min="13579" max="13823" width="9.140625" style="946"/>
    <col min="13824" max="13824" width="2.7109375" style="946" customWidth="1"/>
    <col min="13825" max="13825" width="9.140625" style="946"/>
    <col min="13826" max="13826" width="40.28515625" style="946" bestFit="1" customWidth="1"/>
    <col min="13827" max="13827" width="10" style="946" customWidth="1"/>
    <col min="13828" max="13828" width="10.140625" style="946" customWidth="1"/>
    <col min="13829" max="13829" width="12.28515625" style="946" customWidth="1"/>
    <col min="13830" max="13830" width="15.7109375" style="946" customWidth="1"/>
    <col min="13831" max="13831" width="12.85546875" style="946" customWidth="1"/>
    <col min="13832" max="13832" width="12.7109375" style="946" customWidth="1"/>
    <col min="13833" max="13833" width="12.85546875" style="946" customWidth="1"/>
    <col min="13834" max="13834" width="14.42578125" style="946" customWidth="1"/>
    <col min="13835" max="14079" width="9.140625" style="946"/>
    <col min="14080" max="14080" width="2.7109375" style="946" customWidth="1"/>
    <col min="14081" max="14081" width="9.140625" style="946"/>
    <col min="14082" max="14082" width="40.28515625" style="946" bestFit="1" customWidth="1"/>
    <col min="14083" max="14083" width="10" style="946" customWidth="1"/>
    <col min="14084" max="14084" width="10.140625" style="946" customWidth="1"/>
    <col min="14085" max="14085" width="12.28515625" style="946" customWidth="1"/>
    <col min="14086" max="14086" width="15.7109375" style="946" customWidth="1"/>
    <col min="14087" max="14087" width="12.85546875" style="946" customWidth="1"/>
    <col min="14088" max="14088" width="12.7109375" style="946" customWidth="1"/>
    <col min="14089" max="14089" width="12.85546875" style="946" customWidth="1"/>
    <col min="14090" max="14090" width="14.42578125" style="946" customWidth="1"/>
    <col min="14091" max="14335" width="9.140625" style="946"/>
    <col min="14336" max="14336" width="2.7109375" style="946" customWidth="1"/>
    <col min="14337" max="14337" width="9.140625" style="946"/>
    <col min="14338" max="14338" width="40.28515625" style="946" bestFit="1" customWidth="1"/>
    <col min="14339" max="14339" width="10" style="946" customWidth="1"/>
    <col min="14340" max="14340" width="10.140625" style="946" customWidth="1"/>
    <col min="14341" max="14341" width="12.28515625" style="946" customWidth="1"/>
    <col min="14342" max="14342" width="15.7109375" style="946" customWidth="1"/>
    <col min="14343" max="14343" width="12.85546875" style="946" customWidth="1"/>
    <col min="14344" max="14344" width="12.7109375" style="946" customWidth="1"/>
    <col min="14345" max="14345" width="12.85546875" style="946" customWidth="1"/>
    <col min="14346" max="14346" width="14.42578125" style="946" customWidth="1"/>
    <col min="14347" max="14591" width="9.140625" style="946"/>
    <col min="14592" max="14592" width="2.7109375" style="946" customWidth="1"/>
    <col min="14593" max="14593" width="9.140625" style="946"/>
    <col min="14594" max="14594" width="40.28515625" style="946" bestFit="1" customWidth="1"/>
    <col min="14595" max="14595" width="10" style="946" customWidth="1"/>
    <col min="14596" max="14596" width="10.140625" style="946" customWidth="1"/>
    <col min="14597" max="14597" width="12.28515625" style="946" customWidth="1"/>
    <col min="14598" max="14598" width="15.7109375" style="946" customWidth="1"/>
    <col min="14599" max="14599" width="12.85546875" style="946" customWidth="1"/>
    <col min="14600" max="14600" width="12.7109375" style="946" customWidth="1"/>
    <col min="14601" max="14601" width="12.85546875" style="946" customWidth="1"/>
    <col min="14602" max="14602" width="14.42578125" style="946" customWidth="1"/>
    <col min="14603" max="14847" width="9.140625" style="946"/>
    <col min="14848" max="14848" width="2.7109375" style="946" customWidth="1"/>
    <col min="14849" max="14849" width="9.140625" style="946"/>
    <col min="14850" max="14850" width="40.28515625" style="946" bestFit="1" customWidth="1"/>
    <col min="14851" max="14851" width="10" style="946" customWidth="1"/>
    <col min="14852" max="14852" width="10.140625" style="946" customWidth="1"/>
    <col min="14853" max="14853" width="12.28515625" style="946" customWidth="1"/>
    <col min="14854" max="14854" width="15.7109375" style="946" customWidth="1"/>
    <col min="14855" max="14855" width="12.85546875" style="946" customWidth="1"/>
    <col min="14856" max="14856" width="12.7109375" style="946" customWidth="1"/>
    <col min="14857" max="14857" width="12.85546875" style="946" customWidth="1"/>
    <col min="14858" max="14858" width="14.42578125" style="946" customWidth="1"/>
    <col min="14859" max="15103" width="9.140625" style="946"/>
    <col min="15104" max="15104" width="2.7109375" style="946" customWidth="1"/>
    <col min="15105" max="15105" width="9.140625" style="946"/>
    <col min="15106" max="15106" width="40.28515625" style="946" bestFit="1" customWidth="1"/>
    <col min="15107" max="15107" width="10" style="946" customWidth="1"/>
    <col min="15108" max="15108" width="10.140625" style="946" customWidth="1"/>
    <col min="15109" max="15109" width="12.28515625" style="946" customWidth="1"/>
    <col min="15110" max="15110" width="15.7109375" style="946" customWidth="1"/>
    <col min="15111" max="15111" width="12.85546875" style="946" customWidth="1"/>
    <col min="15112" max="15112" width="12.7109375" style="946" customWidth="1"/>
    <col min="15113" max="15113" width="12.85546875" style="946" customWidth="1"/>
    <col min="15114" max="15114" width="14.42578125" style="946" customWidth="1"/>
    <col min="15115" max="15359" width="9.140625" style="946"/>
    <col min="15360" max="15360" width="2.7109375" style="946" customWidth="1"/>
    <col min="15361" max="15361" width="9.140625" style="946"/>
    <col min="15362" max="15362" width="40.28515625" style="946" bestFit="1" customWidth="1"/>
    <col min="15363" max="15363" width="10" style="946" customWidth="1"/>
    <col min="15364" max="15364" width="10.140625" style="946" customWidth="1"/>
    <col min="15365" max="15365" width="12.28515625" style="946" customWidth="1"/>
    <col min="15366" max="15366" width="15.7109375" style="946" customWidth="1"/>
    <col min="15367" max="15367" width="12.85546875" style="946" customWidth="1"/>
    <col min="15368" max="15368" width="12.7109375" style="946" customWidth="1"/>
    <col min="15369" max="15369" width="12.85546875" style="946" customWidth="1"/>
    <col min="15370" max="15370" width="14.42578125" style="946" customWidth="1"/>
    <col min="15371" max="15615" width="9.140625" style="946"/>
    <col min="15616" max="15616" width="2.7109375" style="946" customWidth="1"/>
    <col min="15617" max="15617" width="9.140625" style="946"/>
    <col min="15618" max="15618" width="40.28515625" style="946" bestFit="1" customWidth="1"/>
    <col min="15619" max="15619" width="10" style="946" customWidth="1"/>
    <col min="15620" max="15620" width="10.140625" style="946" customWidth="1"/>
    <col min="15621" max="15621" width="12.28515625" style="946" customWidth="1"/>
    <col min="15622" max="15622" width="15.7109375" style="946" customWidth="1"/>
    <col min="15623" max="15623" width="12.85546875" style="946" customWidth="1"/>
    <col min="15624" max="15624" width="12.7109375" style="946" customWidth="1"/>
    <col min="15625" max="15625" width="12.85546875" style="946" customWidth="1"/>
    <col min="15626" max="15626" width="14.42578125" style="946" customWidth="1"/>
    <col min="15627" max="15871" width="9.140625" style="946"/>
    <col min="15872" max="15872" width="2.7109375" style="946" customWidth="1"/>
    <col min="15873" max="15873" width="9.140625" style="946"/>
    <col min="15874" max="15874" width="40.28515625" style="946" bestFit="1" customWidth="1"/>
    <col min="15875" max="15875" width="10" style="946" customWidth="1"/>
    <col min="15876" max="15876" width="10.140625" style="946" customWidth="1"/>
    <col min="15877" max="15877" width="12.28515625" style="946" customWidth="1"/>
    <col min="15878" max="15878" width="15.7109375" style="946" customWidth="1"/>
    <col min="15879" max="15879" width="12.85546875" style="946" customWidth="1"/>
    <col min="15880" max="15880" width="12.7109375" style="946" customWidth="1"/>
    <col min="15881" max="15881" width="12.85546875" style="946" customWidth="1"/>
    <col min="15882" max="15882" width="14.42578125" style="946" customWidth="1"/>
    <col min="15883" max="16127" width="9.140625" style="946"/>
    <col min="16128" max="16128" width="2.7109375" style="946" customWidth="1"/>
    <col min="16129" max="16129" width="9.140625" style="946"/>
    <col min="16130" max="16130" width="40.28515625" style="946" bestFit="1" customWidth="1"/>
    <col min="16131" max="16131" width="10" style="946" customWidth="1"/>
    <col min="16132" max="16132" width="10.140625" style="946" customWidth="1"/>
    <col min="16133" max="16133" width="12.28515625" style="946" customWidth="1"/>
    <col min="16134" max="16134" width="15.7109375" style="946" customWidth="1"/>
    <col min="16135" max="16135" width="12.85546875" style="946" customWidth="1"/>
    <col min="16136" max="16136" width="12.7109375" style="946" customWidth="1"/>
    <col min="16137" max="16137" width="12.85546875" style="946" customWidth="1"/>
    <col min="16138" max="16138" width="14.42578125" style="946" customWidth="1"/>
    <col min="16139" max="16384" width="9.140625" style="946"/>
  </cols>
  <sheetData>
    <row r="1" spans="1:11" x14ac:dyDescent="0.2">
      <c r="I1" s="254" t="s">
        <v>444</v>
      </c>
      <c r="J1" s="947" t="s">
        <v>866</v>
      </c>
      <c r="K1" s="256"/>
    </row>
    <row r="2" spans="1:11" x14ac:dyDescent="0.2">
      <c r="I2" s="254" t="s">
        <v>445</v>
      </c>
      <c r="J2" s="948">
        <v>4</v>
      </c>
      <c r="K2" s="256"/>
    </row>
    <row r="3" spans="1:11" x14ac:dyDescent="0.2">
      <c r="I3" s="254" t="s">
        <v>446</v>
      </c>
      <c r="J3" s="948">
        <v>7</v>
      </c>
      <c r="K3" s="256"/>
    </row>
    <row r="4" spans="1:11" x14ac:dyDescent="0.2">
      <c r="I4" s="254" t="s">
        <v>447</v>
      </c>
      <c r="J4" s="948">
        <v>1</v>
      </c>
      <c r="K4" s="256"/>
    </row>
    <row r="5" spans="1:11" x14ac:dyDescent="0.2">
      <c r="I5" s="254" t="s">
        <v>1035</v>
      </c>
      <c r="J5" s="949">
        <v>4</v>
      </c>
      <c r="K5" s="256"/>
    </row>
    <row r="6" spans="1:11" x14ac:dyDescent="0.2">
      <c r="I6" s="254"/>
      <c r="J6" s="947"/>
      <c r="K6" s="256"/>
    </row>
    <row r="7" spans="1:11" x14ac:dyDescent="0.2">
      <c r="I7" s="254" t="s">
        <v>449</v>
      </c>
      <c r="J7" s="933"/>
      <c r="K7" s="257"/>
    </row>
    <row r="9" spans="1:11" ht="18" x14ac:dyDescent="0.2">
      <c r="A9" s="1292" t="s">
        <v>657</v>
      </c>
      <c r="B9" s="1292"/>
      <c r="C9" s="1292"/>
      <c r="D9" s="1292"/>
      <c r="E9" s="1292"/>
      <c r="F9" s="1292"/>
      <c r="G9" s="1292"/>
      <c r="H9" s="1292"/>
      <c r="I9" s="1292"/>
      <c r="J9" s="1292"/>
    </row>
    <row r="10" spans="1:11" ht="18" x14ac:dyDescent="0.2">
      <c r="A10" s="1292" t="s">
        <v>5</v>
      </c>
      <c r="B10" s="1292"/>
      <c r="C10" s="1292"/>
      <c r="D10" s="1292"/>
      <c r="E10" s="1292"/>
      <c r="F10" s="1292"/>
      <c r="G10" s="1292"/>
      <c r="H10" s="1292"/>
      <c r="I10" s="1292"/>
      <c r="J10" s="1292"/>
    </row>
    <row r="11" spans="1:11" ht="23.25" customHeight="1" x14ac:dyDescent="0.2">
      <c r="A11" s="1293" t="s">
        <v>567</v>
      </c>
      <c r="B11" s="1293"/>
      <c r="C11" s="1293"/>
      <c r="D11" s="1293"/>
      <c r="E11" s="1293"/>
      <c r="F11" s="1293"/>
      <c r="G11" s="1293"/>
      <c r="H11" s="1293"/>
      <c r="I11" s="1293"/>
      <c r="J11" s="1293"/>
    </row>
    <row r="12" spans="1:11" ht="13.5" customHeight="1" x14ac:dyDescent="0.25">
      <c r="A12" s="954"/>
      <c r="B12" s="954"/>
      <c r="C12" s="369" t="s">
        <v>42</v>
      </c>
      <c r="D12" s="729">
        <v>2013</v>
      </c>
      <c r="E12" s="958" t="s">
        <v>176</v>
      </c>
      <c r="F12" s="954"/>
      <c r="G12" s="954"/>
      <c r="H12" s="954"/>
    </row>
    <row r="13" spans="1:11" ht="13.5" thickBot="1" x14ac:dyDescent="0.25"/>
    <row r="14" spans="1:11" ht="62.25" customHeight="1" x14ac:dyDescent="0.2">
      <c r="A14" s="1275" t="s">
        <v>6</v>
      </c>
      <c r="B14" s="1277" t="s">
        <v>395</v>
      </c>
      <c r="C14" s="959" t="s">
        <v>397</v>
      </c>
      <c r="D14" s="959" t="s">
        <v>562</v>
      </c>
      <c r="E14" s="959" t="s">
        <v>552</v>
      </c>
      <c r="F14" s="960" t="s">
        <v>565</v>
      </c>
      <c r="G14" s="1279" t="s">
        <v>813</v>
      </c>
      <c r="H14" s="960" t="s">
        <v>556</v>
      </c>
    </row>
    <row r="15" spans="1:11" ht="52.5" customHeight="1" thickBot="1" x14ac:dyDescent="0.25">
      <c r="A15" s="1276"/>
      <c r="B15" s="1278"/>
      <c r="C15" s="344" t="s">
        <v>8</v>
      </c>
      <c r="D15" s="344" t="s">
        <v>11</v>
      </c>
      <c r="E15" s="344" t="s">
        <v>12</v>
      </c>
      <c r="F15" s="345" t="s">
        <v>824</v>
      </c>
      <c r="G15" s="1280"/>
      <c r="H15" s="346" t="s">
        <v>549</v>
      </c>
    </row>
    <row r="16" spans="1:11" ht="25.5" x14ac:dyDescent="0.2">
      <c r="A16" s="991">
        <v>1611</v>
      </c>
      <c r="B16" s="992" t="s">
        <v>548</v>
      </c>
      <c r="C16" s="341">
        <v>993685</v>
      </c>
      <c r="D16" s="832">
        <v>5</v>
      </c>
      <c r="E16" s="628">
        <v>0.2</v>
      </c>
      <c r="F16" s="343">
        <v>2179195</v>
      </c>
      <c r="G16" s="341">
        <v>2179195</v>
      </c>
      <c r="H16" s="366">
        <v>0</v>
      </c>
    </row>
    <row r="17" spans="1:8" ht="25.5" x14ac:dyDescent="0.2">
      <c r="A17" s="993">
        <v>1612</v>
      </c>
      <c r="B17" s="994" t="s">
        <v>702</v>
      </c>
      <c r="C17" s="341">
        <v>257200</v>
      </c>
      <c r="D17" s="831">
        <v>0</v>
      </c>
      <c r="E17" s="624">
        <v>0</v>
      </c>
      <c r="F17" s="343">
        <v>1217</v>
      </c>
      <c r="G17" s="341">
        <v>1217</v>
      </c>
      <c r="H17" s="366">
        <v>0</v>
      </c>
    </row>
    <row r="18" spans="1:8" x14ac:dyDescent="0.2">
      <c r="A18" s="995">
        <v>1805</v>
      </c>
      <c r="B18" s="996" t="s">
        <v>408</v>
      </c>
      <c r="C18" s="331"/>
      <c r="D18" s="831"/>
      <c r="E18" s="624">
        <v>0</v>
      </c>
      <c r="F18" s="343">
        <v>0</v>
      </c>
      <c r="G18" s="341">
        <v>0</v>
      </c>
      <c r="H18" s="366">
        <v>0</v>
      </c>
    </row>
    <row r="19" spans="1:8" x14ac:dyDescent="0.2">
      <c r="A19" s="993">
        <v>1808</v>
      </c>
      <c r="B19" s="997" t="s">
        <v>409</v>
      </c>
      <c r="C19" s="331"/>
      <c r="D19" s="831"/>
      <c r="E19" s="624">
        <v>0</v>
      </c>
      <c r="F19" s="343">
        <v>0</v>
      </c>
      <c r="G19" s="341">
        <v>0</v>
      </c>
      <c r="H19" s="366">
        <v>0</v>
      </c>
    </row>
    <row r="20" spans="1:8" x14ac:dyDescent="0.2">
      <c r="A20" s="993">
        <v>1810</v>
      </c>
      <c r="B20" s="997" t="s">
        <v>442</v>
      </c>
      <c r="C20" s="331"/>
      <c r="D20" s="831"/>
      <c r="E20" s="624">
        <v>0</v>
      </c>
      <c r="F20" s="343">
        <v>0</v>
      </c>
      <c r="G20" s="341">
        <v>0</v>
      </c>
      <c r="H20" s="366">
        <v>0</v>
      </c>
    </row>
    <row r="21" spans="1:8" x14ac:dyDescent="0.2">
      <c r="A21" s="993">
        <v>1815</v>
      </c>
      <c r="B21" s="997" t="s">
        <v>410</v>
      </c>
      <c r="C21" s="331"/>
      <c r="D21" s="831"/>
      <c r="E21" s="624">
        <v>0</v>
      </c>
      <c r="F21" s="343">
        <v>0</v>
      </c>
      <c r="G21" s="341">
        <v>0</v>
      </c>
      <c r="H21" s="366">
        <v>0</v>
      </c>
    </row>
    <row r="22" spans="1:8" x14ac:dyDescent="0.2">
      <c r="A22" s="993">
        <v>1820</v>
      </c>
      <c r="B22" s="994" t="s">
        <v>356</v>
      </c>
      <c r="C22" s="341">
        <v>355000</v>
      </c>
      <c r="D22" s="831">
        <v>42.647765497357042</v>
      </c>
      <c r="E22" s="624">
        <v>2.3447887323943661E-2</v>
      </c>
      <c r="F22" s="343">
        <v>125857</v>
      </c>
      <c r="G22" s="341">
        <v>125857</v>
      </c>
      <c r="H22" s="366">
        <v>0</v>
      </c>
    </row>
    <row r="23" spans="1:8" x14ac:dyDescent="0.2">
      <c r="A23" s="993">
        <v>1825</v>
      </c>
      <c r="B23" s="997" t="s">
        <v>411</v>
      </c>
      <c r="C23" s="331"/>
      <c r="D23" s="831"/>
      <c r="E23" s="624">
        <v>0</v>
      </c>
      <c r="F23" s="343">
        <v>0</v>
      </c>
      <c r="G23" s="341">
        <v>0</v>
      </c>
      <c r="H23" s="366">
        <v>0</v>
      </c>
    </row>
    <row r="24" spans="1:8" x14ac:dyDescent="0.2">
      <c r="A24" s="993">
        <v>1830</v>
      </c>
      <c r="B24" s="997" t="s">
        <v>412</v>
      </c>
      <c r="C24" s="341">
        <v>834250</v>
      </c>
      <c r="D24" s="831">
        <v>44.997303128371087</v>
      </c>
      <c r="E24" s="624">
        <v>2.222355409050045E-2</v>
      </c>
      <c r="F24" s="343">
        <v>69424</v>
      </c>
      <c r="G24" s="341">
        <v>69424</v>
      </c>
      <c r="H24" s="366">
        <v>0</v>
      </c>
    </row>
    <row r="25" spans="1:8" x14ac:dyDescent="0.2">
      <c r="A25" s="993">
        <v>1835</v>
      </c>
      <c r="B25" s="997" t="s">
        <v>357</v>
      </c>
      <c r="C25" s="341">
        <v>617000</v>
      </c>
      <c r="D25" s="831">
        <v>49.030514939605851</v>
      </c>
      <c r="E25" s="624">
        <v>2.0395461912479741E-2</v>
      </c>
      <c r="F25" s="343">
        <v>286725</v>
      </c>
      <c r="G25" s="341">
        <v>286725</v>
      </c>
      <c r="H25" s="366">
        <v>0</v>
      </c>
    </row>
    <row r="26" spans="1:8" x14ac:dyDescent="0.2">
      <c r="A26" s="993">
        <v>1840</v>
      </c>
      <c r="B26" s="997" t="s">
        <v>358</v>
      </c>
      <c r="C26" s="341">
        <v>130000</v>
      </c>
      <c r="D26" s="831">
        <v>50</v>
      </c>
      <c r="E26" s="624">
        <v>0.02</v>
      </c>
      <c r="F26" s="343">
        <v>19929</v>
      </c>
      <c r="G26" s="341">
        <v>19929</v>
      </c>
      <c r="H26" s="366">
        <v>0</v>
      </c>
    </row>
    <row r="27" spans="1:8" x14ac:dyDescent="0.2">
      <c r="A27" s="993">
        <v>1845</v>
      </c>
      <c r="B27" s="997" t="s">
        <v>359</v>
      </c>
      <c r="C27" s="341">
        <v>1185000</v>
      </c>
      <c r="D27" s="831">
        <v>40.724448415698674</v>
      </c>
      <c r="E27" s="624">
        <v>2.4555274261603376E-2</v>
      </c>
      <c r="F27" s="343">
        <v>349626</v>
      </c>
      <c r="G27" s="341">
        <v>349626</v>
      </c>
      <c r="H27" s="366">
        <v>0</v>
      </c>
    </row>
    <row r="28" spans="1:8" x14ac:dyDescent="0.2">
      <c r="A28" s="993">
        <v>1850</v>
      </c>
      <c r="B28" s="997" t="s">
        <v>413</v>
      </c>
      <c r="C28" s="341">
        <v>704750</v>
      </c>
      <c r="D28" s="831">
        <v>40.001702803950508</v>
      </c>
      <c r="E28" s="624">
        <v>2.4998935792834336E-2</v>
      </c>
      <c r="F28" s="343">
        <v>213697</v>
      </c>
      <c r="G28" s="341">
        <v>213697</v>
      </c>
      <c r="H28" s="366">
        <v>0</v>
      </c>
    </row>
    <row r="29" spans="1:8" x14ac:dyDescent="0.2">
      <c r="A29" s="993">
        <v>1855</v>
      </c>
      <c r="B29" s="997" t="s">
        <v>360</v>
      </c>
      <c r="C29" s="341">
        <v>55000</v>
      </c>
      <c r="D29" s="831">
        <v>25</v>
      </c>
      <c r="E29" s="624">
        <v>0.04</v>
      </c>
      <c r="F29" s="343">
        <v>19333</v>
      </c>
      <c r="G29" s="341">
        <v>19333</v>
      </c>
      <c r="H29" s="366">
        <v>0</v>
      </c>
    </row>
    <row r="30" spans="1:8" x14ac:dyDescent="0.2">
      <c r="A30" s="993">
        <v>1860</v>
      </c>
      <c r="B30" s="997" t="s">
        <v>414</v>
      </c>
      <c r="C30" s="341">
        <v>50000</v>
      </c>
      <c r="D30" s="831">
        <v>25</v>
      </c>
      <c r="E30" s="624">
        <v>0.04</v>
      </c>
      <c r="F30" s="343">
        <v>50522</v>
      </c>
      <c r="G30" s="341">
        <v>50522</v>
      </c>
      <c r="H30" s="366">
        <v>0</v>
      </c>
    </row>
    <row r="31" spans="1:8" x14ac:dyDescent="0.2">
      <c r="A31" s="995">
        <v>1860</v>
      </c>
      <c r="B31" s="996" t="s">
        <v>361</v>
      </c>
      <c r="C31" s="331"/>
      <c r="D31" s="332"/>
      <c r="E31" s="624">
        <v>0</v>
      </c>
      <c r="F31" s="343">
        <v>282779</v>
      </c>
      <c r="G31" s="341">
        <v>282779</v>
      </c>
      <c r="H31" s="366">
        <v>0</v>
      </c>
    </row>
    <row r="32" spans="1:8" x14ac:dyDescent="0.2">
      <c r="A32" s="995">
        <v>1905</v>
      </c>
      <c r="B32" s="996" t="s">
        <v>408</v>
      </c>
      <c r="C32" s="331"/>
      <c r="D32" s="332"/>
      <c r="E32" s="624">
        <v>0</v>
      </c>
      <c r="F32" s="343">
        <v>0</v>
      </c>
      <c r="G32" s="341">
        <v>0</v>
      </c>
      <c r="H32" s="366">
        <v>0</v>
      </c>
    </row>
    <row r="33" spans="1:8" x14ac:dyDescent="0.2">
      <c r="A33" s="993">
        <v>1908</v>
      </c>
      <c r="B33" s="997" t="s">
        <v>416</v>
      </c>
      <c r="C33" s="341">
        <v>212500</v>
      </c>
      <c r="D33" s="831">
        <v>59.994353472614343</v>
      </c>
      <c r="E33" s="624">
        <v>1.6668235294117647E-2</v>
      </c>
      <c r="F33" s="343">
        <v>148447</v>
      </c>
      <c r="G33" s="341">
        <v>148447</v>
      </c>
      <c r="H33" s="366">
        <v>0</v>
      </c>
    </row>
    <row r="34" spans="1:8" x14ac:dyDescent="0.2">
      <c r="A34" s="993">
        <v>1910</v>
      </c>
      <c r="B34" s="997" t="s">
        <v>442</v>
      </c>
      <c r="C34" s="331"/>
      <c r="D34" s="332"/>
      <c r="E34" s="624">
        <v>0</v>
      </c>
      <c r="F34" s="343">
        <v>0</v>
      </c>
      <c r="G34" s="341">
        <v>0</v>
      </c>
      <c r="H34" s="366">
        <v>0</v>
      </c>
    </row>
    <row r="35" spans="1:8" x14ac:dyDescent="0.2">
      <c r="A35" s="993">
        <v>1915</v>
      </c>
      <c r="B35" s="997" t="s">
        <v>362</v>
      </c>
      <c r="C35" s="341">
        <v>10000</v>
      </c>
      <c r="D35" s="831">
        <v>10</v>
      </c>
      <c r="E35" s="624">
        <v>0.1</v>
      </c>
      <c r="F35" s="343">
        <v>53768</v>
      </c>
      <c r="G35" s="341">
        <v>53768</v>
      </c>
      <c r="H35" s="366">
        <v>0</v>
      </c>
    </row>
    <row r="36" spans="1:8" x14ac:dyDescent="0.2">
      <c r="A36" s="993">
        <v>1915</v>
      </c>
      <c r="B36" s="997" t="s">
        <v>363</v>
      </c>
      <c r="C36" s="331"/>
      <c r="D36" s="332"/>
      <c r="E36" s="624">
        <v>0</v>
      </c>
      <c r="F36" s="343">
        <v>0</v>
      </c>
      <c r="G36" s="341">
        <v>0</v>
      </c>
      <c r="H36" s="366">
        <v>0</v>
      </c>
    </row>
    <row r="37" spans="1:8" x14ac:dyDescent="0.2">
      <c r="A37" s="993">
        <v>1920</v>
      </c>
      <c r="B37" s="997" t="s">
        <v>364</v>
      </c>
      <c r="C37" s="341">
        <v>912840</v>
      </c>
      <c r="D37" s="831">
        <v>5</v>
      </c>
      <c r="E37" s="624">
        <v>0.2</v>
      </c>
      <c r="F37" s="343">
        <v>673251</v>
      </c>
      <c r="G37" s="341">
        <v>673251</v>
      </c>
      <c r="H37" s="366">
        <v>0</v>
      </c>
    </row>
    <row r="38" spans="1:8" x14ac:dyDescent="0.2">
      <c r="A38" s="998">
        <v>1920</v>
      </c>
      <c r="B38" s="994" t="s">
        <v>366</v>
      </c>
      <c r="C38" s="331"/>
      <c r="D38" s="332"/>
      <c r="E38" s="624">
        <v>0</v>
      </c>
      <c r="F38" s="343">
        <v>0</v>
      </c>
      <c r="G38" s="341">
        <v>0</v>
      </c>
      <c r="H38" s="366">
        <v>0</v>
      </c>
    </row>
    <row r="39" spans="1:8" x14ac:dyDescent="0.2">
      <c r="A39" s="998">
        <v>1920</v>
      </c>
      <c r="B39" s="994" t="s">
        <v>365</v>
      </c>
      <c r="C39" s="331"/>
      <c r="D39" s="332"/>
      <c r="E39" s="624">
        <v>0</v>
      </c>
      <c r="F39" s="343">
        <v>0</v>
      </c>
      <c r="G39" s="341">
        <v>0</v>
      </c>
      <c r="H39" s="366">
        <v>0</v>
      </c>
    </row>
    <row r="40" spans="1:8" x14ac:dyDescent="0.2">
      <c r="A40" s="993">
        <v>1930</v>
      </c>
      <c r="B40" s="997" t="s">
        <v>430</v>
      </c>
      <c r="C40" s="341">
        <v>502500</v>
      </c>
      <c r="D40" s="831">
        <v>9.4600700327572582</v>
      </c>
      <c r="E40" s="624">
        <v>0.10570746268656715</v>
      </c>
      <c r="F40" s="343">
        <v>323161</v>
      </c>
      <c r="G40" s="341">
        <v>323161</v>
      </c>
      <c r="H40" s="366">
        <v>0</v>
      </c>
    </row>
    <row r="41" spans="1:8" x14ac:dyDescent="0.2">
      <c r="A41" s="993">
        <v>1935</v>
      </c>
      <c r="B41" s="997" t="s">
        <v>431</v>
      </c>
      <c r="C41" s="331">
        <v>0</v>
      </c>
      <c r="D41" s="332"/>
      <c r="E41" s="624">
        <v>0</v>
      </c>
      <c r="F41" s="343">
        <v>4927</v>
      </c>
      <c r="G41" s="341">
        <v>4927</v>
      </c>
      <c r="H41" s="366">
        <v>0</v>
      </c>
    </row>
    <row r="42" spans="1:8" x14ac:dyDescent="0.2">
      <c r="A42" s="993">
        <v>1940</v>
      </c>
      <c r="B42" s="997" t="s">
        <v>432</v>
      </c>
      <c r="C42" s="341">
        <v>42000</v>
      </c>
      <c r="D42" s="831">
        <v>10</v>
      </c>
      <c r="E42" s="624">
        <v>0.1</v>
      </c>
      <c r="F42" s="343">
        <v>63558</v>
      </c>
      <c r="G42" s="341">
        <v>63558</v>
      </c>
      <c r="H42" s="366">
        <v>0</v>
      </c>
    </row>
    <row r="43" spans="1:8" x14ac:dyDescent="0.2">
      <c r="A43" s="993">
        <v>1945</v>
      </c>
      <c r="B43" s="997" t="s">
        <v>433</v>
      </c>
      <c r="C43" s="341">
        <v>50000</v>
      </c>
      <c r="D43" s="332">
        <v>10</v>
      </c>
      <c r="E43" s="624">
        <v>0.1</v>
      </c>
      <c r="F43" s="343">
        <v>24711</v>
      </c>
      <c r="G43" s="341">
        <v>24711</v>
      </c>
      <c r="H43" s="366">
        <v>0</v>
      </c>
    </row>
    <row r="44" spans="1:8" x14ac:dyDescent="0.2">
      <c r="A44" s="993">
        <v>1950</v>
      </c>
      <c r="B44" s="997" t="s">
        <v>367</v>
      </c>
      <c r="C44" s="331"/>
      <c r="D44" s="332"/>
      <c r="E44" s="624">
        <v>0</v>
      </c>
      <c r="F44" s="343">
        <v>0</v>
      </c>
      <c r="G44" s="341">
        <v>0</v>
      </c>
      <c r="H44" s="366">
        <v>0</v>
      </c>
    </row>
    <row r="45" spans="1:8" x14ac:dyDescent="0.2">
      <c r="A45" s="993">
        <v>1955</v>
      </c>
      <c r="B45" s="997" t="s">
        <v>434</v>
      </c>
      <c r="C45" s="331"/>
      <c r="D45" s="332"/>
      <c r="E45" s="624">
        <v>0</v>
      </c>
      <c r="F45" s="343">
        <v>16526</v>
      </c>
      <c r="G45" s="341">
        <v>16526</v>
      </c>
      <c r="H45" s="366">
        <v>0</v>
      </c>
    </row>
    <row r="46" spans="1:8" x14ac:dyDescent="0.2">
      <c r="A46" s="999">
        <v>1955</v>
      </c>
      <c r="B46" s="1000" t="s">
        <v>368</v>
      </c>
      <c r="C46" s="331"/>
      <c r="D46" s="332"/>
      <c r="E46" s="624">
        <v>0</v>
      </c>
      <c r="F46" s="343">
        <v>0</v>
      </c>
      <c r="G46" s="341">
        <v>0</v>
      </c>
      <c r="H46" s="366">
        <v>0</v>
      </c>
    </row>
    <row r="47" spans="1:8" x14ac:dyDescent="0.2">
      <c r="A47" s="998">
        <v>1960</v>
      </c>
      <c r="B47" s="994" t="s">
        <v>369</v>
      </c>
      <c r="C47" s="331"/>
      <c r="D47" s="332"/>
      <c r="E47" s="624">
        <v>0</v>
      </c>
      <c r="F47" s="343">
        <v>5158</v>
      </c>
      <c r="G47" s="341">
        <v>5158</v>
      </c>
      <c r="H47" s="366">
        <v>0</v>
      </c>
    </row>
    <row r="48" spans="1:8" x14ac:dyDescent="0.2">
      <c r="A48" s="993">
        <v>1975</v>
      </c>
      <c r="B48" s="997" t="s">
        <v>435</v>
      </c>
      <c r="C48" s="331"/>
      <c r="D48" s="332"/>
      <c r="E48" s="624">
        <v>0</v>
      </c>
      <c r="F48" s="343">
        <v>0</v>
      </c>
      <c r="G48" s="341">
        <v>0</v>
      </c>
      <c r="H48" s="366">
        <v>0</v>
      </c>
    </row>
    <row r="49" spans="1:12" x14ac:dyDescent="0.2">
      <c r="A49" s="993">
        <v>1980</v>
      </c>
      <c r="B49" s="997" t="s">
        <v>436</v>
      </c>
      <c r="C49" s="341">
        <v>20000</v>
      </c>
      <c r="D49" s="332">
        <v>25</v>
      </c>
      <c r="E49" s="624">
        <v>0.04</v>
      </c>
      <c r="F49" s="343">
        <v>38754</v>
      </c>
      <c r="G49" s="341">
        <v>38754</v>
      </c>
      <c r="H49" s="366">
        <v>0</v>
      </c>
    </row>
    <row r="50" spans="1:12" x14ac:dyDescent="0.2">
      <c r="A50" s="993">
        <v>1985</v>
      </c>
      <c r="B50" s="997" t="s">
        <v>437</v>
      </c>
      <c r="C50" s="331"/>
      <c r="D50" s="332"/>
      <c r="E50" s="624">
        <v>0</v>
      </c>
      <c r="F50" s="343">
        <v>0</v>
      </c>
      <c r="G50" s="341">
        <v>0</v>
      </c>
      <c r="H50" s="366">
        <v>0</v>
      </c>
    </row>
    <row r="51" spans="1:12" x14ac:dyDescent="0.2">
      <c r="A51" s="993">
        <v>1995</v>
      </c>
      <c r="B51" s="997" t="s">
        <v>438</v>
      </c>
      <c r="C51" s="341">
        <v>-675455</v>
      </c>
      <c r="D51" s="332">
        <v>41.116204041879719</v>
      </c>
      <c r="E51" s="624">
        <v>2.4321311349205055E-2</v>
      </c>
      <c r="F51" s="343">
        <v>-20161.995678688651</v>
      </c>
      <c r="G51" s="341">
        <v>-20162</v>
      </c>
      <c r="H51" s="366">
        <v>4.321311349485768E-3</v>
      </c>
    </row>
    <row r="52" spans="1:12" x14ac:dyDescent="0.2">
      <c r="A52" s="265" t="s">
        <v>14</v>
      </c>
      <c r="B52" s="266"/>
      <c r="C52" s="331"/>
      <c r="D52" s="331"/>
      <c r="E52" s="624">
        <v>0</v>
      </c>
      <c r="F52" s="263">
        <v>0</v>
      </c>
      <c r="G52" s="341">
        <v>0</v>
      </c>
      <c r="H52" s="264">
        <v>0</v>
      </c>
    </row>
    <row r="53" spans="1:12" ht="13.5" thickBot="1" x14ac:dyDescent="0.25">
      <c r="A53" s="268"/>
      <c r="B53" s="269"/>
      <c r="C53" s="629"/>
      <c r="D53" s="629"/>
      <c r="E53" s="627">
        <v>0</v>
      </c>
      <c r="F53" s="358">
        <v>0</v>
      </c>
      <c r="G53" s="341">
        <v>0</v>
      </c>
      <c r="H53" s="364">
        <v>0</v>
      </c>
    </row>
    <row r="54" spans="1:12" ht="14.25" thickTop="1" thickBot="1" x14ac:dyDescent="0.25">
      <c r="A54" s="270"/>
      <c r="B54" s="271" t="s">
        <v>439</v>
      </c>
      <c r="C54" s="272">
        <v>6256268</v>
      </c>
      <c r="D54" s="272"/>
      <c r="E54" s="272"/>
      <c r="F54" s="272">
        <v>4930403.0043213116</v>
      </c>
      <c r="G54" s="272">
        <v>4930403</v>
      </c>
      <c r="H54" s="281">
        <f>F54-G54</f>
        <v>4.3213116005063057E-3</v>
      </c>
    </row>
    <row r="55" spans="1:12" x14ac:dyDescent="0.2">
      <c r="A55" s="283"/>
      <c r="B55" s="946" t="s">
        <v>936</v>
      </c>
      <c r="F55" s="341">
        <v>91220</v>
      </c>
      <c r="H55" s="284"/>
      <c r="I55" s="234"/>
      <c r="J55" s="285"/>
    </row>
    <row r="56" spans="1:12" x14ac:dyDescent="0.2">
      <c r="A56" s="283"/>
      <c r="B56" s="946" t="s">
        <v>937</v>
      </c>
      <c r="F56" s="341">
        <v>-10000</v>
      </c>
      <c r="H56" s="284"/>
      <c r="I56" s="234"/>
      <c r="J56" s="285"/>
    </row>
    <row r="57" spans="1:12" ht="24.75" customHeight="1" thickBot="1" x14ac:dyDescent="0.25">
      <c r="A57" s="283"/>
      <c r="B57" s="1290" t="s">
        <v>566</v>
      </c>
      <c r="C57" s="1290"/>
      <c r="D57" s="1290"/>
      <c r="E57" s="1291"/>
      <c r="F57" s="280">
        <v>5011623</v>
      </c>
      <c r="H57" s="284"/>
      <c r="I57" s="234"/>
      <c r="J57" s="285"/>
    </row>
    <row r="58" spans="1:12" ht="13.5" thickTop="1" x14ac:dyDescent="0.2"/>
    <row r="59" spans="1:12" x14ac:dyDescent="0.2">
      <c r="A59" s="254" t="s">
        <v>16</v>
      </c>
      <c r="B59" s="275"/>
      <c r="C59" s="275"/>
      <c r="D59" s="275"/>
      <c r="E59" s="275"/>
      <c r="F59" s="275"/>
      <c r="G59" s="275"/>
      <c r="H59" s="275"/>
    </row>
    <row r="60" spans="1:12" ht="29.25" customHeight="1" x14ac:dyDescent="0.2">
      <c r="A60" s="356">
        <v>1</v>
      </c>
      <c r="B60" s="1274" t="s">
        <v>650</v>
      </c>
      <c r="C60" s="1274"/>
      <c r="D60" s="1274"/>
      <c r="E60" s="1274"/>
      <c r="F60" s="1274"/>
      <c r="G60" s="1274"/>
      <c r="H60" s="1274"/>
      <c r="I60" s="1274"/>
      <c r="J60" s="1274"/>
    </row>
    <row r="61" spans="1:12" x14ac:dyDescent="0.2">
      <c r="A61" s="335">
        <v>2</v>
      </c>
      <c r="B61" s="1274" t="s">
        <v>651</v>
      </c>
      <c r="C61" s="1274"/>
      <c r="D61" s="1274"/>
      <c r="E61" s="1274"/>
      <c r="F61" s="1274"/>
      <c r="G61" s="1274"/>
      <c r="H61" s="1274"/>
      <c r="I61" s="1274"/>
      <c r="J61" s="1274"/>
    </row>
    <row r="64" spans="1:12" ht="12.75" customHeight="1" x14ac:dyDescent="0.2">
      <c r="A64" s="254" t="s">
        <v>374</v>
      </c>
      <c r="B64" s="1272" t="s">
        <v>330</v>
      </c>
      <c r="C64" s="1272"/>
      <c r="D64" s="1272"/>
      <c r="E64" s="1272"/>
      <c r="F64" s="1272"/>
      <c r="G64" s="1272"/>
      <c r="H64" s="1272"/>
      <c r="I64" s="1272"/>
      <c r="J64" s="1272"/>
      <c r="K64" s="955"/>
      <c r="L64" s="955"/>
    </row>
    <row r="65" spans="1:12" ht="30" customHeight="1" x14ac:dyDescent="0.2">
      <c r="B65" s="1272"/>
      <c r="C65" s="1272"/>
      <c r="D65" s="1272"/>
      <c r="E65" s="1272"/>
      <c r="F65" s="1272"/>
      <c r="G65" s="1272"/>
      <c r="H65" s="1272"/>
      <c r="I65" s="1272"/>
      <c r="J65" s="1272"/>
      <c r="K65" s="955"/>
      <c r="L65" s="955"/>
    </row>
    <row r="66" spans="1:12" x14ac:dyDescent="0.2">
      <c r="B66" s="955"/>
      <c r="C66" s="955"/>
      <c r="D66" s="955"/>
      <c r="E66" s="955"/>
      <c r="F66" s="955"/>
      <c r="G66" s="955"/>
      <c r="H66" s="955"/>
      <c r="I66" s="955"/>
      <c r="J66" s="955"/>
      <c r="K66" s="955"/>
      <c r="L66" s="955"/>
    </row>
    <row r="70" spans="1:12" x14ac:dyDescent="0.2">
      <c r="G70" s="957"/>
    </row>
    <row r="71" spans="1:12" x14ac:dyDescent="0.2">
      <c r="A71" s="275"/>
      <c r="B71" s="275"/>
      <c r="C71" s="275"/>
      <c r="D71" s="275"/>
      <c r="E71" s="275"/>
      <c r="F71" s="275"/>
      <c r="G71" s="275"/>
      <c r="H71" s="275"/>
    </row>
    <row r="72" spans="1:12" ht="12.75" customHeight="1" x14ac:dyDescent="0.2">
      <c r="B72" s="962"/>
      <c r="C72" s="962"/>
      <c r="D72" s="962"/>
      <c r="E72" s="962"/>
      <c r="F72" s="275"/>
      <c r="G72" s="275"/>
      <c r="H72" s="275"/>
    </row>
    <row r="73" spans="1:12" x14ac:dyDescent="0.2">
      <c r="A73" s="962"/>
      <c r="B73" s="962"/>
      <c r="C73" s="962"/>
      <c r="D73" s="962"/>
      <c r="E73" s="962"/>
      <c r="F73" s="275"/>
      <c r="G73" s="275"/>
      <c r="H73" s="275"/>
    </row>
    <row r="74" spans="1:12" x14ac:dyDescent="0.2">
      <c r="B74" s="962"/>
      <c r="C74" s="962"/>
      <c r="D74" s="962"/>
      <c r="E74" s="962"/>
      <c r="F74" s="275"/>
      <c r="G74" s="275"/>
      <c r="H74" s="275"/>
    </row>
    <row r="76" spans="1:12" x14ac:dyDescent="0.2">
      <c r="A76" s="275"/>
    </row>
    <row r="77" spans="1:12" x14ac:dyDescent="0.2">
      <c r="A77" s="275"/>
    </row>
  </sheetData>
  <mergeCells count="10">
    <mergeCell ref="B57:E57"/>
    <mergeCell ref="B60:J60"/>
    <mergeCell ref="B61:J61"/>
    <mergeCell ref="B64:J65"/>
    <mergeCell ref="A9:J9"/>
    <mergeCell ref="A10:J10"/>
    <mergeCell ref="A11:J11"/>
    <mergeCell ref="A14:A15"/>
    <mergeCell ref="B14:B15"/>
    <mergeCell ref="G14:G15"/>
  </mergeCells>
  <dataValidations disablePrompts="1" count="1">
    <dataValidation allowBlank="1" showInputMessage="1" showErrorMessage="1" promptTitle="Date Format" prompt="E.g:  &quot;August 1, 2011&quot;" sqref="WVP98304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dataValidations>
  <printOptions horizontalCentered="1"/>
  <pageMargins left="0.5" right="0.5" top="0.5" bottom="0.5" header="0.39370078740157499" footer="0.27559055118110198"/>
  <pageSetup scale="5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P77"/>
  <sheetViews>
    <sheetView showGridLines="0" zoomScaleNormal="100" workbookViewId="0">
      <selection activeCell="A14" sqref="A1:XFD1048576"/>
    </sheetView>
  </sheetViews>
  <sheetFormatPr defaultRowHeight="12.75" x14ac:dyDescent="0.2"/>
  <cols>
    <col min="1" max="1" width="5" style="253" customWidth="1"/>
    <col min="2" max="2" width="62" style="253" customWidth="1"/>
    <col min="3" max="3" width="12.7109375" style="253" bestFit="1" customWidth="1"/>
    <col min="4" max="4" width="1.7109375" style="253" customWidth="1"/>
    <col min="5" max="7" width="15.7109375" style="253" customWidth="1"/>
    <col min="8" max="8" width="17.85546875" style="253" bestFit="1" customWidth="1"/>
    <col min="9" max="9" width="18.5703125" style="253" bestFit="1" customWidth="1"/>
    <col min="10" max="12" width="15.7109375" style="253" customWidth="1"/>
    <col min="13" max="13" width="20" style="253" customWidth="1"/>
    <col min="14" max="14" width="18.5703125" style="253" bestFit="1" customWidth="1"/>
    <col min="15" max="15" width="13.7109375" style="253" customWidth="1"/>
    <col min="16" max="16" width="54.5703125" style="253" bestFit="1" customWidth="1"/>
    <col min="17" max="255" width="9.140625" style="253"/>
    <col min="256" max="256" width="2.85546875" style="253" customWidth="1"/>
    <col min="257" max="257" width="5" style="253" customWidth="1"/>
    <col min="258" max="258" width="62" style="253" customWidth="1"/>
    <col min="259" max="259" width="12.7109375" style="253" bestFit="1" customWidth="1"/>
    <col min="260" max="260" width="1.7109375" style="253" customWidth="1"/>
    <col min="261" max="263" width="15.7109375" style="253" customWidth="1"/>
    <col min="264" max="264" width="17.85546875" style="253" bestFit="1" customWidth="1"/>
    <col min="265" max="265" width="18.5703125" style="253" bestFit="1" customWidth="1"/>
    <col min="266" max="268" width="15.7109375" style="253" customWidth="1"/>
    <col min="269" max="269" width="20" style="253" customWidth="1"/>
    <col min="270" max="270" width="18.5703125" style="253" bestFit="1" customWidth="1"/>
    <col min="271" max="271" width="13.7109375" style="253" customWidth="1"/>
    <col min="272" max="272" width="54.5703125" style="253" bestFit="1" customWidth="1"/>
    <col min="273" max="511" width="9.140625" style="253"/>
    <col min="512" max="512" width="2.85546875" style="253" customWidth="1"/>
    <col min="513" max="513" width="5" style="253" customWidth="1"/>
    <col min="514" max="514" width="62" style="253" customWidth="1"/>
    <col min="515" max="515" width="12.7109375" style="253" bestFit="1" customWidth="1"/>
    <col min="516" max="516" width="1.7109375" style="253" customWidth="1"/>
    <col min="517" max="519" width="15.7109375" style="253" customWidth="1"/>
    <col min="520" max="520" width="17.85546875" style="253" bestFit="1" customWidth="1"/>
    <col min="521" max="521" width="18.5703125" style="253" bestFit="1" customWidth="1"/>
    <col min="522" max="524" width="15.7109375" style="253" customWidth="1"/>
    <col min="525" max="525" width="20" style="253" customWidth="1"/>
    <col min="526" max="526" width="18.5703125" style="253" bestFit="1" customWidth="1"/>
    <col min="527" max="527" width="13.7109375" style="253" customWidth="1"/>
    <col min="528" max="528" width="54.5703125" style="253" bestFit="1" customWidth="1"/>
    <col min="529" max="767" width="9.140625" style="253"/>
    <col min="768" max="768" width="2.85546875" style="253" customWidth="1"/>
    <col min="769" max="769" width="5" style="253" customWidth="1"/>
    <col min="770" max="770" width="62" style="253" customWidth="1"/>
    <col min="771" max="771" width="12.7109375" style="253" bestFit="1" customWidth="1"/>
    <col min="772" max="772" width="1.7109375" style="253" customWidth="1"/>
    <col min="773" max="775" width="15.7109375" style="253" customWidth="1"/>
    <col min="776" max="776" width="17.85546875" style="253" bestFit="1" customWidth="1"/>
    <col min="777" max="777" width="18.5703125" style="253" bestFit="1" customWidth="1"/>
    <col min="778" max="780" width="15.7109375" style="253" customWidth="1"/>
    <col min="781" max="781" width="20" style="253" customWidth="1"/>
    <col min="782" max="782" width="18.5703125" style="253" bestFit="1" customWidth="1"/>
    <col min="783" max="783" width="13.7109375" style="253" customWidth="1"/>
    <col min="784" max="784" width="54.5703125" style="253" bestFit="1" customWidth="1"/>
    <col min="785" max="1023" width="9.140625" style="253"/>
    <col min="1024" max="1024" width="2.85546875" style="253" customWidth="1"/>
    <col min="1025" max="1025" width="5" style="253" customWidth="1"/>
    <col min="1026" max="1026" width="62" style="253" customWidth="1"/>
    <col min="1027" max="1027" width="12.7109375" style="253" bestFit="1" customWidth="1"/>
    <col min="1028" max="1028" width="1.7109375" style="253" customWidth="1"/>
    <col min="1029" max="1031" width="15.7109375" style="253" customWidth="1"/>
    <col min="1032" max="1032" width="17.85546875" style="253" bestFit="1" customWidth="1"/>
    <col min="1033" max="1033" width="18.5703125" style="253" bestFit="1" customWidth="1"/>
    <col min="1034" max="1036" width="15.7109375" style="253" customWidth="1"/>
    <col min="1037" max="1037" width="20" style="253" customWidth="1"/>
    <col min="1038" max="1038" width="18.5703125" style="253" bestFit="1" customWidth="1"/>
    <col min="1039" max="1039" width="13.7109375" style="253" customWidth="1"/>
    <col min="1040" max="1040" width="54.5703125" style="253" bestFit="1" customWidth="1"/>
    <col min="1041" max="1279" width="9.140625" style="253"/>
    <col min="1280" max="1280" width="2.85546875" style="253" customWidth="1"/>
    <col min="1281" max="1281" width="5" style="253" customWidth="1"/>
    <col min="1282" max="1282" width="62" style="253" customWidth="1"/>
    <col min="1283" max="1283" width="12.7109375" style="253" bestFit="1" customWidth="1"/>
    <col min="1284" max="1284" width="1.7109375" style="253" customWidth="1"/>
    <col min="1285" max="1287" width="15.7109375" style="253" customWidth="1"/>
    <col min="1288" max="1288" width="17.85546875" style="253" bestFit="1" customWidth="1"/>
    <col min="1289" max="1289" width="18.5703125" style="253" bestFit="1" customWidth="1"/>
    <col min="1290" max="1292" width="15.7109375" style="253" customWidth="1"/>
    <col min="1293" max="1293" width="20" style="253" customWidth="1"/>
    <col min="1294" max="1294" width="18.5703125" style="253" bestFit="1" customWidth="1"/>
    <col min="1295" max="1295" width="13.7109375" style="253" customWidth="1"/>
    <col min="1296" max="1296" width="54.5703125" style="253" bestFit="1" customWidth="1"/>
    <col min="1297" max="1535" width="9.140625" style="253"/>
    <col min="1536" max="1536" width="2.85546875" style="253" customWidth="1"/>
    <col min="1537" max="1537" width="5" style="253" customWidth="1"/>
    <col min="1538" max="1538" width="62" style="253" customWidth="1"/>
    <col min="1539" max="1539" width="12.7109375" style="253" bestFit="1" customWidth="1"/>
    <col min="1540" max="1540" width="1.7109375" style="253" customWidth="1"/>
    <col min="1541" max="1543" width="15.7109375" style="253" customWidth="1"/>
    <col min="1544" max="1544" width="17.85546875" style="253" bestFit="1" customWidth="1"/>
    <col min="1545" max="1545" width="18.5703125" style="253" bestFit="1" customWidth="1"/>
    <col min="1546" max="1548" width="15.7109375" style="253" customWidth="1"/>
    <col min="1549" max="1549" width="20" style="253" customWidth="1"/>
    <col min="1550" max="1550" width="18.5703125" style="253" bestFit="1" customWidth="1"/>
    <col min="1551" max="1551" width="13.7109375" style="253" customWidth="1"/>
    <col min="1552" max="1552" width="54.5703125" style="253" bestFit="1" customWidth="1"/>
    <col min="1553" max="1791" width="9.140625" style="253"/>
    <col min="1792" max="1792" width="2.85546875" style="253" customWidth="1"/>
    <col min="1793" max="1793" width="5" style="253" customWidth="1"/>
    <col min="1794" max="1794" width="62" style="253" customWidth="1"/>
    <col min="1795" max="1795" width="12.7109375" style="253" bestFit="1" customWidth="1"/>
    <col min="1796" max="1796" width="1.7109375" style="253" customWidth="1"/>
    <col min="1797" max="1799" width="15.7109375" style="253" customWidth="1"/>
    <col min="1800" max="1800" width="17.85546875" style="253" bestFit="1" customWidth="1"/>
    <col min="1801" max="1801" width="18.5703125" style="253" bestFit="1" customWidth="1"/>
    <col min="1802" max="1804" width="15.7109375" style="253" customWidth="1"/>
    <col min="1805" max="1805" width="20" style="253" customWidth="1"/>
    <col min="1806" max="1806" width="18.5703125" style="253" bestFit="1" customWidth="1"/>
    <col min="1807" max="1807" width="13.7109375" style="253" customWidth="1"/>
    <col min="1808" max="1808" width="54.5703125" style="253" bestFit="1" customWidth="1"/>
    <col min="1809" max="2047" width="9.140625" style="253"/>
    <col min="2048" max="2048" width="2.85546875" style="253" customWidth="1"/>
    <col min="2049" max="2049" width="5" style="253" customWidth="1"/>
    <col min="2050" max="2050" width="62" style="253" customWidth="1"/>
    <col min="2051" max="2051" width="12.7109375" style="253" bestFit="1" customWidth="1"/>
    <col min="2052" max="2052" width="1.7109375" style="253" customWidth="1"/>
    <col min="2053" max="2055" width="15.7109375" style="253" customWidth="1"/>
    <col min="2056" max="2056" width="17.85546875" style="253" bestFit="1" customWidth="1"/>
    <col min="2057" max="2057" width="18.5703125" style="253" bestFit="1" customWidth="1"/>
    <col min="2058" max="2060" width="15.7109375" style="253" customWidth="1"/>
    <col min="2061" max="2061" width="20" style="253" customWidth="1"/>
    <col min="2062" max="2062" width="18.5703125" style="253" bestFit="1" customWidth="1"/>
    <col min="2063" max="2063" width="13.7109375" style="253" customWidth="1"/>
    <col min="2064" max="2064" width="54.5703125" style="253" bestFit="1" customWidth="1"/>
    <col min="2065" max="2303" width="9.140625" style="253"/>
    <col min="2304" max="2304" width="2.85546875" style="253" customWidth="1"/>
    <col min="2305" max="2305" width="5" style="253" customWidth="1"/>
    <col min="2306" max="2306" width="62" style="253" customWidth="1"/>
    <col min="2307" max="2307" width="12.7109375" style="253" bestFit="1" customWidth="1"/>
    <col min="2308" max="2308" width="1.7109375" style="253" customWidth="1"/>
    <col min="2309" max="2311" width="15.7109375" style="253" customWidth="1"/>
    <col min="2312" max="2312" width="17.85546875" style="253" bestFit="1" customWidth="1"/>
    <col min="2313" max="2313" width="18.5703125" style="253" bestFit="1" customWidth="1"/>
    <col min="2314" max="2316" width="15.7109375" style="253" customWidth="1"/>
    <col min="2317" max="2317" width="20" style="253" customWidth="1"/>
    <col min="2318" max="2318" width="18.5703125" style="253" bestFit="1" customWidth="1"/>
    <col min="2319" max="2319" width="13.7109375" style="253" customWidth="1"/>
    <col min="2320" max="2320" width="54.5703125" style="253" bestFit="1" customWidth="1"/>
    <col min="2321" max="2559" width="9.140625" style="253"/>
    <col min="2560" max="2560" width="2.85546875" style="253" customWidth="1"/>
    <col min="2561" max="2561" width="5" style="253" customWidth="1"/>
    <col min="2562" max="2562" width="62" style="253" customWidth="1"/>
    <col min="2563" max="2563" width="12.7109375" style="253" bestFit="1" customWidth="1"/>
    <col min="2564" max="2564" width="1.7109375" style="253" customWidth="1"/>
    <col min="2565" max="2567" width="15.7109375" style="253" customWidth="1"/>
    <col min="2568" max="2568" width="17.85546875" style="253" bestFit="1" customWidth="1"/>
    <col min="2569" max="2569" width="18.5703125" style="253" bestFit="1" customWidth="1"/>
    <col min="2570" max="2572" width="15.7109375" style="253" customWidth="1"/>
    <col min="2573" max="2573" width="20" style="253" customWidth="1"/>
    <col min="2574" max="2574" width="18.5703125" style="253" bestFit="1" customWidth="1"/>
    <col min="2575" max="2575" width="13.7109375" style="253" customWidth="1"/>
    <col min="2576" max="2576" width="54.5703125" style="253" bestFit="1" customWidth="1"/>
    <col min="2577" max="2815" width="9.140625" style="253"/>
    <col min="2816" max="2816" width="2.85546875" style="253" customWidth="1"/>
    <col min="2817" max="2817" width="5" style="253" customWidth="1"/>
    <col min="2818" max="2818" width="62" style="253" customWidth="1"/>
    <col min="2819" max="2819" width="12.7109375" style="253" bestFit="1" customWidth="1"/>
    <col min="2820" max="2820" width="1.7109375" style="253" customWidth="1"/>
    <col min="2821" max="2823" width="15.7109375" style="253" customWidth="1"/>
    <col min="2824" max="2824" width="17.85546875" style="253" bestFit="1" customWidth="1"/>
    <col min="2825" max="2825" width="18.5703125" style="253" bestFit="1" customWidth="1"/>
    <col min="2826" max="2828" width="15.7109375" style="253" customWidth="1"/>
    <col min="2829" max="2829" width="20" style="253" customWidth="1"/>
    <col min="2830" max="2830" width="18.5703125" style="253" bestFit="1" customWidth="1"/>
    <col min="2831" max="2831" width="13.7109375" style="253" customWidth="1"/>
    <col min="2832" max="2832" width="54.5703125" style="253" bestFit="1" customWidth="1"/>
    <col min="2833" max="3071" width="9.140625" style="253"/>
    <col min="3072" max="3072" width="2.85546875" style="253" customWidth="1"/>
    <col min="3073" max="3073" width="5" style="253" customWidth="1"/>
    <col min="3074" max="3074" width="62" style="253" customWidth="1"/>
    <col min="3075" max="3075" width="12.7109375" style="253" bestFit="1" customWidth="1"/>
    <col min="3076" max="3076" width="1.7109375" style="253" customWidth="1"/>
    <col min="3077" max="3079" width="15.7109375" style="253" customWidth="1"/>
    <col min="3080" max="3080" width="17.85546875" style="253" bestFit="1" customWidth="1"/>
    <col min="3081" max="3081" width="18.5703125" style="253" bestFit="1" customWidth="1"/>
    <col min="3082" max="3084" width="15.7109375" style="253" customWidth="1"/>
    <col min="3085" max="3085" width="20" style="253" customWidth="1"/>
    <col min="3086" max="3086" width="18.5703125" style="253" bestFit="1" customWidth="1"/>
    <col min="3087" max="3087" width="13.7109375" style="253" customWidth="1"/>
    <col min="3088" max="3088" width="54.5703125" style="253" bestFit="1" customWidth="1"/>
    <col min="3089" max="3327" width="9.140625" style="253"/>
    <col min="3328" max="3328" width="2.85546875" style="253" customWidth="1"/>
    <col min="3329" max="3329" width="5" style="253" customWidth="1"/>
    <col min="3330" max="3330" width="62" style="253" customWidth="1"/>
    <col min="3331" max="3331" width="12.7109375" style="253" bestFit="1" customWidth="1"/>
    <col min="3332" max="3332" width="1.7109375" style="253" customWidth="1"/>
    <col min="3333" max="3335" width="15.7109375" style="253" customWidth="1"/>
    <col min="3336" max="3336" width="17.85546875" style="253" bestFit="1" customWidth="1"/>
    <col min="3337" max="3337" width="18.5703125" style="253" bestFit="1" customWidth="1"/>
    <col min="3338" max="3340" width="15.7109375" style="253" customWidth="1"/>
    <col min="3341" max="3341" width="20" style="253" customWidth="1"/>
    <col min="3342" max="3342" width="18.5703125" style="253" bestFit="1" customWidth="1"/>
    <col min="3343" max="3343" width="13.7109375" style="253" customWidth="1"/>
    <col min="3344" max="3344" width="54.5703125" style="253" bestFit="1" customWidth="1"/>
    <col min="3345" max="3583" width="9.140625" style="253"/>
    <col min="3584" max="3584" width="2.85546875" style="253" customWidth="1"/>
    <col min="3585" max="3585" width="5" style="253" customWidth="1"/>
    <col min="3586" max="3586" width="62" style="253" customWidth="1"/>
    <col min="3587" max="3587" width="12.7109375" style="253" bestFit="1" customWidth="1"/>
    <col min="3588" max="3588" width="1.7109375" style="253" customWidth="1"/>
    <col min="3589" max="3591" width="15.7109375" style="253" customWidth="1"/>
    <col min="3592" max="3592" width="17.85546875" style="253" bestFit="1" customWidth="1"/>
    <col min="3593" max="3593" width="18.5703125" style="253" bestFit="1" customWidth="1"/>
    <col min="3594" max="3596" width="15.7109375" style="253" customWidth="1"/>
    <col min="3597" max="3597" width="20" style="253" customWidth="1"/>
    <col min="3598" max="3598" width="18.5703125" style="253" bestFit="1" customWidth="1"/>
    <col min="3599" max="3599" width="13.7109375" style="253" customWidth="1"/>
    <col min="3600" max="3600" width="54.5703125" style="253" bestFit="1" customWidth="1"/>
    <col min="3601" max="3839" width="9.140625" style="253"/>
    <col min="3840" max="3840" width="2.85546875" style="253" customWidth="1"/>
    <col min="3841" max="3841" width="5" style="253" customWidth="1"/>
    <col min="3842" max="3842" width="62" style="253" customWidth="1"/>
    <col min="3843" max="3843" width="12.7109375" style="253" bestFit="1" customWidth="1"/>
    <col min="3844" max="3844" width="1.7109375" style="253" customWidth="1"/>
    <col min="3845" max="3847" width="15.7109375" style="253" customWidth="1"/>
    <col min="3848" max="3848" width="17.85546875" style="253" bestFit="1" customWidth="1"/>
    <col min="3849" max="3849" width="18.5703125" style="253" bestFit="1" customWidth="1"/>
    <col min="3850" max="3852" width="15.7109375" style="253" customWidth="1"/>
    <col min="3853" max="3853" width="20" style="253" customWidth="1"/>
    <col min="3854" max="3854" width="18.5703125" style="253" bestFit="1" customWidth="1"/>
    <col min="3855" max="3855" width="13.7109375" style="253" customWidth="1"/>
    <col min="3856" max="3856" width="54.5703125" style="253" bestFit="1" customWidth="1"/>
    <col min="3857" max="4095" width="9.140625" style="253"/>
    <col min="4096" max="4096" width="2.85546875" style="253" customWidth="1"/>
    <col min="4097" max="4097" width="5" style="253" customWidth="1"/>
    <col min="4098" max="4098" width="62" style="253" customWidth="1"/>
    <col min="4099" max="4099" width="12.7109375" style="253" bestFit="1" customWidth="1"/>
    <col min="4100" max="4100" width="1.7109375" style="253" customWidth="1"/>
    <col min="4101" max="4103" width="15.7109375" style="253" customWidth="1"/>
    <col min="4104" max="4104" width="17.85546875" style="253" bestFit="1" customWidth="1"/>
    <col min="4105" max="4105" width="18.5703125" style="253" bestFit="1" customWidth="1"/>
    <col min="4106" max="4108" width="15.7109375" style="253" customWidth="1"/>
    <col min="4109" max="4109" width="20" style="253" customWidth="1"/>
    <col min="4110" max="4110" width="18.5703125" style="253" bestFit="1" customWidth="1"/>
    <col min="4111" max="4111" width="13.7109375" style="253" customWidth="1"/>
    <col min="4112" max="4112" width="54.5703125" style="253" bestFit="1" customWidth="1"/>
    <col min="4113" max="4351" width="9.140625" style="253"/>
    <col min="4352" max="4352" width="2.85546875" style="253" customWidth="1"/>
    <col min="4353" max="4353" width="5" style="253" customWidth="1"/>
    <col min="4354" max="4354" width="62" style="253" customWidth="1"/>
    <col min="4355" max="4355" width="12.7109375" style="253" bestFit="1" customWidth="1"/>
    <col min="4356" max="4356" width="1.7109375" style="253" customWidth="1"/>
    <col min="4357" max="4359" width="15.7109375" style="253" customWidth="1"/>
    <col min="4360" max="4360" width="17.85546875" style="253" bestFit="1" customWidth="1"/>
    <col min="4361" max="4361" width="18.5703125" style="253" bestFit="1" customWidth="1"/>
    <col min="4362" max="4364" width="15.7109375" style="253" customWidth="1"/>
    <col min="4365" max="4365" width="20" style="253" customWidth="1"/>
    <col min="4366" max="4366" width="18.5703125" style="253" bestFit="1" customWidth="1"/>
    <col min="4367" max="4367" width="13.7109375" style="253" customWidth="1"/>
    <col min="4368" max="4368" width="54.5703125" style="253" bestFit="1" customWidth="1"/>
    <col min="4369" max="4607" width="9.140625" style="253"/>
    <col min="4608" max="4608" width="2.85546875" style="253" customWidth="1"/>
    <col min="4609" max="4609" width="5" style="253" customWidth="1"/>
    <col min="4610" max="4610" width="62" style="253" customWidth="1"/>
    <col min="4611" max="4611" width="12.7109375" style="253" bestFit="1" customWidth="1"/>
    <col min="4612" max="4612" width="1.7109375" style="253" customWidth="1"/>
    <col min="4613" max="4615" width="15.7109375" style="253" customWidth="1"/>
    <col min="4616" max="4616" width="17.85546875" style="253" bestFit="1" customWidth="1"/>
    <col min="4617" max="4617" width="18.5703125" style="253" bestFit="1" customWidth="1"/>
    <col min="4618" max="4620" width="15.7109375" style="253" customWidth="1"/>
    <col min="4621" max="4621" width="20" style="253" customWidth="1"/>
    <col min="4622" max="4622" width="18.5703125" style="253" bestFit="1" customWidth="1"/>
    <col min="4623" max="4623" width="13.7109375" style="253" customWidth="1"/>
    <col min="4624" max="4624" width="54.5703125" style="253" bestFit="1" customWidth="1"/>
    <col min="4625" max="4863" width="9.140625" style="253"/>
    <col min="4864" max="4864" width="2.85546875" style="253" customWidth="1"/>
    <col min="4865" max="4865" width="5" style="253" customWidth="1"/>
    <col min="4866" max="4866" width="62" style="253" customWidth="1"/>
    <col min="4867" max="4867" width="12.7109375" style="253" bestFit="1" customWidth="1"/>
    <col min="4868" max="4868" width="1.7109375" style="253" customWidth="1"/>
    <col min="4869" max="4871" width="15.7109375" style="253" customWidth="1"/>
    <col min="4872" max="4872" width="17.85546875" style="253" bestFit="1" customWidth="1"/>
    <col min="4873" max="4873" width="18.5703125" style="253" bestFit="1" customWidth="1"/>
    <col min="4874" max="4876" width="15.7109375" style="253" customWidth="1"/>
    <col min="4877" max="4877" width="20" style="253" customWidth="1"/>
    <col min="4878" max="4878" width="18.5703125" style="253" bestFit="1" customWidth="1"/>
    <col min="4879" max="4879" width="13.7109375" style="253" customWidth="1"/>
    <col min="4880" max="4880" width="54.5703125" style="253" bestFit="1" customWidth="1"/>
    <col min="4881" max="5119" width="9.140625" style="253"/>
    <col min="5120" max="5120" width="2.85546875" style="253" customWidth="1"/>
    <col min="5121" max="5121" width="5" style="253" customWidth="1"/>
    <col min="5122" max="5122" width="62" style="253" customWidth="1"/>
    <col min="5123" max="5123" width="12.7109375" style="253" bestFit="1" customWidth="1"/>
    <col min="5124" max="5124" width="1.7109375" style="253" customWidth="1"/>
    <col min="5125" max="5127" width="15.7109375" style="253" customWidth="1"/>
    <col min="5128" max="5128" width="17.85546875" style="253" bestFit="1" customWidth="1"/>
    <col min="5129" max="5129" width="18.5703125" style="253" bestFit="1" customWidth="1"/>
    <col min="5130" max="5132" width="15.7109375" style="253" customWidth="1"/>
    <col min="5133" max="5133" width="20" style="253" customWidth="1"/>
    <col min="5134" max="5134" width="18.5703125" style="253" bestFit="1" customWidth="1"/>
    <col min="5135" max="5135" width="13.7109375" style="253" customWidth="1"/>
    <col min="5136" max="5136" width="54.5703125" style="253" bestFit="1" customWidth="1"/>
    <col min="5137" max="5375" width="9.140625" style="253"/>
    <col min="5376" max="5376" width="2.85546875" style="253" customWidth="1"/>
    <col min="5377" max="5377" width="5" style="253" customWidth="1"/>
    <col min="5378" max="5378" width="62" style="253" customWidth="1"/>
    <col min="5379" max="5379" width="12.7109375" style="253" bestFit="1" customWidth="1"/>
    <col min="5380" max="5380" width="1.7109375" style="253" customWidth="1"/>
    <col min="5381" max="5383" width="15.7109375" style="253" customWidth="1"/>
    <col min="5384" max="5384" width="17.85546875" style="253" bestFit="1" customWidth="1"/>
    <col min="5385" max="5385" width="18.5703125" style="253" bestFit="1" customWidth="1"/>
    <col min="5386" max="5388" width="15.7109375" style="253" customWidth="1"/>
    <col min="5389" max="5389" width="20" style="253" customWidth="1"/>
    <col min="5390" max="5390" width="18.5703125" style="253" bestFit="1" customWidth="1"/>
    <col min="5391" max="5391" width="13.7109375" style="253" customWidth="1"/>
    <col min="5392" max="5392" width="54.5703125" style="253" bestFit="1" customWidth="1"/>
    <col min="5393" max="5631" width="9.140625" style="253"/>
    <col min="5632" max="5632" width="2.85546875" style="253" customWidth="1"/>
    <col min="5633" max="5633" width="5" style="253" customWidth="1"/>
    <col min="5634" max="5634" width="62" style="253" customWidth="1"/>
    <col min="5635" max="5635" width="12.7109375" style="253" bestFit="1" customWidth="1"/>
    <col min="5636" max="5636" width="1.7109375" style="253" customWidth="1"/>
    <col min="5637" max="5639" width="15.7109375" style="253" customWidth="1"/>
    <col min="5640" max="5640" width="17.85546875" style="253" bestFit="1" customWidth="1"/>
    <col min="5641" max="5641" width="18.5703125" style="253" bestFit="1" customWidth="1"/>
    <col min="5642" max="5644" width="15.7109375" style="253" customWidth="1"/>
    <col min="5645" max="5645" width="20" style="253" customWidth="1"/>
    <col min="5646" max="5646" width="18.5703125" style="253" bestFit="1" customWidth="1"/>
    <col min="5647" max="5647" width="13.7109375" style="253" customWidth="1"/>
    <col min="5648" max="5648" width="54.5703125" style="253" bestFit="1" customWidth="1"/>
    <col min="5649" max="5887" width="9.140625" style="253"/>
    <col min="5888" max="5888" width="2.85546875" style="253" customWidth="1"/>
    <col min="5889" max="5889" width="5" style="253" customWidth="1"/>
    <col min="5890" max="5890" width="62" style="253" customWidth="1"/>
    <col min="5891" max="5891" width="12.7109375" style="253" bestFit="1" customWidth="1"/>
    <col min="5892" max="5892" width="1.7109375" style="253" customWidth="1"/>
    <col min="5893" max="5895" width="15.7109375" style="253" customWidth="1"/>
    <col min="5896" max="5896" width="17.85546875" style="253" bestFit="1" customWidth="1"/>
    <col min="5897" max="5897" width="18.5703125" style="253" bestFit="1" customWidth="1"/>
    <col min="5898" max="5900" width="15.7109375" style="253" customWidth="1"/>
    <col min="5901" max="5901" width="20" style="253" customWidth="1"/>
    <col min="5902" max="5902" width="18.5703125" style="253" bestFit="1" customWidth="1"/>
    <col min="5903" max="5903" width="13.7109375" style="253" customWidth="1"/>
    <col min="5904" max="5904" width="54.5703125" style="253" bestFit="1" customWidth="1"/>
    <col min="5905" max="6143" width="9.140625" style="253"/>
    <col min="6144" max="6144" width="2.85546875" style="253" customWidth="1"/>
    <col min="6145" max="6145" width="5" style="253" customWidth="1"/>
    <col min="6146" max="6146" width="62" style="253" customWidth="1"/>
    <col min="6147" max="6147" width="12.7109375" style="253" bestFit="1" customWidth="1"/>
    <col min="6148" max="6148" width="1.7109375" style="253" customWidth="1"/>
    <col min="6149" max="6151" width="15.7109375" style="253" customWidth="1"/>
    <col min="6152" max="6152" width="17.85546875" style="253" bestFit="1" customWidth="1"/>
    <col min="6153" max="6153" width="18.5703125" style="253" bestFit="1" customWidth="1"/>
    <col min="6154" max="6156" width="15.7109375" style="253" customWidth="1"/>
    <col min="6157" max="6157" width="20" style="253" customWidth="1"/>
    <col min="6158" max="6158" width="18.5703125" style="253" bestFit="1" customWidth="1"/>
    <col min="6159" max="6159" width="13.7109375" style="253" customWidth="1"/>
    <col min="6160" max="6160" width="54.5703125" style="253" bestFit="1" customWidth="1"/>
    <col min="6161" max="6399" width="9.140625" style="253"/>
    <col min="6400" max="6400" width="2.85546875" style="253" customWidth="1"/>
    <col min="6401" max="6401" width="5" style="253" customWidth="1"/>
    <col min="6402" max="6402" width="62" style="253" customWidth="1"/>
    <col min="6403" max="6403" width="12.7109375" style="253" bestFit="1" customWidth="1"/>
    <col min="6404" max="6404" width="1.7109375" style="253" customWidth="1"/>
    <col min="6405" max="6407" width="15.7109375" style="253" customWidth="1"/>
    <col min="6408" max="6408" width="17.85546875" style="253" bestFit="1" customWidth="1"/>
    <col min="6409" max="6409" width="18.5703125" style="253" bestFit="1" customWidth="1"/>
    <col min="6410" max="6412" width="15.7109375" style="253" customWidth="1"/>
    <col min="6413" max="6413" width="20" style="253" customWidth="1"/>
    <col min="6414" max="6414" width="18.5703125" style="253" bestFit="1" customWidth="1"/>
    <col min="6415" max="6415" width="13.7109375" style="253" customWidth="1"/>
    <col min="6416" max="6416" width="54.5703125" style="253" bestFit="1" customWidth="1"/>
    <col min="6417" max="6655" width="9.140625" style="253"/>
    <col min="6656" max="6656" width="2.85546875" style="253" customWidth="1"/>
    <col min="6657" max="6657" width="5" style="253" customWidth="1"/>
    <col min="6658" max="6658" width="62" style="253" customWidth="1"/>
    <col min="6659" max="6659" width="12.7109375" style="253" bestFit="1" customWidth="1"/>
    <col min="6660" max="6660" width="1.7109375" style="253" customWidth="1"/>
    <col min="6661" max="6663" width="15.7109375" style="253" customWidth="1"/>
    <col min="6664" max="6664" width="17.85546875" style="253" bestFit="1" customWidth="1"/>
    <col min="6665" max="6665" width="18.5703125" style="253" bestFit="1" customWidth="1"/>
    <col min="6666" max="6668" width="15.7109375" style="253" customWidth="1"/>
    <col min="6669" max="6669" width="20" style="253" customWidth="1"/>
    <col min="6670" max="6670" width="18.5703125" style="253" bestFit="1" customWidth="1"/>
    <col min="6671" max="6671" width="13.7109375" style="253" customWidth="1"/>
    <col min="6672" max="6672" width="54.5703125" style="253" bestFit="1" customWidth="1"/>
    <col min="6673" max="6911" width="9.140625" style="253"/>
    <col min="6912" max="6912" width="2.85546875" style="253" customWidth="1"/>
    <col min="6913" max="6913" width="5" style="253" customWidth="1"/>
    <col min="6914" max="6914" width="62" style="253" customWidth="1"/>
    <col min="6915" max="6915" width="12.7109375" style="253" bestFit="1" customWidth="1"/>
    <col min="6916" max="6916" width="1.7109375" style="253" customWidth="1"/>
    <col min="6917" max="6919" width="15.7109375" style="253" customWidth="1"/>
    <col min="6920" max="6920" width="17.85546875" style="253" bestFit="1" customWidth="1"/>
    <col min="6921" max="6921" width="18.5703125" style="253" bestFit="1" customWidth="1"/>
    <col min="6922" max="6924" width="15.7109375" style="253" customWidth="1"/>
    <col min="6925" max="6925" width="20" style="253" customWidth="1"/>
    <col min="6926" max="6926" width="18.5703125" style="253" bestFit="1" customWidth="1"/>
    <col min="6927" max="6927" width="13.7109375" style="253" customWidth="1"/>
    <col min="6928" max="6928" width="54.5703125" style="253" bestFit="1" customWidth="1"/>
    <col min="6929" max="7167" width="9.140625" style="253"/>
    <col min="7168" max="7168" width="2.85546875" style="253" customWidth="1"/>
    <col min="7169" max="7169" width="5" style="253" customWidth="1"/>
    <col min="7170" max="7170" width="62" style="253" customWidth="1"/>
    <col min="7171" max="7171" width="12.7109375" style="253" bestFit="1" customWidth="1"/>
    <col min="7172" max="7172" width="1.7109375" style="253" customWidth="1"/>
    <col min="7173" max="7175" width="15.7109375" style="253" customWidth="1"/>
    <col min="7176" max="7176" width="17.85546875" style="253" bestFit="1" customWidth="1"/>
    <col min="7177" max="7177" width="18.5703125" style="253" bestFit="1" customWidth="1"/>
    <col min="7178" max="7180" width="15.7109375" style="253" customWidth="1"/>
    <col min="7181" max="7181" width="20" style="253" customWidth="1"/>
    <col min="7182" max="7182" width="18.5703125" style="253" bestFit="1" customWidth="1"/>
    <col min="7183" max="7183" width="13.7109375" style="253" customWidth="1"/>
    <col min="7184" max="7184" width="54.5703125" style="253" bestFit="1" customWidth="1"/>
    <col min="7185" max="7423" width="9.140625" style="253"/>
    <col min="7424" max="7424" width="2.85546875" style="253" customWidth="1"/>
    <col min="7425" max="7425" width="5" style="253" customWidth="1"/>
    <col min="7426" max="7426" width="62" style="253" customWidth="1"/>
    <col min="7427" max="7427" width="12.7109375" style="253" bestFit="1" customWidth="1"/>
    <col min="7428" max="7428" width="1.7109375" style="253" customWidth="1"/>
    <col min="7429" max="7431" width="15.7109375" style="253" customWidth="1"/>
    <col min="7432" max="7432" width="17.85546875" style="253" bestFit="1" customWidth="1"/>
    <col min="7433" max="7433" width="18.5703125" style="253" bestFit="1" customWidth="1"/>
    <col min="7434" max="7436" width="15.7109375" style="253" customWidth="1"/>
    <col min="7437" max="7437" width="20" style="253" customWidth="1"/>
    <col min="7438" max="7438" width="18.5703125" style="253" bestFit="1" customWidth="1"/>
    <col min="7439" max="7439" width="13.7109375" style="253" customWidth="1"/>
    <col min="7440" max="7440" width="54.5703125" style="253" bestFit="1" customWidth="1"/>
    <col min="7441" max="7679" width="9.140625" style="253"/>
    <col min="7680" max="7680" width="2.85546875" style="253" customWidth="1"/>
    <col min="7681" max="7681" width="5" style="253" customWidth="1"/>
    <col min="7682" max="7682" width="62" style="253" customWidth="1"/>
    <col min="7683" max="7683" width="12.7109375" style="253" bestFit="1" customWidth="1"/>
    <col min="7684" max="7684" width="1.7109375" style="253" customWidth="1"/>
    <col min="7685" max="7687" width="15.7109375" style="253" customWidth="1"/>
    <col min="7688" max="7688" width="17.85546875" style="253" bestFit="1" customWidth="1"/>
    <col min="7689" max="7689" width="18.5703125" style="253" bestFit="1" customWidth="1"/>
    <col min="7690" max="7692" width="15.7109375" style="253" customWidth="1"/>
    <col min="7693" max="7693" width="20" style="253" customWidth="1"/>
    <col min="7694" max="7694" width="18.5703125" style="253" bestFit="1" customWidth="1"/>
    <col min="7695" max="7695" width="13.7109375" style="253" customWidth="1"/>
    <col min="7696" max="7696" width="54.5703125" style="253" bestFit="1" customWidth="1"/>
    <col min="7697" max="7935" width="9.140625" style="253"/>
    <col min="7936" max="7936" width="2.85546875" style="253" customWidth="1"/>
    <col min="7937" max="7937" width="5" style="253" customWidth="1"/>
    <col min="7938" max="7938" width="62" style="253" customWidth="1"/>
    <col min="7939" max="7939" width="12.7109375" style="253" bestFit="1" customWidth="1"/>
    <col min="7940" max="7940" width="1.7109375" style="253" customWidth="1"/>
    <col min="7941" max="7943" width="15.7109375" style="253" customWidth="1"/>
    <col min="7944" max="7944" width="17.85546875" style="253" bestFit="1" customWidth="1"/>
    <col min="7945" max="7945" width="18.5703125" style="253" bestFit="1" customWidth="1"/>
    <col min="7946" max="7948" width="15.7109375" style="253" customWidth="1"/>
    <col min="7949" max="7949" width="20" style="253" customWidth="1"/>
    <col min="7950" max="7950" width="18.5703125" style="253" bestFit="1" customWidth="1"/>
    <col min="7951" max="7951" width="13.7109375" style="253" customWidth="1"/>
    <col min="7952" max="7952" width="54.5703125" style="253" bestFit="1" customWidth="1"/>
    <col min="7953" max="8191" width="9.140625" style="253"/>
    <col min="8192" max="8192" width="2.85546875" style="253" customWidth="1"/>
    <col min="8193" max="8193" width="5" style="253" customWidth="1"/>
    <col min="8194" max="8194" width="62" style="253" customWidth="1"/>
    <col min="8195" max="8195" width="12.7109375" style="253" bestFit="1" customWidth="1"/>
    <col min="8196" max="8196" width="1.7109375" style="253" customWidth="1"/>
    <col min="8197" max="8199" width="15.7109375" style="253" customWidth="1"/>
    <col min="8200" max="8200" width="17.85546875" style="253" bestFit="1" customWidth="1"/>
    <col min="8201" max="8201" width="18.5703125" style="253" bestFit="1" customWidth="1"/>
    <col min="8202" max="8204" width="15.7109375" style="253" customWidth="1"/>
    <col min="8205" max="8205" width="20" style="253" customWidth="1"/>
    <col min="8206" max="8206" width="18.5703125" style="253" bestFit="1" customWidth="1"/>
    <col min="8207" max="8207" width="13.7109375" style="253" customWidth="1"/>
    <col min="8208" max="8208" width="54.5703125" style="253" bestFit="1" customWidth="1"/>
    <col min="8209" max="8447" width="9.140625" style="253"/>
    <col min="8448" max="8448" width="2.85546875" style="253" customWidth="1"/>
    <col min="8449" max="8449" width="5" style="253" customWidth="1"/>
    <col min="8450" max="8450" width="62" style="253" customWidth="1"/>
    <col min="8451" max="8451" width="12.7109375" style="253" bestFit="1" customWidth="1"/>
    <col min="8452" max="8452" width="1.7109375" style="253" customWidth="1"/>
    <col min="8453" max="8455" width="15.7109375" style="253" customWidth="1"/>
    <col min="8456" max="8456" width="17.85546875" style="253" bestFit="1" customWidth="1"/>
    <col min="8457" max="8457" width="18.5703125" style="253" bestFit="1" customWidth="1"/>
    <col min="8458" max="8460" width="15.7109375" style="253" customWidth="1"/>
    <col min="8461" max="8461" width="20" style="253" customWidth="1"/>
    <col min="8462" max="8462" width="18.5703125" style="253" bestFit="1" customWidth="1"/>
    <col min="8463" max="8463" width="13.7109375" style="253" customWidth="1"/>
    <col min="8464" max="8464" width="54.5703125" style="253" bestFit="1" customWidth="1"/>
    <col min="8465" max="8703" width="9.140625" style="253"/>
    <col min="8704" max="8704" width="2.85546875" style="253" customWidth="1"/>
    <col min="8705" max="8705" width="5" style="253" customWidth="1"/>
    <col min="8706" max="8706" width="62" style="253" customWidth="1"/>
    <col min="8707" max="8707" width="12.7109375" style="253" bestFit="1" customWidth="1"/>
    <col min="8708" max="8708" width="1.7109375" style="253" customWidth="1"/>
    <col min="8709" max="8711" width="15.7109375" style="253" customWidth="1"/>
    <col min="8712" max="8712" width="17.85546875" style="253" bestFit="1" customWidth="1"/>
    <col min="8713" max="8713" width="18.5703125" style="253" bestFit="1" customWidth="1"/>
    <col min="8714" max="8716" width="15.7109375" style="253" customWidth="1"/>
    <col min="8717" max="8717" width="20" style="253" customWidth="1"/>
    <col min="8718" max="8718" width="18.5703125" style="253" bestFit="1" customWidth="1"/>
    <col min="8719" max="8719" width="13.7109375" style="253" customWidth="1"/>
    <col min="8720" max="8720" width="54.5703125" style="253" bestFit="1" customWidth="1"/>
    <col min="8721" max="8959" width="9.140625" style="253"/>
    <col min="8960" max="8960" width="2.85546875" style="253" customWidth="1"/>
    <col min="8961" max="8961" width="5" style="253" customWidth="1"/>
    <col min="8962" max="8962" width="62" style="253" customWidth="1"/>
    <col min="8963" max="8963" width="12.7109375" style="253" bestFit="1" customWidth="1"/>
    <col min="8964" max="8964" width="1.7109375" style="253" customWidth="1"/>
    <col min="8965" max="8967" width="15.7109375" style="253" customWidth="1"/>
    <col min="8968" max="8968" width="17.85546875" style="253" bestFit="1" customWidth="1"/>
    <col min="8969" max="8969" width="18.5703125" style="253" bestFit="1" customWidth="1"/>
    <col min="8970" max="8972" width="15.7109375" style="253" customWidth="1"/>
    <col min="8973" max="8973" width="20" style="253" customWidth="1"/>
    <col min="8974" max="8974" width="18.5703125" style="253" bestFit="1" customWidth="1"/>
    <col min="8975" max="8975" width="13.7109375" style="253" customWidth="1"/>
    <col min="8976" max="8976" width="54.5703125" style="253" bestFit="1" customWidth="1"/>
    <col min="8977" max="9215" width="9.140625" style="253"/>
    <col min="9216" max="9216" width="2.85546875" style="253" customWidth="1"/>
    <col min="9217" max="9217" width="5" style="253" customWidth="1"/>
    <col min="9218" max="9218" width="62" style="253" customWidth="1"/>
    <col min="9219" max="9219" width="12.7109375" style="253" bestFit="1" customWidth="1"/>
    <col min="9220" max="9220" width="1.7109375" style="253" customWidth="1"/>
    <col min="9221" max="9223" width="15.7109375" style="253" customWidth="1"/>
    <col min="9224" max="9224" width="17.85546875" style="253" bestFit="1" customWidth="1"/>
    <col min="9225" max="9225" width="18.5703125" style="253" bestFit="1" customWidth="1"/>
    <col min="9226" max="9228" width="15.7109375" style="253" customWidth="1"/>
    <col min="9229" max="9229" width="20" style="253" customWidth="1"/>
    <col min="9230" max="9230" width="18.5703125" style="253" bestFit="1" customWidth="1"/>
    <col min="9231" max="9231" width="13.7109375" style="253" customWidth="1"/>
    <col min="9232" max="9232" width="54.5703125" style="253" bestFit="1" customWidth="1"/>
    <col min="9233" max="9471" width="9.140625" style="253"/>
    <col min="9472" max="9472" width="2.85546875" style="253" customWidth="1"/>
    <col min="9473" max="9473" width="5" style="253" customWidth="1"/>
    <col min="9474" max="9474" width="62" style="253" customWidth="1"/>
    <col min="9475" max="9475" width="12.7109375" style="253" bestFit="1" customWidth="1"/>
    <col min="9476" max="9476" width="1.7109375" style="253" customWidth="1"/>
    <col min="9477" max="9479" width="15.7109375" style="253" customWidth="1"/>
    <col min="9480" max="9480" width="17.85546875" style="253" bestFit="1" customWidth="1"/>
    <col min="9481" max="9481" width="18.5703125" style="253" bestFit="1" customWidth="1"/>
    <col min="9482" max="9484" width="15.7109375" style="253" customWidth="1"/>
    <col min="9485" max="9485" width="20" style="253" customWidth="1"/>
    <col min="9486" max="9486" width="18.5703125" style="253" bestFit="1" customWidth="1"/>
    <col min="9487" max="9487" width="13.7109375" style="253" customWidth="1"/>
    <col min="9488" max="9488" width="54.5703125" style="253" bestFit="1" customWidth="1"/>
    <col min="9489" max="9727" width="9.140625" style="253"/>
    <col min="9728" max="9728" width="2.85546875" style="253" customWidth="1"/>
    <col min="9729" max="9729" width="5" style="253" customWidth="1"/>
    <col min="9730" max="9730" width="62" style="253" customWidth="1"/>
    <col min="9731" max="9731" width="12.7109375" style="253" bestFit="1" customWidth="1"/>
    <col min="9732" max="9732" width="1.7109375" style="253" customWidth="1"/>
    <col min="9733" max="9735" width="15.7109375" style="253" customWidth="1"/>
    <col min="9736" max="9736" width="17.85546875" style="253" bestFit="1" customWidth="1"/>
    <col min="9737" max="9737" width="18.5703125" style="253" bestFit="1" customWidth="1"/>
    <col min="9738" max="9740" width="15.7109375" style="253" customWidth="1"/>
    <col min="9741" max="9741" width="20" style="253" customWidth="1"/>
    <col min="9742" max="9742" width="18.5703125" style="253" bestFit="1" customWidth="1"/>
    <col min="9743" max="9743" width="13.7109375" style="253" customWidth="1"/>
    <col min="9744" max="9744" width="54.5703125" style="253" bestFit="1" customWidth="1"/>
    <col min="9745" max="9983" width="9.140625" style="253"/>
    <col min="9984" max="9984" width="2.85546875" style="253" customWidth="1"/>
    <col min="9985" max="9985" width="5" style="253" customWidth="1"/>
    <col min="9986" max="9986" width="62" style="253" customWidth="1"/>
    <col min="9987" max="9987" width="12.7109375" style="253" bestFit="1" customWidth="1"/>
    <col min="9988" max="9988" width="1.7109375" style="253" customWidth="1"/>
    <col min="9989" max="9991" width="15.7109375" style="253" customWidth="1"/>
    <col min="9992" max="9992" width="17.85546875" style="253" bestFit="1" customWidth="1"/>
    <col min="9993" max="9993" width="18.5703125" style="253" bestFit="1" customWidth="1"/>
    <col min="9994" max="9996" width="15.7109375" style="253" customWidth="1"/>
    <col min="9997" max="9997" width="20" style="253" customWidth="1"/>
    <col min="9998" max="9998" width="18.5703125" style="253" bestFit="1" customWidth="1"/>
    <col min="9999" max="9999" width="13.7109375" style="253" customWidth="1"/>
    <col min="10000" max="10000" width="54.5703125" style="253" bestFit="1" customWidth="1"/>
    <col min="10001" max="10239" width="9.140625" style="253"/>
    <col min="10240" max="10240" width="2.85546875" style="253" customWidth="1"/>
    <col min="10241" max="10241" width="5" style="253" customWidth="1"/>
    <col min="10242" max="10242" width="62" style="253" customWidth="1"/>
    <col min="10243" max="10243" width="12.7109375" style="253" bestFit="1" customWidth="1"/>
    <col min="10244" max="10244" width="1.7109375" style="253" customWidth="1"/>
    <col min="10245" max="10247" width="15.7109375" style="253" customWidth="1"/>
    <col min="10248" max="10248" width="17.85546875" style="253" bestFit="1" customWidth="1"/>
    <col min="10249" max="10249" width="18.5703125" style="253" bestFit="1" customWidth="1"/>
    <col min="10250" max="10252" width="15.7109375" style="253" customWidth="1"/>
    <col min="10253" max="10253" width="20" style="253" customWidth="1"/>
    <col min="10254" max="10254" width="18.5703125" style="253" bestFit="1" customWidth="1"/>
    <col min="10255" max="10255" width="13.7109375" style="253" customWidth="1"/>
    <col min="10256" max="10256" width="54.5703125" style="253" bestFit="1" customWidth="1"/>
    <col min="10257" max="10495" width="9.140625" style="253"/>
    <col min="10496" max="10496" width="2.85546875" style="253" customWidth="1"/>
    <col min="10497" max="10497" width="5" style="253" customWidth="1"/>
    <col min="10498" max="10498" width="62" style="253" customWidth="1"/>
    <col min="10499" max="10499" width="12.7109375" style="253" bestFit="1" customWidth="1"/>
    <col min="10500" max="10500" width="1.7109375" style="253" customWidth="1"/>
    <col min="10501" max="10503" width="15.7109375" style="253" customWidth="1"/>
    <col min="10504" max="10504" width="17.85546875" style="253" bestFit="1" customWidth="1"/>
    <col min="10505" max="10505" width="18.5703125" style="253" bestFit="1" customWidth="1"/>
    <col min="10506" max="10508" width="15.7109375" style="253" customWidth="1"/>
    <col min="10509" max="10509" width="20" style="253" customWidth="1"/>
    <col min="10510" max="10510" width="18.5703125" style="253" bestFit="1" customWidth="1"/>
    <col min="10511" max="10511" width="13.7109375" style="253" customWidth="1"/>
    <col min="10512" max="10512" width="54.5703125" style="253" bestFit="1" customWidth="1"/>
    <col min="10513" max="10751" width="9.140625" style="253"/>
    <col min="10752" max="10752" width="2.85546875" style="253" customWidth="1"/>
    <col min="10753" max="10753" width="5" style="253" customWidth="1"/>
    <col min="10754" max="10754" width="62" style="253" customWidth="1"/>
    <col min="10755" max="10755" width="12.7109375" style="253" bestFit="1" customWidth="1"/>
    <col min="10756" max="10756" width="1.7109375" style="253" customWidth="1"/>
    <col min="10757" max="10759" width="15.7109375" style="253" customWidth="1"/>
    <col min="10760" max="10760" width="17.85546875" style="253" bestFit="1" customWidth="1"/>
    <col min="10761" max="10761" width="18.5703125" style="253" bestFit="1" customWidth="1"/>
    <col min="10762" max="10764" width="15.7109375" style="253" customWidth="1"/>
    <col min="10765" max="10765" width="20" style="253" customWidth="1"/>
    <col min="10766" max="10766" width="18.5703125" style="253" bestFit="1" customWidth="1"/>
    <col min="10767" max="10767" width="13.7109375" style="253" customWidth="1"/>
    <col min="10768" max="10768" width="54.5703125" style="253" bestFit="1" customWidth="1"/>
    <col min="10769" max="11007" width="9.140625" style="253"/>
    <col min="11008" max="11008" width="2.85546875" style="253" customWidth="1"/>
    <col min="11009" max="11009" width="5" style="253" customWidth="1"/>
    <col min="11010" max="11010" width="62" style="253" customWidth="1"/>
    <col min="11011" max="11011" width="12.7109375" style="253" bestFit="1" customWidth="1"/>
    <col min="11012" max="11012" width="1.7109375" style="253" customWidth="1"/>
    <col min="11013" max="11015" width="15.7109375" style="253" customWidth="1"/>
    <col min="11016" max="11016" width="17.85546875" style="253" bestFit="1" customWidth="1"/>
    <col min="11017" max="11017" width="18.5703125" style="253" bestFit="1" customWidth="1"/>
    <col min="11018" max="11020" width="15.7109375" style="253" customWidth="1"/>
    <col min="11021" max="11021" width="20" style="253" customWidth="1"/>
    <col min="11022" max="11022" width="18.5703125" style="253" bestFit="1" customWidth="1"/>
    <col min="11023" max="11023" width="13.7109375" style="253" customWidth="1"/>
    <col min="11024" max="11024" width="54.5703125" style="253" bestFit="1" customWidth="1"/>
    <col min="11025" max="11263" width="9.140625" style="253"/>
    <col min="11264" max="11264" width="2.85546875" style="253" customWidth="1"/>
    <col min="11265" max="11265" width="5" style="253" customWidth="1"/>
    <col min="11266" max="11266" width="62" style="253" customWidth="1"/>
    <col min="11267" max="11267" width="12.7109375" style="253" bestFit="1" customWidth="1"/>
    <col min="11268" max="11268" width="1.7109375" style="253" customWidth="1"/>
    <col min="11269" max="11271" width="15.7109375" style="253" customWidth="1"/>
    <col min="11272" max="11272" width="17.85546875" style="253" bestFit="1" customWidth="1"/>
    <col min="11273" max="11273" width="18.5703125" style="253" bestFit="1" customWidth="1"/>
    <col min="11274" max="11276" width="15.7109375" style="253" customWidth="1"/>
    <col min="11277" max="11277" width="20" style="253" customWidth="1"/>
    <col min="11278" max="11278" width="18.5703125" style="253" bestFit="1" customWidth="1"/>
    <col min="11279" max="11279" width="13.7109375" style="253" customWidth="1"/>
    <col min="11280" max="11280" width="54.5703125" style="253" bestFit="1" customWidth="1"/>
    <col min="11281" max="11519" width="9.140625" style="253"/>
    <col min="11520" max="11520" width="2.85546875" style="253" customWidth="1"/>
    <col min="11521" max="11521" width="5" style="253" customWidth="1"/>
    <col min="11522" max="11522" width="62" style="253" customWidth="1"/>
    <col min="11523" max="11523" width="12.7109375" style="253" bestFit="1" customWidth="1"/>
    <col min="11524" max="11524" width="1.7109375" style="253" customWidth="1"/>
    <col min="11525" max="11527" width="15.7109375" style="253" customWidth="1"/>
    <col min="11528" max="11528" width="17.85546875" style="253" bestFit="1" customWidth="1"/>
    <col min="11529" max="11529" width="18.5703125" style="253" bestFit="1" customWidth="1"/>
    <col min="11530" max="11532" width="15.7109375" style="253" customWidth="1"/>
    <col min="11533" max="11533" width="20" style="253" customWidth="1"/>
    <col min="11534" max="11534" width="18.5703125" style="253" bestFit="1" customWidth="1"/>
    <col min="11535" max="11535" width="13.7109375" style="253" customWidth="1"/>
    <col min="11536" max="11536" width="54.5703125" style="253" bestFit="1" customWidth="1"/>
    <col min="11537" max="11775" width="9.140625" style="253"/>
    <col min="11776" max="11776" width="2.85546875" style="253" customWidth="1"/>
    <col min="11777" max="11777" width="5" style="253" customWidth="1"/>
    <col min="11778" max="11778" width="62" style="253" customWidth="1"/>
    <col min="11779" max="11779" width="12.7109375" style="253" bestFit="1" customWidth="1"/>
    <col min="11780" max="11780" width="1.7109375" style="253" customWidth="1"/>
    <col min="11781" max="11783" width="15.7109375" style="253" customWidth="1"/>
    <col min="11784" max="11784" width="17.85546875" style="253" bestFit="1" customWidth="1"/>
    <col min="11785" max="11785" width="18.5703125" style="253" bestFit="1" customWidth="1"/>
    <col min="11786" max="11788" width="15.7109375" style="253" customWidth="1"/>
    <col min="11789" max="11789" width="20" style="253" customWidth="1"/>
    <col min="11790" max="11790" width="18.5703125" style="253" bestFit="1" customWidth="1"/>
    <col min="11791" max="11791" width="13.7109375" style="253" customWidth="1"/>
    <col min="11792" max="11792" width="54.5703125" style="253" bestFit="1" customWidth="1"/>
    <col min="11793" max="12031" width="9.140625" style="253"/>
    <col min="12032" max="12032" width="2.85546875" style="253" customWidth="1"/>
    <col min="12033" max="12033" width="5" style="253" customWidth="1"/>
    <col min="12034" max="12034" width="62" style="253" customWidth="1"/>
    <col min="12035" max="12035" width="12.7109375" style="253" bestFit="1" customWidth="1"/>
    <col min="12036" max="12036" width="1.7109375" style="253" customWidth="1"/>
    <col min="12037" max="12039" width="15.7109375" style="253" customWidth="1"/>
    <col min="12040" max="12040" width="17.85546875" style="253" bestFit="1" customWidth="1"/>
    <col min="12041" max="12041" width="18.5703125" style="253" bestFit="1" customWidth="1"/>
    <col min="12042" max="12044" width="15.7109375" style="253" customWidth="1"/>
    <col min="12045" max="12045" width="20" style="253" customWidth="1"/>
    <col min="12046" max="12046" width="18.5703125" style="253" bestFit="1" customWidth="1"/>
    <col min="12047" max="12047" width="13.7109375" style="253" customWidth="1"/>
    <col min="12048" max="12048" width="54.5703125" style="253" bestFit="1" customWidth="1"/>
    <col min="12049" max="12287" width="9.140625" style="253"/>
    <col min="12288" max="12288" width="2.85546875" style="253" customWidth="1"/>
    <col min="12289" max="12289" width="5" style="253" customWidth="1"/>
    <col min="12290" max="12290" width="62" style="253" customWidth="1"/>
    <col min="12291" max="12291" width="12.7109375" style="253" bestFit="1" customWidth="1"/>
    <col min="12292" max="12292" width="1.7109375" style="253" customWidth="1"/>
    <col min="12293" max="12295" width="15.7109375" style="253" customWidth="1"/>
    <col min="12296" max="12296" width="17.85546875" style="253" bestFit="1" customWidth="1"/>
    <col min="12297" max="12297" width="18.5703125" style="253" bestFit="1" customWidth="1"/>
    <col min="12298" max="12300" width="15.7109375" style="253" customWidth="1"/>
    <col min="12301" max="12301" width="20" style="253" customWidth="1"/>
    <col min="12302" max="12302" width="18.5703125" style="253" bestFit="1" customWidth="1"/>
    <col min="12303" max="12303" width="13.7109375" style="253" customWidth="1"/>
    <col min="12304" max="12304" width="54.5703125" style="253" bestFit="1" customWidth="1"/>
    <col min="12305" max="12543" width="9.140625" style="253"/>
    <col min="12544" max="12544" width="2.85546875" style="253" customWidth="1"/>
    <col min="12545" max="12545" width="5" style="253" customWidth="1"/>
    <col min="12546" max="12546" width="62" style="253" customWidth="1"/>
    <col min="12547" max="12547" width="12.7109375" style="253" bestFit="1" customWidth="1"/>
    <col min="12548" max="12548" width="1.7109375" style="253" customWidth="1"/>
    <col min="12549" max="12551" width="15.7109375" style="253" customWidth="1"/>
    <col min="12552" max="12552" width="17.85546875" style="253" bestFit="1" customWidth="1"/>
    <col min="12553" max="12553" width="18.5703125" style="253" bestFit="1" customWidth="1"/>
    <col min="12554" max="12556" width="15.7109375" style="253" customWidth="1"/>
    <col min="12557" max="12557" width="20" style="253" customWidth="1"/>
    <col min="12558" max="12558" width="18.5703125" style="253" bestFit="1" customWidth="1"/>
    <col min="12559" max="12559" width="13.7109375" style="253" customWidth="1"/>
    <col min="12560" max="12560" width="54.5703125" style="253" bestFit="1" customWidth="1"/>
    <col min="12561" max="12799" width="9.140625" style="253"/>
    <col min="12800" max="12800" width="2.85546875" style="253" customWidth="1"/>
    <col min="12801" max="12801" width="5" style="253" customWidth="1"/>
    <col min="12802" max="12802" width="62" style="253" customWidth="1"/>
    <col min="12803" max="12803" width="12.7109375" style="253" bestFit="1" customWidth="1"/>
    <col min="12804" max="12804" width="1.7109375" style="253" customWidth="1"/>
    <col min="12805" max="12807" width="15.7109375" style="253" customWidth="1"/>
    <col min="12808" max="12808" width="17.85546875" style="253" bestFit="1" customWidth="1"/>
    <col min="12809" max="12809" width="18.5703125" style="253" bestFit="1" customWidth="1"/>
    <col min="12810" max="12812" width="15.7109375" style="253" customWidth="1"/>
    <col min="12813" max="12813" width="20" style="253" customWidth="1"/>
    <col min="12814" max="12814" width="18.5703125" style="253" bestFit="1" customWidth="1"/>
    <col min="12815" max="12815" width="13.7109375" style="253" customWidth="1"/>
    <col min="12816" max="12816" width="54.5703125" style="253" bestFit="1" customWidth="1"/>
    <col min="12817" max="13055" width="9.140625" style="253"/>
    <col min="13056" max="13056" width="2.85546875" style="253" customWidth="1"/>
    <col min="13057" max="13057" width="5" style="253" customWidth="1"/>
    <col min="13058" max="13058" width="62" style="253" customWidth="1"/>
    <col min="13059" max="13059" width="12.7109375" style="253" bestFit="1" customWidth="1"/>
    <col min="13060" max="13060" width="1.7109375" style="253" customWidth="1"/>
    <col min="13061" max="13063" width="15.7109375" style="253" customWidth="1"/>
    <col min="13064" max="13064" width="17.85546875" style="253" bestFit="1" customWidth="1"/>
    <col min="13065" max="13065" width="18.5703125" style="253" bestFit="1" customWidth="1"/>
    <col min="13066" max="13068" width="15.7109375" style="253" customWidth="1"/>
    <col min="13069" max="13069" width="20" style="253" customWidth="1"/>
    <col min="13070" max="13070" width="18.5703125" style="253" bestFit="1" customWidth="1"/>
    <col min="13071" max="13071" width="13.7109375" style="253" customWidth="1"/>
    <col min="13072" max="13072" width="54.5703125" style="253" bestFit="1" customWidth="1"/>
    <col min="13073" max="13311" width="9.140625" style="253"/>
    <col min="13312" max="13312" width="2.85546875" style="253" customWidth="1"/>
    <col min="13313" max="13313" width="5" style="253" customWidth="1"/>
    <col min="13314" max="13314" width="62" style="253" customWidth="1"/>
    <col min="13315" max="13315" width="12.7109375" style="253" bestFit="1" customWidth="1"/>
    <col min="13316" max="13316" width="1.7109375" style="253" customWidth="1"/>
    <col min="13317" max="13319" width="15.7109375" style="253" customWidth="1"/>
    <col min="13320" max="13320" width="17.85546875" style="253" bestFit="1" customWidth="1"/>
    <col min="13321" max="13321" width="18.5703125" style="253" bestFit="1" customWidth="1"/>
    <col min="13322" max="13324" width="15.7109375" style="253" customWidth="1"/>
    <col min="13325" max="13325" width="20" style="253" customWidth="1"/>
    <col min="13326" max="13326" width="18.5703125" style="253" bestFit="1" customWidth="1"/>
    <col min="13327" max="13327" width="13.7109375" style="253" customWidth="1"/>
    <col min="13328" max="13328" width="54.5703125" style="253" bestFit="1" customWidth="1"/>
    <col min="13329" max="13567" width="9.140625" style="253"/>
    <col min="13568" max="13568" width="2.85546875" style="253" customWidth="1"/>
    <col min="13569" max="13569" width="5" style="253" customWidth="1"/>
    <col min="13570" max="13570" width="62" style="253" customWidth="1"/>
    <col min="13571" max="13571" width="12.7109375" style="253" bestFit="1" customWidth="1"/>
    <col min="13572" max="13572" width="1.7109375" style="253" customWidth="1"/>
    <col min="13573" max="13575" width="15.7109375" style="253" customWidth="1"/>
    <col min="13576" max="13576" width="17.85546875" style="253" bestFit="1" customWidth="1"/>
    <col min="13577" max="13577" width="18.5703125" style="253" bestFit="1" customWidth="1"/>
    <col min="13578" max="13580" width="15.7109375" style="253" customWidth="1"/>
    <col min="13581" max="13581" width="20" style="253" customWidth="1"/>
    <col min="13582" max="13582" width="18.5703125" style="253" bestFit="1" customWidth="1"/>
    <col min="13583" max="13583" width="13.7109375" style="253" customWidth="1"/>
    <col min="13584" max="13584" width="54.5703125" style="253" bestFit="1" customWidth="1"/>
    <col min="13585" max="13823" width="9.140625" style="253"/>
    <col min="13824" max="13824" width="2.85546875" style="253" customWidth="1"/>
    <col min="13825" max="13825" width="5" style="253" customWidth="1"/>
    <col min="13826" max="13826" width="62" style="253" customWidth="1"/>
    <col min="13827" max="13827" width="12.7109375" style="253" bestFit="1" customWidth="1"/>
    <col min="13828" max="13828" width="1.7109375" style="253" customWidth="1"/>
    <col min="13829" max="13831" width="15.7109375" style="253" customWidth="1"/>
    <col min="13832" max="13832" width="17.85546875" style="253" bestFit="1" customWidth="1"/>
    <col min="13833" max="13833" width="18.5703125" style="253" bestFit="1" customWidth="1"/>
    <col min="13834" max="13836" width="15.7109375" style="253" customWidth="1"/>
    <col min="13837" max="13837" width="20" style="253" customWidth="1"/>
    <col min="13838" max="13838" width="18.5703125" style="253" bestFit="1" customWidth="1"/>
    <col min="13839" max="13839" width="13.7109375" style="253" customWidth="1"/>
    <col min="13840" max="13840" width="54.5703125" style="253" bestFit="1" customWidth="1"/>
    <col min="13841" max="14079" width="9.140625" style="253"/>
    <col min="14080" max="14080" width="2.85546875" style="253" customWidth="1"/>
    <col min="14081" max="14081" width="5" style="253" customWidth="1"/>
    <col min="14082" max="14082" width="62" style="253" customWidth="1"/>
    <col min="14083" max="14083" width="12.7109375" style="253" bestFit="1" customWidth="1"/>
    <col min="14084" max="14084" width="1.7109375" style="253" customWidth="1"/>
    <col min="14085" max="14087" width="15.7109375" style="253" customWidth="1"/>
    <col min="14088" max="14088" width="17.85546875" style="253" bestFit="1" customWidth="1"/>
    <col min="14089" max="14089" width="18.5703125" style="253" bestFit="1" customWidth="1"/>
    <col min="14090" max="14092" width="15.7109375" style="253" customWidth="1"/>
    <col min="14093" max="14093" width="20" style="253" customWidth="1"/>
    <col min="14094" max="14094" width="18.5703125" style="253" bestFit="1" customWidth="1"/>
    <col min="14095" max="14095" width="13.7109375" style="253" customWidth="1"/>
    <col min="14096" max="14096" width="54.5703125" style="253" bestFit="1" customWidth="1"/>
    <col min="14097" max="14335" width="9.140625" style="253"/>
    <col min="14336" max="14336" width="2.85546875" style="253" customWidth="1"/>
    <col min="14337" max="14337" width="5" style="253" customWidth="1"/>
    <col min="14338" max="14338" width="62" style="253" customWidth="1"/>
    <col min="14339" max="14339" width="12.7109375" style="253" bestFit="1" customWidth="1"/>
    <col min="14340" max="14340" width="1.7109375" style="253" customWidth="1"/>
    <col min="14341" max="14343" width="15.7109375" style="253" customWidth="1"/>
    <col min="14344" max="14344" width="17.85546875" style="253" bestFit="1" customWidth="1"/>
    <col min="14345" max="14345" width="18.5703125" style="253" bestFit="1" customWidth="1"/>
    <col min="14346" max="14348" width="15.7109375" style="253" customWidth="1"/>
    <col min="14349" max="14349" width="20" style="253" customWidth="1"/>
    <col min="14350" max="14350" width="18.5703125" style="253" bestFit="1" customWidth="1"/>
    <col min="14351" max="14351" width="13.7109375" style="253" customWidth="1"/>
    <col min="14352" max="14352" width="54.5703125" style="253" bestFit="1" customWidth="1"/>
    <col min="14353" max="14591" width="9.140625" style="253"/>
    <col min="14592" max="14592" width="2.85546875" style="253" customWidth="1"/>
    <col min="14593" max="14593" width="5" style="253" customWidth="1"/>
    <col min="14594" max="14594" width="62" style="253" customWidth="1"/>
    <col min="14595" max="14595" width="12.7109375" style="253" bestFit="1" customWidth="1"/>
    <col min="14596" max="14596" width="1.7109375" style="253" customWidth="1"/>
    <col min="14597" max="14599" width="15.7109375" style="253" customWidth="1"/>
    <col min="14600" max="14600" width="17.85546875" style="253" bestFit="1" customWidth="1"/>
    <col min="14601" max="14601" width="18.5703125" style="253" bestFit="1" customWidth="1"/>
    <col min="14602" max="14604" width="15.7109375" style="253" customWidth="1"/>
    <col min="14605" max="14605" width="20" style="253" customWidth="1"/>
    <col min="14606" max="14606" width="18.5703125" style="253" bestFit="1" customWidth="1"/>
    <col min="14607" max="14607" width="13.7109375" style="253" customWidth="1"/>
    <col min="14608" max="14608" width="54.5703125" style="253" bestFit="1" customWidth="1"/>
    <col min="14609" max="14847" width="9.140625" style="253"/>
    <col min="14848" max="14848" width="2.85546875" style="253" customWidth="1"/>
    <col min="14849" max="14849" width="5" style="253" customWidth="1"/>
    <col min="14850" max="14850" width="62" style="253" customWidth="1"/>
    <col min="14851" max="14851" width="12.7109375" style="253" bestFit="1" customWidth="1"/>
    <col min="14852" max="14852" width="1.7109375" style="253" customWidth="1"/>
    <col min="14853" max="14855" width="15.7109375" style="253" customWidth="1"/>
    <col min="14856" max="14856" width="17.85546875" style="253" bestFit="1" customWidth="1"/>
    <col min="14857" max="14857" width="18.5703125" style="253" bestFit="1" customWidth="1"/>
    <col min="14858" max="14860" width="15.7109375" style="253" customWidth="1"/>
    <col min="14861" max="14861" width="20" style="253" customWidth="1"/>
    <col min="14862" max="14862" width="18.5703125" style="253" bestFit="1" customWidth="1"/>
    <col min="14863" max="14863" width="13.7109375" style="253" customWidth="1"/>
    <col min="14864" max="14864" width="54.5703125" style="253" bestFit="1" customWidth="1"/>
    <col min="14865" max="15103" width="9.140625" style="253"/>
    <col min="15104" max="15104" width="2.85546875" style="253" customWidth="1"/>
    <col min="15105" max="15105" width="5" style="253" customWidth="1"/>
    <col min="15106" max="15106" width="62" style="253" customWidth="1"/>
    <col min="15107" max="15107" width="12.7109375" style="253" bestFit="1" customWidth="1"/>
    <col min="15108" max="15108" width="1.7109375" style="253" customWidth="1"/>
    <col min="15109" max="15111" width="15.7109375" style="253" customWidth="1"/>
    <col min="15112" max="15112" width="17.85546875" style="253" bestFit="1" customWidth="1"/>
    <col min="15113" max="15113" width="18.5703125" style="253" bestFit="1" customWidth="1"/>
    <col min="15114" max="15116" width="15.7109375" style="253" customWidth="1"/>
    <col min="15117" max="15117" width="20" style="253" customWidth="1"/>
    <col min="15118" max="15118" width="18.5703125" style="253" bestFit="1" customWidth="1"/>
    <col min="15119" max="15119" width="13.7109375" style="253" customWidth="1"/>
    <col min="15120" max="15120" width="54.5703125" style="253" bestFit="1" customWidth="1"/>
    <col min="15121" max="15359" width="9.140625" style="253"/>
    <col min="15360" max="15360" width="2.85546875" style="253" customWidth="1"/>
    <col min="15361" max="15361" width="5" style="253" customWidth="1"/>
    <col min="15362" max="15362" width="62" style="253" customWidth="1"/>
    <col min="15363" max="15363" width="12.7109375" style="253" bestFit="1" customWidth="1"/>
    <col min="15364" max="15364" width="1.7109375" style="253" customWidth="1"/>
    <col min="15365" max="15367" width="15.7109375" style="253" customWidth="1"/>
    <col min="15368" max="15368" width="17.85546875" style="253" bestFit="1" customWidth="1"/>
    <col min="15369" max="15369" width="18.5703125" style="253" bestFit="1" customWidth="1"/>
    <col min="15370" max="15372" width="15.7109375" style="253" customWidth="1"/>
    <col min="15373" max="15373" width="20" style="253" customWidth="1"/>
    <col min="15374" max="15374" width="18.5703125" style="253" bestFit="1" customWidth="1"/>
    <col min="15375" max="15375" width="13.7109375" style="253" customWidth="1"/>
    <col min="15376" max="15376" width="54.5703125" style="253" bestFit="1" customWidth="1"/>
    <col min="15377" max="15615" width="9.140625" style="253"/>
    <col min="15616" max="15616" width="2.85546875" style="253" customWidth="1"/>
    <col min="15617" max="15617" width="5" style="253" customWidth="1"/>
    <col min="15618" max="15618" width="62" style="253" customWidth="1"/>
    <col min="15619" max="15619" width="12.7109375" style="253" bestFit="1" customWidth="1"/>
    <col min="15620" max="15620" width="1.7109375" style="253" customWidth="1"/>
    <col min="15621" max="15623" width="15.7109375" style="253" customWidth="1"/>
    <col min="15624" max="15624" width="17.85546875" style="253" bestFit="1" customWidth="1"/>
    <col min="15625" max="15625" width="18.5703125" style="253" bestFit="1" customWidth="1"/>
    <col min="15626" max="15628" width="15.7109375" style="253" customWidth="1"/>
    <col min="15629" max="15629" width="20" style="253" customWidth="1"/>
    <col min="15630" max="15630" width="18.5703125" style="253" bestFit="1" customWidth="1"/>
    <col min="15631" max="15631" width="13.7109375" style="253" customWidth="1"/>
    <col min="15632" max="15632" width="54.5703125" style="253" bestFit="1" customWidth="1"/>
    <col min="15633" max="15871" width="9.140625" style="253"/>
    <col min="15872" max="15872" width="2.85546875" style="253" customWidth="1"/>
    <col min="15873" max="15873" width="5" style="253" customWidth="1"/>
    <col min="15874" max="15874" width="62" style="253" customWidth="1"/>
    <col min="15875" max="15875" width="12.7109375" style="253" bestFit="1" customWidth="1"/>
    <col min="15876" max="15876" width="1.7109375" style="253" customWidth="1"/>
    <col min="15877" max="15879" width="15.7109375" style="253" customWidth="1"/>
    <col min="15880" max="15880" width="17.85546875" style="253" bestFit="1" customWidth="1"/>
    <col min="15881" max="15881" width="18.5703125" style="253" bestFit="1" customWidth="1"/>
    <col min="15882" max="15884" width="15.7109375" style="253" customWidth="1"/>
    <col min="15885" max="15885" width="20" style="253" customWidth="1"/>
    <col min="15886" max="15886" width="18.5703125" style="253" bestFit="1" customWidth="1"/>
    <col min="15887" max="15887" width="13.7109375" style="253" customWidth="1"/>
    <col min="15888" max="15888" width="54.5703125" style="253" bestFit="1" customWidth="1"/>
    <col min="15889" max="16127" width="9.140625" style="253"/>
    <col min="16128" max="16128" width="2.85546875" style="253" customWidth="1"/>
    <col min="16129" max="16129" width="5" style="253" customWidth="1"/>
    <col min="16130" max="16130" width="62" style="253" customWidth="1"/>
    <col min="16131" max="16131" width="12.7109375" style="253" bestFit="1" customWidth="1"/>
    <col min="16132" max="16132" width="1.7109375" style="253" customWidth="1"/>
    <col min="16133" max="16135" width="15.7109375" style="253" customWidth="1"/>
    <col min="16136" max="16136" width="17.85546875" style="253" bestFit="1" customWidth="1"/>
    <col min="16137" max="16137" width="18.5703125" style="253" bestFit="1" customWidth="1"/>
    <col min="16138" max="16140" width="15.7109375" style="253" customWidth="1"/>
    <col min="16141" max="16141" width="20" style="253" customWidth="1"/>
    <col min="16142" max="16142" width="18.5703125" style="253" bestFit="1" customWidth="1"/>
    <col min="16143" max="16143" width="13.7109375" style="253" customWidth="1"/>
    <col min="16144" max="16144" width="54.5703125" style="253" bestFit="1" customWidth="1"/>
    <col min="16145" max="16384" width="9.140625" style="253"/>
  </cols>
  <sheetData>
    <row r="1" spans="1:16" x14ac:dyDescent="0.2">
      <c r="F1" s="256"/>
      <c r="K1" s="254"/>
      <c r="L1" s="16" t="s">
        <v>444</v>
      </c>
      <c r="M1" s="250" t="str">
        <f>'LDC Info'!$E$18</f>
        <v>EB-2012-0107</v>
      </c>
    </row>
    <row r="2" spans="1:16" x14ac:dyDescent="0.2">
      <c r="F2" s="256"/>
      <c r="K2" s="254"/>
      <c r="L2" s="16" t="s">
        <v>445</v>
      </c>
      <c r="M2" s="251">
        <v>2</v>
      </c>
    </row>
    <row r="3" spans="1:16" x14ac:dyDescent="0.2">
      <c r="F3" s="256"/>
      <c r="K3" s="254"/>
      <c r="L3" s="16" t="s">
        <v>446</v>
      </c>
      <c r="M3" s="251">
        <v>2</v>
      </c>
    </row>
    <row r="4" spans="1:16" x14ac:dyDescent="0.2">
      <c r="F4" s="256"/>
      <c r="K4" s="254"/>
      <c r="L4" s="16" t="s">
        <v>447</v>
      </c>
      <c r="M4" s="251">
        <v>2</v>
      </c>
    </row>
    <row r="5" spans="1:16" x14ac:dyDescent="0.2">
      <c r="F5" s="256"/>
      <c r="K5" s="254"/>
      <c r="L5" s="16" t="s">
        <v>1036</v>
      </c>
      <c r="M5" s="252">
        <v>2</v>
      </c>
    </row>
    <row r="6" spans="1:16" x14ac:dyDescent="0.2">
      <c r="F6" s="256"/>
      <c r="K6" s="254"/>
      <c r="L6" s="16"/>
      <c r="M6" s="250"/>
    </row>
    <row r="7" spans="1:16" x14ac:dyDescent="0.2">
      <c r="F7" s="256"/>
      <c r="K7" s="254"/>
      <c r="L7" s="16" t="s">
        <v>449</v>
      </c>
      <c r="M7" s="934"/>
    </row>
    <row r="8" spans="1:16" ht="8.25" customHeight="1" x14ac:dyDescent="0.2"/>
    <row r="9" spans="1:16" ht="21" customHeight="1" x14ac:dyDescent="0.2">
      <c r="A9" s="1273" t="s">
        <v>666</v>
      </c>
      <c r="B9" s="1273"/>
      <c r="C9" s="1273"/>
      <c r="D9" s="1273"/>
      <c r="E9" s="1273"/>
      <c r="F9" s="1273"/>
      <c r="G9" s="1273"/>
      <c r="H9" s="1273"/>
      <c r="I9" s="1273"/>
      <c r="J9" s="1273"/>
      <c r="K9" s="1273"/>
      <c r="L9" s="1273"/>
      <c r="M9" s="1273"/>
      <c r="N9" s="286"/>
      <c r="O9" s="286"/>
      <c r="P9" s="286"/>
    </row>
    <row r="10" spans="1:16" ht="19.5" customHeight="1" x14ac:dyDescent="0.2">
      <c r="A10" s="1273" t="s">
        <v>658</v>
      </c>
      <c r="B10" s="1273"/>
      <c r="C10" s="1273"/>
      <c r="D10" s="1273"/>
      <c r="E10" s="1273"/>
      <c r="F10" s="1273"/>
      <c r="G10" s="1273"/>
      <c r="H10" s="1273"/>
      <c r="I10" s="1273"/>
      <c r="J10" s="1273"/>
      <c r="K10" s="1273"/>
      <c r="L10" s="1273"/>
      <c r="M10" s="1273"/>
      <c r="N10" s="287"/>
      <c r="O10" s="287"/>
      <c r="P10" s="287"/>
    </row>
    <row r="12" spans="1:16" ht="33.75" customHeight="1" x14ac:dyDescent="0.2">
      <c r="A12" s="1294" t="s">
        <v>570</v>
      </c>
      <c r="B12" s="1294"/>
      <c r="C12" s="1294"/>
      <c r="D12" s="1294"/>
      <c r="E12" s="1294"/>
      <c r="F12" s="1294"/>
      <c r="G12" s="1294"/>
      <c r="H12" s="1294"/>
      <c r="I12" s="1294"/>
      <c r="J12" s="1294"/>
      <c r="K12" s="1294"/>
      <c r="L12" s="1294"/>
      <c r="M12" s="1294"/>
      <c r="N12" s="287"/>
      <c r="O12" s="287"/>
      <c r="P12" s="287"/>
    </row>
    <row r="13" spans="1:16" ht="15" thickBot="1" x14ac:dyDescent="0.25">
      <c r="E13" s="288" t="s">
        <v>571</v>
      </c>
      <c r="F13" s="288" t="s">
        <v>49</v>
      </c>
      <c r="G13" s="288" t="s">
        <v>376</v>
      </c>
      <c r="H13" s="288" t="s">
        <v>50</v>
      </c>
      <c r="I13" s="288" t="s">
        <v>572</v>
      </c>
      <c r="J13" s="288" t="s">
        <v>238</v>
      </c>
      <c r="K13" s="288" t="s">
        <v>239</v>
      </c>
    </row>
    <row r="14" spans="1:16" x14ac:dyDescent="0.2">
      <c r="A14" s="1295" t="s">
        <v>573</v>
      </c>
      <c r="B14" s="1296"/>
      <c r="C14" s="1297"/>
      <c r="D14" s="289"/>
      <c r="E14" s="304" t="s">
        <v>574</v>
      </c>
      <c r="F14" s="304" t="s">
        <v>574</v>
      </c>
      <c r="G14" s="304" t="s">
        <v>574</v>
      </c>
      <c r="H14" s="290" t="s">
        <v>575</v>
      </c>
      <c r="I14" s="290" t="s">
        <v>575</v>
      </c>
      <c r="J14" s="290" t="s">
        <v>576</v>
      </c>
      <c r="K14" s="1304" t="s">
        <v>577</v>
      </c>
      <c r="L14" s="1305"/>
      <c r="M14" s="1306"/>
    </row>
    <row r="15" spans="1:16" x14ac:dyDescent="0.2">
      <c r="A15" s="1298"/>
      <c r="B15" s="1299"/>
      <c r="C15" s="1300"/>
      <c r="D15" s="291"/>
      <c r="E15" s="305" t="s">
        <v>578</v>
      </c>
      <c r="F15" s="305" t="s">
        <v>578</v>
      </c>
      <c r="G15" s="305" t="s">
        <v>578</v>
      </c>
      <c r="H15" s="292" t="s">
        <v>579</v>
      </c>
      <c r="I15" s="292" t="s">
        <v>579</v>
      </c>
      <c r="J15" s="292" t="s">
        <v>580</v>
      </c>
      <c r="K15" s="1307" t="s">
        <v>581</v>
      </c>
      <c r="L15" s="1308"/>
      <c r="M15" s="1309"/>
    </row>
    <row r="16" spans="1:16" ht="13.5" thickBot="1" x14ac:dyDescent="0.25">
      <c r="A16" s="1301"/>
      <c r="B16" s="1302"/>
      <c r="C16" s="1303"/>
      <c r="D16" s="291"/>
      <c r="E16" s="306" t="s">
        <v>582</v>
      </c>
      <c r="F16" s="306" t="s">
        <v>456</v>
      </c>
      <c r="G16" s="306" t="s">
        <v>457</v>
      </c>
      <c r="H16" s="293" t="s">
        <v>583</v>
      </c>
      <c r="I16" s="293" t="s">
        <v>584</v>
      </c>
      <c r="J16" s="293" t="s">
        <v>585</v>
      </c>
      <c r="K16" s="1310" t="s">
        <v>586</v>
      </c>
      <c r="L16" s="1311"/>
      <c r="M16" s="1312"/>
    </row>
    <row r="17" spans="1:13" x14ac:dyDescent="0.2">
      <c r="A17" s="1313" t="s">
        <v>587</v>
      </c>
      <c r="B17" s="1314"/>
      <c r="C17" s="1315"/>
      <c r="D17" s="291"/>
      <c r="E17" s="309">
        <v>127044</v>
      </c>
      <c r="F17" s="310">
        <v>191156</v>
      </c>
      <c r="G17" s="310">
        <v>200874</v>
      </c>
      <c r="H17" s="295">
        <f t="shared" ref="H17:H30" si="0">+G17-F17</f>
        <v>9718</v>
      </c>
      <c r="I17" s="295">
        <f t="shared" ref="I17:I30" si="1">+G17-E17</f>
        <v>73830</v>
      </c>
      <c r="J17" s="378" t="s">
        <v>941</v>
      </c>
      <c r="K17" s="1319" t="s">
        <v>942</v>
      </c>
      <c r="L17" s="1320"/>
      <c r="M17" s="1321"/>
    </row>
    <row r="18" spans="1:13" x14ac:dyDescent="0.2">
      <c r="A18" s="1322" t="s">
        <v>588</v>
      </c>
      <c r="B18" s="1323"/>
      <c r="C18" s="1324"/>
      <c r="D18" s="291"/>
      <c r="E18" s="310">
        <v>0</v>
      </c>
      <c r="F18" s="310">
        <v>0</v>
      </c>
      <c r="G18" s="310">
        <v>0</v>
      </c>
      <c r="H18" s="295">
        <f t="shared" si="0"/>
        <v>0</v>
      </c>
      <c r="I18" s="295">
        <f t="shared" si="1"/>
        <v>0</v>
      </c>
      <c r="J18" s="378"/>
      <c r="K18" s="1316"/>
      <c r="L18" s="1317"/>
      <c r="M18" s="1318"/>
    </row>
    <row r="19" spans="1:13" x14ac:dyDescent="0.2">
      <c r="A19" s="1313" t="s">
        <v>589</v>
      </c>
      <c r="B19" s="1314"/>
      <c r="C19" s="1315"/>
      <c r="D19" s="291"/>
      <c r="E19" s="310">
        <v>0</v>
      </c>
      <c r="F19" s="310">
        <v>0</v>
      </c>
      <c r="G19" s="310">
        <v>0</v>
      </c>
      <c r="H19" s="295">
        <f t="shared" si="0"/>
        <v>0</v>
      </c>
      <c r="I19" s="295">
        <f t="shared" si="1"/>
        <v>0</v>
      </c>
      <c r="J19" s="378"/>
      <c r="K19" s="1316"/>
      <c r="L19" s="1317"/>
      <c r="M19" s="1318"/>
    </row>
    <row r="20" spans="1:13" x14ac:dyDescent="0.2">
      <c r="A20" s="1325" t="s">
        <v>590</v>
      </c>
      <c r="B20" s="1326"/>
      <c r="C20" s="1327"/>
      <c r="D20" s="291"/>
      <c r="E20" s="310">
        <v>0</v>
      </c>
      <c r="F20" s="310">
        <v>0</v>
      </c>
      <c r="G20" s="310">
        <v>0</v>
      </c>
      <c r="H20" s="295">
        <f t="shared" si="0"/>
        <v>0</v>
      </c>
      <c r="I20" s="295">
        <f t="shared" si="1"/>
        <v>0</v>
      </c>
      <c r="J20" s="378"/>
      <c r="K20" s="1316"/>
      <c r="L20" s="1317"/>
      <c r="M20" s="1318"/>
    </row>
    <row r="21" spans="1:13" x14ac:dyDescent="0.2">
      <c r="A21" s="1322" t="s">
        <v>591</v>
      </c>
      <c r="B21" s="1323"/>
      <c r="C21" s="1324"/>
      <c r="D21" s="291"/>
      <c r="E21" s="310">
        <v>0</v>
      </c>
      <c r="F21" s="310">
        <v>0</v>
      </c>
      <c r="G21" s="310">
        <v>0</v>
      </c>
      <c r="H21" s="295">
        <f t="shared" si="0"/>
        <v>0</v>
      </c>
      <c r="I21" s="295">
        <f t="shared" si="1"/>
        <v>0</v>
      </c>
      <c r="J21" s="378"/>
      <c r="K21" s="1316"/>
      <c r="L21" s="1317"/>
      <c r="M21" s="1318"/>
    </row>
    <row r="22" spans="1:13" x14ac:dyDescent="0.2">
      <c r="A22" s="296"/>
      <c r="B22" s="297"/>
      <c r="C22" s="371"/>
      <c r="D22" s="291"/>
      <c r="E22" s="310"/>
      <c r="F22" s="310"/>
      <c r="G22" s="310"/>
      <c r="H22" s="295">
        <f t="shared" si="0"/>
        <v>0</v>
      </c>
      <c r="I22" s="295">
        <f t="shared" si="1"/>
        <v>0</v>
      </c>
      <c r="J22" s="378"/>
      <c r="K22" s="1316"/>
      <c r="L22" s="1317"/>
      <c r="M22" s="1318"/>
    </row>
    <row r="23" spans="1:13" x14ac:dyDescent="0.2">
      <c r="A23" s="1313" t="s">
        <v>592</v>
      </c>
      <c r="B23" s="1314"/>
      <c r="C23" s="1315"/>
      <c r="D23" s="291"/>
      <c r="E23" s="310">
        <v>0</v>
      </c>
      <c r="F23" s="310">
        <v>0</v>
      </c>
      <c r="G23" s="310">
        <v>0</v>
      </c>
      <c r="H23" s="295">
        <f t="shared" si="0"/>
        <v>0</v>
      </c>
      <c r="I23" s="295">
        <f t="shared" si="1"/>
        <v>0</v>
      </c>
      <c r="J23" s="378"/>
      <c r="K23" s="1316"/>
      <c r="L23" s="1317"/>
      <c r="M23" s="1318"/>
    </row>
    <row r="24" spans="1:13" ht="24.95" customHeight="1" x14ac:dyDescent="0.2">
      <c r="A24" s="1325" t="s">
        <v>593</v>
      </c>
      <c r="B24" s="1326"/>
      <c r="C24" s="1327"/>
      <c r="D24" s="291"/>
      <c r="E24" s="310">
        <v>0</v>
      </c>
      <c r="F24" s="310">
        <v>0</v>
      </c>
      <c r="G24" s="310">
        <v>0</v>
      </c>
      <c r="H24" s="295">
        <f t="shared" si="0"/>
        <v>0</v>
      </c>
      <c r="I24" s="295">
        <f t="shared" si="1"/>
        <v>0</v>
      </c>
      <c r="J24" s="378"/>
      <c r="K24" s="1316"/>
      <c r="L24" s="1317"/>
      <c r="M24" s="1318"/>
    </row>
    <row r="25" spans="1:13" ht="24.95" customHeight="1" x14ac:dyDescent="0.2">
      <c r="A25" s="1325" t="s">
        <v>594</v>
      </c>
      <c r="B25" s="1326"/>
      <c r="C25" s="1327"/>
      <c r="D25" s="291"/>
      <c r="E25" s="310">
        <v>0</v>
      </c>
      <c r="F25" s="310">
        <v>0</v>
      </c>
      <c r="G25" s="310">
        <v>0</v>
      </c>
      <c r="H25" s="295">
        <f t="shared" si="0"/>
        <v>0</v>
      </c>
      <c r="I25" s="295">
        <f t="shared" si="1"/>
        <v>0</v>
      </c>
      <c r="J25" s="378"/>
      <c r="K25" s="1316"/>
      <c r="L25" s="1317"/>
      <c r="M25" s="1318"/>
    </row>
    <row r="26" spans="1:13" x14ac:dyDescent="0.2">
      <c r="A26" s="1322" t="s">
        <v>595</v>
      </c>
      <c r="B26" s="1323"/>
      <c r="C26" s="1324"/>
      <c r="D26" s="291"/>
      <c r="E26" s="310">
        <v>578076</v>
      </c>
      <c r="F26" s="310">
        <v>0</v>
      </c>
      <c r="G26" s="310">
        <v>0</v>
      </c>
      <c r="H26" s="295">
        <f t="shared" si="0"/>
        <v>0</v>
      </c>
      <c r="I26" s="295">
        <f t="shared" si="1"/>
        <v>-578076</v>
      </c>
      <c r="J26" s="378"/>
      <c r="K26" s="1316"/>
      <c r="L26" s="1317"/>
      <c r="M26" s="1318"/>
    </row>
    <row r="27" spans="1:13" ht="13.5" customHeight="1" x14ac:dyDescent="0.2">
      <c r="A27" s="1313"/>
      <c r="B27" s="1314"/>
      <c r="C27" s="1315"/>
      <c r="D27" s="291"/>
      <c r="E27" s="310"/>
      <c r="F27" s="310"/>
      <c r="G27" s="310"/>
      <c r="H27" s="295">
        <f t="shared" si="0"/>
        <v>0</v>
      </c>
      <c r="I27" s="295">
        <f t="shared" si="1"/>
        <v>0</v>
      </c>
      <c r="J27" s="378"/>
      <c r="K27" s="1316"/>
      <c r="L27" s="1317"/>
      <c r="M27" s="1318"/>
    </row>
    <row r="28" spans="1:13" ht="13.5" customHeight="1" x14ac:dyDescent="0.2">
      <c r="A28" s="1322"/>
      <c r="B28" s="1323"/>
      <c r="C28" s="1324"/>
      <c r="D28" s="291"/>
      <c r="E28" s="310"/>
      <c r="F28" s="310"/>
      <c r="G28" s="310"/>
      <c r="H28" s="295">
        <f t="shared" si="0"/>
        <v>0</v>
      </c>
      <c r="I28" s="295">
        <f t="shared" si="1"/>
        <v>0</v>
      </c>
      <c r="J28" s="378"/>
      <c r="K28" s="1316"/>
      <c r="L28" s="1317"/>
      <c r="M28" s="1318"/>
    </row>
    <row r="29" spans="1:13" ht="27" customHeight="1" x14ac:dyDescent="0.2">
      <c r="A29" s="1322"/>
      <c r="B29" s="1323"/>
      <c r="C29" s="1324"/>
      <c r="D29" s="291"/>
      <c r="E29" s="310"/>
      <c r="F29" s="310"/>
      <c r="G29" s="310"/>
      <c r="H29" s="295">
        <f t="shared" si="0"/>
        <v>0</v>
      </c>
      <c r="I29" s="295">
        <f t="shared" si="1"/>
        <v>0</v>
      </c>
      <c r="J29" s="378"/>
      <c r="K29" s="1316"/>
      <c r="L29" s="1317"/>
      <c r="M29" s="1318"/>
    </row>
    <row r="30" spans="1:13" ht="13.5" thickBot="1" x14ac:dyDescent="0.25">
      <c r="A30" s="1334" t="s">
        <v>316</v>
      </c>
      <c r="B30" s="1335"/>
      <c r="C30" s="1336"/>
      <c r="D30" s="375"/>
      <c r="E30" s="311"/>
      <c r="F30" s="311"/>
      <c r="G30" s="311"/>
      <c r="H30" s="373">
        <f t="shared" si="0"/>
        <v>0</v>
      </c>
      <c r="I30" s="373">
        <f t="shared" si="1"/>
        <v>0</v>
      </c>
      <c r="J30" s="379"/>
      <c r="K30" s="1337"/>
      <c r="L30" s="1338"/>
      <c r="M30" s="1339"/>
    </row>
    <row r="31" spans="1:13" ht="14.25" thickTop="1" thickBot="1" x14ac:dyDescent="0.25">
      <c r="A31" s="1340" t="s">
        <v>439</v>
      </c>
      <c r="B31" s="1341"/>
      <c r="C31" s="1342"/>
      <c r="D31" s="370"/>
      <c r="E31" s="121">
        <f>SUM(E17:E30)</f>
        <v>705120</v>
      </c>
      <c r="F31" s="121">
        <f>SUM(F17:F30)</f>
        <v>191156</v>
      </c>
      <c r="G31" s="121">
        <f>SUM(G17:G30)</f>
        <v>200874</v>
      </c>
      <c r="H31" s="121">
        <f>SUM(H17:H30)</f>
        <v>9718</v>
      </c>
      <c r="I31" s="121">
        <f>SUM(I17:I30)</f>
        <v>-504246</v>
      </c>
      <c r="J31" s="374"/>
      <c r="K31" s="1343"/>
      <c r="L31" s="1344"/>
      <c r="M31" s="1345"/>
    </row>
    <row r="32" spans="1:13" x14ac:dyDescent="0.2">
      <c r="A32" s="299"/>
      <c r="B32" s="299"/>
      <c r="C32" s="299"/>
      <c r="D32" s="300"/>
      <c r="E32" s="301"/>
      <c r="F32" s="301"/>
      <c r="G32" s="301"/>
      <c r="H32" s="301"/>
      <c r="I32" s="301"/>
      <c r="J32" s="301"/>
      <c r="K32" s="301"/>
      <c r="L32" s="301"/>
    </row>
    <row r="33" spans="1:16" x14ac:dyDescent="0.2">
      <c r="A33" s="299"/>
      <c r="B33" s="299"/>
      <c r="C33" s="299"/>
      <c r="D33" s="300"/>
      <c r="E33" s="301"/>
      <c r="F33" s="301"/>
      <c r="G33" s="301"/>
      <c r="H33" s="301"/>
      <c r="I33" s="301"/>
      <c r="J33" s="301"/>
      <c r="K33" s="301"/>
      <c r="L33" s="301"/>
    </row>
    <row r="34" spans="1:16" ht="27" customHeight="1" x14ac:dyDescent="0.2">
      <c r="A34" s="1294" t="s">
        <v>596</v>
      </c>
      <c r="B34" s="1294"/>
      <c r="C34" s="1294"/>
      <c r="D34" s="1294"/>
      <c r="E34" s="1294"/>
      <c r="F34" s="1294"/>
      <c r="G34" s="1294"/>
      <c r="H34" s="1294"/>
      <c r="I34" s="1294"/>
      <c r="J34" s="1294"/>
      <c r="K34" s="1294"/>
      <c r="L34" s="1294"/>
      <c r="M34" s="1294"/>
      <c r="N34" s="278"/>
      <c r="O34" s="278"/>
      <c r="P34" s="278"/>
    </row>
    <row r="35" spans="1:16" ht="15" thickBot="1" x14ac:dyDescent="0.25">
      <c r="E35" s="288" t="s">
        <v>571</v>
      </c>
      <c r="F35" s="288" t="s">
        <v>49</v>
      </c>
      <c r="G35" s="288" t="s">
        <v>376</v>
      </c>
      <c r="H35" s="288" t="s">
        <v>50</v>
      </c>
      <c r="I35" s="288" t="s">
        <v>572</v>
      </c>
      <c r="J35" s="288" t="s">
        <v>238</v>
      </c>
      <c r="K35" s="288" t="s">
        <v>239</v>
      </c>
    </row>
    <row r="36" spans="1:16" ht="12.75" customHeight="1" x14ac:dyDescent="0.2">
      <c r="A36" s="1295" t="s">
        <v>573</v>
      </c>
      <c r="B36" s="1296"/>
      <c r="C36" s="1297"/>
      <c r="D36" s="289"/>
      <c r="E36" s="304" t="s">
        <v>574</v>
      </c>
      <c r="F36" s="304" t="s">
        <v>574</v>
      </c>
      <c r="G36" s="304" t="s">
        <v>574</v>
      </c>
      <c r="H36" s="290" t="s">
        <v>575</v>
      </c>
      <c r="I36" s="290" t="s">
        <v>575</v>
      </c>
      <c r="J36" s="290" t="s">
        <v>576</v>
      </c>
      <c r="K36" s="1304" t="s">
        <v>597</v>
      </c>
      <c r="L36" s="1328"/>
      <c r="M36" s="1329"/>
    </row>
    <row r="37" spans="1:16" x14ac:dyDescent="0.2">
      <c r="A37" s="1298"/>
      <c r="B37" s="1299"/>
      <c r="C37" s="1300"/>
      <c r="D37" s="291"/>
      <c r="E37" s="305" t="s">
        <v>598</v>
      </c>
      <c r="F37" s="305" t="s">
        <v>598</v>
      </c>
      <c r="G37" s="305" t="s">
        <v>598</v>
      </c>
      <c r="H37" s="292" t="s">
        <v>599</v>
      </c>
      <c r="I37" s="292" t="s">
        <v>599</v>
      </c>
      <c r="J37" s="292" t="s">
        <v>580</v>
      </c>
      <c r="K37" s="1307" t="s">
        <v>581</v>
      </c>
      <c r="L37" s="1330"/>
      <c r="M37" s="1331"/>
    </row>
    <row r="38" spans="1:16" ht="13.5" thickBot="1" x14ac:dyDescent="0.25">
      <c r="A38" s="1301"/>
      <c r="B38" s="1302"/>
      <c r="C38" s="1303"/>
      <c r="D38" s="291"/>
      <c r="E38" s="306" t="s">
        <v>582</v>
      </c>
      <c r="F38" s="306" t="s">
        <v>456</v>
      </c>
      <c r="G38" s="306" t="s">
        <v>457</v>
      </c>
      <c r="H38" s="293" t="s">
        <v>583</v>
      </c>
      <c r="I38" s="293" t="s">
        <v>584</v>
      </c>
      <c r="J38" s="293" t="s">
        <v>585</v>
      </c>
      <c r="K38" s="1310" t="s">
        <v>586</v>
      </c>
      <c r="L38" s="1332"/>
      <c r="M38" s="1333"/>
    </row>
    <row r="39" spans="1:16" ht="12.75" customHeight="1" x14ac:dyDescent="0.2">
      <c r="A39" s="1313" t="s">
        <v>587</v>
      </c>
      <c r="B39" s="1314"/>
      <c r="C39" s="1315"/>
      <c r="D39" s="291"/>
      <c r="E39" s="310"/>
      <c r="F39" s="310"/>
      <c r="G39" s="310"/>
      <c r="H39" s="295">
        <f>+G39-F39</f>
        <v>0</v>
      </c>
      <c r="I39" s="295">
        <f>+G39-E39</f>
        <v>0</v>
      </c>
      <c r="J39" s="378"/>
      <c r="K39" s="1319"/>
      <c r="L39" s="1320"/>
      <c r="M39" s="1321"/>
    </row>
    <row r="40" spans="1:16" ht="12.75" customHeight="1" x14ac:dyDescent="0.2">
      <c r="A40" s="1322" t="s">
        <v>588</v>
      </c>
      <c r="B40" s="1323"/>
      <c r="C40" s="1324"/>
      <c r="D40" s="291"/>
      <c r="E40" s="310"/>
      <c r="F40" s="310"/>
      <c r="G40" s="310"/>
      <c r="H40" s="295">
        <f>+G40-F40</f>
        <v>0</v>
      </c>
      <c r="I40" s="295">
        <f>+G40-E40</f>
        <v>0</v>
      </c>
      <c r="J40" s="378"/>
      <c r="K40" s="1316"/>
      <c r="L40" s="1317"/>
      <c r="M40" s="1318"/>
    </row>
    <row r="41" spans="1:16" ht="12.75" customHeight="1" x14ac:dyDescent="0.2">
      <c r="A41" s="1313" t="s">
        <v>589</v>
      </c>
      <c r="B41" s="1314"/>
      <c r="C41" s="1315"/>
      <c r="D41" s="291"/>
      <c r="E41" s="310"/>
      <c r="F41" s="310"/>
      <c r="G41" s="310"/>
      <c r="H41" s="295">
        <f>+G41-F41</f>
        <v>0</v>
      </c>
      <c r="I41" s="295">
        <f>+G41-E41</f>
        <v>0</v>
      </c>
      <c r="J41" s="378"/>
      <c r="K41" s="1316"/>
      <c r="L41" s="1317"/>
      <c r="M41" s="1318"/>
    </row>
    <row r="42" spans="1:16" ht="12.75" customHeight="1" x14ac:dyDescent="0.2">
      <c r="A42" s="1325" t="s">
        <v>590</v>
      </c>
      <c r="B42" s="1326"/>
      <c r="C42" s="1327"/>
      <c r="D42" s="291"/>
      <c r="E42" s="310"/>
      <c r="F42" s="310"/>
      <c r="G42" s="310"/>
      <c r="H42" s="295">
        <f>+G42-F42</f>
        <v>0</v>
      </c>
      <c r="I42" s="295">
        <f>+G42-E42</f>
        <v>0</v>
      </c>
      <c r="J42" s="378"/>
      <c r="K42" s="1316"/>
      <c r="L42" s="1317"/>
      <c r="M42" s="1318"/>
    </row>
    <row r="43" spans="1:16" ht="12.75" customHeight="1" x14ac:dyDescent="0.2">
      <c r="A43" s="1322" t="s">
        <v>591</v>
      </c>
      <c r="B43" s="1323"/>
      <c r="C43" s="1324"/>
      <c r="D43" s="291"/>
      <c r="E43" s="310"/>
      <c r="F43" s="310"/>
      <c r="G43" s="310"/>
      <c r="H43" s="295">
        <f>+G43-F43</f>
        <v>0</v>
      </c>
      <c r="I43" s="295">
        <f>+G43-E43</f>
        <v>0</v>
      </c>
      <c r="J43" s="378"/>
      <c r="K43" s="1316"/>
      <c r="L43" s="1317"/>
      <c r="M43" s="1318"/>
    </row>
    <row r="44" spans="1:16" x14ac:dyDescent="0.2">
      <c r="A44" s="296"/>
      <c r="B44" s="297"/>
      <c r="C44" s="371"/>
      <c r="D44" s="291"/>
      <c r="E44" s="310"/>
      <c r="F44" s="310"/>
      <c r="G44" s="310"/>
      <c r="H44" s="295"/>
      <c r="I44" s="295"/>
      <c r="J44" s="378"/>
      <c r="K44" s="1316"/>
      <c r="L44" s="1317"/>
      <c r="M44" s="1318"/>
    </row>
    <row r="45" spans="1:16" ht="12.75" customHeight="1" x14ac:dyDescent="0.2">
      <c r="A45" s="1313" t="s">
        <v>592</v>
      </c>
      <c r="B45" s="1314"/>
      <c r="C45" s="1315"/>
      <c r="D45" s="291"/>
      <c r="E45" s="310"/>
      <c r="F45" s="310"/>
      <c r="G45" s="310"/>
      <c r="H45" s="295">
        <f t="shared" ref="H45:H52" si="2">+G45-F45</f>
        <v>0</v>
      </c>
      <c r="I45" s="295">
        <f t="shared" ref="I45:I52" si="3">+G45-E45</f>
        <v>0</v>
      </c>
      <c r="J45" s="378"/>
      <c r="K45" s="1316"/>
      <c r="L45" s="1317"/>
      <c r="M45" s="1318"/>
    </row>
    <row r="46" spans="1:16" ht="12.75" customHeight="1" x14ac:dyDescent="0.2">
      <c r="A46" s="1325" t="s">
        <v>593</v>
      </c>
      <c r="B46" s="1326"/>
      <c r="C46" s="1327"/>
      <c r="D46" s="291"/>
      <c r="E46" s="310"/>
      <c r="F46" s="310"/>
      <c r="G46" s="310"/>
      <c r="H46" s="295">
        <f t="shared" si="2"/>
        <v>0</v>
      </c>
      <c r="I46" s="295">
        <f t="shared" si="3"/>
        <v>0</v>
      </c>
      <c r="J46" s="378"/>
      <c r="K46" s="1316"/>
      <c r="L46" s="1317"/>
      <c r="M46" s="1318"/>
    </row>
    <row r="47" spans="1:16" ht="12.75" customHeight="1" x14ac:dyDescent="0.2">
      <c r="A47" s="1325" t="s">
        <v>594</v>
      </c>
      <c r="B47" s="1326"/>
      <c r="C47" s="1327"/>
      <c r="D47" s="291"/>
      <c r="E47" s="310"/>
      <c r="F47" s="310"/>
      <c r="G47" s="310"/>
      <c r="H47" s="295">
        <f t="shared" si="2"/>
        <v>0</v>
      </c>
      <c r="I47" s="295">
        <f t="shared" si="3"/>
        <v>0</v>
      </c>
      <c r="J47" s="378"/>
      <c r="K47" s="1316"/>
      <c r="L47" s="1317"/>
      <c r="M47" s="1318"/>
    </row>
    <row r="48" spans="1:16" ht="12.75" customHeight="1" x14ac:dyDescent="0.2">
      <c r="A48" s="1322" t="s">
        <v>595</v>
      </c>
      <c r="B48" s="1323"/>
      <c r="C48" s="1324"/>
      <c r="D48" s="291"/>
      <c r="E48" s="310"/>
      <c r="F48" s="310">
        <v>1260238</v>
      </c>
      <c r="G48" s="310">
        <v>956578</v>
      </c>
      <c r="H48" s="295">
        <f t="shared" si="2"/>
        <v>-303660</v>
      </c>
      <c r="I48" s="295">
        <f t="shared" si="3"/>
        <v>956578</v>
      </c>
      <c r="J48" s="378"/>
      <c r="K48" s="1316"/>
      <c r="L48" s="1317"/>
      <c r="M48" s="1318"/>
    </row>
    <row r="49" spans="1:13" x14ac:dyDescent="0.2">
      <c r="A49" s="1313"/>
      <c r="B49" s="1314"/>
      <c r="C49" s="1315"/>
      <c r="D49" s="291"/>
      <c r="E49" s="310"/>
      <c r="F49" s="310"/>
      <c r="G49" s="310"/>
      <c r="H49" s="295">
        <f t="shared" si="2"/>
        <v>0</v>
      </c>
      <c r="I49" s="295">
        <f t="shared" si="3"/>
        <v>0</v>
      </c>
      <c r="J49" s="378"/>
      <c r="K49" s="1316"/>
      <c r="L49" s="1317"/>
      <c r="M49" s="1318"/>
    </row>
    <row r="50" spans="1:13" x14ac:dyDescent="0.2">
      <c r="A50" s="1322"/>
      <c r="B50" s="1323"/>
      <c r="C50" s="1324"/>
      <c r="D50" s="291"/>
      <c r="E50" s="310"/>
      <c r="F50" s="310"/>
      <c r="G50" s="310"/>
      <c r="H50" s="295">
        <f t="shared" si="2"/>
        <v>0</v>
      </c>
      <c r="I50" s="295">
        <f t="shared" si="3"/>
        <v>0</v>
      </c>
      <c r="J50" s="378"/>
      <c r="K50" s="1316"/>
      <c r="L50" s="1317"/>
      <c r="M50" s="1318"/>
    </row>
    <row r="51" spans="1:13" x14ac:dyDescent="0.2">
      <c r="A51" s="1322"/>
      <c r="B51" s="1323"/>
      <c r="C51" s="1324"/>
      <c r="D51" s="291"/>
      <c r="E51" s="310"/>
      <c r="F51" s="310"/>
      <c r="G51" s="310"/>
      <c r="H51" s="295">
        <f t="shared" si="2"/>
        <v>0</v>
      </c>
      <c r="I51" s="295">
        <f t="shared" si="3"/>
        <v>0</v>
      </c>
      <c r="J51" s="378"/>
      <c r="K51" s="1316"/>
      <c r="L51" s="1317"/>
      <c r="M51" s="1318"/>
    </row>
    <row r="52" spans="1:13" ht="13.5" customHeight="1" thickBot="1" x14ac:dyDescent="0.25">
      <c r="A52" s="1346" t="s">
        <v>316</v>
      </c>
      <c r="B52" s="1347"/>
      <c r="C52" s="1348"/>
      <c r="D52" s="291"/>
      <c r="E52" s="311"/>
      <c r="F52" s="311"/>
      <c r="G52" s="311"/>
      <c r="H52" s="295">
        <f t="shared" si="2"/>
        <v>0</v>
      </c>
      <c r="I52" s="295">
        <f t="shared" si="3"/>
        <v>0</v>
      </c>
      <c r="J52" s="379"/>
      <c r="K52" s="1316"/>
      <c r="L52" s="1317"/>
      <c r="M52" s="1318"/>
    </row>
    <row r="53" spans="1:13" ht="14.25" customHeight="1" thickTop="1" thickBot="1" x14ac:dyDescent="0.25">
      <c r="A53" s="1349" t="s">
        <v>439</v>
      </c>
      <c r="B53" s="1350"/>
      <c r="C53" s="1351"/>
      <c r="D53" s="370"/>
      <c r="E53" s="121">
        <f>SUM(E39:E52)</f>
        <v>0</v>
      </c>
      <c r="F53" s="121">
        <f>SUM(F39:F52)</f>
        <v>1260238</v>
      </c>
      <c r="G53" s="121">
        <f>SUM(G39:G52)</f>
        <v>956578</v>
      </c>
      <c r="H53" s="121">
        <f>SUM(H39:H52)</f>
        <v>-303660</v>
      </c>
      <c r="I53" s="121">
        <f>SUM(I39:I52)</f>
        <v>956578</v>
      </c>
      <c r="J53" s="372"/>
      <c r="K53" s="1352"/>
      <c r="L53" s="1353"/>
      <c r="M53" s="1354"/>
    </row>
    <row r="54" spans="1:13" x14ac:dyDescent="0.2">
      <c r="A54" s="299"/>
      <c r="B54" s="299"/>
      <c r="C54" s="299"/>
      <c r="D54" s="300"/>
      <c r="E54" s="301"/>
      <c r="F54" s="301"/>
      <c r="G54" s="301"/>
      <c r="H54" s="301"/>
      <c r="I54" s="301"/>
      <c r="J54" s="301"/>
      <c r="K54" s="301"/>
      <c r="L54" s="301"/>
      <c r="M54" s="301"/>
    </row>
    <row r="55" spans="1:13" x14ac:dyDescent="0.2">
      <c r="A55" s="376" t="s">
        <v>16</v>
      </c>
      <c r="B55" s="299"/>
      <c r="C55" s="299"/>
      <c r="D55" s="300"/>
      <c r="E55" s="301"/>
      <c r="F55" s="301"/>
      <c r="G55" s="301"/>
      <c r="H55" s="301"/>
      <c r="I55" s="301"/>
      <c r="J55" s="301"/>
      <c r="K55" s="301"/>
      <c r="L55" s="301"/>
      <c r="M55" s="301"/>
    </row>
    <row r="56" spans="1:13" x14ac:dyDescent="0.2">
      <c r="A56" s="335">
        <v>1</v>
      </c>
      <c r="B56" s="1274" t="s">
        <v>659</v>
      </c>
      <c r="C56" s="1274"/>
      <c r="D56" s="1274"/>
      <c r="E56" s="1274"/>
      <c r="F56" s="1274"/>
      <c r="G56" s="1274"/>
      <c r="H56" s="1274"/>
      <c r="I56" s="1274"/>
      <c r="J56" s="1274"/>
      <c r="K56" s="1274"/>
      <c r="L56" s="1274"/>
      <c r="M56" s="1274"/>
    </row>
    <row r="57" spans="1:13" x14ac:dyDescent="0.2">
      <c r="B57" s="1274"/>
      <c r="C57" s="1274"/>
      <c r="D57" s="1274"/>
      <c r="E57" s="1274"/>
      <c r="F57" s="1274"/>
      <c r="G57" s="1274"/>
      <c r="H57" s="1274"/>
      <c r="I57" s="1274"/>
      <c r="J57" s="1274"/>
      <c r="K57" s="1274"/>
      <c r="L57" s="1274"/>
      <c r="M57" s="1274"/>
    </row>
    <row r="58" spans="1:13" ht="13.5" customHeight="1" x14ac:dyDescent="0.2">
      <c r="A58" s="1355"/>
      <c r="B58" s="1356"/>
      <c r="C58" s="1357"/>
      <c r="D58" s="1357"/>
      <c r="E58" s="1357"/>
      <c r="F58" s="302"/>
    </row>
    <row r="59" spans="1:13" x14ac:dyDescent="0.2">
      <c r="A59" s="1355"/>
      <c r="B59" s="1357"/>
      <c r="C59" s="1357"/>
      <c r="D59" s="1357"/>
      <c r="E59" s="1357"/>
      <c r="F59" s="278"/>
    </row>
    <row r="60" spans="1:13" x14ac:dyDescent="0.2">
      <c r="A60" s="288"/>
      <c r="B60" s="275"/>
      <c r="C60" s="275"/>
      <c r="D60" s="275"/>
      <c r="E60" s="275"/>
    </row>
    <row r="61" spans="1:13" x14ac:dyDescent="0.2">
      <c r="A61" s="1355"/>
      <c r="B61" s="1356"/>
      <c r="C61" s="1356"/>
      <c r="D61" s="1356"/>
      <c r="E61" s="1356"/>
      <c r="F61" s="303"/>
    </row>
    <row r="62" spans="1:13" x14ac:dyDescent="0.2">
      <c r="A62" s="1355"/>
      <c r="B62" s="377"/>
      <c r="C62" s="377"/>
      <c r="D62" s="377"/>
      <c r="E62" s="377"/>
    </row>
    <row r="63" spans="1:13" ht="12.75" customHeight="1" x14ac:dyDescent="0.2">
      <c r="A63" s="1355"/>
      <c r="B63" s="377"/>
      <c r="C63" s="377"/>
      <c r="D63" s="377"/>
      <c r="E63" s="377"/>
      <c r="F63" s="278"/>
    </row>
    <row r="64" spans="1:13" x14ac:dyDescent="0.2">
      <c r="A64" s="1355"/>
      <c r="B64" s="377"/>
      <c r="C64" s="377"/>
      <c r="D64" s="377"/>
      <c r="E64" s="377"/>
      <c r="F64" s="278"/>
    </row>
    <row r="65" spans="1:14" x14ac:dyDescent="0.2">
      <c r="A65" s="288"/>
      <c r="B65" s="377"/>
      <c r="C65" s="377"/>
      <c r="D65" s="377"/>
      <c r="E65" s="377"/>
    </row>
    <row r="66" spans="1:14" ht="12.75" customHeight="1" x14ac:dyDescent="0.2">
      <c r="A66" s="1355"/>
      <c r="B66" s="377"/>
      <c r="C66" s="377"/>
      <c r="D66" s="377"/>
      <c r="E66" s="377"/>
      <c r="F66" s="278"/>
      <c r="G66" s="278"/>
      <c r="H66" s="278"/>
      <c r="I66" s="278"/>
      <c r="J66" s="278"/>
      <c r="K66" s="278"/>
      <c r="L66" s="278"/>
      <c r="M66" s="278"/>
      <c r="N66" s="278"/>
    </row>
    <row r="67" spans="1:14" x14ac:dyDescent="0.2">
      <c r="A67" s="1355"/>
      <c r="C67" s="377"/>
      <c r="D67" s="377"/>
      <c r="E67" s="377"/>
      <c r="F67" s="278"/>
      <c r="G67" s="278"/>
      <c r="H67" s="278"/>
      <c r="I67" s="278"/>
      <c r="J67" s="278"/>
      <c r="K67" s="278"/>
      <c r="L67" s="278"/>
      <c r="M67" s="278"/>
      <c r="N67" s="278"/>
    </row>
    <row r="68" spans="1:14" ht="12.75" customHeight="1" x14ac:dyDescent="0.2">
      <c r="A68" s="288"/>
      <c r="C68" s="377"/>
      <c r="D68" s="377"/>
      <c r="E68" s="377"/>
      <c r="F68" s="278"/>
      <c r="G68" s="278"/>
      <c r="H68" s="278"/>
      <c r="I68" s="278"/>
      <c r="J68" s="278"/>
      <c r="K68" s="278"/>
      <c r="L68" s="278"/>
      <c r="M68" s="278"/>
      <c r="N68" s="278"/>
    </row>
    <row r="69" spans="1:14" x14ac:dyDescent="0.2">
      <c r="A69" s="1358"/>
      <c r="B69" s="377"/>
      <c r="C69" s="377"/>
      <c r="D69" s="377"/>
      <c r="E69" s="377"/>
      <c r="F69" s="278"/>
      <c r="G69" s="278"/>
      <c r="H69" s="278"/>
      <c r="I69" s="278"/>
      <c r="J69" s="278"/>
      <c r="K69" s="278"/>
      <c r="L69" s="278"/>
      <c r="M69" s="278"/>
      <c r="N69" s="278"/>
    </row>
    <row r="70" spans="1:14" x14ac:dyDescent="0.2">
      <c r="A70" s="1358"/>
      <c r="B70" s="377"/>
      <c r="C70" s="377"/>
      <c r="D70" s="377"/>
      <c r="E70" s="377"/>
      <c r="F70" s="278"/>
      <c r="G70" s="278"/>
      <c r="H70" s="278"/>
      <c r="I70" s="278"/>
      <c r="J70" s="278"/>
      <c r="K70" s="278"/>
      <c r="L70" s="278"/>
      <c r="M70" s="278"/>
      <c r="N70" s="278"/>
    </row>
    <row r="71" spans="1:14" x14ac:dyDescent="0.2">
      <c r="A71" s="1358"/>
      <c r="B71" s="377"/>
      <c r="C71" s="377"/>
      <c r="D71" s="377"/>
      <c r="E71" s="377"/>
      <c r="F71" s="278"/>
      <c r="G71" s="278"/>
      <c r="H71" s="278"/>
      <c r="I71" s="278"/>
      <c r="J71" s="278"/>
      <c r="K71" s="278"/>
      <c r="L71" s="278"/>
      <c r="M71" s="278"/>
      <c r="N71" s="278"/>
    </row>
    <row r="72" spans="1:14" x14ac:dyDescent="0.2">
      <c r="A72" s="1358"/>
      <c r="B72" s="377"/>
      <c r="C72" s="377"/>
      <c r="D72" s="377"/>
      <c r="E72" s="377"/>
      <c r="F72" s="278"/>
      <c r="G72" s="278"/>
      <c r="H72" s="278"/>
      <c r="I72" s="278"/>
      <c r="J72" s="278"/>
      <c r="K72" s="278"/>
      <c r="L72" s="278"/>
      <c r="M72" s="278"/>
      <c r="N72" s="278"/>
    </row>
    <row r="73" spans="1:14" x14ac:dyDescent="0.2">
      <c r="A73" s="288"/>
      <c r="B73" s="377"/>
      <c r="C73" s="377"/>
      <c r="D73" s="377"/>
      <c r="E73" s="377"/>
    </row>
    <row r="74" spans="1:14" ht="12.75" customHeight="1" x14ac:dyDescent="0.2">
      <c r="A74" s="1355"/>
      <c r="B74" s="377"/>
      <c r="C74" s="377"/>
      <c r="D74" s="377"/>
      <c r="E74" s="377"/>
      <c r="F74" s="278"/>
      <c r="G74" s="278"/>
      <c r="H74" s="278"/>
      <c r="I74" s="278"/>
      <c r="J74" s="278"/>
      <c r="K74" s="278"/>
      <c r="L74" s="278"/>
      <c r="M74" s="278"/>
      <c r="N74" s="278"/>
    </row>
    <row r="75" spans="1:14" x14ac:dyDescent="0.2">
      <c r="A75" s="1355"/>
      <c r="B75" s="377"/>
      <c r="C75" s="377"/>
      <c r="D75" s="377"/>
      <c r="E75" s="377"/>
      <c r="F75" s="278"/>
      <c r="G75" s="278"/>
      <c r="H75" s="278"/>
      <c r="I75" s="278"/>
      <c r="J75" s="278"/>
      <c r="K75" s="278"/>
      <c r="L75" s="278"/>
      <c r="M75" s="278"/>
      <c r="N75" s="278"/>
    </row>
    <row r="76" spans="1:14" x14ac:dyDescent="0.2">
      <c r="B76" s="377"/>
      <c r="C76" s="377"/>
      <c r="D76" s="377"/>
      <c r="E76" s="377"/>
    </row>
    <row r="77" spans="1:14" ht="12.75" customHeight="1" x14ac:dyDescent="0.2">
      <c r="B77" s="377"/>
      <c r="C77" s="377"/>
      <c r="D77" s="377"/>
      <c r="E77" s="377"/>
    </row>
  </sheetData>
  <mergeCells count="79">
    <mergeCell ref="A69:A72"/>
    <mergeCell ref="A74:A75"/>
    <mergeCell ref="A61:A62"/>
    <mergeCell ref="B61:E61"/>
    <mergeCell ref="A63:A64"/>
    <mergeCell ref="A66:A67"/>
    <mergeCell ref="A52:C52"/>
    <mergeCell ref="K52:M52"/>
    <mergeCell ref="A53:C53"/>
    <mergeCell ref="K53:M53"/>
    <mergeCell ref="A58:A59"/>
    <mergeCell ref="B58:E59"/>
    <mergeCell ref="B56:M57"/>
    <mergeCell ref="A49:C49"/>
    <mergeCell ref="K49:M49"/>
    <mergeCell ref="A50:C50"/>
    <mergeCell ref="K50:M50"/>
    <mergeCell ref="A51:C51"/>
    <mergeCell ref="K51:M51"/>
    <mergeCell ref="A46:C46"/>
    <mergeCell ref="K46:M46"/>
    <mergeCell ref="A47:C47"/>
    <mergeCell ref="K47:M47"/>
    <mergeCell ref="A48:C48"/>
    <mergeCell ref="K48:M48"/>
    <mergeCell ref="A45:C45"/>
    <mergeCell ref="K45:M45"/>
    <mergeCell ref="A39:C39"/>
    <mergeCell ref="K39:M39"/>
    <mergeCell ref="A40:C40"/>
    <mergeCell ref="K40:M40"/>
    <mergeCell ref="A41:C41"/>
    <mergeCell ref="K41:M41"/>
    <mergeCell ref="A42:C42"/>
    <mergeCell ref="K42:M42"/>
    <mergeCell ref="A43:C43"/>
    <mergeCell ref="K43:M43"/>
    <mergeCell ref="K44:M44"/>
    <mergeCell ref="A36:C38"/>
    <mergeCell ref="K36:M36"/>
    <mergeCell ref="K37:M37"/>
    <mergeCell ref="K38:M38"/>
    <mergeCell ref="A27:C27"/>
    <mergeCell ref="K27:M27"/>
    <mergeCell ref="A28:C28"/>
    <mergeCell ref="K28:M28"/>
    <mergeCell ref="A29:C29"/>
    <mergeCell ref="K29:M29"/>
    <mergeCell ref="A30:C30"/>
    <mergeCell ref="K30:M30"/>
    <mergeCell ref="A31:C31"/>
    <mergeCell ref="K31:M31"/>
    <mergeCell ref="A34:M34"/>
    <mergeCell ref="A24:C24"/>
    <mergeCell ref="K24:M24"/>
    <mergeCell ref="A25:C25"/>
    <mergeCell ref="K25:M25"/>
    <mergeCell ref="A26:C26"/>
    <mergeCell ref="K26:M26"/>
    <mergeCell ref="A23:C23"/>
    <mergeCell ref="K23:M23"/>
    <mergeCell ref="A17:C17"/>
    <mergeCell ref="K17:M17"/>
    <mergeCell ref="A18:C18"/>
    <mergeCell ref="K18:M18"/>
    <mergeCell ref="A19:C19"/>
    <mergeCell ref="K19:M19"/>
    <mergeCell ref="A20:C20"/>
    <mergeCell ref="K20:M20"/>
    <mergeCell ref="A21:C21"/>
    <mergeCell ref="K21:M21"/>
    <mergeCell ref="K22:M22"/>
    <mergeCell ref="A9:M9"/>
    <mergeCell ref="A10:M10"/>
    <mergeCell ref="A12:M12"/>
    <mergeCell ref="A14:C16"/>
    <mergeCell ref="K14:M14"/>
    <mergeCell ref="K15:M15"/>
    <mergeCell ref="K16:M16"/>
  </mergeCells>
  <dataValidations count="2">
    <dataValidation allowBlank="1" showInputMessage="1" showErrorMessage="1" promptTitle="Date Format" prompt="E.g:  &quot;August 1, 2011&quot;" sqref="WVU98304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dataValidation type="list" allowBlank="1" showInputMessage="1" showErrorMessage="1" sqref="J39:J52 J17:J30">
      <formula1>"Y, N"</formula1>
    </dataValidation>
  </dataValidations>
  <pageMargins left="0.5" right="0.5" top="0.5" bottom="0.5" header="0.5" footer="0.5"/>
  <pageSetup scale="5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2"/>
  <sheetViews>
    <sheetView showGridLines="0" topLeftCell="A19" zoomScaleNormal="100" workbookViewId="0">
      <selection activeCell="A19" sqref="A1:XFD1048576"/>
    </sheetView>
  </sheetViews>
  <sheetFormatPr defaultRowHeight="15" x14ac:dyDescent="0.25"/>
  <cols>
    <col min="1" max="1" width="51.7109375" style="315" customWidth="1"/>
    <col min="2" max="4" width="9.140625" style="315"/>
    <col min="5" max="5" width="12.140625" style="315" bestFit="1" customWidth="1"/>
    <col min="6" max="7" width="11.28515625" style="315" bestFit="1" customWidth="1"/>
    <col min="8" max="8" width="12.85546875" style="315" bestFit="1" customWidth="1"/>
    <col min="9" max="9" width="11" style="315" bestFit="1" customWidth="1"/>
    <col min="10" max="10" width="9.140625" style="315"/>
    <col min="11" max="11" width="10.28515625" style="315" bestFit="1" customWidth="1"/>
    <col min="12" max="256" width="9.140625" style="315"/>
    <col min="257" max="257" width="51.7109375" style="315" customWidth="1"/>
    <col min="258" max="263" width="9.140625" style="315"/>
    <col min="264" max="264" width="10.85546875" style="315" customWidth="1"/>
    <col min="265" max="512" width="9.140625" style="315"/>
    <col min="513" max="513" width="51.7109375" style="315" customWidth="1"/>
    <col min="514" max="519" width="9.140625" style="315"/>
    <col min="520" max="520" width="10.85546875" style="315" customWidth="1"/>
    <col min="521" max="768" width="9.140625" style="315"/>
    <col min="769" max="769" width="51.7109375" style="315" customWidth="1"/>
    <col min="770" max="775" width="9.140625" style="315"/>
    <col min="776" max="776" width="10.85546875" style="315" customWidth="1"/>
    <col min="777" max="1024" width="9.140625" style="315"/>
    <col min="1025" max="1025" width="51.7109375" style="315" customWidth="1"/>
    <col min="1026" max="1031" width="9.140625" style="315"/>
    <col min="1032" max="1032" width="10.85546875" style="315" customWidth="1"/>
    <col min="1033" max="1280" width="9.140625" style="315"/>
    <col min="1281" max="1281" width="51.7109375" style="315" customWidth="1"/>
    <col min="1282" max="1287" width="9.140625" style="315"/>
    <col min="1288" max="1288" width="10.85546875" style="315" customWidth="1"/>
    <col min="1289" max="1536" width="9.140625" style="315"/>
    <col min="1537" max="1537" width="51.7109375" style="315" customWidth="1"/>
    <col min="1538" max="1543" width="9.140625" style="315"/>
    <col min="1544" max="1544" width="10.85546875" style="315" customWidth="1"/>
    <col min="1545" max="1792" width="9.140625" style="315"/>
    <col min="1793" max="1793" width="51.7109375" style="315" customWidth="1"/>
    <col min="1794" max="1799" width="9.140625" style="315"/>
    <col min="1800" max="1800" width="10.85546875" style="315" customWidth="1"/>
    <col min="1801" max="2048" width="9.140625" style="315"/>
    <col min="2049" max="2049" width="51.7109375" style="315" customWidth="1"/>
    <col min="2050" max="2055" width="9.140625" style="315"/>
    <col min="2056" max="2056" width="10.85546875" style="315" customWidth="1"/>
    <col min="2057" max="2304" width="9.140625" style="315"/>
    <col min="2305" max="2305" width="51.7109375" style="315" customWidth="1"/>
    <col min="2306" max="2311" width="9.140625" style="315"/>
    <col min="2312" max="2312" width="10.85546875" style="315" customWidth="1"/>
    <col min="2313" max="2560" width="9.140625" style="315"/>
    <col min="2561" max="2561" width="51.7109375" style="315" customWidth="1"/>
    <col min="2562" max="2567" width="9.140625" style="315"/>
    <col min="2568" max="2568" width="10.85546875" style="315" customWidth="1"/>
    <col min="2569" max="2816" width="9.140625" style="315"/>
    <col min="2817" max="2817" width="51.7109375" style="315" customWidth="1"/>
    <col min="2818" max="2823" width="9.140625" style="315"/>
    <col min="2824" max="2824" width="10.85546875" style="315" customWidth="1"/>
    <col min="2825" max="3072" width="9.140625" style="315"/>
    <col min="3073" max="3073" width="51.7109375" style="315" customWidth="1"/>
    <col min="3074" max="3079" width="9.140625" style="315"/>
    <col min="3080" max="3080" width="10.85546875" style="315" customWidth="1"/>
    <col min="3081" max="3328" width="9.140625" style="315"/>
    <col min="3329" max="3329" width="51.7109375" style="315" customWidth="1"/>
    <col min="3330" max="3335" width="9.140625" style="315"/>
    <col min="3336" max="3336" width="10.85546875" style="315" customWidth="1"/>
    <col min="3337" max="3584" width="9.140625" style="315"/>
    <col min="3585" max="3585" width="51.7109375" style="315" customWidth="1"/>
    <col min="3586" max="3591" width="9.140625" style="315"/>
    <col min="3592" max="3592" width="10.85546875" style="315" customWidth="1"/>
    <col min="3593" max="3840" width="9.140625" style="315"/>
    <col min="3841" max="3841" width="51.7109375" style="315" customWidth="1"/>
    <col min="3842" max="3847" width="9.140625" style="315"/>
    <col min="3848" max="3848" width="10.85546875" style="315" customWidth="1"/>
    <col min="3849" max="4096" width="9.140625" style="315"/>
    <col min="4097" max="4097" width="51.7109375" style="315" customWidth="1"/>
    <col min="4098" max="4103" width="9.140625" style="315"/>
    <col min="4104" max="4104" width="10.85546875" style="315" customWidth="1"/>
    <col min="4105" max="4352" width="9.140625" style="315"/>
    <col min="4353" max="4353" width="51.7109375" style="315" customWidth="1"/>
    <col min="4354" max="4359" width="9.140625" style="315"/>
    <col min="4360" max="4360" width="10.85546875" style="315" customWidth="1"/>
    <col min="4361" max="4608" width="9.140625" style="315"/>
    <col min="4609" max="4609" width="51.7109375" style="315" customWidth="1"/>
    <col min="4610" max="4615" width="9.140625" style="315"/>
    <col min="4616" max="4616" width="10.85546875" style="315" customWidth="1"/>
    <col min="4617" max="4864" width="9.140625" style="315"/>
    <col min="4865" max="4865" width="51.7109375" style="315" customWidth="1"/>
    <col min="4866" max="4871" width="9.140625" style="315"/>
    <col min="4872" max="4872" width="10.85546875" style="315" customWidth="1"/>
    <col min="4873" max="5120" width="9.140625" style="315"/>
    <col min="5121" max="5121" width="51.7109375" style="315" customWidth="1"/>
    <col min="5122" max="5127" width="9.140625" style="315"/>
    <col min="5128" max="5128" width="10.85546875" style="315" customWidth="1"/>
    <col min="5129" max="5376" width="9.140625" style="315"/>
    <col min="5377" max="5377" width="51.7109375" style="315" customWidth="1"/>
    <col min="5378" max="5383" width="9.140625" style="315"/>
    <col min="5384" max="5384" width="10.85546875" style="315" customWidth="1"/>
    <col min="5385" max="5632" width="9.140625" style="315"/>
    <col min="5633" max="5633" width="51.7109375" style="315" customWidth="1"/>
    <col min="5634" max="5639" width="9.140625" style="315"/>
    <col min="5640" max="5640" width="10.85546875" style="315" customWidth="1"/>
    <col min="5641" max="5888" width="9.140625" style="315"/>
    <col min="5889" max="5889" width="51.7109375" style="315" customWidth="1"/>
    <col min="5890" max="5895" width="9.140625" style="315"/>
    <col min="5896" max="5896" width="10.85546875" style="315" customWidth="1"/>
    <col min="5897" max="6144" width="9.140625" style="315"/>
    <col min="6145" max="6145" width="51.7109375" style="315" customWidth="1"/>
    <col min="6146" max="6151" width="9.140625" style="315"/>
    <col min="6152" max="6152" width="10.85546875" style="315" customWidth="1"/>
    <col min="6153" max="6400" width="9.140625" style="315"/>
    <col min="6401" max="6401" width="51.7109375" style="315" customWidth="1"/>
    <col min="6402" max="6407" width="9.140625" style="315"/>
    <col min="6408" max="6408" width="10.85546875" style="315" customWidth="1"/>
    <col min="6409" max="6656" width="9.140625" style="315"/>
    <col min="6657" max="6657" width="51.7109375" style="315" customWidth="1"/>
    <col min="6658" max="6663" width="9.140625" style="315"/>
    <col min="6664" max="6664" width="10.85546875" style="315" customWidth="1"/>
    <col min="6665" max="6912" width="9.140625" style="315"/>
    <col min="6913" max="6913" width="51.7109375" style="315" customWidth="1"/>
    <col min="6914" max="6919" width="9.140625" style="315"/>
    <col min="6920" max="6920" width="10.85546875" style="315" customWidth="1"/>
    <col min="6921" max="7168" width="9.140625" style="315"/>
    <col min="7169" max="7169" width="51.7109375" style="315" customWidth="1"/>
    <col min="7170" max="7175" width="9.140625" style="315"/>
    <col min="7176" max="7176" width="10.85546875" style="315" customWidth="1"/>
    <col min="7177" max="7424" width="9.140625" style="315"/>
    <col min="7425" max="7425" width="51.7109375" style="315" customWidth="1"/>
    <col min="7426" max="7431" width="9.140625" style="315"/>
    <col min="7432" max="7432" width="10.85546875" style="315" customWidth="1"/>
    <col min="7433" max="7680" width="9.140625" style="315"/>
    <col min="7681" max="7681" width="51.7109375" style="315" customWidth="1"/>
    <col min="7682" max="7687" width="9.140625" style="315"/>
    <col min="7688" max="7688" width="10.85546875" style="315" customWidth="1"/>
    <col min="7689" max="7936" width="9.140625" style="315"/>
    <col min="7937" max="7937" width="51.7109375" style="315" customWidth="1"/>
    <col min="7938" max="7943" width="9.140625" style="315"/>
    <col min="7944" max="7944" width="10.85546875" style="315" customWidth="1"/>
    <col min="7945" max="8192" width="9.140625" style="315"/>
    <col min="8193" max="8193" width="51.7109375" style="315" customWidth="1"/>
    <col min="8194" max="8199" width="9.140625" style="315"/>
    <col min="8200" max="8200" width="10.85546875" style="315" customWidth="1"/>
    <col min="8201" max="8448" width="9.140625" style="315"/>
    <col min="8449" max="8449" width="51.7109375" style="315" customWidth="1"/>
    <col min="8450" max="8455" width="9.140625" style="315"/>
    <col min="8456" max="8456" width="10.85546875" style="315" customWidth="1"/>
    <col min="8457" max="8704" width="9.140625" style="315"/>
    <col min="8705" max="8705" width="51.7109375" style="315" customWidth="1"/>
    <col min="8706" max="8711" width="9.140625" style="315"/>
    <col min="8712" max="8712" width="10.85546875" style="315" customWidth="1"/>
    <col min="8713" max="8960" width="9.140625" style="315"/>
    <col min="8961" max="8961" width="51.7109375" style="315" customWidth="1"/>
    <col min="8962" max="8967" width="9.140625" style="315"/>
    <col min="8968" max="8968" width="10.85546875" style="315" customWidth="1"/>
    <col min="8969" max="9216" width="9.140625" style="315"/>
    <col min="9217" max="9217" width="51.7109375" style="315" customWidth="1"/>
    <col min="9218" max="9223" width="9.140625" style="315"/>
    <col min="9224" max="9224" width="10.85546875" style="315" customWidth="1"/>
    <col min="9225" max="9472" width="9.140625" style="315"/>
    <col min="9473" max="9473" width="51.7109375" style="315" customWidth="1"/>
    <col min="9474" max="9479" width="9.140625" style="315"/>
    <col min="9480" max="9480" width="10.85546875" style="315" customWidth="1"/>
    <col min="9481" max="9728" width="9.140625" style="315"/>
    <col min="9729" max="9729" width="51.7109375" style="315" customWidth="1"/>
    <col min="9730" max="9735" width="9.140625" style="315"/>
    <col min="9736" max="9736" width="10.85546875" style="315" customWidth="1"/>
    <col min="9737" max="9984" width="9.140625" style="315"/>
    <col min="9985" max="9985" width="51.7109375" style="315" customWidth="1"/>
    <col min="9986" max="9991" width="9.140625" style="315"/>
    <col min="9992" max="9992" width="10.85546875" style="315" customWidth="1"/>
    <col min="9993" max="10240" width="9.140625" style="315"/>
    <col min="10241" max="10241" width="51.7109375" style="315" customWidth="1"/>
    <col min="10242" max="10247" width="9.140625" style="315"/>
    <col min="10248" max="10248" width="10.85546875" style="315" customWidth="1"/>
    <col min="10249" max="10496" width="9.140625" style="315"/>
    <col min="10497" max="10497" width="51.7109375" style="315" customWidth="1"/>
    <col min="10498" max="10503" width="9.140625" style="315"/>
    <col min="10504" max="10504" width="10.85546875" style="315" customWidth="1"/>
    <col min="10505" max="10752" width="9.140625" style="315"/>
    <col min="10753" max="10753" width="51.7109375" style="315" customWidth="1"/>
    <col min="10754" max="10759" width="9.140625" style="315"/>
    <col min="10760" max="10760" width="10.85546875" style="315" customWidth="1"/>
    <col min="10761" max="11008" width="9.140625" style="315"/>
    <col min="11009" max="11009" width="51.7109375" style="315" customWidth="1"/>
    <col min="11010" max="11015" width="9.140625" style="315"/>
    <col min="11016" max="11016" width="10.85546875" style="315" customWidth="1"/>
    <col min="11017" max="11264" width="9.140625" style="315"/>
    <col min="11265" max="11265" width="51.7109375" style="315" customWidth="1"/>
    <col min="11266" max="11271" width="9.140625" style="315"/>
    <col min="11272" max="11272" width="10.85546875" style="315" customWidth="1"/>
    <col min="11273" max="11520" width="9.140625" style="315"/>
    <col min="11521" max="11521" width="51.7109375" style="315" customWidth="1"/>
    <col min="11522" max="11527" width="9.140625" style="315"/>
    <col min="11528" max="11528" width="10.85546875" style="315" customWidth="1"/>
    <col min="11529" max="11776" width="9.140625" style="315"/>
    <col min="11777" max="11777" width="51.7109375" style="315" customWidth="1"/>
    <col min="11778" max="11783" width="9.140625" style="315"/>
    <col min="11784" max="11784" width="10.85546875" style="315" customWidth="1"/>
    <col min="11785" max="12032" width="9.140625" style="315"/>
    <col min="12033" max="12033" width="51.7109375" style="315" customWidth="1"/>
    <col min="12034" max="12039" width="9.140625" style="315"/>
    <col min="12040" max="12040" width="10.85546875" style="315" customWidth="1"/>
    <col min="12041" max="12288" width="9.140625" style="315"/>
    <col min="12289" max="12289" width="51.7109375" style="315" customWidth="1"/>
    <col min="12290" max="12295" width="9.140625" style="315"/>
    <col min="12296" max="12296" width="10.85546875" style="315" customWidth="1"/>
    <col min="12297" max="12544" width="9.140625" style="315"/>
    <col min="12545" max="12545" width="51.7109375" style="315" customWidth="1"/>
    <col min="12546" max="12551" width="9.140625" style="315"/>
    <col min="12552" max="12552" width="10.85546875" style="315" customWidth="1"/>
    <col min="12553" max="12800" width="9.140625" style="315"/>
    <col min="12801" max="12801" width="51.7109375" style="315" customWidth="1"/>
    <col min="12802" max="12807" width="9.140625" style="315"/>
    <col min="12808" max="12808" width="10.85546875" style="315" customWidth="1"/>
    <col min="12809" max="13056" width="9.140625" style="315"/>
    <col min="13057" max="13057" width="51.7109375" style="315" customWidth="1"/>
    <col min="13058" max="13063" width="9.140625" style="315"/>
    <col min="13064" max="13064" width="10.85546875" style="315" customWidth="1"/>
    <col min="13065" max="13312" width="9.140625" style="315"/>
    <col min="13313" max="13313" width="51.7109375" style="315" customWidth="1"/>
    <col min="13314" max="13319" width="9.140625" style="315"/>
    <col min="13320" max="13320" width="10.85546875" style="315" customWidth="1"/>
    <col min="13321" max="13568" width="9.140625" style="315"/>
    <col min="13569" max="13569" width="51.7109375" style="315" customWidth="1"/>
    <col min="13570" max="13575" width="9.140625" style="315"/>
    <col min="13576" max="13576" width="10.85546875" style="315" customWidth="1"/>
    <col min="13577" max="13824" width="9.140625" style="315"/>
    <col min="13825" max="13825" width="51.7109375" style="315" customWidth="1"/>
    <col min="13826" max="13831" width="9.140625" style="315"/>
    <col min="13832" max="13832" width="10.85546875" style="315" customWidth="1"/>
    <col min="13833" max="14080" width="9.140625" style="315"/>
    <col min="14081" max="14081" width="51.7109375" style="315" customWidth="1"/>
    <col min="14082" max="14087" width="9.140625" style="315"/>
    <col min="14088" max="14088" width="10.85546875" style="315" customWidth="1"/>
    <col min="14089" max="14336" width="9.140625" style="315"/>
    <col min="14337" max="14337" width="51.7109375" style="315" customWidth="1"/>
    <col min="14338" max="14343" width="9.140625" style="315"/>
    <col min="14344" max="14344" width="10.85546875" style="315" customWidth="1"/>
    <col min="14345" max="14592" width="9.140625" style="315"/>
    <col min="14593" max="14593" width="51.7109375" style="315" customWidth="1"/>
    <col min="14594" max="14599" width="9.140625" style="315"/>
    <col min="14600" max="14600" width="10.85546875" style="315" customWidth="1"/>
    <col min="14601" max="14848" width="9.140625" style="315"/>
    <col min="14849" max="14849" width="51.7109375" style="315" customWidth="1"/>
    <col min="14850" max="14855" width="9.140625" style="315"/>
    <col min="14856" max="14856" width="10.85546875" style="315" customWidth="1"/>
    <col min="14857" max="15104" width="9.140625" style="315"/>
    <col min="15105" max="15105" width="51.7109375" style="315" customWidth="1"/>
    <col min="15106" max="15111" width="9.140625" style="315"/>
    <col min="15112" max="15112" width="10.85546875" style="315" customWidth="1"/>
    <col min="15113" max="15360" width="9.140625" style="315"/>
    <col min="15361" max="15361" width="51.7109375" style="315" customWidth="1"/>
    <col min="15362" max="15367" width="9.140625" style="315"/>
    <col min="15368" max="15368" width="10.85546875" style="315" customWidth="1"/>
    <col min="15369" max="15616" width="9.140625" style="315"/>
    <col min="15617" max="15617" width="51.7109375" style="315" customWidth="1"/>
    <col min="15618" max="15623" width="9.140625" style="315"/>
    <col min="15624" max="15624" width="10.85546875" style="315" customWidth="1"/>
    <col min="15625" max="15872" width="9.140625" style="315"/>
    <col min="15873" max="15873" width="51.7109375" style="315" customWidth="1"/>
    <col min="15874" max="15879" width="9.140625" style="315"/>
    <col min="15880" max="15880" width="10.85546875" style="315" customWidth="1"/>
    <col min="15881" max="16128" width="9.140625" style="315"/>
    <col min="16129" max="16129" width="51.7109375" style="315" customWidth="1"/>
    <col min="16130" max="16135" width="9.140625" style="315"/>
    <col min="16136" max="16136" width="10.85546875" style="315" customWidth="1"/>
    <col min="16137" max="16384" width="9.140625" style="315"/>
  </cols>
  <sheetData>
    <row r="1" spans="1:11" x14ac:dyDescent="0.25">
      <c r="A1" s="253"/>
      <c r="B1" s="253"/>
      <c r="C1" s="253"/>
      <c r="D1" s="253"/>
      <c r="E1" s="253"/>
      <c r="F1" s="253"/>
      <c r="G1" s="253"/>
      <c r="H1" s="16" t="s">
        <v>444</v>
      </c>
      <c r="I1" s="250" t="str">
        <f>'LDC Info'!$E$18</f>
        <v>EB-2012-0107</v>
      </c>
    </row>
    <row r="2" spans="1:11" x14ac:dyDescent="0.25">
      <c r="A2" s="253"/>
      <c r="B2" s="253"/>
      <c r="C2" s="253"/>
      <c r="D2" s="253"/>
      <c r="E2" s="253"/>
      <c r="F2" s="253"/>
      <c r="G2" s="253"/>
      <c r="H2" s="16" t="s">
        <v>445</v>
      </c>
      <c r="I2" s="251">
        <v>2</v>
      </c>
    </row>
    <row r="3" spans="1:11" x14ac:dyDescent="0.25">
      <c r="A3" s="253"/>
      <c r="B3" s="253"/>
      <c r="C3" s="253"/>
      <c r="D3" s="253"/>
      <c r="E3" s="253"/>
      <c r="F3" s="253"/>
      <c r="G3" s="253"/>
      <c r="H3" s="16" t="s">
        <v>446</v>
      </c>
      <c r="I3" s="251">
        <v>1</v>
      </c>
    </row>
    <row r="4" spans="1:11" x14ac:dyDescent="0.25">
      <c r="A4" s="253"/>
      <c r="B4" s="253"/>
      <c r="C4" s="253"/>
      <c r="D4" s="253"/>
      <c r="E4" s="253"/>
      <c r="F4" s="253"/>
      <c r="G4" s="253"/>
      <c r="H4" s="16" t="s">
        <v>447</v>
      </c>
      <c r="I4" s="251">
        <v>2</v>
      </c>
    </row>
    <row r="5" spans="1:11" x14ac:dyDescent="0.25">
      <c r="A5" s="253"/>
      <c r="B5" s="253"/>
      <c r="C5" s="253"/>
      <c r="D5" s="253"/>
      <c r="E5" s="253"/>
      <c r="F5" s="253"/>
      <c r="G5" s="253"/>
      <c r="H5" s="16" t="s">
        <v>1036</v>
      </c>
      <c r="I5" s="252">
        <v>2</v>
      </c>
    </row>
    <row r="6" spans="1:11" x14ac:dyDescent="0.25">
      <c r="A6" s="253"/>
      <c r="B6" s="253"/>
      <c r="C6" s="253"/>
      <c r="D6" s="253"/>
      <c r="E6" s="253"/>
      <c r="F6" s="253"/>
      <c r="G6" s="253"/>
      <c r="H6" s="16"/>
      <c r="I6" s="250"/>
    </row>
    <row r="7" spans="1:11" x14ac:dyDescent="0.25">
      <c r="A7" s="253"/>
      <c r="B7" s="253"/>
      <c r="C7" s="253"/>
      <c r="D7" s="253"/>
      <c r="E7" s="253"/>
      <c r="F7" s="253"/>
      <c r="G7" s="253"/>
      <c r="H7" s="16" t="s">
        <v>449</v>
      </c>
      <c r="I7" s="934">
        <v>41200</v>
      </c>
    </row>
    <row r="8" spans="1:11" x14ac:dyDescent="0.25">
      <c r="A8" s="253"/>
      <c r="B8" s="253"/>
      <c r="C8" s="253"/>
      <c r="D8" s="253"/>
      <c r="E8" s="253"/>
      <c r="F8" s="253"/>
      <c r="G8" s="253"/>
      <c r="H8" s="253"/>
      <c r="I8" s="253"/>
    </row>
    <row r="9" spans="1:11" ht="18" x14ac:dyDescent="0.25">
      <c r="A9" s="1282" t="s">
        <v>667</v>
      </c>
      <c r="B9" s="1363"/>
      <c r="C9" s="1363"/>
      <c r="D9" s="1363"/>
      <c r="E9" s="1363"/>
      <c r="F9" s="1363"/>
      <c r="G9" s="1363"/>
      <c r="H9" s="1363"/>
      <c r="I9" s="1363"/>
    </row>
    <row r="10" spans="1:11" ht="18" x14ac:dyDescent="0.25">
      <c r="A10" s="1282" t="s">
        <v>620</v>
      </c>
      <c r="B10" s="1364"/>
      <c r="C10" s="1364"/>
      <c r="D10" s="1364"/>
      <c r="E10" s="1364"/>
      <c r="F10" s="1364"/>
      <c r="G10" s="1364"/>
      <c r="H10" s="1364"/>
      <c r="I10" s="1364"/>
    </row>
    <row r="11" spans="1:11" ht="18" x14ac:dyDescent="0.25">
      <c r="A11" s="1282" t="s">
        <v>644</v>
      </c>
      <c r="B11" s="1364"/>
      <c r="C11" s="1364"/>
      <c r="D11" s="1364"/>
      <c r="E11" s="1364"/>
      <c r="F11" s="1364"/>
      <c r="G11" s="1364"/>
      <c r="H11" s="1364"/>
      <c r="I11" s="1364"/>
    </row>
    <row r="12" spans="1:11" x14ac:dyDescent="0.25">
      <c r="A12" s="253"/>
      <c r="B12" s="253"/>
      <c r="C12" s="253"/>
      <c r="D12" s="253"/>
      <c r="E12" s="253"/>
      <c r="F12" s="253"/>
      <c r="G12" s="253"/>
      <c r="H12" s="253"/>
      <c r="I12" s="253"/>
    </row>
    <row r="13" spans="1:11" s="318" customFormat="1" x14ac:dyDescent="0.25">
      <c r="A13" s="1365" t="s">
        <v>761</v>
      </c>
      <c r="B13" s="1365"/>
      <c r="C13" s="1365"/>
      <c r="D13" s="1365"/>
      <c r="E13" s="1365"/>
      <c r="F13" s="1365"/>
      <c r="G13" s="1365"/>
      <c r="H13" s="1365"/>
      <c r="I13" s="1365"/>
      <c r="J13" s="317"/>
      <c r="K13" s="317"/>
    </row>
    <row r="14" spans="1:11" x14ac:dyDescent="0.25">
      <c r="A14" s="319"/>
      <c r="B14" s="319"/>
      <c r="C14" s="319"/>
      <c r="D14" s="319"/>
      <c r="E14" s="319"/>
      <c r="F14" s="319"/>
      <c r="G14" s="319"/>
      <c r="H14" s="319"/>
      <c r="I14" s="319"/>
      <c r="J14" s="320"/>
      <c r="K14" s="320"/>
    </row>
    <row r="15" spans="1:11" x14ac:dyDescent="0.25">
      <c r="A15" s="1365" t="s">
        <v>645</v>
      </c>
      <c r="B15" s="1365"/>
      <c r="C15" s="1365"/>
      <c r="D15" s="1365"/>
      <c r="E15" s="1365"/>
      <c r="F15" s="1365"/>
      <c r="G15" s="1365"/>
      <c r="H15" s="1365"/>
      <c r="I15" s="1365"/>
      <c r="J15" s="320"/>
      <c r="K15" s="320"/>
    </row>
    <row r="16" spans="1:11" x14ac:dyDescent="0.25">
      <c r="A16" s="319"/>
      <c r="B16" s="319"/>
      <c r="C16" s="319"/>
      <c r="D16" s="319"/>
      <c r="E16" s="319"/>
      <c r="F16" s="319"/>
      <c r="G16" s="319"/>
      <c r="H16" s="319"/>
      <c r="I16" s="319"/>
      <c r="J16" s="320"/>
      <c r="K16" s="320"/>
    </row>
    <row r="17" spans="1:16" ht="39" x14ac:dyDescent="0.25">
      <c r="A17" s="319"/>
      <c r="B17" s="383" t="s">
        <v>660</v>
      </c>
      <c r="C17" s="383">
        <v>2010</v>
      </c>
      <c r="D17" s="383">
        <v>2011</v>
      </c>
      <c r="E17" s="383">
        <v>2012</v>
      </c>
      <c r="F17" s="383" t="s">
        <v>661</v>
      </c>
      <c r="G17" s="383">
        <v>2014</v>
      </c>
      <c r="H17" s="383">
        <v>2015</v>
      </c>
      <c r="I17" s="383">
        <v>2016</v>
      </c>
      <c r="J17" s="320"/>
      <c r="K17" s="320"/>
    </row>
    <row r="18" spans="1:16" x14ac:dyDescent="0.25">
      <c r="A18" s="316" t="s">
        <v>174</v>
      </c>
      <c r="B18" s="392" t="s">
        <v>175</v>
      </c>
      <c r="C18" s="392" t="s">
        <v>621</v>
      </c>
      <c r="D18" s="392" t="s">
        <v>621</v>
      </c>
      <c r="E18" s="392" t="s">
        <v>621</v>
      </c>
      <c r="F18" s="392" t="s">
        <v>176</v>
      </c>
      <c r="G18" s="392" t="s">
        <v>621</v>
      </c>
      <c r="H18" s="392" t="s">
        <v>621</v>
      </c>
      <c r="I18" s="392" t="s">
        <v>621</v>
      </c>
      <c r="J18" s="320"/>
      <c r="K18" s="320"/>
    </row>
    <row r="19" spans="1:16" x14ac:dyDescent="0.25">
      <c r="A19" s="316" t="s">
        <v>622</v>
      </c>
      <c r="B19" s="392" t="s">
        <v>136</v>
      </c>
      <c r="C19" s="392" t="s">
        <v>623</v>
      </c>
      <c r="D19" s="392" t="s">
        <v>623</v>
      </c>
      <c r="E19" s="392" t="s">
        <v>136</v>
      </c>
      <c r="F19" s="392" t="s">
        <v>136</v>
      </c>
      <c r="G19" s="392"/>
      <c r="H19" s="392"/>
      <c r="I19" s="392"/>
      <c r="J19" s="320"/>
      <c r="K19" s="320"/>
    </row>
    <row r="20" spans="1:16" x14ac:dyDescent="0.25">
      <c r="A20" s="319"/>
      <c r="B20" s="385"/>
      <c r="C20" s="385"/>
      <c r="D20" s="387" t="s">
        <v>290</v>
      </c>
      <c r="E20" s="387" t="s">
        <v>290</v>
      </c>
      <c r="F20" s="387" t="s">
        <v>290</v>
      </c>
      <c r="G20" s="387" t="s">
        <v>290</v>
      </c>
      <c r="H20" s="387" t="s">
        <v>290</v>
      </c>
      <c r="I20" s="387" t="s">
        <v>290</v>
      </c>
      <c r="J20" s="320"/>
      <c r="K20" s="320"/>
    </row>
    <row r="21" spans="1:16" x14ac:dyDescent="0.25">
      <c r="A21" s="316" t="s">
        <v>624</v>
      </c>
      <c r="B21" s="1360"/>
      <c r="C21" s="1361"/>
      <c r="D21" s="1361"/>
      <c r="E21" s="1361"/>
      <c r="F21" s="1361"/>
      <c r="G21" s="1361"/>
      <c r="H21" s="1361"/>
      <c r="I21" s="1362"/>
      <c r="J21" s="320"/>
      <c r="K21" s="320"/>
    </row>
    <row r="22" spans="1:16" x14ac:dyDescent="0.25">
      <c r="A22" s="385" t="s">
        <v>625</v>
      </c>
      <c r="B22" s="386"/>
      <c r="C22" s="386"/>
      <c r="D22" s="397"/>
      <c r="E22" s="875">
        <f>'App.2-B_Fixed Asset 2011'!N54</f>
        <v>42443131</v>
      </c>
      <c r="F22" s="386"/>
      <c r="G22" s="386"/>
      <c r="H22" s="386"/>
      <c r="I22" s="386"/>
      <c r="J22" s="320"/>
      <c r="K22" s="320"/>
    </row>
    <row r="23" spans="1:16" x14ac:dyDescent="0.25">
      <c r="A23" s="385" t="s">
        <v>626</v>
      </c>
      <c r="B23" s="386"/>
      <c r="C23" s="386"/>
      <c r="D23" s="397"/>
      <c r="E23" s="875">
        <f>'App.2-B_Fixed Asset 2012 CGAAP'!F54</f>
        <v>10373271</v>
      </c>
      <c r="F23" s="386"/>
      <c r="G23" s="386"/>
      <c r="H23" s="386"/>
      <c r="I23" s="386"/>
      <c r="J23" s="320"/>
      <c r="K23" s="885"/>
    </row>
    <row r="24" spans="1:16" x14ac:dyDescent="0.25">
      <c r="A24" s="385" t="s">
        <v>923</v>
      </c>
      <c r="B24" s="386"/>
      <c r="C24" s="386"/>
      <c r="D24" s="397"/>
      <c r="E24" s="875">
        <v>-1926646</v>
      </c>
      <c r="F24" s="386"/>
      <c r="G24" s="386"/>
      <c r="H24" s="386"/>
      <c r="I24" s="386"/>
      <c r="J24" s="320"/>
      <c r="K24" s="320"/>
    </row>
    <row r="25" spans="1:16" x14ac:dyDescent="0.25">
      <c r="A25" s="385" t="s">
        <v>922</v>
      </c>
      <c r="B25" s="386"/>
      <c r="C25" s="386"/>
      <c r="D25" s="397"/>
      <c r="E25" s="875">
        <v>6629529</v>
      </c>
      <c r="F25" s="386"/>
      <c r="G25" s="386"/>
      <c r="H25" s="386"/>
      <c r="I25" s="386"/>
      <c r="J25" s="320"/>
      <c r="K25" s="877"/>
    </row>
    <row r="26" spans="1:16" x14ac:dyDescent="0.25">
      <c r="A26" s="385" t="s">
        <v>974</v>
      </c>
      <c r="B26" s="386"/>
      <c r="C26" s="386"/>
      <c r="D26" s="397"/>
      <c r="E26" s="875">
        <v>183</v>
      </c>
      <c r="F26" s="386"/>
      <c r="G26" s="386"/>
      <c r="H26" s="386"/>
      <c r="I26" s="386"/>
      <c r="J26" s="320"/>
      <c r="K26" s="877"/>
    </row>
    <row r="27" spans="1:16" x14ac:dyDescent="0.25">
      <c r="A27" s="385" t="s">
        <v>768</v>
      </c>
      <c r="B27" s="386"/>
      <c r="C27" s="386"/>
      <c r="D27" s="397"/>
      <c r="E27" s="875">
        <f>'App.2-B_Fixed Asset 2012 CGAAP'!K54</f>
        <v>-4729669</v>
      </c>
      <c r="F27" s="386"/>
      <c r="G27" s="386"/>
      <c r="H27" s="386"/>
      <c r="I27" s="386"/>
      <c r="J27" s="320"/>
      <c r="K27" s="877"/>
    </row>
    <row r="28" spans="1:16" x14ac:dyDescent="0.25">
      <c r="A28" s="384" t="s">
        <v>627</v>
      </c>
      <c r="B28" s="386"/>
      <c r="C28" s="386"/>
      <c r="D28" s="397"/>
      <c r="E28" s="876">
        <f>SUM(E22:E27)</f>
        <v>52789799</v>
      </c>
      <c r="F28" s="386"/>
      <c r="G28" s="386"/>
      <c r="H28" s="386"/>
      <c r="I28" s="386"/>
      <c r="J28" s="320"/>
      <c r="K28" s="877"/>
    </row>
    <row r="29" spans="1:16" x14ac:dyDescent="0.25">
      <c r="A29" s="319"/>
      <c r="B29" s="319"/>
      <c r="C29" s="319"/>
      <c r="D29" s="321"/>
      <c r="E29" s="877"/>
      <c r="F29" s="319"/>
      <c r="G29" s="319"/>
      <c r="H29" s="319"/>
      <c r="I29" s="319"/>
      <c r="J29" s="320"/>
      <c r="K29" s="877"/>
    </row>
    <row r="30" spans="1:16" ht="26.25" x14ac:dyDescent="0.25">
      <c r="A30" s="322" t="s">
        <v>646</v>
      </c>
      <c r="B30" s="319"/>
      <c r="C30" s="319"/>
      <c r="D30" s="321"/>
      <c r="E30" s="877"/>
      <c r="F30" s="323"/>
      <c r="G30" s="319"/>
      <c r="H30" s="323"/>
      <c r="I30" s="319"/>
      <c r="J30" s="320"/>
      <c r="K30" s="877"/>
    </row>
    <row r="31" spans="1:16" x14ac:dyDescent="0.25">
      <c r="A31" s="385" t="s">
        <v>628</v>
      </c>
      <c r="B31" s="386"/>
      <c r="C31" s="386"/>
      <c r="D31" s="397"/>
      <c r="E31" s="875">
        <f>'App.2-B_Fixed Asset 2012 MIFRS'!E54+'App.2-B_Fixed Asset 2012 MIFRS'!J54</f>
        <v>42443131</v>
      </c>
      <c r="F31" s="386"/>
      <c r="G31" s="386"/>
      <c r="H31" s="386"/>
      <c r="I31" s="386"/>
      <c r="J31" s="320"/>
      <c r="K31" s="877"/>
    </row>
    <row r="32" spans="1:16" x14ac:dyDescent="0.25">
      <c r="A32" s="385" t="s">
        <v>626</v>
      </c>
      <c r="B32" s="386"/>
      <c r="C32" s="386"/>
      <c r="D32" s="397"/>
      <c r="E32" s="875">
        <f>'App.2-B_Fixed Asset 2012 MIFRS'!F54</f>
        <v>9113033</v>
      </c>
      <c r="F32" s="386"/>
      <c r="G32" s="386"/>
      <c r="H32" s="386"/>
      <c r="I32" s="386"/>
      <c r="J32" s="320"/>
      <c r="K32" s="963"/>
      <c r="L32" s="964"/>
      <c r="M32" s="964"/>
      <c r="N32" s="964"/>
      <c r="O32" s="964"/>
      <c r="P32" s="964"/>
    </row>
    <row r="33" spans="1:16" x14ac:dyDescent="0.25">
      <c r="A33" s="385" t="s">
        <v>923</v>
      </c>
      <c r="B33" s="386"/>
      <c r="C33" s="386"/>
      <c r="D33" s="397"/>
      <c r="E33" s="875">
        <v>-1928303</v>
      </c>
      <c r="F33" s="386"/>
      <c r="G33" s="386"/>
      <c r="H33" s="386"/>
      <c r="I33" s="386"/>
      <c r="J33" s="320"/>
      <c r="K33" s="963"/>
      <c r="L33" s="965"/>
      <c r="M33" s="965"/>
      <c r="N33" s="965"/>
      <c r="O33" s="965"/>
      <c r="P33" s="964"/>
    </row>
    <row r="34" spans="1:16" x14ac:dyDescent="0.25">
      <c r="A34" s="385" t="s">
        <v>922</v>
      </c>
      <c r="B34" s="386"/>
      <c r="C34" s="386"/>
      <c r="D34" s="397"/>
      <c r="E34" s="875">
        <v>6629529</v>
      </c>
      <c r="F34" s="386"/>
      <c r="G34" s="386"/>
      <c r="H34" s="386"/>
      <c r="I34" s="386"/>
      <c r="J34" s="320"/>
      <c r="K34" s="963"/>
      <c r="L34" s="965"/>
      <c r="M34" s="965"/>
      <c r="N34" s="965"/>
      <c r="O34" s="965"/>
      <c r="P34" s="964"/>
    </row>
    <row r="35" spans="1:16" x14ac:dyDescent="0.25">
      <c r="A35" s="385" t="s">
        <v>974</v>
      </c>
      <c r="B35" s="386"/>
      <c r="C35" s="386"/>
      <c r="D35" s="397"/>
      <c r="E35" s="875">
        <v>183</v>
      </c>
      <c r="F35" s="386"/>
      <c r="G35" s="386"/>
      <c r="H35" s="386"/>
      <c r="I35" s="386"/>
      <c r="J35" s="320"/>
      <c r="K35" s="963"/>
      <c r="L35" s="965"/>
      <c r="M35" s="965"/>
      <c r="N35" s="965"/>
      <c r="O35" s="965"/>
      <c r="P35" s="964"/>
    </row>
    <row r="36" spans="1:16" x14ac:dyDescent="0.25">
      <c r="A36" s="385" t="s">
        <v>768</v>
      </c>
      <c r="B36" s="386"/>
      <c r="C36" s="386"/>
      <c r="D36" s="397"/>
      <c r="E36" s="875">
        <f>'App.2-B_Fixed Asset 2012 MIFRS'!K54</f>
        <v>-3832654.7142960564</v>
      </c>
      <c r="F36" s="386"/>
      <c r="G36" s="386"/>
      <c r="H36" s="386"/>
      <c r="I36" s="386"/>
      <c r="J36" s="320"/>
      <c r="K36" s="963"/>
      <c r="L36" s="965"/>
      <c r="M36" s="965"/>
      <c r="N36" s="965"/>
      <c r="O36" s="965"/>
      <c r="P36" s="964"/>
    </row>
    <row r="37" spans="1:16" x14ac:dyDescent="0.25">
      <c r="A37" s="384" t="s">
        <v>629</v>
      </c>
      <c r="B37" s="386"/>
      <c r="C37" s="386"/>
      <c r="D37" s="397"/>
      <c r="E37" s="876">
        <f>SUM(E31:E36)</f>
        <v>52424918.285703942</v>
      </c>
      <c r="F37" s="386"/>
      <c r="G37" s="386"/>
      <c r="H37" s="386"/>
      <c r="I37" s="386"/>
      <c r="J37" s="320"/>
      <c r="K37" s="877"/>
    </row>
    <row r="38" spans="1:16" x14ac:dyDescent="0.25">
      <c r="A38" s="319"/>
      <c r="B38" s="319"/>
      <c r="C38" s="319"/>
      <c r="D38" s="319"/>
      <c r="E38" s="877"/>
      <c r="F38" s="319"/>
      <c r="G38" s="319"/>
      <c r="H38" s="319"/>
      <c r="I38" s="319"/>
      <c r="J38" s="320"/>
      <c r="K38" s="877"/>
    </row>
    <row r="39" spans="1:16" ht="26.25" x14ac:dyDescent="0.25">
      <c r="A39" s="388" t="s">
        <v>630</v>
      </c>
      <c r="B39" s="386"/>
      <c r="C39" s="386"/>
      <c r="D39" s="398"/>
      <c r="E39" s="878">
        <f>E28-E37</f>
        <v>364880.71429605782</v>
      </c>
      <c r="F39" s="386"/>
      <c r="G39" s="386"/>
      <c r="H39" s="386"/>
      <c r="I39" s="386"/>
      <c r="J39" s="320"/>
      <c r="K39" s="877"/>
    </row>
    <row r="40" spans="1:16" x14ac:dyDescent="0.25">
      <c r="A40" s="319"/>
      <c r="B40" s="319"/>
      <c r="C40" s="319"/>
      <c r="D40" s="319"/>
      <c r="E40" s="923"/>
      <c r="F40" s="319"/>
      <c r="G40" s="319"/>
      <c r="H40" s="319"/>
      <c r="I40" s="319"/>
      <c r="J40" s="320"/>
      <c r="K40" s="877"/>
    </row>
    <row r="41" spans="1:16" x14ac:dyDescent="0.25">
      <c r="A41" s="316" t="s">
        <v>631</v>
      </c>
      <c r="B41" s="319"/>
      <c r="C41" s="319"/>
      <c r="D41" s="319"/>
      <c r="E41" s="319"/>
      <c r="F41" s="319"/>
      <c r="G41" s="319"/>
      <c r="H41" s="319"/>
      <c r="I41" s="319"/>
      <c r="J41" s="320"/>
      <c r="K41" s="877"/>
    </row>
    <row r="42" spans="1:16" x14ac:dyDescent="0.25">
      <c r="A42" s="385" t="s">
        <v>632</v>
      </c>
      <c r="B42" s="386"/>
      <c r="C42" s="386"/>
      <c r="D42" s="399"/>
      <c r="E42" s="879">
        <f>D46</f>
        <v>0</v>
      </c>
      <c r="F42" s="879">
        <f>E46</f>
        <v>364880.71429605782</v>
      </c>
      <c r="G42" s="879">
        <f>F46</f>
        <v>273660.53572204337</v>
      </c>
      <c r="H42" s="879">
        <f>G46</f>
        <v>182440.35714802891</v>
      </c>
      <c r="I42" s="879">
        <f>H46</f>
        <v>91220.178574014455</v>
      </c>
      <c r="J42" s="320"/>
      <c r="K42" s="877"/>
    </row>
    <row r="43" spans="1:16" x14ac:dyDescent="0.25">
      <c r="A43" s="385" t="s">
        <v>633</v>
      </c>
      <c r="B43" s="386"/>
      <c r="C43" s="386"/>
      <c r="D43" s="399"/>
      <c r="E43" s="879">
        <f>E39-D39</f>
        <v>364880.71429605782</v>
      </c>
      <c r="F43" s="880"/>
      <c r="G43" s="880"/>
      <c r="H43" s="880"/>
      <c r="I43" s="880"/>
      <c r="J43" s="320"/>
      <c r="K43" s="877"/>
    </row>
    <row r="44" spans="1:16" x14ac:dyDescent="0.25">
      <c r="A44" s="393" t="s">
        <v>634</v>
      </c>
      <c r="B44" s="386"/>
      <c r="C44" s="386"/>
      <c r="D44" s="399"/>
      <c r="E44" s="879">
        <f>E42+E43</f>
        <v>364880.71429605782</v>
      </c>
      <c r="F44" s="879">
        <f>F42+F43</f>
        <v>364880.71429605782</v>
      </c>
      <c r="G44" s="879">
        <f>G42+G43</f>
        <v>273660.53572204337</v>
      </c>
      <c r="H44" s="879">
        <f>H42+H43</f>
        <v>182440.35714802891</v>
      </c>
      <c r="I44" s="879">
        <f>I42+I43</f>
        <v>91220.178574014455</v>
      </c>
      <c r="J44" s="320"/>
      <c r="K44" s="877"/>
    </row>
    <row r="45" spans="1:16" ht="26.25" x14ac:dyDescent="0.25">
      <c r="A45" s="389" t="s">
        <v>662</v>
      </c>
      <c r="B45" s="386"/>
      <c r="C45" s="386"/>
      <c r="D45" s="399"/>
      <c r="E45" s="880"/>
      <c r="F45" s="879">
        <f>IF(ISERROR(-E39/I50), 0, -E39/I50)</f>
        <v>-91220.178574014455</v>
      </c>
      <c r="G45" s="879">
        <f>+F45</f>
        <v>-91220.178574014455</v>
      </c>
      <c r="H45" s="879">
        <f>+F45</f>
        <v>-91220.178574014455</v>
      </c>
      <c r="I45" s="879">
        <f>+F45</f>
        <v>-91220.178574014455</v>
      </c>
      <c r="J45" s="320"/>
      <c r="K45" s="877"/>
    </row>
    <row r="46" spans="1:16" x14ac:dyDescent="0.25">
      <c r="A46" s="384" t="s">
        <v>635</v>
      </c>
      <c r="B46" s="386"/>
      <c r="C46" s="386"/>
      <c r="D46" s="399"/>
      <c r="E46" s="879">
        <f>E44+E45</f>
        <v>364880.71429605782</v>
      </c>
      <c r="F46" s="879">
        <f>IF(ISERROR(F44+F45), 0, F44+F45)</f>
        <v>273660.53572204337</v>
      </c>
      <c r="G46" s="879">
        <f>G44+G45</f>
        <v>182440.35714802891</v>
      </c>
      <c r="H46" s="879">
        <f>H44+H45</f>
        <v>91220.178574014455</v>
      </c>
      <c r="I46" s="879">
        <f>I44+I45</f>
        <v>0</v>
      </c>
      <c r="J46" s="320"/>
      <c r="K46" s="320"/>
    </row>
    <row r="47" spans="1:16" x14ac:dyDescent="0.25">
      <c r="A47" s="316"/>
      <c r="B47" s="319"/>
      <c r="C47" s="319"/>
      <c r="D47" s="323"/>
      <c r="E47" s="323"/>
      <c r="F47" s="323"/>
      <c r="G47" s="323"/>
      <c r="H47" s="323"/>
      <c r="I47" s="319"/>
      <c r="J47" s="320"/>
      <c r="K47" s="320"/>
    </row>
    <row r="48" spans="1:16" x14ac:dyDescent="0.25">
      <c r="A48" s="316" t="s">
        <v>636</v>
      </c>
      <c r="B48" s="319"/>
      <c r="C48" s="319"/>
      <c r="D48" s="323"/>
      <c r="E48" s="323"/>
      <c r="F48" s="323"/>
      <c r="G48" s="323"/>
      <c r="H48" s="323"/>
      <c r="I48" s="319"/>
      <c r="J48" s="320"/>
      <c r="K48" s="320"/>
    </row>
    <row r="49" spans="1:11" s="325" customFormat="1" x14ac:dyDescent="0.25">
      <c r="A49" s="394" t="s">
        <v>637</v>
      </c>
      <c r="B49" s="391"/>
      <c r="C49" s="391"/>
      <c r="D49" s="391"/>
      <c r="E49" s="391"/>
      <c r="F49" s="881">
        <f>IF(ISERROR(E39/I50), 0, E39/I50)</f>
        <v>91220.178574014455</v>
      </c>
      <c r="G49" s="319"/>
      <c r="H49" s="324" t="s">
        <v>638</v>
      </c>
      <c r="I49" s="382">
        <v>6.0699999999999997E-2</v>
      </c>
      <c r="J49" s="320"/>
      <c r="K49" s="320"/>
    </row>
    <row r="50" spans="1:11" s="325" customFormat="1" ht="39" x14ac:dyDescent="0.25">
      <c r="A50" s="390" t="s">
        <v>760</v>
      </c>
      <c r="B50" s="395"/>
      <c r="C50" s="395"/>
      <c r="D50" s="395"/>
      <c r="E50" s="395"/>
      <c r="F50" s="882">
        <f>E39*I49</f>
        <v>22148.259357770708</v>
      </c>
      <c r="G50" s="319"/>
      <c r="H50" s="322" t="s">
        <v>639</v>
      </c>
      <c r="I50" s="680">
        <v>4</v>
      </c>
      <c r="J50" s="590" t="s">
        <v>10</v>
      </c>
      <c r="K50" s="320"/>
    </row>
    <row r="51" spans="1:11" x14ac:dyDescent="0.25">
      <c r="A51" s="396" t="s">
        <v>640</v>
      </c>
      <c r="B51" s="395"/>
      <c r="C51" s="395"/>
      <c r="D51" s="395"/>
      <c r="E51" s="395"/>
      <c r="F51" s="882">
        <f>F49+F50</f>
        <v>113368.43793178516</v>
      </c>
      <c r="G51" s="319"/>
      <c r="H51" s="319"/>
      <c r="I51" s="319"/>
      <c r="J51" s="320"/>
      <c r="K51" s="320"/>
    </row>
    <row r="52" spans="1:11" x14ac:dyDescent="0.25">
      <c r="A52" s="316"/>
      <c r="B52" s="319"/>
      <c r="C52" s="319"/>
      <c r="D52" s="319"/>
      <c r="E52" s="319"/>
      <c r="F52" s="319"/>
      <c r="G52" s="319"/>
      <c r="H52" s="319"/>
      <c r="I52" s="319"/>
      <c r="J52" s="320"/>
      <c r="K52" s="320"/>
    </row>
    <row r="53" spans="1:11" x14ac:dyDescent="0.25">
      <c r="A53" s="316" t="s">
        <v>16</v>
      </c>
      <c r="B53" s="319"/>
      <c r="C53" s="319"/>
      <c r="D53" s="319"/>
      <c r="E53" s="319"/>
      <c r="F53" s="319"/>
      <c r="G53" s="319"/>
      <c r="H53" s="319"/>
      <c r="I53" s="319"/>
      <c r="J53" s="320"/>
      <c r="K53" s="320"/>
    </row>
    <row r="54" spans="1:11" x14ac:dyDescent="0.25">
      <c r="A54" s="319" t="s">
        <v>665</v>
      </c>
      <c r="B54" s="319"/>
      <c r="C54" s="319"/>
      <c r="D54" s="319"/>
      <c r="E54" s="319"/>
      <c r="F54" s="319"/>
      <c r="G54" s="319"/>
      <c r="H54" s="319"/>
      <c r="I54" s="319"/>
      <c r="J54" s="320"/>
      <c r="K54" s="320"/>
    </row>
    <row r="55" spans="1:11" x14ac:dyDescent="0.25">
      <c r="A55" s="319" t="s">
        <v>663</v>
      </c>
      <c r="B55" s="319"/>
      <c r="C55" s="319"/>
      <c r="D55" s="319"/>
      <c r="E55" s="319"/>
      <c r="F55" s="319"/>
      <c r="G55" s="319"/>
      <c r="H55" s="319"/>
      <c r="I55" s="319"/>
      <c r="J55" s="320"/>
      <c r="K55" s="320"/>
    </row>
    <row r="56" spans="1:11" x14ac:dyDescent="0.25">
      <c r="A56" s="319" t="s">
        <v>641</v>
      </c>
      <c r="B56" s="319"/>
      <c r="C56" s="319"/>
      <c r="D56" s="319"/>
      <c r="E56" s="319"/>
      <c r="F56" s="319"/>
      <c r="G56" s="319"/>
      <c r="H56" s="319"/>
      <c r="I56" s="319"/>
      <c r="J56" s="320"/>
      <c r="K56" s="320"/>
    </row>
    <row r="57" spans="1:11" x14ac:dyDescent="0.25">
      <c r="A57" s="319" t="s">
        <v>642</v>
      </c>
      <c r="B57" s="319"/>
      <c r="C57" s="319"/>
      <c r="D57" s="319"/>
      <c r="E57" s="319"/>
      <c r="F57" s="319"/>
      <c r="G57" s="319"/>
      <c r="H57" s="319"/>
      <c r="I57" s="319"/>
      <c r="J57" s="320"/>
      <c r="K57" s="320"/>
    </row>
    <row r="58" spans="1:11" x14ac:dyDescent="0.25">
      <c r="A58" s="319" t="s">
        <v>664</v>
      </c>
      <c r="B58" s="319"/>
      <c r="C58" s="319"/>
      <c r="D58" s="319"/>
      <c r="E58" s="319"/>
      <c r="F58" s="319"/>
      <c r="G58" s="319"/>
      <c r="H58" s="319"/>
      <c r="I58" s="319"/>
      <c r="J58" s="320"/>
      <c r="K58" s="320"/>
    </row>
    <row r="59" spans="1:11" x14ac:dyDescent="0.25">
      <c r="A59" s="319" t="s">
        <v>647</v>
      </c>
      <c r="B59" s="319"/>
      <c r="C59" s="319"/>
      <c r="D59" s="319"/>
      <c r="E59" s="319"/>
      <c r="F59" s="319"/>
      <c r="G59" s="319"/>
      <c r="H59" s="319"/>
      <c r="I59" s="319"/>
      <c r="J59" s="320"/>
      <c r="K59" s="320"/>
    </row>
    <row r="60" spans="1:11" x14ac:dyDescent="0.25">
      <c r="A60" s="319" t="s">
        <v>643</v>
      </c>
      <c r="B60" s="319"/>
      <c r="C60" s="319"/>
      <c r="D60" s="319"/>
      <c r="E60" s="319"/>
      <c r="F60" s="319"/>
      <c r="G60" s="319"/>
      <c r="H60" s="319"/>
      <c r="I60" s="319"/>
      <c r="J60" s="320"/>
      <c r="K60" s="320"/>
    </row>
    <row r="61" spans="1:11" ht="24.75" customHeight="1" x14ac:dyDescent="0.25">
      <c r="A61" s="1359" t="s">
        <v>775</v>
      </c>
      <c r="B61" s="1359"/>
      <c r="C61" s="1359"/>
      <c r="D61" s="1359"/>
      <c r="E61" s="1359"/>
      <c r="F61" s="1359"/>
      <c r="G61" s="1359"/>
      <c r="H61" s="1359"/>
      <c r="I61" s="1359"/>
      <c r="J61" s="320"/>
      <c r="K61" s="320"/>
    </row>
    <row r="62" spans="1:11" ht="24.75" customHeight="1" x14ac:dyDescent="0.25">
      <c r="A62" s="1359"/>
      <c r="B62" s="1359"/>
      <c r="C62" s="1359"/>
      <c r="D62" s="1359"/>
      <c r="E62" s="1359"/>
      <c r="F62" s="1359"/>
      <c r="G62" s="1359"/>
      <c r="H62" s="1359"/>
      <c r="I62" s="1359"/>
    </row>
  </sheetData>
  <mergeCells count="7">
    <mergeCell ref="A61:I62"/>
    <mergeCell ref="B21:I21"/>
    <mergeCell ref="A9:I9"/>
    <mergeCell ref="A10:I10"/>
    <mergeCell ref="A11:I11"/>
    <mergeCell ref="A15:I15"/>
    <mergeCell ref="A13:I13"/>
  </mergeCells>
  <dataValidations disablePrompts="1" count="1">
    <dataValidation allowBlank="1" showInputMessage="1" showErrorMessage="1" promptTitle="Date Format" prompt="E.g:  &quot;August 1, 2011&quot;" sqref="WVM98305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dataValidations>
  <pageMargins left="0.5" right="0.5" top="0.5" bottom="0.5" header="0.3" footer="0.3"/>
  <pageSetup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N66"/>
  <sheetViews>
    <sheetView showGridLines="0" zoomScale="85" zoomScaleNormal="85" workbookViewId="0">
      <selection sqref="A1:XFD1048576"/>
    </sheetView>
  </sheetViews>
  <sheetFormatPr defaultRowHeight="12.75" x14ac:dyDescent="0.2"/>
  <cols>
    <col min="1" max="1" width="11.28515625" customWidth="1"/>
    <col min="2" max="2" width="24.140625" customWidth="1"/>
    <col min="3" max="4" width="13.7109375" customWidth="1"/>
    <col min="5" max="5" width="14.28515625" customWidth="1"/>
    <col min="6" max="9" width="13.7109375" customWidth="1"/>
  </cols>
  <sheetData>
    <row r="1" spans="1:9" x14ac:dyDescent="0.2">
      <c r="G1" s="16"/>
      <c r="H1" s="329" t="s">
        <v>444</v>
      </c>
      <c r="I1" s="250" t="str">
        <f>'LDC Info'!$E$18</f>
        <v>EB-2012-0107</v>
      </c>
    </row>
    <row r="2" spans="1:9" x14ac:dyDescent="0.2">
      <c r="G2" s="16"/>
      <c r="H2" s="329" t="s">
        <v>445</v>
      </c>
      <c r="I2" s="251">
        <v>3</v>
      </c>
    </row>
    <row r="3" spans="1:9" x14ac:dyDescent="0.2">
      <c r="G3" s="16"/>
      <c r="H3" s="329" t="s">
        <v>446</v>
      </c>
      <c r="I3" s="251">
        <v>2</v>
      </c>
    </row>
    <row r="4" spans="1:9" x14ac:dyDescent="0.2">
      <c r="G4" s="16"/>
      <c r="H4" s="329" t="s">
        <v>447</v>
      </c>
      <c r="I4" s="251">
        <v>1</v>
      </c>
    </row>
    <row r="5" spans="1:9" x14ac:dyDescent="0.2">
      <c r="G5" s="16"/>
      <c r="H5" s="329" t="s">
        <v>448</v>
      </c>
      <c r="I5" s="252">
        <v>1</v>
      </c>
    </row>
    <row r="6" spans="1:9" x14ac:dyDescent="0.2">
      <c r="G6" s="16"/>
      <c r="H6" s="329"/>
      <c r="I6" s="250"/>
    </row>
    <row r="7" spans="1:9" x14ac:dyDescent="0.2">
      <c r="G7" s="16"/>
      <c r="H7" s="329" t="s">
        <v>449</v>
      </c>
      <c r="I7" s="934"/>
    </row>
    <row r="8" spans="1:9" x14ac:dyDescent="0.2">
      <c r="H8" s="851"/>
    </row>
    <row r="9" spans="1:9" ht="18" x14ac:dyDescent="0.25">
      <c r="A9" s="1385" t="s">
        <v>221</v>
      </c>
      <c r="B9" s="1385"/>
      <c r="C9" s="1385"/>
      <c r="D9" s="1385"/>
      <c r="E9" s="1385"/>
      <c r="F9" s="1385"/>
      <c r="G9" s="1385"/>
      <c r="H9" s="1385"/>
      <c r="I9" s="1385"/>
    </row>
    <row r="10" spans="1:9" ht="18" x14ac:dyDescent="0.25">
      <c r="A10" s="1385" t="s">
        <v>56</v>
      </c>
      <c r="B10" s="1385"/>
      <c r="C10" s="1385"/>
      <c r="D10" s="1385"/>
      <c r="E10" s="1385"/>
      <c r="F10" s="1385"/>
      <c r="G10" s="1385"/>
      <c r="H10" s="1385"/>
      <c r="I10" s="1385"/>
    </row>
    <row r="11" spans="1:9" ht="13.5" thickBot="1" x14ac:dyDescent="0.25"/>
    <row r="12" spans="1:9" x14ac:dyDescent="0.2">
      <c r="A12" s="53" t="s">
        <v>54</v>
      </c>
      <c r="B12" s="54" t="s">
        <v>139</v>
      </c>
      <c r="C12" s="853" t="str">
        <f>G13-3 &amp; " Actual"</f>
        <v>2009 Actual</v>
      </c>
      <c r="D12" s="853" t="str">
        <f>G13-2 &amp; " Actual"</f>
        <v>2010 Actual</v>
      </c>
      <c r="E12" s="853" t="str">
        <f>G13-1 &amp; " Actual"&amp; CHAR(178)</f>
        <v>2011 Actual²</v>
      </c>
      <c r="F12" s="853" t="str">
        <f>G13-1 &amp; " Actual"&amp; CHAR(178)</f>
        <v>2011 Actual²</v>
      </c>
      <c r="G12" s="852" t="str">
        <f>"Bridge Year" &amp; CHAR(179)</f>
        <v>Bridge Year³</v>
      </c>
      <c r="H12" s="852" t="str">
        <f>"Bridge Year" &amp; CHAR(179)</f>
        <v>Bridge Year³</v>
      </c>
      <c r="I12" s="231" t="s">
        <v>457</v>
      </c>
    </row>
    <row r="13" spans="1:9" x14ac:dyDescent="0.2">
      <c r="A13" s="216"/>
      <c r="B13" s="217"/>
      <c r="C13" s="178"/>
      <c r="D13" s="178"/>
      <c r="E13" s="178"/>
      <c r="F13" s="232"/>
      <c r="G13" s="232">
        <f>'LDC Info'!E26</f>
        <v>2012</v>
      </c>
      <c r="H13" s="232">
        <f>'LDC Info'!E26</f>
        <v>2012</v>
      </c>
      <c r="I13" s="233">
        <f>'LDC Info'!E28</f>
        <v>2013</v>
      </c>
    </row>
    <row r="14" spans="1:9" x14ac:dyDescent="0.2">
      <c r="A14" s="216"/>
      <c r="B14" s="414" t="s">
        <v>174</v>
      </c>
      <c r="C14" s="244" t="s">
        <v>175</v>
      </c>
      <c r="D14" s="244" t="s">
        <v>175</v>
      </c>
      <c r="E14" s="244" t="s">
        <v>175</v>
      </c>
      <c r="F14" s="244"/>
      <c r="G14" s="244" t="s">
        <v>175</v>
      </c>
      <c r="H14" s="400" t="s">
        <v>176</v>
      </c>
      <c r="I14" s="401" t="s">
        <v>176</v>
      </c>
    </row>
    <row r="15" spans="1:9" x14ac:dyDescent="0.2">
      <c r="A15" s="183">
        <v>4235</v>
      </c>
      <c r="B15" s="9" t="s">
        <v>59</v>
      </c>
      <c r="C15" s="246">
        <v>1105751</v>
      </c>
      <c r="D15" s="246">
        <v>209404</v>
      </c>
      <c r="E15" s="246">
        <v>174751</v>
      </c>
      <c r="F15" s="246"/>
      <c r="G15" s="246">
        <v>151520</v>
      </c>
      <c r="H15" s="403">
        <v>151520</v>
      </c>
      <c r="I15" s="404">
        <v>157724</v>
      </c>
    </row>
    <row r="16" spans="1:9" x14ac:dyDescent="0.2">
      <c r="A16" s="183">
        <v>4225</v>
      </c>
      <c r="B16" s="9" t="s">
        <v>60</v>
      </c>
      <c r="C16" s="246">
        <v>285586</v>
      </c>
      <c r="D16" s="246">
        <v>230017</v>
      </c>
      <c r="E16" s="246">
        <v>244953</v>
      </c>
      <c r="F16" s="246"/>
      <c r="G16" s="246">
        <v>240000</v>
      </c>
      <c r="H16" s="403">
        <v>240000</v>
      </c>
      <c r="I16" s="404">
        <v>232694</v>
      </c>
    </row>
    <row r="17" spans="1:14" x14ac:dyDescent="0.2">
      <c r="A17" s="849">
        <v>4082</v>
      </c>
      <c r="B17" s="9" t="s">
        <v>61</v>
      </c>
      <c r="C17" s="246">
        <v>60838</v>
      </c>
      <c r="D17" s="246">
        <v>56983</v>
      </c>
      <c r="E17" s="246">
        <v>48541</v>
      </c>
      <c r="F17" s="246"/>
      <c r="G17" s="246">
        <v>50000</v>
      </c>
      <c r="H17" s="403">
        <v>50000</v>
      </c>
      <c r="I17" s="404">
        <v>46297</v>
      </c>
    </row>
    <row r="18" spans="1:14" x14ac:dyDescent="0.2">
      <c r="A18" s="850">
        <v>4086</v>
      </c>
      <c r="B18" s="844" t="s">
        <v>924</v>
      </c>
      <c r="C18" s="246">
        <v>89114</v>
      </c>
      <c r="D18" s="246">
        <v>90530</v>
      </c>
      <c r="E18" s="246">
        <v>93861</v>
      </c>
      <c r="F18" s="246"/>
      <c r="G18" s="246">
        <v>93000</v>
      </c>
      <c r="H18" s="403">
        <v>93000</v>
      </c>
      <c r="I18" s="404">
        <v>90395</v>
      </c>
    </row>
    <row r="19" spans="1:14" x14ac:dyDescent="0.2">
      <c r="A19" s="850">
        <v>4084</v>
      </c>
      <c r="B19" s="844" t="s">
        <v>925</v>
      </c>
      <c r="C19" s="246">
        <v>1746</v>
      </c>
      <c r="D19" s="246">
        <v>3756</v>
      </c>
      <c r="E19" s="246">
        <v>3805</v>
      </c>
      <c r="F19" s="246"/>
      <c r="G19" s="246">
        <v>2000</v>
      </c>
      <c r="H19" s="403">
        <v>2000</v>
      </c>
      <c r="I19" s="404">
        <v>2037</v>
      </c>
    </row>
    <row r="20" spans="1:14" x14ac:dyDescent="0.2">
      <c r="A20" s="850">
        <v>4210</v>
      </c>
      <c r="B20" s="844" t="s">
        <v>926</v>
      </c>
      <c r="C20" s="246">
        <v>307829</v>
      </c>
      <c r="D20" s="246">
        <v>313529</v>
      </c>
      <c r="E20" s="246">
        <v>279577</v>
      </c>
      <c r="F20" s="246"/>
      <c r="G20" s="246">
        <v>275954</v>
      </c>
      <c r="H20" s="403">
        <v>275954</v>
      </c>
      <c r="I20" s="404">
        <v>274745</v>
      </c>
    </row>
    <row r="21" spans="1:14" x14ac:dyDescent="0.2">
      <c r="A21" s="850">
        <v>4220</v>
      </c>
      <c r="B21" s="844" t="s">
        <v>927</v>
      </c>
      <c r="C21" s="246">
        <v>117610</v>
      </c>
      <c r="D21" s="246">
        <v>113172</v>
      </c>
      <c r="E21" s="246">
        <v>112751</v>
      </c>
      <c r="F21" s="246"/>
      <c r="G21" s="246">
        <v>105948</v>
      </c>
      <c r="H21" s="403">
        <v>105948</v>
      </c>
      <c r="I21" s="404">
        <v>0</v>
      </c>
    </row>
    <row r="22" spans="1:14" x14ac:dyDescent="0.2">
      <c r="A22" s="848">
        <v>4325</v>
      </c>
      <c r="B22" s="844" t="s">
        <v>928</v>
      </c>
      <c r="C22" s="246">
        <v>597536</v>
      </c>
      <c r="D22" s="246">
        <v>1655256</v>
      </c>
      <c r="E22" s="246">
        <v>1475205</v>
      </c>
      <c r="F22" s="246"/>
      <c r="G22" s="246">
        <v>757575</v>
      </c>
      <c r="H22" s="403">
        <v>757575</v>
      </c>
      <c r="I22" s="404">
        <v>641026</v>
      </c>
    </row>
    <row r="23" spans="1:14" x14ac:dyDescent="0.2">
      <c r="A23" s="848">
        <v>4330</v>
      </c>
      <c r="B23" s="844" t="s">
        <v>929</v>
      </c>
      <c r="C23" s="246">
        <v>-372896</v>
      </c>
      <c r="D23" s="246">
        <v>-1304982</v>
      </c>
      <c r="E23" s="246">
        <v>-896293</v>
      </c>
      <c r="F23" s="246"/>
      <c r="G23" s="246">
        <v>-568181</v>
      </c>
      <c r="H23" s="403">
        <v>-568181</v>
      </c>
      <c r="I23" s="404">
        <v>-480769</v>
      </c>
    </row>
    <row r="24" spans="1:14" x14ac:dyDescent="0.2">
      <c r="A24" s="848">
        <v>4355</v>
      </c>
      <c r="B24" s="844" t="s">
        <v>932</v>
      </c>
      <c r="C24" s="246">
        <v>358539</v>
      </c>
      <c r="D24" s="246">
        <v>20735</v>
      </c>
      <c r="E24" s="246">
        <v>23293</v>
      </c>
      <c r="F24" s="246"/>
      <c r="G24" s="246">
        <v>5000</v>
      </c>
      <c r="H24" s="403">
        <v>0</v>
      </c>
      <c r="I24" s="404">
        <v>0</v>
      </c>
      <c r="L24" s="847"/>
      <c r="M24" s="847"/>
      <c r="N24" s="847"/>
    </row>
    <row r="25" spans="1:14" x14ac:dyDescent="0.2">
      <c r="A25" s="848">
        <v>4360</v>
      </c>
      <c r="B25" s="844" t="s">
        <v>933</v>
      </c>
      <c r="C25" s="246">
        <v>-206378</v>
      </c>
      <c r="D25" s="246"/>
      <c r="E25" s="246"/>
      <c r="F25" s="246"/>
      <c r="G25" s="246"/>
      <c r="H25" s="403"/>
      <c r="I25" s="404"/>
    </row>
    <row r="26" spans="1:14" x14ac:dyDescent="0.2">
      <c r="A26" s="848">
        <v>4390</v>
      </c>
      <c r="B26" s="844" t="s">
        <v>930</v>
      </c>
      <c r="C26" s="246">
        <v>20713</v>
      </c>
      <c r="D26" s="246">
        <v>25866</v>
      </c>
      <c r="E26" s="246">
        <v>26394</v>
      </c>
      <c r="F26" s="246"/>
      <c r="G26" s="246">
        <v>20000</v>
      </c>
      <c r="H26" s="403">
        <v>20000</v>
      </c>
      <c r="I26" s="404">
        <v>20000</v>
      </c>
    </row>
    <row r="27" spans="1:14" x14ac:dyDescent="0.2">
      <c r="A27" s="402">
        <v>4405</v>
      </c>
      <c r="B27" s="844" t="s">
        <v>931</v>
      </c>
      <c r="C27" s="246">
        <v>52701</v>
      </c>
      <c r="D27" s="246">
        <v>111557</v>
      </c>
      <c r="E27" s="246">
        <v>312894</v>
      </c>
      <c r="F27" s="246"/>
      <c r="G27" s="246">
        <f>108565+60767</f>
        <v>169332</v>
      </c>
      <c r="H27" s="403">
        <f>108565+60767</f>
        <v>169332</v>
      </c>
      <c r="I27" s="404">
        <f>76099+20000</f>
        <v>96099</v>
      </c>
    </row>
    <row r="28" spans="1:14" ht="7.5" customHeight="1" x14ac:dyDescent="0.2">
      <c r="A28" s="1386"/>
      <c r="B28" s="1387"/>
      <c r="C28" s="1387"/>
      <c r="D28" s="1387"/>
      <c r="E28" s="1387"/>
      <c r="F28" s="1387"/>
      <c r="G28" s="1387"/>
      <c r="H28" s="1388"/>
      <c r="I28" s="1389"/>
    </row>
    <row r="29" spans="1:14" x14ac:dyDescent="0.2">
      <c r="A29" s="1390" t="s">
        <v>59</v>
      </c>
      <c r="B29" s="1391"/>
      <c r="C29" s="218">
        <f t="shared" ref="C29:I30" si="0">C15</f>
        <v>1105751</v>
      </c>
      <c r="D29" s="218">
        <f t="shared" si="0"/>
        <v>209404</v>
      </c>
      <c r="E29" s="218">
        <f t="shared" si="0"/>
        <v>174751</v>
      </c>
      <c r="F29" s="218">
        <f t="shared" si="0"/>
        <v>0</v>
      </c>
      <c r="G29" s="218">
        <f t="shared" si="0"/>
        <v>151520</v>
      </c>
      <c r="H29" s="218">
        <f t="shared" si="0"/>
        <v>151520</v>
      </c>
      <c r="I29" s="218">
        <f t="shared" si="0"/>
        <v>157724</v>
      </c>
    </row>
    <row r="30" spans="1:14" x14ac:dyDescent="0.2">
      <c r="A30" s="1390" t="s">
        <v>60</v>
      </c>
      <c r="B30" s="1391"/>
      <c r="C30" s="11">
        <f t="shared" si="0"/>
        <v>285586</v>
      </c>
      <c r="D30" s="11">
        <f t="shared" si="0"/>
        <v>230017</v>
      </c>
      <c r="E30" s="11">
        <f t="shared" si="0"/>
        <v>244953</v>
      </c>
      <c r="F30" s="11">
        <f t="shared" si="0"/>
        <v>0</v>
      </c>
      <c r="G30" s="11">
        <f t="shared" si="0"/>
        <v>240000</v>
      </c>
      <c r="H30" s="11">
        <f t="shared" si="0"/>
        <v>240000</v>
      </c>
      <c r="I30" s="56">
        <f t="shared" si="0"/>
        <v>232694</v>
      </c>
    </row>
    <row r="31" spans="1:14" x14ac:dyDescent="0.2">
      <c r="A31" s="1392" t="s">
        <v>184</v>
      </c>
      <c r="B31" s="1393"/>
      <c r="C31" s="246">
        <f t="shared" ref="C31:I31" si="1">C17+C18+C19+C20+C21</f>
        <v>577137</v>
      </c>
      <c r="D31" s="246">
        <f t="shared" si="1"/>
        <v>577970</v>
      </c>
      <c r="E31" s="246">
        <f t="shared" si="1"/>
        <v>538535</v>
      </c>
      <c r="F31" s="246">
        <f t="shared" si="1"/>
        <v>0</v>
      </c>
      <c r="G31" s="246">
        <f t="shared" si="1"/>
        <v>526902</v>
      </c>
      <c r="H31" s="246">
        <f t="shared" si="1"/>
        <v>526902</v>
      </c>
      <c r="I31" s="246">
        <f t="shared" si="1"/>
        <v>413474</v>
      </c>
    </row>
    <row r="32" spans="1:14" ht="13.5" thickBot="1" x14ac:dyDescent="0.25">
      <c r="A32" s="1394" t="s">
        <v>370</v>
      </c>
      <c r="B32" s="1395"/>
      <c r="C32" s="246">
        <f>C22+C23+C24+C25+C26</f>
        <v>397514</v>
      </c>
      <c r="D32" s="246">
        <f t="shared" ref="D32:I32" si="2">D22+D23+D24+D25+D26</f>
        <v>396875</v>
      </c>
      <c r="E32" s="246">
        <f t="shared" si="2"/>
        <v>628599</v>
      </c>
      <c r="F32" s="246">
        <f t="shared" si="2"/>
        <v>0</v>
      </c>
      <c r="G32" s="246">
        <f t="shared" si="2"/>
        <v>214394</v>
      </c>
      <c r="H32" s="246">
        <f t="shared" si="2"/>
        <v>209394</v>
      </c>
      <c r="I32" s="246">
        <f t="shared" si="2"/>
        <v>180257</v>
      </c>
    </row>
    <row r="33" spans="1:11" ht="14.25" thickTop="1" thickBot="1" x14ac:dyDescent="0.25">
      <c r="A33" s="845" t="s">
        <v>934</v>
      </c>
      <c r="B33" s="846"/>
      <c r="C33" s="410">
        <f>C27</f>
        <v>52701</v>
      </c>
      <c r="D33" s="410">
        <f t="shared" ref="D33:H33" si="3">D27</f>
        <v>111557</v>
      </c>
      <c r="E33" s="410">
        <f t="shared" si="3"/>
        <v>312894</v>
      </c>
      <c r="F33" s="410">
        <f t="shared" si="3"/>
        <v>0</v>
      </c>
      <c r="G33" s="410">
        <f t="shared" si="3"/>
        <v>169332</v>
      </c>
      <c r="H33" s="410">
        <f t="shared" si="3"/>
        <v>169332</v>
      </c>
      <c r="I33" s="410">
        <v>96099</v>
      </c>
    </row>
    <row r="34" spans="1:11" ht="14.25" thickTop="1" thickBot="1" x14ac:dyDescent="0.25">
      <c r="A34" s="1396" t="s">
        <v>439</v>
      </c>
      <c r="B34" s="1397"/>
      <c r="C34" s="57">
        <f>SUM(C29:C33)</f>
        <v>2418689</v>
      </c>
      <c r="D34" s="57">
        <f t="shared" ref="D34:I34" si="4">SUM(D29:D33)</f>
        <v>1525823</v>
      </c>
      <c r="E34" s="57">
        <f t="shared" si="4"/>
        <v>1899732</v>
      </c>
      <c r="F34" s="57">
        <f t="shared" si="4"/>
        <v>0</v>
      </c>
      <c r="G34" s="57">
        <f t="shared" si="4"/>
        <v>1302148</v>
      </c>
      <c r="H34" s="57">
        <f t="shared" si="4"/>
        <v>1297148</v>
      </c>
      <c r="I34" s="57">
        <f t="shared" si="4"/>
        <v>1080248</v>
      </c>
    </row>
    <row r="35" spans="1:11" x14ac:dyDescent="0.2">
      <c r="C35" s="847"/>
      <c r="G35" s="100"/>
      <c r="H35" s="100"/>
      <c r="I35" s="551"/>
      <c r="J35" s="100"/>
      <c r="K35" s="100"/>
    </row>
    <row r="36" spans="1:11" x14ac:dyDescent="0.2">
      <c r="A36" s="55" t="s">
        <v>395</v>
      </c>
      <c r="B36" s="16"/>
      <c r="C36" s="55" t="s">
        <v>182</v>
      </c>
      <c r="G36" s="765"/>
      <c r="H36" s="765"/>
      <c r="I36" s="765"/>
      <c r="J36" s="551"/>
      <c r="K36" s="100"/>
    </row>
    <row r="37" spans="1:11" x14ac:dyDescent="0.2">
      <c r="A37" s="1240" t="s">
        <v>181</v>
      </c>
      <c r="B37" s="1240"/>
      <c r="C37" s="851">
        <v>4235</v>
      </c>
    </row>
    <row r="38" spans="1:11" x14ac:dyDescent="0.2">
      <c r="A38" s="1240" t="s">
        <v>183</v>
      </c>
      <c r="B38" s="1240"/>
      <c r="C38" s="851">
        <v>4225</v>
      </c>
    </row>
    <row r="39" spans="1:11" x14ac:dyDescent="0.2">
      <c r="A39" s="1240" t="s">
        <v>184</v>
      </c>
      <c r="B39" s="1240"/>
      <c r="C39" s="1240" t="s">
        <v>321</v>
      </c>
      <c r="D39" s="1240"/>
      <c r="E39" s="1240"/>
      <c r="F39" s="1240"/>
      <c r="G39" s="1240"/>
      <c r="H39" s="1240"/>
      <c r="I39" s="1240"/>
    </row>
    <row r="40" spans="1:11" x14ac:dyDescent="0.2">
      <c r="A40" s="1240" t="s">
        <v>185</v>
      </c>
      <c r="B40" s="1240"/>
      <c r="C40" s="1366" t="s">
        <v>99</v>
      </c>
      <c r="D40" s="1366"/>
      <c r="E40" s="1366"/>
      <c r="F40" s="1366"/>
      <c r="G40" s="1366"/>
      <c r="H40" s="1366"/>
      <c r="I40" s="1366"/>
    </row>
    <row r="41" spans="1:11" x14ac:dyDescent="0.2">
      <c r="C41" s="1366"/>
      <c r="D41" s="1366"/>
      <c r="E41" s="1366"/>
      <c r="F41" s="1366"/>
      <c r="G41" s="1366"/>
      <c r="H41" s="1366"/>
      <c r="I41" s="1366"/>
    </row>
    <row r="43" spans="1:11" x14ac:dyDescent="0.2">
      <c r="A43" s="16" t="s">
        <v>371</v>
      </c>
      <c r="B43" s="169"/>
      <c r="C43" s="854"/>
      <c r="D43" s="854"/>
      <c r="E43" s="854"/>
      <c r="F43" s="854"/>
      <c r="G43" s="854"/>
      <c r="H43" s="854"/>
      <c r="I43" s="854"/>
    </row>
    <row r="44" spans="1:11" x14ac:dyDescent="0.2">
      <c r="A44" s="1367" t="s">
        <v>177</v>
      </c>
      <c r="B44" s="1367"/>
      <c r="C44" s="1367"/>
      <c r="D44" s="1367"/>
      <c r="E44" s="1367"/>
      <c r="F44" s="1367"/>
      <c r="G44" s="1367"/>
      <c r="H44" s="1367"/>
      <c r="I44" s="1367"/>
    </row>
    <row r="45" spans="1:11" x14ac:dyDescent="0.2">
      <c r="A45" s="1367"/>
      <c r="B45" s="1367"/>
      <c r="C45" s="1367"/>
      <c r="D45" s="1367"/>
      <c r="E45" s="1367"/>
      <c r="F45" s="1367"/>
      <c r="G45" s="1367"/>
      <c r="H45" s="1367"/>
      <c r="I45" s="1367"/>
    </row>
    <row r="46" spans="1:11" x14ac:dyDescent="0.2">
      <c r="A46" s="16"/>
      <c r="B46" s="169"/>
      <c r="C46" s="169"/>
      <c r="D46" s="169"/>
      <c r="E46" s="169"/>
      <c r="F46" s="169"/>
      <c r="G46" s="169"/>
      <c r="H46" s="169"/>
      <c r="I46" s="169"/>
    </row>
    <row r="47" spans="1:11" ht="12.75" customHeight="1" x14ac:dyDescent="0.2">
      <c r="A47" s="171" t="s">
        <v>372</v>
      </c>
      <c r="B47" s="172"/>
      <c r="C47" s="172"/>
      <c r="D47" s="172"/>
      <c r="E47" s="172"/>
      <c r="F47" s="172"/>
      <c r="G47" s="172"/>
      <c r="H47" s="172"/>
      <c r="I47" s="172"/>
    </row>
    <row r="48" spans="1:11" x14ac:dyDescent="0.2">
      <c r="A48" s="172"/>
      <c r="B48" s="172"/>
      <c r="C48" s="172"/>
      <c r="D48" s="172"/>
      <c r="E48" s="172"/>
      <c r="F48" s="172"/>
      <c r="G48" s="172"/>
      <c r="H48" s="172"/>
      <c r="I48" s="172"/>
    </row>
    <row r="49" spans="1:9" x14ac:dyDescent="0.2">
      <c r="A49" s="1368" t="s">
        <v>373</v>
      </c>
      <c r="B49" s="1368"/>
      <c r="C49" s="1368"/>
      <c r="D49" s="1368"/>
      <c r="E49" s="1368"/>
      <c r="F49" s="1368"/>
      <c r="G49" s="1368"/>
      <c r="H49" s="1368"/>
      <c r="I49" s="1368"/>
    </row>
    <row r="50" spans="1:9" x14ac:dyDescent="0.2">
      <c r="A50" s="1368"/>
      <c r="B50" s="1368"/>
      <c r="C50" s="1368"/>
      <c r="D50" s="1368"/>
      <c r="E50" s="1368"/>
      <c r="F50" s="1368"/>
      <c r="G50" s="1368"/>
      <c r="H50" s="1368"/>
      <c r="I50" s="1368"/>
    </row>
    <row r="52" spans="1:9" ht="13.5" thickBot="1" x14ac:dyDescent="0.25">
      <c r="A52" s="16" t="s">
        <v>186</v>
      </c>
    </row>
    <row r="53" spans="1:9" x14ac:dyDescent="0.2">
      <c r="A53" s="82"/>
      <c r="B53" s="83"/>
      <c r="C53" s="853" t="str">
        <f>C12</f>
        <v>2009 Actual</v>
      </c>
      <c r="D53" s="853" t="str">
        <f>D12</f>
        <v>2010 Actual</v>
      </c>
      <c r="E53" s="853" t="str">
        <f>E12</f>
        <v>2011 Actual²</v>
      </c>
      <c r="F53" s="853" t="str">
        <f>F12</f>
        <v>2011 Actual²</v>
      </c>
      <c r="G53" s="853" t="s">
        <v>456</v>
      </c>
      <c r="H53" s="853" t="s">
        <v>456</v>
      </c>
      <c r="I53" s="446" t="s">
        <v>457</v>
      </c>
    </row>
    <row r="54" spans="1:9" x14ac:dyDescent="0.2">
      <c r="A54" s="1369" t="s">
        <v>174</v>
      </c>
      <c r="B54" s="1370"/>
      <c r="C54" s="219" t="str">
        <f>IF(ISBLANK(C14), "", C14)</f>
        <v>CGAAP</v>
      </c>
      <c r="D54" s="219" t="str">
        <f>IF(ISBLANK(D14), "", D14)</f>
        <v>CGAAP</v>
      </c>
      <c r="E54" s="219" t="str">
        <f>IF(ISBLANK(E14), "", E14)</f>
        <v>CGAAP</v>
      </c>
      <c r="F54" s="219"/>
      <c r="G54" s="219" t="str">
        <f>IF(ISBLANK(G14), "", G14)</f>
        <v>CGAAP</v>
      </c>
      <c r="H54" s="219" t="str">
        <f>IF(ISBLANK(H14), "", H14)</f>
        <v>MIFRS</v>
      </c>
      <c r="I54" s="198" t="str">
        <f>IF(ISBLANK(I14), "", I14)</f>
        <v>MIFRS</v>
      </c>
    </row>
    <row r="55" spans="1:9" x14ac:dyDescent="0.2">
      <c r="A55" s="1383" t="s">
        <v>940</v>
      </c>
      <c r="B55" s="1384"/>
      <c r="C55" s="246">
        <v>15662</v>
      </c>
      <c r="D55" s="246">
        <v>22554</v>
      </c>
      <c r="E55" s="246">
        <v>9832</v>
      </c>
      <c r="F55" s="246"/>
      <c r="G55" s="246"/>
      <c r="H55" s="246"/>
      <c r="I55" s="404"/>
    </row>
    <row r="56" spans="1:9" x14ac:dyDescent="0.2">
      <c r="A56" s="1373" t="s">
        <v>939</v>
      </c>
      <c r="B56" s="1374"/>
      <c r="C56" s="246">
        <v>37039</v>
      </c>
      <c r="D56" s="246">
        <v>22146</v>
      </c>
      <c r="E56" s="246">
        <v>25934</v>
      </c>
      <c r="F56" s="246"/>
      <c r="G56" s="246">
        <v>23610</v>
      </c>
      <c r="H56" s="406">
        <v>23610</v>
      </c>
      <c r="I56" s="404">
        <v>43610</v>
      </c>
    </row>
    <row r="57" spans="1:9" x14ac:dyDescent="0.2">
      <c r="A57" s="1375" t="s">
        <v>1000</v>
      </c>
      <c r="B57" s="1376"/>
      <c r="C57" s="407"/>
      <c r="D57" s="407"/>
      <c r="E57" s="407">
        <v>75902</v>
      </c>
      <c r="F57" s="407"/>
      <c r="G57" s="407">
        <v>84955</v>
      </c>
      <c r="H57" s="408">
        <v>84955</v>
      </c>
      <c r="I57" s="409"/>
    </row>
    <row r="58" spans="1:9" x14ac:dyDescent="0.2">
      <c r="A58" s="1377" t="s">
        <v>1001</v>
      </c>
      <c r="B58" s="1378"/>
      <c r="C58" s="246"/>
      <c r="D58" s="246">
        <v>66857</v>
      </c>
      <c r="E58" s="246">
        <v>201226</v>
      </c>
      <c r="F58" s="246"/>
      <c r="G58" s="246">
        <v>60767</v>
      </c>
      <c r="H58" s="406">
        <v>60767</v>
      </c>
      <c r="I58" s="404">
        <v>52489</v>
      </c>
    </row>
    <row r="59" spans="1:9" ht="13.5" thickBot="1" x14ac:dyDescent="0.25">
      <c r="A59" s="1379"/>
      <c r="B59" s="1380"/>
      <c r="C59" s="410"/>
      <c r="D59" s="410"/>
      <c r="E59" s="410"/>
      <c r="F59" s="410"/>
      <c r="G59" s="410"/>
      <c r="H59" s="411"/>
      <c r="I59" s="412"/>
    </row>
    <row r="60" spans="1:9" ht="14.25" thickTop="1" thickBot="1" x14ac:dyDescent="0.25">
      <c r="A60" s="1381" t="s">
        <v>439</v>
      </c>
      <c r="B60" s="1382"/>
      <c r="C60" s="57">
        <f t="shared" ref="C60:I60" si="5">SUM(C55:C59)</f>
        <v>52701</v>
      </c>
      <c r="D60" s="57">
        <f t="shared" si="5"/>
        <v>111557</v>
      </c>
      <c r="E60" s="57">
        <f t="shared" si="5"/>
        <v>312894</v>
      </c>
      <c r="F60" s="57">
        <f t="shared" si="5"/>
        <v>0</v>
      </c>
      <c r="G60" s="57">
        <f t="shared" si="5"/>
        <v>169332</v>
      </c>
      <c r="H60" s="57">
        <f t="shared" si="5"/>
        <v>169332</v>
      </c>
      <c r="I60" s="84">
        <f t="shared" si="5"/>
        <v>96099</v>
      </c>
    </row>
    <row r="63" spans="1:9" x14ac:dyDescent="0.2">
      <c r="A63" s="158" t="s">
        <v>16</v>
      </c>
    </row>
    <row r="64" spans="1:9" x14ac:dyDescent="0.2">
      <c r="A64" s="413">
        <v>1</v>
      </c>
      <c r="B64" t="s">
        <v>187</v>
      </c>
    </row>
    <row r="65" spans="1:9" ht="30.75" customHeight="1" x14ac:dyDescent="0.2">
      <c r="A65" s="413">
        <v>2</v>
      </c>
      <c r="B65" s="1371" t="s">
        <v>705</v>
      </c>
      <c r="C65" s="1372"/>
      <c r="D65" s="1372"/>
      <c r="E65" s="1372"/>
      <c r="F65" s="1372"/>
      <c r="G65" s="1372"/>
      <c r="H65" s="1372"/>
      <c r="I65" s="1372"/>
    </row>
    <row r="66" spans="1:9" ht="30.75" customHeight="1" x14ac:dyDescent="0.2">
      <c r="A66" s="413">
        <v>3</v>
      </c>
      <c r="B66" s="1371" t="s">
        <v>706</v>
      </c>
      <c r="C66" s="1372"/>
      <c r="D66" s="1372"/>
      <c r="E66" s="1372"/>
      <c r="F66" s="1372"/>
      <c r="G66" s="1372"/>
      <c r="H66" s="1372"/>
      <c r="I66" s="1372"/>
    </row>
  </sheetData>
  <mergeCells count="25">
    <mergeCell ref="C39:I39"/>
    <mergeCell ref="A9:I9"/>
    <mergeCell ref="A10:I10"/>
    <mergeCell ref="A28:I28"/>
    <mergeCell ref="A29:B29"/>
    <mergeCell ref="A30:B30"/>
    <mergeCell ref="A31:B31"/>
    <mergeCell ref="A32:B32"/>
    <mergeCell ref="A34:B34"/>
    <mergeCell ref="A37:B37"/>
    <mergeCell ref="A38:B38"/>
    <mergeCell ref="A39:B39"/>
    <mergeCell ref="C40:I41"/>
    <mergeCell ref="A44:I45"/>
    <mergeCell ref="A49:I50"/>
    <mergeCell ref="A54:B54"/>
    <mergeCell ref="B66:I66"/>
    <mergeCell ref="A56:B56"/>
    <mergeCell ref="A57:B57"/>
    <mergeCell ref="A58:B58"/>
    <mergeCell ref="A59:B59"/>
    <mergeCell ref="A60:B60"/>
    <mergeCell ref="B65:I65"/>
    <mergeCell ref="A55:B55"/>
    <mergeCell ref="A40:B40"/>
  </mergeCells>
  <dataValidations count="1">
    <dataValidation type="list" allowBlank="1" showInputMessage="1" showErrorMessage="1" sqref="C14:I14">
      <formula1>"CGAAP, MIFRS, USGAAP, ASPE"</formula1>
    </dataValidation>
  </dataValidations>
  <pageMargins left="0.5" right="0.5" top="0.5" bottom="0.5" header="0.5" footer="0.5"/>
  <pageSetup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J129"/>
  <sheetViews>
    <sheetView showGridLines="0" zoomScaleNormal="100" workbookViewId="0">
      <selection activeCell="J70" sqref="J70"/>
    </sheetView>
  </sheetViews>
  <sheetFormatPr defaultRowHeight="12.75" x14ac:dyDescent="0.2"/>
  <cols>
    <col min="2" max="2" width="67.140625" customWidth="1"/>
    <col min="3" max="3" width="14.7109375" customWidth="1"/>
    <col min="4" max="4" width="14.28515625" customWidth="1"/>
    <col min="5" max="6" width="12.7109375" customWidth="1"/>
    <col min="7" max="7" width="12.7109375" hidden="1" customWidth="1"/>
    <col min="8" max="8" width="15" bestFit="1" customWidth="1"/>
    <col min="9" max="9" width="15" customWidth="1"/>
    <col min="10" max="10" width="12.42578125" customWidth="1"/>
  </cols>
  <sheetData>
    <row r="1" spans="1:10" x14ac:dyDescent="0.2">
      <c r="I1" s="329" t="s">
        <v>444</v>
      </c>
      <c r="J1" s="250" t="str">
        <f>'LDC Info'!$E$18</f>
        <v>EB-2012-0107</v>
      </c>
    </row>
    <row r="2" spans="1:10" x14ac:dyDescent="0.2">
      <c r="I2" s="329" t="s">
        <v>445</v>
      </c>
      <c r="J2" s="251">
        <v>4</v>
      </c>
    </row>
    <row r="3" spans="1:10" x14ac:dyDescent="0.2">
      <c r="I3" s="329" t="s">
        <v>446</v>
      </c>
      <c r="J3" s="251">
        <v>2</v>
      </c>
    </row>
    <row r="4" spans="1:10" x14ac:dyDescent="0.2">
      <c r="I4" s="329" t="s">
        <v>447</v>
      </c>
      <c r="J4" s="251">
        <v>1</v>
      </c>
    </row>
    <row r="5" spans="1:10" x14ac:dyDescent="0.2">
      <c r="I5" s="329" t="s">
        <v>1036</v>
      </c>
      <c r="J5" s="252">
        <v>2</v>
      </c>
    </row>
    <row r="6" spans="1:10" x14ac:dyDescent="0.2">
      <c r="I6" s="329"/>
      <c r="J6" s="250"/>
    </row>
    <row r="7" spans="1:10" x14ac:dyDescent="0.2">
      <c r="I7" s="329" t="s">
        <v>449</v>
      </c>
      <c r="J7" s="934"/>
    </row>
    <row r="9" spans="1:10" ht="18" x14ac:dyDescent="0.25">
      <c r="A9" s="1385" t="s">
        <v>230</v>
      </c>
      <c r="B9" s="1385"/>
      <c r="C9" s="1385"/>
      <c r="D9" s="1385"/>
      <c r="E9" s="1385"/>
      <c r="F9" s="1385"/>
      <c r="G9" s="1385"/>
      <c r="H9" s="1385"/>
      <c r="I9" s="1385"/>
      <c r="J9" s="1385"/>
    </row>
    <row r="10" spans="1:10" ht="18" x14ac:dyDescent="0.25">
      <c r="A10" s="1385" t="s">
        <v>170</v>
      </c>
      <c r="B10" s="1385"/>
      <c r="C10" s="1385"/>
      <c r="D10" s="1385"/>
      <c r="E10" s="1385"/>
      <c r="F10" s="1385"/>
      <c r="G10" s="1385"/>
      <c r="H10" s="1385"/>
      <c r="I10" s="1385"/>
      <c r="J10" s="1385"/>
    </row>
    <row r="11" spans="1:10" ht="15.75" x14ac:dyDescent="0.25">
      <c r="A11" s="1405" t="s">
        <v>223</v>
      </c>
      <c r="B11" s="1405"/>
      <c r="C11" s="1405"/>
      <c r="D11" s="1405"/>
      <c r="E11" s="1405"/>
      <c r="F11" s="1405"/>
      <c r="G11" s="1405"/>
      <c r="H11" s="1405"/>
      <c r="I11" s="1405"/>
      <c r="J11" s="1405"/>
    </row>
    <row r="13" spans="1:10" ht="57" customHeight="1" thickBot="1" x14ac:dyDescent="0.25">
      <c r="F13" s="1406"/>
      <c r="G13" s="1406"/>
      <c r="H13" s="1406"/>
      <c r="I13" s="1406"/>
    </row>
    <row r="14" spans="1:10" ht="39" thickBot="1" x14ac:dyDescent="0.25">
      <c r="A14" s="571" t="s">
        <v>6</v>
      </c>
      <c r="B14" s="572" t="s">
        <v>395</v>
      </c>
      <c r="C14" s="455" t="s">
        <v>938</v>
      </c>
      <c r="D14" s="455" t="str">
        <f>"Last Rebasing Year (" &amp; 'LDC Info'!E30 &amp; " Actuals)"</f>
        <v>Last Rebasing Year (2009 Actuals)</v>
      </c>
      <c r="E14" s="455" t="str">
        <f>'LDC Info'!E26-2 &amp; " Actual"</f>
        <v>2010 Actual</v>
      </c>
      <c r="F14" s="455" t="str">
        <f>'LDC Info'!E26-1 &amp; " Actual" &amp; CHAR(178)</f>
        <v>2011 Actual²</v>
      </c>
      <c r="G14" s="455" t="str">
        <f>'LDC Info'!E26-1 &amp; " Actual"&amp; CHAR(178)</f>
        <v>2011 Actual²</v>
      </c>
      <c r="H14" s="455" t="str">
        <f>"Bridge Year " &amp; 'LDC Info'!E26&amp; CHAR(179)</f>
        <v>Bridge Year 2012³</v>
      </c>
      <c r="I14" s="643" t="str">
        <f>"Bridge Year " &amp; 'LDC Info'!E26&amp; CHAR(179)</f>
        <v>Bridge Year 2012³</v>
      </c>
      <c r="J14" s="456" t="str">
        <f>"Test Year " &amp; 'LDC Info'!E28</f>
        <v>Test Year 2013</v>
      </c>
    </row>
    <row r="15" spans="1:10" x14ac:dyDescent="0.2">
      <c r="A15" s="568" t="s">
        <v>174</v>
      </c>
      <c r="B15" s="567"/>
      <c r="C15" s="569" t="s">
        <v>175</v>
      </c>
      <c r="D15" s="569" t="s">
        <v>175</v>
      </c>
      <c r="E15" s="569" t="s">
        <v>175</v>
      </c>
      <c r="F15" s="569" t="s">
        <v>175</v>
      </c>
      <c r="G15" s="569"/>
      <c r="H15" s="569" t="s">
        <v>175</v>
      </c>
      <c r="I15" s="573" t="s">
        <v>176</v>
      </c>
      <c r="J15" s="570" t="s">
        <v>176</v>
      </c>
    </row>
    <row r="16" spans="1:10" x14ac:dyDescent="0.2">
      <c r="A16" s="1398" t="s">
        <v>222</v>
      </c>
      <c r="B16" s="1399"/>
      <c r="C16" s="1399"/>
      <c r="D16" s="1399"/>
      <c r="E16" s="1399"/>
      <c r="F16" s="1399"/>
      <c r="G16" s="1399"/>
      <c r="H16" s="1399"/>
      <c r="I16" s="1399"/>
      <c r="J16" s="1400"/>
    </row>
    <row r="17" spans="1:10" x14ac:dyDescent="0.2">
      <c r="A17" s="89">
        <v>5005</v>
      </c>
      <c r="B17" s="18" t="s">
        <v>90</v>
      </c>
      <c r="C17" s="896">
        <f>'App.2-H_OM&amp;A_Detailed_Analysis'!C18</f>
        <v>835073.2439177999</v>
      </c>
      <c r="D17" s="415">
        <v>626703</v>
      </c>
      <c r="E17" s="415">
        <v>888541</v>
      </c>
      <c r="F17" s="415">
        <v>814674</v>
      </c>
      <c r="G17" s="415"/>
      <c r="H17" s="415">
        <v>728594</v>
      </c>
      <c r="I17" s="415">
        <v>763498</v>
      </c>
      <c r="J17" s="416">
        <v>792514</v>
      </c>
    </row>
    <row r="18" spans="1:10" x14ac:dyDescent="0.2">
      <c r="A18" s="90">
        <v>5010</v>
      </c>
      <c r="B18" s="81" t="s">
        <v>91</v>
      </c>
      <c r="C18" s="896">
        <f>'App.2-H_OM&amp;A_Detailed_Analysis'!C19</f>
        <v>184798.89766571342</v>
      </c>
      <c r="D18" s="246">
        <v>187893</v>
      </c>
      <c r="E18" s="246">
        <v>215197</v>
      </c>
      <c r="F18" s="246">
        <v>212873</v>
      </c>
      <c r="G18" s="246"/>
      <c r="H18" s="246">
        <v>210731</v>
      </c>
      <c r="I18" s="246">
        <v>215812</v>
      </c>
      <c r="J18" s="417">
        <v>221350</v>
      </c>
    </row>
    <row r="19" spans="1:10" x14ac:dyDescent="0.2">
      <c r="A19" s="80">
        <v>5012</v>
      </c>
      <c r="B19" s="17" t="s">
        <v>92</v>
      </c>
      <c r="C19" s="896">
        <f>'App.2-H_OM&amp;A_Detailed_Analysis'!C20</f>
        <v>88.425179155703603</v>
      </c>
      <c r="D19" s="407">
        <v>53112</v>
      </c>
      <c r="E19" s="407">
        <v>17440</v>
      </c>
      <c r="F19" s="407">
        <v>1917</v>
      </c>
      <c r="G19" s="407"/>
      <c r="H19" s="407"/>
      <c r="I19" s="407"/>
      <c r="J19" s="418">
        <v>500</v>
      </c>
    </row>
    <row r="20" spans="1:10" x14ac:dyDescent="0.2">
      <c r="A20" s="90">
        <v>5014</v>
      </c>
      <c r="B20" s="81" t="s">
        <v>93</v>
      </c>
      <c r="C20" s="896">
        <f>'App.2-H_OM&amp;A_Detailed_Analysis'!C21</f>
        <v>22990.546580482936</v>
      </c>
      <c r="D20" s="246"/>
      <c r="E20" s="246"/>
      <c r="F20" s="246"/>
      <c r="G20" s="246"/>
      <c r="H20" s="246"/>
      <c r="I20" s="246"/>
      <c r="J20" s="417"/>
    </row>
    <row r="21" spans="1:10" x14ac:dyDescent="0.2">
      <c r="A21" s="90">
        <v>5015</v>
      </c>
      <c r="B21" s="81" t="s">
        <v>94</v>
      </c>
      <c r="C21" s="896">
        <f>'App.2-H_OM&amp;A_Detailed_Analysis'!C22</f>
        <v>0</v>
      </c>
      <c r="D21" s="246"/>
      <c r="E21" s="246"/>
      <c r="F21" s="246"/>
      <c r="G21" s="246"/>
      <c r="H21" s="246"/>
      <c r="I21" s="246"/>
      <c r="J21" s="417"/>
    </row>
    <row r="22" spans="1:10" x14ac:dyDescent="0.2">
      <c r="A22" s="90">
        <v>5016</v>
      </c>
      <c r="B22" s="81" t="s">
        <v>95</v>
      </c>
      <c r="C22" s="896">
        <f>'App.2-H_OM&amp;A_Detailed_Analysis'!C23</f>
        <v>0</v>
      </c>
      <c r="D22" s="246"/>
      <c r="E22" s="246"/>
      <c r="F22" s="246"/>
      <c r="G22" s="246"/>
      <c r="H22" s="246"/>
      <c r="I22" s="246"/>
      <c r="J22" s="417"/>
    </row>
    <row r="23" spans="1:10" x14ac:dyDescent="0.2">
      <c r="A23" s="90">
        <v>5017</v>
      </c>
      <c r="B23" s="81" t="s">
        <v>96</v>
      </c>
      <c r="C23" s="896">
        <f>'App.2-H_OM&amp;A_Detailed_Analysis'!C24</f>
        <v>371.38575245395515</v>
      </c>
      <c r="D23" s="246">
        <v>9026</v>
      </c>
      <c r="E23" s="246">
        <v>148</v>
      </c>
      <c r="F23" s="246">
        <v>25130</v>
      </c>
      <c r="G23" s="246"/>
      <c r="H23" s="246">
        <v>26600</v>
      </c>
      <c r="I23" s="246">
        <v>26600</v>
      </c>
      <c r="J23" s="417">
        <v>26600</v>
      </c>
    </row>
    <row r="24" spans="1:10" x14ac:dyDescent="0.2">
      <c r="A24" s="90">
        <v>5020</v>
      </c>
      <c r="B24" s="81" t="s">
        <v>97</v>
      </c>
      <c r="C24" s="896">
        <f>'App.2-H_OM&amp;A_Detailed_Analysis'!C25</f>
        <v>0</v>
      </c>
      <c r="D24" s="246"/>
      <c r="E24" s="246"/>
      <c r="F24" s="246"/>
      <c r="G24" s="246"/>
      <c r="H24" s="246"/>
      <c r="I24" s="246"/>
      <c r="J24" s="417"/>
    </row>
    <row r="25" spans="1:10" x14ac:dyDescent="0.2">
      <c r="A25" s="90">
        <v>5025</v>
      </c>
      <c r="B25" s="81" t="s">
        <v>98</v>
      </c>
      <c r="C25" s="896">
        <f>'App.2-H_OM&amp;A_Detailed_Analysis'!C26</f>
        <v>204588.45276075986</v>
      </c>
      <c r="D25" s="246">
        <v>233839</v>
      </c>
      <c r="E25" s="246">
        <v>291515</v>
      </c>
      <c r="F25" s="246">
        <v>267780</v>
      </c>
      <c r="G25" s="246"/>
      <c r="H25" s="246">
        <v>256298</v>
      </c>
      <c r="I25" s="246">
        <v>256298</v>
      </c>
      <c r="J25" s="417">
        <v>289300</v>
      </c>
    </row>
    <row r="26" spans="1:10" x14ac:dyDescent="0.2">
      <c r="A26" s="90">
        <v>5030</v>
      </c>
      <c r="B26" s="81" t="s">
        <v>121</v>
      </c>
      <c r="C26" s="896">
        <f>'App.2-H_OM&amp;A_Detailed_Analysis'!C27</f>
        <v>0</v>
      </c>
      <c r="D26" s="246"/>
      <c r="E26" s="246"/>
      <c r="F26" s="246"/>
      <c r="G26" s="246"/>
      <c r="H26" s="246"/>
      <c r="I26" s="246"/>
      <c r="J26" s="417"/>
    </row>
    <row r="27" spans="1:10" x14ac:dyDescent="0.2">
      <c r="A27" s="90">
        <v>5035</v>
      </c>
      <c r="B27" s="81" t="s">
        <v>122</v>
      </c>
      <c r="C27" s="896">
        <f>'App.2-H_OM&amp;A_Detailed_Analysis'!C28</f>
        <v>1737.5547704095759</v>
      </c>
      <c r="D27" s="246">
        <v>342</v>
      </c>
      <c r="E27" s="246">
        <v>241</v>
      </c>
      <c r="F27" s="246">
        <v>1878</v>
      </c>
      <c r="G27" s="246"/>
      <c r="H27" s="246"/>
      <c r="I27" s="246"/>
      <c r="J27" s="417"/>
    </row>
    <row r="28" spans="1:10" x14ac:dyDescent="0.2">
      <c r="A28" s="90">
        <v>5040</v>
      </c>
      <c r="B28" s="81" t="s">
        <v>123</v>
      </c>
      <c r="C28" s="896">
        <f>'App.2-H_OM&amp;A_Detailed_Analysis'!C29</f>
        <v>795487.94396516611</v>
      </c>
      <c r="D28" s="246">
        <v>741539</v>
      </c>
      <c r="E28" s="246">
        <v>831743</v>
      </c>
      <c r="F28" s="246">
        <v>995046</v>
      </c>
      <c r="G28" s="246"/>
      <c r="H28" s="246">
        <v>866141</v>
      </c>
      <c r="I28" s="246">
        <v>961197</v>
      </c>
      <c r="J28" s="417">
        <v>1089225</v>
      </c>
    </row>
    <row r="29" spans="1:10" x14ac:dyDescent="0.2">
      <c r="A29" s="90">
        <v>5045</v>
      </c>
      <c r="B29" s="81" t="s">
        <v>124</v>
      </c>
      <c r="C29" s="896">
        <f>'App.2-H_OM&amp;A_Detailed_Analysis'!C30</f>
        <v>270909.10563112068</v>
      </c>
      <c r="D29" s="246">
        <v>337253</v>
      </c>
      <c r="E29" s="246">
        <v>167941</v>
      </c>
      <c r="F29" s="246">
        <v>120553</v>
      </c>
      <c r="G29" s="246"/>
      <c r="H29" s="246">
        <v>90808</v>
      </c>
      <c r="I29" s="246">
        <v>90808</v>
      </c>
      <c r="J29" s="417">
        <v>124669</v>
      </c>
    </row>
    <row r="30" spans="1:10" x14ac:dyDescent="0.2">
      <c r="A30" s="90">
        <v>5050</v>
      </c>
      <c r="B30" s="81" t="s">
        <v>125</v>
      </c>
      <c r="C30" s="896">
        <f>'App.2-H_OM&amp;A_Detailed_Analysis'!C31</f>
        <v>0</v>
      </c>
      <c r="D30" s="246"/>
      <c r="E30" s="246"/>
      <c r="F30" s="246"/>
      <c r="G30" s="246"/>
      <c r="H30" s="246"/>
      <c r="I30" s="246"/>
      <c r="J30" s="417"/>
    </row>
    <row r="31" spans="1:10" x14ac:dyDescent="0.2">
      <c r="A31" s="90">
        <v>5055</v>
      </c>
      <c r="B31" s="81" t="s">
        <v>126</v>
      </c>
      <c r="C31" s="896">
        <f>'App.2-H_OM&amp;A_Detailed_Analysis'!C32</f>
        <v>0</v>
      </c>
      <c r="D31" s="246">
        <v>0</v>
      </c>
      <c r="E31" s="246">
        <v>0</v>
      </c>
      <c r="F31" s="246">
        <v>1122</v>
      </c>
      <c r="G31" s="246"/>
      <c r="H31" s="246">
        <v>0</v>
      </c>
      <c r="I31" s="246">
        <v>0</v>
      </c>
      <c r="J31" s="417">
        <v>0</v>
      </c>
    </row>
    <row r="32" spans="1:10" x14ac:dyDescent="0.2">
      <c r="A32" s="90">
        <v>5060</v>
      </c>
      <c r="B32" s="81" t="s">
        <v>127</v>
      </c>
      <c r="C32" s="896">
        <f>'App.2-H_OM&amp;A_Detailed_Analysis'!C33</f>
        <v>0</v>
      </c>
      <c r="D32" s="246">
        <v>392</v>
      </c>
      <c r="E32" s="246">
        <v>0</v>
      </c>
      <c r="F32" s="246">
        <v>0</v>
      </c>
      <c r="G32" s="246"/>
      <c r="H32" s="246">
        <v>0</v>
      </c>
      <c r="I32" s="246">
        <v>0</v>
      </c>
      <c r="J32" s="417">
        <v>0</v>
      </c>
    </row>
    <row r="33" spans="1:10" x14ac:dyDescent="0.2">
      <c r="A33" s="80">
        <v>5065</v>
      </c>
      <c r="B33" s="17" t="s">
        <v>128</v>
      </c>
      <c r="C33" s="896">
        <f>'App.2-H_OM&amp;A_Detailed_Analysis'!C34</f>
        <v>386874.30683486816</v>
      </c>
      <c r="D33" s="407">
        <v>335735</v>
      </c>
      <c r="E33" s="407">
        <v>355175</v>
      </c>
      <c r="F33" s="407">
        <v>359545</v>
      </c>
      <c r="G33" s="407"/>
      <c r="H33" s="407">
        <v>395202</v>
      </c>
      <c r="I33" s="407">
        <v>397503</v>
      </c>
      <c r="J33" s="418">
        <v>435738</v>
      </c>
    </row>
    <row r="34" spans="1:10" x14ac:dyDescent="0.2">
      <c r="A34" s="90">
        <v>5070</v>
      </c>
      <c r="B34" s="81" t="s">
        <v>129</v>
      </c>
      <c r="C34" s="896">
        <f>'App.2-H_OM&amp;A_Detailed_Analysis'!C35</f>
        <v>0</v>
      </c>
      <c r="D34" s="246">
        <v>200</v>
      </c>
      <c r="E34" s="246">
        <v>0</v>
      </c>
      <c r="F34" s="246">
        <v>0</v>
      </c>
      <c r="G34" s="246"/>
      <c r="H34" s="246">
        <v>0</v>
      </c>
      <c r="I34" s="246">
        <v>0</v>
      </c>
      <c r="J34" s="417">
        <v>0</v>
      </c>
    </row>
    <row r="35" spans="1:10" x14ac:dyDescent="0.2">
      <c r="A35" s="80">
        <v>5075</v>
      </c>
      <c r="B35" s="17" t="s">
        <v>130</v>
      </c>
      <c r="C35" s="896">
        <f>'App.2-H_OM&amp;A_Detailed_Analysis'!C36</f>
        <v>38217.362431095098</v>
      </c>
      <c r="D35" s="407">
        <v>1508</v>
      </c>
      <c r="E35" s="407">
        <v>0</v>
      </c>
      <c r="F35" s="407">
        <v>0</v>
      </c>
      <c r="G35" s="407"/>
      <c r="H35" s="407">
        <v>0</v>
      </c>
      <c r="I35" s="407">
        <v>0</v>
      </c>
      <c r="J35" s="418">
        <v>0</v>
      </c>
    </row>
    <row r="36" spans="1:10" x14ac:dyDescent="0.2">
      <c r="A36" s="90">
        <v>5085</v>
      </c>
      <c r="B36" s="81" t="s">
        <v>131</v>
      </c>
      <c r="C36" s="896">
        <f>'App.2-H_OM&amp;A_Detailed_Analysis'!C37</f>
        <v>357866.42681283964</v>
      </c>
      <c r="D36" s="246">
        <v>376855</v>
      </c>
      <c r="E36" s="246">
        <v>340815</v>
      </c>
      <c r="F36" s="246">
        <v>344988</v>
      </c>
      <c r="G36" s="246"/>
      <c r="H36" s="246">
        <v>363596</v>
      </c>
      <c r="I36" s="246">
        <v>363809</v>
      </c>
      <c r="J36" s="417">
        <v>451608</v>
      </c>
    </row>
    <row r="37" spans="1:10" x14ac:dyDescent="0.2">
      <c r="A37" s="80">
        <v>5090</v>
      </c>
      <c r="B37" s="17" t="s">
        <v>132</v>
      </c>
      <c r="C37" s="896">
        <f>'App.2-H_OM&amp;A_Detailed_Analysis'!C38</f>
        <v>0</v>
      </c>
      <c r="D37" s="407"/>
      <c r="E37" s="407"/>
      <c r="F37" s="407"/>
      <c r="G37" s="407"/>
      <c r="H37" s="407"/>
      <c r="I37" s="407"/>
      <c r="J37" s="418"/>
    </row>
    <row r="38" spans="1:10" x14ac:dyDescent="0.2">
      <c r="A38" s="90">
        <v>5095</v>
      </c>
      <c r="B38" s="81" t="s">
        <v>133</v>
      </c>
      <c r="C38" s="896">
        <f>'App.2-H_OM&amp;A_Detailed_Analysis'!C39</f>
        <v>27137.687482885434</v>
      </c>
      <c r="D38" s="246">
        <v>21988</v>
      </c>
      <c r="E38" s="246">
        <v>26941</v>
      </c>
      <c r="F38" s="246">
        <v>31891</v>
      </c>
      <c r="G38" s="246"/>
      <c r="H38" s="246">
        <v>27000</v>
      </c>
      <c r="I38" s="246">
        <v>27000</v>
      </c>
      <c r="J38" s="417">
        <v>35500</v>
      </c>
    </row>
    <row r="39" spans="1:10" ht="13.5" thickBot="1" x14ac:dyDescent="0.25">
      <c r="A39" s="85">
        <v>5096</v>
      </c>
      <c r="B39" s="88" t="s">
        <v>134</v>
      </c>
      <c r="C39" s="896">
        <f>'App.2-H_OM&amp;A_Detailed_Analysis'!C40</f>
        <v>0</v>
      </c>
      <c r="D39" s="419"/>
      <c r="E39" s="419"/>
      <c r="F39" s="419"/>
      <c r="G39" s="419"/>
      <c r="H39" s="419"/>
      <c r="I39" s="419"/>
      <c r="J39" s="420"/>
    </row>
    <row r="40" spans="1:10" ht="14.25" thickTop="1" thickBot="1" x14ac:dyDescent="0.25">
      <c r="A40" s="1396" t="s">
        <v>224</v>
      </c>
      <c r="B40" s="1397"/>
      <c r="C40" s="92">
        <f>SUM(C17:C39)</f>
        <v>3126141.3397847507</v>
      </c>
      <c r="D40" s="92">
        <f>SUM(D17:D39)</f>
        <v>2926385</v>
      </c>
      <c r="E40" s="93">
        <f>SUM(E17:E39)</f>
        <v>3135697</v>
      </c>
      <c r="F40" s="92">
        <f>SUM(F17:F39)</f>
        <v>3177397</v>
      </c>
      <c r="G40" s="92">
        <f t="shared" ref="G40:I40" si="0">SUM(G17:G39)</f>
        <v>0</v>
      </c>
      <c r="H40" s="92">
        <f t="shared" si="0"/>
        <v>2964970</v>
      </c>
      <c r="I40" s="92">
        <f t="shared" si="0"/>
        <v>3102525</v>
      </c>
      <c r="J40" s="84">
        <f>SUM(J17:J39)</f>
        <v>3467004</v>
      </c>
    </row>
    <row r="41" spans="1:10" ht="39" thickBot="1" x14ac:dyDescent="0.25">
      <c r="A41" s="86" t="s">
        <v>6</v>
      </c>
      <c r="B41" s="87" t="s">
        <v>395</v>
      </c>
      <c r="C41" s="895" t="s">
        <v>938</v>
      </c>
      <c r="D41" s="189" t="str">
        <f t="shared" ref="D41:J41" si="1">D14</f>
        <v>Last Rebasing Year (2009 Actuals)</v>
      </c>
      <c r="E41" s="189" t="str">
        <f t="shared" si="1"/>
        <v>2010 Actual</v>
      </c>
      <c r="F41" s="189" t="str">
        <f t="shared" si="1"/>
        <v>2011 Actual²</v>
      </c>
      <c r="G41" s="189" t="str">
        <f t="shared" si="1"/>
        <v>2011 Actual²</v>
      </c>
      <c r="H41" s="189" t="str">
        <f t="shared" si="1"/>
        <v>Bridge Year 2012³</v>
      </c>
      <c r="I41" s="189" t="str">
        <f t="shared" si="1"/>
        <v>Bridge Year 2012³</v>
      </c>
      <c r="J41" s="447" t="str">
        <f t="shared" si="1"/>
        <v>Test Year 2013</v>
      </c>
    </row>
    <row r="42" spans="1:10" x14ac:dyDescent="0.2">
      <c r="A42" s="1398" t="s">
        <v>225</v>
      </c>
      <c r="B42" s="1399"/>
      <c r="C42" s="1399"/>
      <c r="D42" s="1399"/>
      <c r="E42" s="1399"/>
      <c r="F42" s="1399"/>
      <c r="G42" s="1399"/>
      <c r="H42" s="1399"/>
      <c r="I42" s="1399"/>
      <c r="J42" s="1400"/>
    </row>
    <row r="43" spans="1:10" x14ac:dyDescent="0.2">
      <c r="A43" s="89">
        <v>5105</v>
      </c>
      <c r="B43" s="18" t="s">
        <v>135</v>
      </c>
      <c r="C43" s="896">
        <f>'App.2-H_OM&amp;A_Detailed_Analysis'!C44</f>
        <v>0</v>
      </c>
      <c r="D43" s="415"/>
      <c r="E43" s="415"/>
      <c r="F43" s="415"/>
      <c r="G43" s="415"/>
      <c r="H43" s="415"/>
      <c r="I43" s="415"/>
      <c r="J43" s="416"/>
    </row>
    <row r="44" spans="1:10" x14ac:dyDescent="0.2">
      <c r="A44" s="89">
        <v>5110</v>
      </c>
      <c r="B44" s="18" t="s">
        <v>153</v>
      </c>
      <c r="C44" s="896">
        <f>'App.2-H_OM&amp;A_Detailed_Analysis'!C45</f>
        <v>0</v>
      </c>
      <c r="D44" s="246"/>
      <c r="E44" s="246"/>
      <c r="F44" s="246"/>
      <c r="G44" s="246"/>
      <c r="H44" s="246"/>
      <c r="I44" s="246"/>
      <c r="J44" s="417"/>
    </row>
    <row r="45" spans="1:10" x14ac:dyDescent="0.2">
      <c r="A45" s="89">
        <v>5112</v>
      </c>
      <c r="B45" s="18" t="s">
        <v>154</v>
      </c>
      <c r="C45" s="896">
        <f>'App.2-H_OM&amp;A_Detailed_Analysis'!C46</f>
        <v>0</v>
      </c>
      <c r="D45" s="407"/>
      <c r="E45" s="407"/>
      <c r="F45" s="407"/>
      <c r="G45" s="407"/>
      <c r="H45" s="407"/>
      <c r="I45" s="407"/>
      <c r="J45" s="418"/>
    </row>
    <row r="46" spans="1:10" x14ac:dyDescent="0.2">
      <c r="A46" s="89">
        <v>5114</v>
      </c>
      <c r="B46" s="18" t="s">
        <v>156</v>
      </c>
      <c r="C46" s="896">
        <f>'App.2-H_OM&amp;A_Detailed_Analysis'!C47</f>
        <v>6432.9317835774373</v>
      </c>
      <c r="D46" s="246">
        <v>29453</v>
      </c>
      <c r="E46" s="246">
        <v>68428</v>
      </c>
      <c r="F46" s="246">
        <v>30357</v>
      </c>
      <c r="G46" s="246"/>
      <c r="H46" s="246">
        <v>18000</v>
      </c>
      <c r="I46" s="246">
        <v>18000</v>
      </c>
      <c r="J46" s="417">
        <v>18000</v>
      </c>
    </row>
    <row r="47" spans="1:10" x14ac:dyDescent="0.2">
      <c r="A47" s="89">
        <v>5120</v>
      </c>
      <c r="B47" s="18" t="s">
        <v>155</v>
      </c>
      <c r="C47" s="896">
        <f>'App.2-H_OM&amp;A_Detailed_Analysis'!C48</f>
        <v>12644.800619265616</v>
      </c>
      <c r="D47" s="246">
        <v>11295</v>
      </c>
      <c r="E47" s="246">
        <v>4881</v>
      </c>
      <c r="F47" s="246">
        <v>4986</v>
      </c>
      <c r="G47" s="246"/>
      <c r="H47" s="246">
        <v>8000</v>
      </c>
      <c r="I47" s="246">
        <v>8000</v>
      </c>
      <c r="J47" s="417">
        <v>9000</v>
      </c>
    </row>
    <row r="48" spans="1:10" x14ac:dyDescent="0.2">
      <c r="A48" s="89">
        <v>5125</v>
      </c>
      <c r="B48" s="18" t="s">
        <v>157</v>
      </c>
      <c r="C48" s="896">
        <f>'App.2-H_OM&amp;A_Detailed_Analysis'!C49</f>
        <v>73852.709630843645</v>
      </c>
      <c r="D48" s="246">
        <v>79516</v>
      </c>
      <c r="E48" s="246">
        <v>54937</v>
      </c>
      <c r="F48" s="246">
        <v>64602</v>
      </c>
      <c r="G48" s="246"/>
      <c r="H48" s="246">
        <v>64000</v>
      </c>
      <c r="I48" s="246">
        <v>64000</v>
      </c>
      <c r="J48" s="417">
        <v>68000</v>
      </c>
    </row>
    <row r="49" spans="1:10" x14ac:dyDescent="0.2">
      <c r="A49" s="89">
        <v>5130</v>
      </c>
      <c r="B49" s="18" t="s">
        <v>158</v>
      </c>
      <c r="C49" s="896">
        <f>'App.2-H_OM&amp;A_Detailed_Analysis'!C50</f>
        <v>0</v>
      </c>
      <c r="D49" s="246"/>
      <c r="E49" s="246"/>
      <c r="F49" s="246"/>
      <c r="G49" s="246"/>
      <c r="H49" s="246"/>
      <c r="I49" s="246"/>
      <c r="J49" s="417"/>
    </row>
    <row r="50" spans="1:10" x14ac:dyDescent="0.2">
      <c r="A50" s="89">
        <v>5135</v>
      </c>
      <c r="B50" s="18" t="s">
        <v>159</v>
      </c>
      <c r="C50" s="896">
        <f>'App.2-H_OM&amp;A_Detailed_Analysis'!C51</f>
        <v>0</v>
      </c>
      <c r="D50" s="246"/>
      <c r="E50" s="246"/>
      <c r="F50" s="246"/>
      <c r="G50" s="246"/>
      <c r="H50" s="246"/>
      <c r="I50" s="246"/>
      <c r="J50" s="417"/>
    </row>
    <row r="51" spans="1:10" x14ac:dyDescent="0.2">
      <c r="A51" s="89">
        <v>5145</v>
      </c>
      <c r="B51" s="18" t="s">
        <v>160</v>
      </c>
      <c r="C51" s="896">
        <f>'App.2-H_OM&amp;A_Detailed_Analysis'!C52</f>
        <v>0</v>
      </c>
      <c r="D51" s="246">
        <v>48</v>
      </c>
      <c r="E51" s="246">
        <v>10</v>
      </c>
      <c r="F51" s="246">
        <v>14</v>
      </c>
      <c r="G51" s="246"/>
      <c r="H51" s="246">
        <v>0</v>
      </c>
      <c r="I51" s="246">
        <v>0</v>
      </c>
      <c r="J51" s="417">
        <v>0</v>
      </c>
    </row>
    <row r="52" spans="1:10" x14ac:dyDescent="0.2">
      <c r="A52" s="89">
        <v>5150</v>
      </c>
      <c r="B52" s="18" t="s">
        <v>161</v>
      </c>
      <c r="C52" s="896">
        <f>'App.2-H_OM&amp;A_Detailed_Analysis'!C53</f>
        <v>14943.855277313909</v>
      </c>
      <c r="D52" s="246">
        <v>21071</v>
      </c>
      <c r="E52" s="246">
        <v>19139</v>
      </c>
      <c r="F52" s="246">
        <v>25926</v>
      </c>
      <c r="G52" s="246"/>
      <c r="H52" s="246">
        <v>19200</v>
      </c>
      <c r="I52" s="246">
        <v>19200</v>
      </c>
      <c r="J52" s="417">
        <v>19200</v>
      </c>
    </row>
    <row r="53" spans="1:10" x14ac:dyDescent="0.2">
      <c r="A53" s="89">
        <v>5155</v>
      </c>
      <c r="B53" s="18" t="s">
        <v>162</v>
      </c>
      <c r="C53" s="896">
        <f>'App.2-H_OM&amp;A_Detailed_Analysis'!C54</f>
        <v>4549.4754675609502</v>
      </c>
      <c r="D53" s="246">
        <v>5650</v>
      </c>
      <c r="E53" s="246">
        <v>3637</v>
      </c>
      <c r="F53" s="246">
        <v>775</v>
      </c>
      <c r="G53" s="246"/>
      <c r="H53" s="246">
        <v>400</v>
      </c>
      <c r="I53" s="246">
        <v>400</v>
      </c>
      <c r="J53" s="417">
        <v>400</v>
      </c>
    </row>
    <row r="54" spans="1:10" x14ac:dyDescent="0.2">
      <c r="A54" s="89">
        <v>5160</v>
      </c>
      <c r="B54" s="18" t="s">
        <v>163</v>
      </c>
      <c r="C54" s="896">
        <f>'App.2-H_OM&amp;A_Detailed_Analysis'!C55</f>
        <v>22990.546580482936</v>
      </c>
      <c r="D54" s="246">
        <v>14829</v>
      </c>
      <c r="E54" s="246">
        <v>23761</v>
      </c>
      <c r="F54" s="246">
        <v>30102</v>
      </c>
      <c r="G54" s="246"/>
      <c r="H54" s="246">
        <v>27500</v>
      </c>
      <c r="I54" s="246">
        <v>27500</v>
      </c>
      <c r="J54" s="417">
        <v>27500</v>
      </c>
    </row>
    <row r="55" spans="1:10" x14ac:dyDescent="0.2">
      <c r="A55" s="89">
        <v>5165</v>
      </c>
      <c r="B55" s="18" t="s">
        <v>164</v>
      </c>
      <c r="C55" s="896">
        <f>'App.2-H_OM&amp;A_Detailed_Analysis'!C56</f>
        <v>0</v>
      </c>
      <c r="D55" s="246"/>
      <c r="E55" s="246"/>
      <c r="F55" s="246"/>
      <c r="G55" s="246"/>
      <c r="H55" s="246"/>
      <c r="I55" s="246"/>
      <c r="J55" s="417"/>
    </row>
    <row r="56" spans="1:10" x14ac:dyDescent="0.2">
      <c r="A56" s="89">
        <v>5170</v>
      </c>
      <c r="B56" s="18" t="s">
        <v>165</v>
      </c>
      <c r="C56" s="896">
        <f>'App.2-H_OM&amp;A_Detailed_Analysis'!C57</f>
        <v>0</v>
      </c>
      <c r="D56" s="246"/>
      <c r="E56" s="246"/>
      <c r="F56" s="246"/>
      <c r="G56" s="246"/>
      <c r="H56" s="246"/>
      <c r="I56" s="246"/>
      <c r="J56" s="417"/>
    </row>
    <row r="57" spans="1:10" x14ac:dyDescent="0.2">
      <c r="A57" s="89">
        <v>5172</v>
      </c>
      <c r="B57" s="18" t="s">
        <v>166</v>
      </c>
      <c r="C57" s="896">
        <f>'App.2-H_OM&amp;A_Detailed_Analysis'!C58</f>
        <v>0</v>
      </c>
      <c r="D57" s="246"/>
      <c r="E57" s="246"/>
      <c r="F57" s="246"/>
      <c r="G57" s="246"/>
      <c r="H57" s="246"/>
      <c r="I57" s="246"/>
      <c r="J57" s="417"/>
    </row>
    <row r="58" spans="1:10" x14ac:dyDescent="0.2">
      <c r="A58" s="89">
        <v>5175</v>
      </c>
      <c r="B58" s="18" t="s">
        <v>167</v>
      </c>
      <c r="C58" s="896">
        <f>'App.2-H_OM&amp;A_Detailed_Analysis'!C59</f>
        <v>3979.1330620066624</v>
      </c>
      <c r="D58" s="246">
        <v>606</v>
      </c>
      <c r="E58" s="246">
        <v>1057</v>
      </c>
      <c r="F58" s="246">
        <v>455</v>
      </c>
      <c r="G58" s="246"/>
      <c r="H58" s="246">
        <v>1000</v>
      </c>
      <c r="I58" s="246">
        <v>1000</v>
      </c>
      <c r="J58" s="417">
        <v>500</v>
      </c>
    </row>
    <row r="59" spans="1:10" x14ac:dyDescent="0.2">
      <c r="A59" s="89">
        <v>5178</v>
      </c>
      <c r="B59" s="18" t="s">
        <v>168</v>
      </c>
      <c r="C59" s="896">
        <f>'App.2-H_OM&amp;A_Detailed_Analysis'!C60</f>
        <v>0</v>
      </c>
      <c r="D59" s="407"/>
      <c r="E59" s="407"/>
      <c r="F59" s="407"/>
      <c r="G59" s="407"/>
      <c r="H59" s="407"/>
      <c r="I59" s="407"/>
      <c r="J59" s="418"/>
    </row>
    <row r="60" spans="1:10" ht="13.5" thickBot="1" x14ac:dyDescent="0.25">
      <c r="A60" s="95">
        <v>5195</v>
      </c>
      <c r="B60" s="18" t="s">
        <v>196</v>
      </c>
      <c r="C60" s="896">
        <f>'App.2-H_OM&amp;A_Detailed_Analysis'!C61</f>
        <v>0</v>
      </c>
      <c r="D60" s="246"/>
      <c r="E60" s="246"/>
      <c r="F60" s="246"/>
      <c r="G60" s="246"/>
      <c r="H60" s="246"/>
      <c r="I60" s="246"/>
      <c r="J60" s="417"/>
    </row>
    <row r="61" spans="1:10" ht="14.25" thickTop="1" thickBot="1" x14ac:dyDescent="0.25">
      <c r="A61" s="1396" t="s">
        <v>226</v>
      </c>
      <c r="B61" s="1397"/>
      <c r="C61" s="92">
        <f>SUM(C43:C60)</f>
        <v>139393.45242105116</v>
      </c>
      <c r="D61" s="92">
        <f>SUM(D43:D60)</f>
        <v>162468</v>
      </c>
      <c r="E61" s="92">
        <f>SUM(E43:E60)</f>
        <v>175850</v>
      </c>
      <c r="F61" s="92">
        <f>SUM(F43:F60)</f>
        <v>157217</v>
      </c>
      <c r="G61" s="92">
        <f t="shared" ref="G61:I61" si="2">SUM(G43:G60)</f>
        <v>0</v>
      </c>
      <c r="H61" s="92">
        <f t="shared" si="2"/>
        <v>138100</v>
      </c>
      <c r="I61" s="92">
        <f t="shared" si="2"/>
        <v>138100</v>
      </c>
      <c r="J61" s="96">
        <f>SUM(J43:J60)</f>
        <v>142600</v>
      </c>
    </row>
    <row r="62" spans="1:10" ht="39" thickBot="1" x14ac:dyDescent="0.25">
      <c r="A62" s="86" t="s">
        <v>6</v>
      </c>
      <c r="B62" s="87" t="s">
        <v>395</v>
      </c>
      <c r="C62" s="895" t="s">
        <v>938</v>
      </c>
      <c r="D62" s="189" t="str">
        <f>D41</f>
        <v>Last Rebasing Year (2009 Actuals)</v>
      </c>
      <c r="E62" s="189" t="str">
        <f>E41</f>
        <v>2010 Actual</v>
      </c>
      <c r="F62" s="189" t="str">
        <f>F41</f>
        <v>2011 Actual²</v>
      </c>
      <c r="G62" s="189" t="str">
        <f t="shared" ref="G62:I62" si="3">G41</f>
        <v>2011 Actual²</v>
      </c>
      <c r="H62" s="189" t="str">
        <f t="shared" si="3"/>
        <v>Bridge Year 2012³</v>
      </c>
      <c r="I62" s="189" t="str">
        <f t="shared" si="3"/>
        <v>Bridge Year 2012³</v>
      </c>
      <c r="J62" s="447" t="str">
        <f>J41</f>
        <v>Test Year 2013</v>
      </c>
    </row>
    <row r="63" spans="1:10" x14ac:dyDescent="0.2">
      <c r="A63" s="1398" t="s">
        <v>169</v>
      </c>
      <c r="B63" s="1399"/>
      <c r="C63" s="1399"/>
      <c r="D63" s="1399"/>
      <c r="E63" s="1399"/>
      <c r="F63" s="1399"/>
      <c r="G63" s="1399"/>
      <c r="H63" s="1399"/>
      <c r="I63" s="1399"/>
      <c r="J63" s="1400"/>
    </row>
    <row r="64" spans="1:10" x14ac:dyDescent="0.2">
      <c r="A64" s="89">
        <v>5305</v>
      </c>
      <c r="B64" s="18" t="s">
        <v>188</v>
      </c>
      <c r="C64" s="896">
        <f>'App.2-H_OM&amp;A_Detailed_Analysis'!C65</f>
        <v>110356.39208990122</v>
      </c>
      <c r="D64" s="415">
        <v>122263</v>
      </c>
      <c r="E64" s="415">
        <v>170710</v>
      </c>
      <c r="F64" s="415">
        <v>208714</v>
      </c>
      <c r="G64" s="415"/>
      <c r="H64" s="415">
        <v>214677</v>
      </c>
      <c r="I64" s="415">
        <v>214997</v>
      </c>
      <c r="J64" s="416">
        <v>230451</v>
      </c>
    </row>
    <row r="65" spans="1:10" x14ac:dyDescent="0.2">
      <c r="A65" s="89">
        <v>5310</v>
      </c>
      <c r="B65" s="18" t="s">
        <v>189</v>
      </c>
      <c r="C65" s="896">
        <f>'App.2-H_OM&amp;A_Detailed_Analysis'!C66</f>
        <v>130998.36591200867</v>
      </c>
      <c r="D65" s="246">
        <v>126551</v>
      </c>
      <c r="E65" s="246">
        <v>110314</v>
      </c>
      <c r="F65" s="246">
        <v>55952</v>
      </c>
      <c r="G65" s="246"/>
      <c r="H65" s="246">
        <v>161099</v>
      </c>
      <c r="I65" s="246">
        <v>161099</v>
      </c>
      <c r="J65" s="417">
        <v>241109</v>
      </c>
    </row>
    <row r="66" spans="1:10" x14ac:dyDescent="0.2">
      <c r="A66" s="89">
        <v>5315</v>
      </c>
      <c r="B66" s="18" t="s">
        <v>190</v>
      </c>
      <c r="C66" s="896">
        <f>'App.2-H_OM&amp;A_Detailed_Analysis'!C67</f>
        <v>784936.16733651597</v>
      </c>
      <c r="D66" s="407">
        <v>791098</v>
      </c>
      <c r="E66" s="407">
        <v>768194</v>
      </c>
      <c r="F66" s="407">
        <v>818456</v>
      </c>
      <c r="G66" s="407"/>
      <c r="H66" s="407">
        <v>790720</v>
      </c>
      <c r="I66" s="407">
        <v>797284</v>
      </c>
      <c r="J66" s="418">
        <v>1179268</v>
      </c>
    </row>
    <row r="67" spans="1:10" x14ac:dyDescent="0.2">
      <c r="A67" s="89">
        <v>5320</v>
      </c>
      <c r="B67" s="18" t="s">
        <v>191</v>
      </c>
      <c r="C67" s="896">
        <f>'App.2-H_OM&amp;A_Detailed_Analysis'!C68</f>
        <v>206152.69418002426</v>
      </c>
      <c r="D67" s="246">
        <v>214394</v>
      </c>
      <c r="E67" s="246">
        <v>193454</v>
      </c>
      <c r="F67" s="246">
        <v>191529</v>
      </c>
      <c r="G67" s="246"/>
      <c r="H67" s="246">
        <v>185763</v>
      </c>
      <c r="I67" s="246">
        <v>191932</v>
      </c>
      <c r="J67" s="417">
        <v>242549</v>
      </c>
    </row>
    <row r="68" spans="1:10" x14ac:dyDescent="0.2">
      <c r="A68" s="89">
        <v>5325</v>
      </c>
      <c r="B68" s="18" t="s">
        <v>192</v>
      </c>
      <c r="C68" s="896">
        <f>'App.2-H_OM&amp;A_Detailed_Analysis'!C69</f>
        <v>0</v>
      </c>
      <c r="D68" s="246">
        <v>104</v>
      </c>
      <c r="E68" s="246">
        <v>-84</v>
      </c>
      <c r="F68" s="246">
        <v>120</v>
      </c>
      <c r="G68" s="246"/>
      <c r="H68" s="246">
        <v>0</v>
      </c>
      <c r="I68" s="246">
        <v>0</v>
      </c>
      <c r="J68" s="417">
        <v>100</v>
      </c>
    </row>
    <row r="69" spans="1:10" x14ac:dyDescent="0.2">
      <c r="A69" s="89">
        <v>5330</v>
      </c>
      <c r="B69" s="18" t="s">
        <v>193</v>
      </c>
      <c r="C69" s="896">
        <f>'App.2-H_OM&amp;A_Detailed_Analysis'!C70</f>
        <v>696.79041174694441</v>
      </c>
      <c r="D69" s="246">
        <v>440</v>
      </c>
      <c r="E69" s="246">
        <v>162</v>
      </c>
      <c r="F69" s="246">
        <v>309</v>
      </c>
      <c r="G69" s="246"/>
      <c r="H69" s="246">
        <v>400</v>
      </c>
      <c r="I69" s="246">
        <v>400</v>
      </c>
      <c r="J69" s="417">
        <v>400</v>
      </c>
    </row>
    <row r="70" spans="1:10" x14ac:dyDescent="0.2">
      <c r="A70" s="89">
        <v>5335</v>
      </c>
      <c r="B70" s="18" t="s">
        <v>194</v>
      </c>
      <c r="C70" s="896">
        <f>'App.2-H_OM&amp;A_Detailed_Analysis'!C71</f>
        <v>90976.245574345652</v>
      </c>
      <c r="D70" s="246">
        <v>102769</v>
      </c>
      <c r="E70" s="246">
        <v>490144</v>
      </c>
      <c r="F70" s="246">
        <v>206195</v>
      </c>
      <c r="G70" s="246"/>
      <c r="H70" s="246">
        <v>102000</v>
      </c>
      <c r="I70" s="246">
        <v>102000</v>
      </c>
      <c r="J70" s="417">
        <v>189234</v>
      </c>
    </row>
    <row r="71" spans="1:10" ht="13.5" thickBot="1" x14ac:dyDescent="0.25">
      <c r="A71" s="95">
        <v>5340</v>
      </c>
      <c r="B71" s="18" t="s">
        <v>195</v>
      </c>
      <c r="C71" s="896">
        <f>'App.2-H_OM&amp;A_Detailed_Analysis'!C72</f>
        <v>0</v>
      </c>
      <c r="D71" s="246"/>
      <c r="E71" s="421"/>
      <c r="F71" s="246"/>
      <c r="G71" s="246"/>
      <c r="H71" s="246"/>
      <c r="I71" s="246"/>
      <c r="J71" s="422"/>
    </row>
    <row r="72" spans="1:10" ht="14.25" thickTop="1" thickBot="1" x14ac:dyDescent="0.25">
      <c r="A72" s="1396" t="s">
        <v>227</v>
      </c>
      <c r="B72" s="1397"/>
      <c r="C72" s="92">
        <f>SUM(C64:C71)</f>
        <v>1324116.6555045429</v>
      </c>
      <c r="D72" s="92">
        <f>SUM(D64:D71)</f>
        <v>1357619</v>
      </c>
      <c r="E72" s="92">
        <f>SUM(E64:E71)</f>
        <v>1732894</v>
      </c>
      <c r="F72" s="92">
        <f>SUM(F64:F71)</f>
        <v>1481275</v>
      </c>
      <c r="G72" s="92">
        <f t="shared" ref="G72:I72" si="4">SUM(G64:G71)</f>
        <v>0</v>
      </c>
      <c r="H72" s="92">
        <f t="shared" si="4"/>
        <v>1454659</v>
      </c>
      <c r="I72" s="92">
        <f t="shared" si="4"/>
        <v>1467712</v>
      </c>
      <c r="J72" s="96">
        <f>SUM(J64:J71)</f>
        <v>2083111</v>
      </c>
    </row>
    <row r="73" spans="1:10" ht="39" thickBot="1" x14ac:dyDescent="0.25">
      <c r="A73" s="86" t="s">
        <v>6</v>
      </c>
      <c r="B73" s="87" t="s">
        <v>395</v>
      </c>
      <c r="C73" s="895" t="s">
        <v>938</v>
      </c>
      <c r="D73" s="189" t="str">
        <f>D62</f>
        <v>Last Rebasing Year (2009 Actuals)</v>
      </c>
      <c r="E73" s="189" t="str">
        <f>E62</f>
        <v>2010 Actual</v>
      </c>
      <c r="F73" s="189" t="str">
        <f>F62</f>
        <v>2011 Actual²</v>
      </c>
      <c r="G73" s="189" t="str">
        <f t="shared" ref="G73:I73" si="5">G62</f>
        <v>2011 Actual²</v>
      </c>
      <c r="H73" s="189" t="str">
        <f t="shared" si="5"/>
        <v>Bridge Year 2012³</v>
      </c>
      <c r="I73" s="189" t="str">
        <f t="shared" si="5"/>
        <v>Bridge Year 2012³</v>
      </c>
      <c r="J73" s="447" t="str">
        <f>J62</f>
        <v>Test Year 2013</v>
      </c>
    </row>
    <row r="74" spans="1:10" x14ac:dyDescent="0.2">
      <c r="A74" s="1398" t="s">
        <v>228</v>
      </c>
      <c r="B74" s="1399"/>
      <c r="C74" s="1399"/>
      <c r="D74" s="1399"/>
      <c r="E74" s="1399"/>
      <c r="F74" s="1399"/>
      <c r="G74" s="1399"/>
      <c r="H74" s="1399"/>
      <c r="I74" s="1399"/>
      <c r="J74" s="1400"/>
    </row>
    <row r="75" spans="1:10" x14ac:dyDescent="0.2">
      <c r="A75" s="89">
        <v>5405</v>
      </c>
      <c r="B75" s="18" t="s">
        <v>188</v>
      </c>
      <c r="C75" s="896">
        <f>'App.2-H_OM&amp;A_Detailed_Analysis'!C76</f>
        <v>0</v>
      </c>
      <c r="D75" s="415"/>
      <c r="E75" s="415"/>
      <c r="F75" s="415"/>
      <c r="G75" s="415"/>
      <c r="H75" s="415"/>
      <c r="I75" s="415"/>
      <c r="J75" s="416"/>
    </row>
    <row r="76" spans="1:10" x14ac:dyDescent="0.2">
      <c r="A76" s="89">
        <v>5410</v>
      </c>
      <c r="B76" s="18" t="s">
        <v>197</v>
      </c>
      <c r="C76" s="896">
        <f>'App.2-H_OM&amp;A_Detailed_Analysis'!C77</f>
        <v>45981.093160965873</v>
      </c>
      <c r="D76" s="246">
        <v>43958</v>
      </c>
      <c r="E76" s="246">
        <v>44624</v>
      </c>
      <c r="F76" s="246">
        <v>106039</v>
      </c>
      <c r="G76" s="246"/>
      <c r="H76" s="246">
        <v>115867</v>
      </c>
      <c r="I76" s="246">
        <v>115867</v>
      </c>
      <c r="J76" s="417">
        <v>95900</v>
      </c>
    </row>
    <row r="77" spans="1:10" x14ac:dyDescent="0.2">
      <c r="A77" s="89">
        <v>5415</v>
      </c>
      <c r="B77" s="18" t="s">
        <v>198</v>
      </c>
      <c r="C77" s="896">
        <f>'App.2-H_OM&amp;A_Detailed_Analysis'!C78</f>
        <v>40268.826587507421</v>
      </c>
      <c r="D77" s="407">
        <v>49799</v>
      </c>
      <c r="E77" s="407">
        <v>33708</v>
      </c>
      <c r="F77" s="407">
        <v>27391</v>
      </c>
      <c r="G77" s="407"/>
      <c r="H77" s="407">
        <v>20882</v>
      </c>
      <c r="I77" s="407">
        <v>26966</v>
      </c>
      <c r="J77" s="418">
        <v>39342</v>
      </c>
    </row>
    <row r="78" spans="1:10" x14ac:dyDescent="0.2">
      <c r="A78" s="89">
        <v>5420</v>
      </c>
      <c r="B78" s="18" t="s">
        <v>199</v>
      </c>
      <c r="C78" s="896">
        <f>'App.2-H_OM&amp;A_Detailed_Analysis'!C79</f>
        <v>105518.65053829267</v>
      </c>
      <c r="D78" s="246">
        <v>119437</v>
      </c>
      <c r="E78" s="246">
        <v>113415</v>
      </c>
      <c r="F78" s="246">
        <v>122273</v>
      </c>
      <c r="G78" s="246"/>
      <c r="H78" s="246">
        <v>100432</v>
      </c>
      <c r="I78" s="246">
        <v>127592</v>
      </c>
      <c r="J78" s="417">
        <v>123241</v>
      </c>
    </row>
    <row r="79" spans="1:10" x14ac:dyDescent="0.2">
      <c r="A79" s="89">
        <v>5425</v>
      </c>
      <c r="B79" s="18" t="s">
        <v>200</v>
      </c>
      <c r="C79" s="896">
        <f>'App.2-H_OM&amp;A_Detailed_Analysis'!C80</f>
        <v>0</v>
      </c>
      <c r="D79" s="246">
        <v>0</v>
      </c>
      <c r="E79" s="246">
        <v>0</v>
      </c>
      <c r="F79" s="246">
        <v>596</v>
      </c>
      <c r="G79" s="246"/>
      <c r="H79" s="246">
        <v>0</v>
      </c>
      <c r="I79" s="246">
        <v>0</v>
      </c>
      <c r="J79" s="417">
        <v>0</v>
      </c>
    </row>
    <row r="80" spans="1:10" x14ac:dyDescent="0.2">
      <c r="A80" s="89">
        <v>5505</v>
      </c>
      <c r="B80" s="18" t="s">
        <v>188</v>
      </c>
      <c r="C80" s="896">
        <f>'App.2-H_OM&amp;A_Detailed_Analysis'!C81</f>
        <v>0</v>
      </c>
      <c r="D80" s="246"/>
      <c r="E80" s="246"/>
      <c r="F80" s="246"/>
      <c r="G80" s="246"/>
      <c r="H80" s="246"/>
      <c r="I80" s="246"/>
      <c r="J80" s="417"/>
    </row>
    <row r="81" spans="1:10" x14ac:dyDescent="0.2">
      <c r="A81" s="89">
        <v>5510</v>
      </c>
      <c r="B81" s="18" t="s">
        <v>201</v>
      </c>
      <c r="C81" s="896">
        <f>'App.2-H_OM&amp;A_Detailed_Analysis'!C82</f>
        <v>0</v>
      </c>
      <c r="D81" s="246"/>
      <c r="E81" s="246"/>
      <c r="F81" s="246"/>
      <c r="G81" s="246"/>
      <c r="H81" s="246"/>
      <c r="I81" s="246"/>
      <c r="J81" s="417"/>
    </row>
    <row r="82" spans="1:10" x14ac:dyDescent="0.2">
      <c r="A82" s="89">
        <v>5515</v>
      </c>
      <c r="B82" s="18" t="s">
        <v>202</v>
      </c>
      <c r="C82" s="896">
        <f>'App.2-H_OM&amp;A_Detailed_Analysis'!C83</f>
        <v>0</v>
      </c>
      <c r="D82" s="246"/>
      <c r="E82" s="246"/>
      <c r="F82" s="246"/>
      <c r="G82" s="246"/>
      <c r="H82" s="246"/>
      <c r="I82" s="246"/>
      <c r="J82" s="417"/>
    </row>
    <row r="83" spans="1:10" ht="13.5" thickBot="1" x14ac:dyDescent="0.25">
      <c r="A83" s="80">
        <v>5520</v>
      </c>
      <c r="B83" s="18" t="s">
        <v>203</v>
      </c>
      <c r="C83" s="896">
        <f>'App.2-H_OM&amp;A_Detailed_Analysis'!C84</f>
        <v>0</v>
      </c>
      <c r="D83" s="246"/>
      <c r="E83" s="421"/>
      <c r="F83" s="246"/>
      <c r="G83" s="246"/>
      <c r="H83" s="246"/>
      <c r="I83" s="246"/>
      <c r="J83" s="412"/>
    </row>
    <row r="84" spans="1:10" ht="14.25" thickTop="1" thickBot="1" x14ac:dyDescent="0.25">
      <c r="A84" s="97" t="s">
        <v>261</v>
      </c>
      <c r="B84" s="91"/>
      <c r="C84" s="92">
        <f>SUM(C75:C83)</f>
        <v>191768.57028676599</v>
      </c>
      <c r="D84" s="92">
        <f>SUM(D75:D83)</f>
        <v>213194</v>
      </c>
      <c r="E84" s="92">
        <f>SUM(E75:E83)</f>
        <v>191747</v>
      </c>
      <c r="F84" s="92">
        <f>SUM(F75:F83)</f>
        <v>256299</v>
      </c>
      <c r="G84" s="92">
        <f t="shared" ref="G84:I84" si="6">SUM(G75:G83)</f>
        <v>0</v>
      </c>
      <c r="H84" s="92">
        <f t="shared" si="6"/>
        <v>237181</v>
      </c>
      <c r="I84" s="92">
        <f t="shared" si="6"/>
        <v>270425</v>
      </c>
      <c r="J84" s="84">
        <f>SUM(J75:J83)</f>
        <v>258483</v>
      </c>
    </row>
    <row r="85" spans="1:10" ht="39" thickBot="1" x14ac:dyDescent="0.25">
      <c r="A85" s="86" t="s">
        <v>6</v>
      </c>
      <c r="B85" s="87" t="s">
        <v>395</v>
      </c>
      <c r="C85" s="895" t="s">
        <v>938</v>
      </c>
      <c r="D85" s="189" t="str">
        <f>D73</f>
        <v>Last Rebasing Year (2009 Actuals)</v>
      </c>
      <c r="E85" s="189" t="str">
        <f>E73</f>
        <v>2010 Actual</v>
      </c>
      <c r="F85" s="189" t="str">
        <f>F73</f>
        <v>2011 Actual²</v>
      </c>
      <c r="G85" s="189" t="str">
        <f t="shared" ref="G85:I85" si="7">G73</f>
        <v>2011 Actual²</v>
      </c>
      <c r="H85" s="189" t="str">
        <f t="shared" si="7"/>
        <v>Bridge Year 2012³</v>
      </c>
      <c r="I85" s="189" t="str">
        <f t="shared" si="7"/>
        <v>Bridge Year 2012³</v>
      </c>
      <c r="J85" s="447" t="str">
        <f>J73</f>
        <v>Test Year 2013</v>
      </c>
    </row>
    <row r="86" spans="1:10" x14ac:dyDescent="0.2">
      <c r="A86" s="1398" t="s">
        <v>204</v>
      </c>
      <c r="B86" s="1399"/>
      <c r="C86" s="1399"/>
      <c r="D86" s="1399"/>
      <c r="E86" s="1399"/>
      <c r="F86" s="1399"/>
      <c r="G86" s="1399"/>
      <c r="H86" s="1399"/>
      <c r="I86" s="1399"/>
      <c r="J86" s="1400"/>
    </row>
    <row r="87" spans="1:10" x14ac:dyDescent="0.2">
      <c r="A87" s="89">
        <v>5605</v>
      </c>
      <c r="B87" s="18" t="s">
        <v>205</v>
      </c>
      <c r="C87" s="896">
        <f>'App.2-H_OM&amp;A_Detailed_Analysis'!C88</f>
        <v>851116.22417201928</v>
      </c>
      <c r="D87" s="415">
        <v>1046191</v>
      </c>
      <c r="E87" s="415">
        <v>935378</v>
      </c>
      <c r="F87" s="415">
        <v>1213294</v>
      </c>
      <c r="G87" s="415"/>
      <c r="H87" s="415">
        <v>1044857</v>
      </c>
      <c r="I87" s="415">
        <v>1324165</v>
      </c>
      <c r="J87" s="416">
        <v>1338330</v>
      </c>
    </row>
    <row r="88" spans="1:10" x14ac:dyDescent="0.2">
      <c r="A88" s="89">
        <v>5610</v>
      </c>
      <c r="B88" s="18" t="s">
        <v>206</v>
      </c>
      <c r="C88" s="896">
        <f>'App.2-H_OM&amp;A_Detailed_Analysis'!C89</f>
        <v>184825.42521946013</v>
      </c>
      <c r="D88" s="246">
        <v>67390</v>
      </c>
      <c r="E88" s="246">
        <v>68523</v>
      </c>
      <c r="F88" s="246">
        <v>74042</v>
      </c>
      <c r="G88" s="246"/>
      <c r="H88" s="246">
        <v>64195</v>
      </c>
      <c r="I88" s="246">
        <v>81726</v>
      </c>
      <c r="J88" s="417">
        <v>85356</v>
      </c>
    </row>
    <row r="89" spans="1:10" x14ac:dyDescent="0.2">
      <c r="A89" s="89">
        <v>5615</v>
      </c>
      <c r="B89" s="18" t="s">
        <v>207</v>
      </c>
      <c r="C89" s="896">
        <f>'App.2-H_OM&amp;A_Detailed_Analysis'!C90</f>
        <v>1515324.6101554616</v>
      </c>
      <c r="D89" s="407">
        <v>972326</v>
      </c>
      <c r="E89" s="407">
        <v>992791</v>
      </c>
      <c r="F89" s="407">
        <v>1352575</v>
      </c>
      <c r="G89" s="407"/>
      <c r="H89" s="407">
        <v>1147418</v>
      </c>
      <c r="I89" s="407">
        <v>1470414</v>
      </c>
      <c r="J89" s="418">
        <v>1591130</v>
      </c>
    </row>
    <row r="90" spans="1:10" x14ac:dyDescent="0.2">
      <c r="A90" s="89">
        <v>5620</v>
      </c>
      <c r="B90" s="18" t="s">
        <v>208</v>
      </c>
      <c r="C90" s="896">
        <f>'App.2-H_OM&amp;A_Detailed_Analysis'!C91</f>
        <v>2528.9601238531232</v>
      </c>
      <c r="D90" s="246">
        <v>2637</v>
      </c>
      <c r="E90" s="246">
        <v>5919</v>
      </c>
      <c r="F90" s="246">
        <v>5269</v>
      </c>
      <c r="G90" s="246"/>
      <c r="H90" s="246">
        <v>3476</v>
      </c>
      <c r="I90" s="246">
        <v>4646</v>
      </c>
      <c r="J90" s="417">
        <v>4569</v>
      </c>
    </row>
    <row r="91" spans="1:10" x14ac:dyDescent="0.2">
      <c r="A91" s="89">
        <v>5625</v>
      </c>
      <c r="B91" s="18" t="s">
        <v>209</v>
      </c>
      <c r="C91" s="896">
        <f>'App.2-H_OM&amp;A_Detailed_Analysis'!C92</f>
        <v>-543487</v>
      </c>
      <c r="D91" s="246"/>
      <c r="E91" s="246"/>
      <c r="F91" s="246"/>
      <c r="G91" s="246"/>
      <c r="H91" s="246"/>
      <c r="I91" s="246"/>
      <c r="J91" s="417"/>
    </row>
    <row r="92" spans="1:10" x14ac:dyDescent="0.2">
      <c r="A92" s="89">
        <v>5630</v>
      </c>
      <c r="B92" s="18" t="s">
        <v>210</v>
      </c>
      <c r="C92" s="896">
        <f>'App.2-H_OM&amp;A_Detailed_Analysis'!C93</f>
        <v>157993.6888564534</v>
      </c>
      <c r="D92" s="246">
        <v>273402</v>
      </c>
      <c r="E92" s="246">
        <v>267635</v>
      </c>
      <c r="F92" s="246">
        <v>281162</v>
      </c>
      <c r="G92" s="246"/>
      <c r="H92" s="246">
        <v>243132</v>
      </c>
      <c r="I92" s="246">
        <v>306658</v>
      </c>
      <c r="J92" s="417">
        <v>389845</v>
      </c>
    </row>
    <row r="93" spans="1:10" x14ac:dyDescent="0.2">
      <c r="A93" s="89">
        <v>5635</v>
      </c>
      <c r="B93" s="18" t="s">
        <v>211</v>
      </c>
      <c r="C93" s="896">
        <f>'App.2-H_OM&amp;A_Detailed_Analysis'!C94</f>
        <v>146853.00053462631</v>
      </c>
      <c r="D93" s="246">
        <v>160266</v>
      </c>
      <c r="E93" s="246">
        <v>110030</v>
      </c>
      <c r="F93" s="246">
        <v>127829</v>
      </c>
      <c r="G93" s="246"/>
      <c r="H93" s="246">
        <v>116570</v>
      </c>
      <c r="I93" s="246">
        <v>144964</v>
      </c>
      <c r="J93" s="417">
        <v>148023</v>
      </c>
    </row>
    <row r="94" spans="1:10" x14ac:dyDescent="0.2">
      <c r="A94" s="89">
        <v>5640</v>
      </c>
      <c r="B94" s="18" t="s">
        <v>212</v>
      </c>
      <c r="C94" s="896">
        <f>'App.2-H_OM&amp;A_Detailed_Analysis'!C95</f>
        <v>0</v>
      </c>
      <c r="D94" s="246"/>
      <c r="E94" s="246"/>
      <c r="F94" s="246"/>
      <c r="G94" s="246"/>
      <c r="H94" s="246"/>
      <c r="I94" s="246"/>
      <c r="J94" s="417"/>
    </row>
    <row r="95" spans="1:10" x14ac:dyDescent="0.2">
      <c r="A95" s="89">
        <v>5645</v>
      </c>
      <c r="B95" s="574" t="s">
        <v>707</v>
      </c>
      <c r="C95" s="896">
        <f>'App.2-H_OM&amp;A_Detailed_Analysis'!C96</f>
        <v>1756540.540626097</v>
      </c>
      <c r="D95" s="246">
        <v>1495682</v>
      </c>
      <c r="E95" s="246">
        <v>1557222</v>
      </c>
      <c r="F95" s="246">
        <v>1707958</v>
      </c>
      <c r="G95" s="246"/>
      <c r="H95" s="246">
        <v>1718110</v>
      </c>
      <c r="I95" s="246">
        <v>1818515</v>
      </c>
      <c r="J95" s="417">
        <v>2075079</v>
      </c>
    </row>
    <row r="96" spans="1:10" x14ac:dyDescent="0.2">
      <c r="A96" s="89">
        <v>5646</v>
      </c>
      <c r="B96" s="574" t="s">
        <v>708</v>
      </c>
      <c r="C96" s="896">
        <f>'App.2-H_OM&amp;A_Detailed_Analysis'!C97</f>
        <v>0</v>
      </c>
      <c r="D96" s="246"/>
      <c r="E96" s="246"/>
      <c r="F96" s="246"/>
      <c r="G96" s="246"/>
      <c r="H96" s="246"/>
      <c r="I96" s="246"/>
      <c r="J96" s="417"/>
    </row>
    <row r="97" spans="1:10" x14ac:dyDescent="0.2">
      <c r="A97" s="89">
        <v>5647</v>
      </c>
      <c r="B97" s="574" t="s">
        <v>709</v>
      </c>
      <c r="C97" s="896">
        <f>'App.2-H_OM&amp;A_Detailed_Analysis'!C98</f>
        <v>0</v>
      </c>
      <c r="D97" s="246"/>
      <c r="E97" s="246"/>
      <c r="F97" s="246"/>
      <c r="G97" s="246"/>
      <c r="H97" s="246"/>
      <c r="I97" s="246"/>
      <c r="J97" s="417"/>
    </row>
    <row r="98" spans="1:10" x14ac:dyDescent="0.2">
      <c r="A98" s="89">
        <v>5650</v>
      </c>
      <c r="B98" s="18" t="s">
        <v>213</v>
      </c>
      <c r="C98" s="896">
        <f>'App.2-H_OM&amp;A_Detailed_Analysis'!C99</f>
        <v>0</v>
      </c>
      <c r="D98" s="246"/>
      <c r="E98" s="246"/>
      <c r="F98" s="246"/>
      <c r="G98" s="246"/>
      <c r="H98" s="246"/>
      <c r="I98" s="246"/>
      <c r="J98" s="417"/>
    </row>
    <row r="99" spans="1:10" x14ac:dyDescent="0.2">
      <c r="A99" s="89">
        <v>5655</v>
      </c>
      <c r="B99" s="18" t="s">
        <v>214</v>
      </c>
      <c r="C99" s="896">
        <f>'App.2-H_OM&amp;A_Detailed_Analysis'!C100</f>
        <v>387046.73593422183</v>
      </c>
      <c r="D99" s="246">
        <v>287143</v>
      </c>
      <c r="E99" s="246">
        <v>321433</v>
      </c>
      <c r="F99" s="246">
        <v>322518</v>
      </c>
      <c r="G99" s="246"/>
      <c r="H99" s="246">
        <v>287692</v>
      </c>
      <c r="I99" s="246">
        <v>359330</v>
      </c>
      <c r="J99" s="417">
        <v>374545</v>
      </c>
    </row>
    <row r="100" spans="1:10" x14ac:dyDescent="0.2">
      <c r="A100" s="89">
        <v>5660</v>
      </c>
      <c r="B100" s="18" t="s">
        <v>215</v>
      </c>
      <c r="C100" s="896">
        <f>'App.2-H_OM&amp;A_Detailed_Analysis'!C101</f>
        <v>18569.287622697757</v>
      </c>
      <c r="D100" s="246">
        <v>10237</v>
      </c>
      <c r="E100" s="246">
        <v>8491</v>
      </c>
      <c r="F100" s="246">
        <v>39301</v>
      </c>
      <c r="G100" s="246"/>
      <c r="H100" s="246">
        <v>6800</v>
      </c>
      <c r="I100" s="246">
        <v>6800</v>
      </c>
      <c r="J100" s="417">
        <v>7000</v>
      </c>
    </row>
    <row r="101" spans="1:10" x14ac:dyDescent="0.2">
      <c r="A101" s="89">
        <v>5665</v>
      </c>
      <c r="B101" s="18" t="s">
        <v>57</v>
      </c>
      <c r="C101" s="896">
        <f>'App.2-H_OM&amp;A_Detailed_Analysis'!C102</f>
        <v>640899.50875799882</v>
      </c>
      <c r="D101" s="246">
        <v>682251</v>
      </c>
      <c r="E101" s="246">
        <v>647754</v>
      </c>
      <c r="F101" s="246">
        <v>719664</v>
      </c>
      <c r="G101" s="246"/>
      <c r="H101" s="246">
        <v>657773</v>
      </c>
      <c r="I101" s="246">
        <v>817641</v>
      </c>
      <c r="J101" s="417">
        <v>947730</v>
      </c>
    </row>
    <row r="102" spans="1:10" x14ac:dyDescent="0.2">
      <c r="A102" s="89">
        <v>5670</v>
      </c>
      <c r="B102" s="18" t="s">
        <v>216</v>
      </c>
      <c r="C102" s="896">
        <f>'App.2-H_OM&amp;A_Detailed_Analysis'!C103</f>
        <v>0</v>
      </c>
      <c r="D102" s="246"/>
      <c r="E102" s="246"/>
      <c r="F102" s="246"/>
      <c r="G102" s="246"/>
      <c r="H102" s="246"/>
      <c r="I102" s="246"/>
      <c r="J102" s="417"/>
    </row>
    <row r="103" spans="1:10" x14ac:dyDescent="0.2">
      <c r="A103" s="575">
        <v>5672</v>
      </c>
      <c r="B103" s="574" t="s">
        <v>710</v>
      </c>
      <c r="C103" s="896">
        <f>'App.2-H_OM&amp;A_Detailed_Analysis'!C104</f>
        <v>0</v>
      </c>
      <c r="D103" s="246"/>
      <c r="E103" s="246"/>
      <c r="F103" s="246"/>
      <c r="G103" s="246"/>
      <c r="H103" s="246"/>
      <c r="I103" s="246"/>
      <c r="J103" s="417"/>
    </row>
    <row r="104" spans="1:10" x14ac:dyDescent="0.2">
      <c r="A104" s="89">
        <v>5675</v>
      </c>
      <c r="B104" s="18" t="s">
        <v>217</v>
      </c>
      <c r="C104" s="896">
        <f>'App.2-H_OM&amp;A_Detailed_Analysis'!C105</f>
        <v>91788</v>
      </c>
      <c r="D104" s="246">
        <v>114991</v>
      </c>
      <c r="E104" s="246">
        <v>103430</v>
      </c>
      <c r="F104" s="246">
        <v>146944</v>
      </c>
      <c r="G104" s="246"/>
      <c r="H104" s="246">
        <v>111677</v>
      </c>
      <c r="I104" s="246">
        <v>144317</v>
      </c>
      <c r="J104" s="417">
        <v>166023</v>
      </c>
    </row>
    <row r="105" spans="1:10" x14ac:dyDescent="0.2">
      <c r="A105" s="89">
        <v>5680</v>
      </c>
      <c r="B105" s="18" t="s">
        <v>218</v>
      </c>
      <c r="C105" s="896">
        <f>'App.2-H_OM&amp;A_Detailed_Analysis'!C106</f>
        <v>0</v>
      </c>
      <c r="D105" s="246">
        <v>0</v>
      </c>
      <c r="E105" s="246">
        <v>26</v>
      </c>
      <c r="F105" s="246">
        <v>714</v>
      </c>
      <c r="G105" s="246"/>
      <c r="H105" s="246"/>
      <c r="I105" s="246"/>
      <c r="J105" s="417"/>
    </row>
    <row r="106" spans="1:10" x14ac:dyDescent="0.2">
      <c r="A106" s="575">
        <v>5681</v>
      </c>
      <c r="B106" s="574" t="s">
        <v>711</v>
      </c>
      <c r="C106" s="896">
        <f>'App.2-H_OM&amp;A_Detailed_Analysis'!C107</f>
        <v>0</v>
      </c>
      <c r="D106" s="246"/>
      <c r="E106" s="246"/>
      <c r="F106" s="246"/>
      <c r="G106" s="246"/>
      <c r="H106" s="246"/>
      <c r="I106" s="246"/>
      <c r="J106" s="417"/>
    </row>
    <row r="107" spans="1:10" x14ac:dyDescent="0.2">
      <c r="A107" s="89">
        <v>5685</v>
      </c>
      <c r="B107" s="18" t="s">
        <v>219</v>
      </c>
      <c r="C107" s="896">
        <f>'App.2-H_OM&amp;A_Detailed_Analysis'!C108</f>
        <v>0</v>
      </c>
      <c r="D107" s="407"/>
      <c r="E107" s="407"/>
      <c r="F107" s="407"/>
      <c r="G107" s="407"/>
      <c r="H107" s="407"/>
      <c r="I107" s="407"/>
      <c r="J107" s="418"/>
    </row>
    <row r="108" spans="1:10" x14ac:dyDescent="0.2">
      <c r="A108" s="89">
        <v>5695</v>
      </c>
      <c r="B108" s="18" t="s">
        <v>220</v>
      </c>
      <c r="C108" s="896">
        <f>'App.2-H_OM&amp;A_Detailed_Analysis'!C109</f>
        <v>0</v>
      </c>
      <c r="D108" s="246"/>
      <c r="E108" s="246"/>
      <c r="F108" s="246"/>
      <c r="G108" s="246"/>
      <c r="H108" s="246"/>
      <c r="I108" s="246"/>
      <c r="J108" s="417"/>
    </row>
    <row r="109" spans="1:10" x14ac:dyDescent="0.2">
      <c r="A109" s="90">
        <v>6205</v>
      </c>
      <c r="B109" s="574" t="s">
        <v>713</v>
      </c>
      <c r="C109" s="896">
        <f>'App.2-H_OM&amp;A_Detailed_Analysis'!C110</f>
        <v>0</v>
      </c>
      <c r="D109" s="246">
        <v>48784</v>
      </c>
      <c r="E109" s="246">
        <v>54448</v>
      </c>
      <c r="F109" s="246">
        <v>30629</v>
      </c>
      <c r="G109" s="246"/>
      <c r="H109" s="246"/>
      <c r="I109" s="246"/>
      <c r="J109" s="417"/>
    </row>
    <row r="110" spans="1:10" ht="13.5" thickBot="1" x14ac:dyDescent="0.25">
      <c r="A110" s="85">
        <v>6205</v>
      </c>
      <c r="B110" s="576" t="s">
        <v>712</v>
      </c>
      <c r="C110" s="896">
        <f>'App.2-H_OM&amp;A_Detailed_Analysis'!C111</f>
        <v>0</v>
      </c>
      <c r="D110" s="407"/>
      <c r="E110" s="407"/>
      <c r="F110" s="407"/>
      <c r="G110" s="407"/>
      <c r="H110" s="407"/>
      <c r="I110" s="407"/>
      <c r="J110" s="418"/>
    </row>
    <row r="111" spans="1:10" ht="14.25" thickTop="1" thickBot="1" x14ac:dyDescent="0.25">
      <c r="A111" s="67" t="s">
        <v>262</v>
      </c>
      <c r="B111" s="91"/>
      <c r="C111" s="92">
        <f>SUM(C87:C110)</f>
        <v>5209998.9820028897</v>
      </c>
      <c r="D111" s="92">
        <f>SUM(D87:D110)</f>
        <v>5161300</v>
      </c>
      <c r="E111" s="92">
        <f t="shared" ref="E111:J111" si="8">SUM(E87:E110)</f>
        <v>5073080</v>
      </c>
      <c r="F111" s="92">
        <f t="shared" si="8"/>
        <v>6021899</v>
      </c>
      <c r="G111" s="92">
        <f t="shared" si="8"/>
        <v>0</v>
      </c>
      <c r="H111" s="92">
        <f t="shared" si="8"/>
        <v>5401700</v>
      </c>
      <c r="I111" s="92">
        <f t="shared" si="8"/>
        <v>6479176</v>
      </c>
      <c r="J111" s="92">
        <f t="shared" si="8"/>
        <v>7127630</v>
      </c>
    </row>
    <row r="112" spans="1:10" ht="13.5" thickBot="1" x14ac:dyDescent="0.25">
      <c r="A112" s="1401" t="s">
        <v>260</v>
      </c>
      <c r="B112" s="1402"/>
      <c r="C112" s="423">
        <f>C40+C61+C72+C84+C111</f>
        <v>9991419</v>
      </c>
      <c r="D112" s="423">
        <f>D40+D61+D72+D84+D111</f>
        <v>9820966</v>
      </c>
      <c r="E112" s="423">
        <f>E40+E61+E72+E84+E111</f>
        <v>10309268</v>
      </c>
      <c r="F112" s="424">
        <f>F40+F61+F72+F84+F111</f>
        <v>11094087</v>
      </c>
      <c r="G112" s="424">
        <f t="shared" ref="G112:I112" si="9">G40+G61+G72+G84+G111</f>
        <v>0</v>
      </c>
      <c r="H112" s="424">
        <f t="shared" si="9"/>
        <v>10196610</v>
      </c>
      <c r="I112" s="424">
        <f t="shared" si="9"/>
        <v>11457938</v>
      </c>
      <c r="J112" s="425">
        <f>J40+J61+J72+J84+J111</f>
        <v>13078828</v>
      </c>
    </row>
    <row r="113" spans="1:10" ht="13.5" thickBot="1" x14ac:dyDescent="0.25">
      <c r="A113" s="1403" t="s">
        <v>100</v>
      </c>
      <c r="B113" s="1404"/>
      <c r="C113" s="894"/>
      <c r="D113" s="3"/>
      <c r="E113" s="3"/>
      <c r="F113" s="3"/>
      <c r="G113" s="3"/>
      <c r="H113" s="3"/>
      <c r="I113" s="3"/>
      <c r="J113" s="51"/>
    </row>
    <row r="114" spans="1:10" x14ac:dyDescent="0.2">
      <c r="A114" s="575">
        <v>5681</v>
      </c>
      <c r="B114" s="574" t="s">
        <v>711</v>
      </c>
      <c r="C114" s="426"/>
      <c r="D114" s="426"/>
      <c r="E114" s="426"/>
      <c r="F114" s="426"/>
      <c r="G114" s="426"/>
      <c r="H114" s="426"/>
      <c r="I114" s="426"/>
      <c r="J114" s="427"/>
    </row>
    <row r="115" spans="1:10" ht="14.25" x14ac:dyDescent="0.2">
      <c r="A115" s="90">
        <v>6205</v>
      </c>
      <c r="B115" s="574" t="s">
        <v>714</v>
      </c>
      <c r="C115" s="246"/>
      <c r="D115" s="246">
        <v>48784</v>
      </c>
      <c r="E115" s="246">
        <v>54448</v>
      </c>
      <c r="F115" s="246">
        <v>30629</v>
      </c>
      <c r="G115" s="246"/>
      <c r="H115" s="246"/>
      <c r="I115" s="246"/>
      <c r="J115" s="417"/>
    </row>
    <row r="116" spans="1:10" x14ac:dyDescent="0.2">
      <c r="A116" s="577"/>
      <c r="B116" s="578"/>
      <c r="C116" s="578"/>
      <c r="D116" s="246"/>
      <c r="E116" s="246"/>
      <c r="F116" s="246"/>
      <c r="G116" s="246"/>
      <c r="H116" s="246"/>
      <c r="I116" s="246"/>
      <c r="J116" s="417"/>
    </row>
    <row r="117" spans="1:10" x14ac:dyDescent="0.2">
      <c r="A117" s="577"/>
      <c r="B117" s="578"/>
      <c r="C117" s="578"/>
      <c r="D117" s="246"/>
      <c r="E117" s="246"/>
      <c r="F117" s="246"/>
      <c r="G117" s="246"/>
      <c r="H117" s="246"/>
      <c r="I117" s="246"/>
      <c r="J117" s="417"/>
    </row>
    <row r="118" spans="1:10" ht="13.5" thickBot="1" x14ac:dyDescent="0.25">
      <c r="A118" s="579"/>
      <c r="B118" s="580"/>
      <c r="C118" s="580"/>
      <c r="D118" s="428"/>
      <c r="E118" s="428"/>
      <c r="F118" s="428"/>
      <c r="G118" s="428"/>
      <c r="H118" s="428"/>
      <c r="I118" s="428"/>
      <c r="J118" s="429"/>
    </row>
    <row r="119" spans="1:10" ht="13.5" thickBot="1" x14ac:dyDescent="0.25">
      <c r="A119" s="1381" t="s">
        <v>101</v>
      </c>
      <c r="B119" s="1382"/>
      <c r="C119" s="423">
        <f>C112-SUM(C114:C118)</f>
        <v>9991419</v>
      </c>
      <c r="D119" s="423">
        <f>D112-SUM(D114:D118)</f>
        <v>9772182</v>
      </c>
      <c r="E119" s="423">
        <f t="shared" ref="E119:J119" si="10">E112-SUM(E114:E118)</f>
        <v>10254820</v>
      </c>
      <c r="F119" s="423">
        <f t="shared" si="10"/>
        <v>11063458</v>
      </c>
      <c r="G119" s="423">
        <f t="shared" ref="G119:I119" si="11">G112-SUM(G114:G118)</f>
        <v>0</v>
      </c>
      <c r="H119" s="423">
        <f t="shared" si="11"/>
        <v>10196610</v>
      </c>
      <c r="I119" s="423">
        <f t="shared" si="11"/>
        <v>11457938</v>
      </c>
      <c r="J119" s="425">
        <f t="shared" si="10"/>
        <v>13078828</v>
      </c>
    </row>
    <row r="120" spans="1:10" x14ac:dyDescent="0.2">
      <c r="A120" s="894"/>
      <c r="B120" s="894"/>
      <c r="C120" s="938"/>
      <c r="D120" s="938"/>
      <c r="E120" s="938"/>
      <c r="F120" s="938"/>
      <c r="G120" s="938"/>
      <c r="H120" s="939" t="s">
        <v>983</v>
      </c>
      <c r="I120" s="939" t="s">
        <v>984</v>
      </c>
      <c r="J120" s="938"/>
    </row>
    <row r="121" spans="1:10" x14ac:dyDescent="0.2">
      <c r="A121" s="894"/>
      <c r="B121" s="894"/>
      <c r="C121" s="938"/>
      <c r="D121" s="938"/>
      <c r="E121" s="938"/>
      <c r="F121" s="938"/>
      <c r="G121" s="938"/>
      <c r="H121" s="938"/>
      <c r="I121" s="938"/>
      <c r="J121" s="938"/>
    </row>
    <row r="122" spans="1:10" x14ac:dyDescent="0.2">
      <c r="F122" s="922" t="s">
        <v>998</v>
      </c>
      <c r="H122" s="752">
        <f>+I119-H119</f>
        <v>1261328</v>
      </c>
      <c r="I122" s="752"/>
    </row>
    <row r="123" spans="1:10" ht="13.5" thickBot="1" x14ac:dyDescent="0.25">
      <c r="F123" s="922"/>
      <c r="H123" s="940">
        <f>+H119+H122</f>
        <v>11457938</v>
      </c>
      <c r="I123" s="752"/>
    </row>
    <row r="124" spans="1:10" ht="15" thickTop="1" x14ac:dyDescent="0.2">
      <c r="A124" s="169" t="s">
        <v>715</v>
      </c>
      <c r="F124" s="883"/>
    </row>
    <row r="125" spans="1:10" ht="14.25" x14ac:dyDescent="0.2">
      <c r="A125" s="581"/>
    </row>
    <row r="126" spans="1:10" x14ac:dyDescent="0.2">
      <c r="A126" s="99" t="s">
        <v>229</v>
      </c>
    </row>
    <row r="127" spans="1:10" ht="35.25" customHeight="1" x14ac:dyDescent="0.2">
      <c r="A127" s="413">
        <v>1</v>
      </c>
      <c r="B127" s="1372" t="s">
        <v>332</v>
      </c>
      <c r="C127" s="1372"/>
      <c r="D127" s="1372"/>
      <c r="E127" s="1372"/>
      <c r="F127" s="1372"/>
      <c r="G127" s="1372"/>
      <c r="H127" s="1372"/>
      <c r="I127" s="1372"/>
      <c r="J127" s="1372"/>
    </row>
    <row r="128" spans="1:10" ht="24.75" customHeight="1" x14ac:dyDescent="0.2">
      <c r="A128" s="413">
        <v>2</v>
      </c>
      <c r="B128" s="1371" t="s">
        <v>705</v>
      </c>
      <c r="C128" s="1371"/>
      <c r="D128" s="1372"/>
      <c r="E128" s="1372"/>
      <c r="F128" s="1372"/>
      <c r="G128" s="1372"/>
      <c r="H128" s="1372"/>
      <c r="I128" s="1372"/>
      <c r="J128" s="1372"/>
    </row>
    <row r="129" spans="1:10" ht="32.25" customHeight="1" x14ac:dyDescent="0.2">
      <c r="A129" s="413">
        <v>3</v>
      </c>
      <c r="B129" s="1371" t="s">
        <v>706</v>
      </c>
      <c r="C129" s="1371"/>
      <c r="D129" s="1372"/>
      <c r="E129" s="1372"/>
      <c r="F129" s="1372"/>
      <c r="G129" s="1372"/>
      <c r="H129" s="1372"/>
      <c r="I129" s="1372"/>
      <c r="J129" s="1372"/>
    </row>
  </sheetData>
  <mergeCells count="19">
    <mergeCell ref="A74:J74"/>
    <mergeCell ref="A9:J9"/>
    <mergeCell ref="A10:J10"/>
    <mergeCell ref="A11:J11"/>
    <mergeCell ref="F13:G13"/>
    <mergeCell ref="H13:I13"/>
    <mergeCell ref="A16:J16"/>
    <mergeCell ref="A40:B40"/>
    <mergeCell ref="A42:J42"/>
    <mergeCell ref="A61:B61"/>
    <mergeCell ref="A63:J63"/>
    <mergeCell ref="A72:B72"/>
    <mergeCell ref="B129:J129"/>
    <mergeCell ref="A86:J86"/>
    <mergeCell ref="A112:B112"/>
    <mergeCell ref="A113:B113"/>
    <mergeCell ref="A119:B119"/>
    <mergeCell ref="B127:J127"/>
    <mergeCell ref="B128:J128"/>
  </mergeCells>
  <dataValidations count="1">
    <dataValidation type="list" allowBlank="1" showInputMessage="1" showErrorMessage="1" sqref="C15:J15">
      <formula1>"CGAAP, MIFRS, USGAAP, ASPE"</formula1>
    </dataValidation>
  </dataValidations>
  <pageMargins left="0.75" right="0.75" top="1" bottom="1" header="0.5" footer="0.5"/>
  <pageSetup scale="5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7:I71"/>
  <sheetViews>
    <sheetView showGridLines="0" topLeftCell="A10" zoomScaleNormal="100" workbookViewId="0">
      <selection activeCell="F37" sqref="F37"/>
    </sheetView>
  </sheetViews>
  <sheetFormatPr defaultRowHeight="12.75" x14ac:dyDescent="0.2"/>
  <cols>
    <col min="2" max="2" width="59.42578125" customWidth="1"/>
    <col min="3" max="3" width="4.85546875" customWidth="1"/>
    <col min="4" max="5" width="3" bestFit="1" customWidth="1"/>
    <col min="6" max="6" width="44.28515625" customWidth="1"/>
  </cols>
  <sheetData>
    <row r="7" spans="1:7" ht="18" x14ac:dyDescent="0.25">
      <c r="C7" s="213"/>
    </row>
    <row r="8" spans="1:7" x14ac:dyDescent="0.2">
      <c r="C8" s="158"/>
    </row>
    <row r="9" spans="1:7" x14ac:dyDescent="0.2">
      <c r="C9" s="162"/>
    </row>
    <row r="10" spans="1:7" x14ac:dyDescent="0.2">
      <c r="C10" s="162"/>
    </row>
    <row r="11" spans="1:7" x14ac:dyDescent="0.2">
      <c r="C11" s="162"/>
    </row>
    <row r="12" spans="1:7" x14ac:dyDescent="0.2">
      <c r="C12" s="162"/>
    </row>
    <row r="13" spans="1:7" ht="25.5" x14ac:dyDescent="0.2">
      <c r="A13" s="243"/>
      <c r="C13" s="162"/>
    </row>
    <row r="14" spans="1:7" x14ac:dyDescent="0.2">
      <c r="B14" s="169"/>
      <c r="C14" s="16"/>
    </row>
    <row r="15" spans="1:7" x14ac:dyDescent="0.2">
      <c r="A15" s="16">
        <v>1</v>
      </c>
      <c r="B15" s="665" t="s">
        <v>718</v>
      </c>
      <c r="C15" s="169"/>
      <c r="E15" s="16">
        <v>19</v>
      </c>
      <c r="F15" s="665" t="s">
        <v>733</v>
      </c>
      <c r="G15" s="169"/>
    </row>
    <row r="16" spans="1:7" x14ac:dyDescent="0.2">
      <c r="A16" s="16">
        <v>2</v>
      </c>
      <c r="B16" s="169" t="s">
        <v>717</v>
      </c>
      <c r="C16" s="169"/>
      <c r="E16" s="16">
        <v>20</v>
      </c>
      <c r="F16" s="665" t="s">
        <v>734</v>
      </c>
      <c r="G16" s="169"/>
    </row>
    <row r="17" spans="1:7" x14ac:dyDescent="0.2">
      <c r="A17" s="16">
        <v>3</v>
      </c>
      <c r="B17" s="665" t="s">
        <v>719</v>
      </c>
      <c r="C17" s="169"/>
      <c r="E17" s="16">
        <v>21</v>
      </c>
      <c r="F17" s="665" t="s">
        <v>735</v>
      </c>
      <c r="G17" s="169"/>
    </row>
    <row r="18" spans="1:7" x14ac:dyDescent="0.2">
      <c r="A18" s="16">
        <v>4</v>
      </c>
      <c r="B18" s="665" t="s">
        <v>720</v>
      </c>
      <c r="C18" s="169"/>
      <c r="E18" s="16">
        <v>22</v>
      </c>
      <c r="F18" s="665" t="s">
        <v>772</v>
      </c>
      <c r="G18" s="169"/>
    </row>
    <row r="19" spans="1:7" x14ac:dyDescent="0.2">
      <c r="A19" s="16">
        <v>5</v>
      </c>
      <c r="B19" s="665" t="s">
        <v>721</v>
      </c>
      <c r="C19" s="169"/>
      <c r="E19" s="16">
        <v>23</v>
      </c>
      <c r="F19" s="665" t="s">
        <v>773</v>
      </c>
      <c r="G19" s="169"/>
    </row>
    <row r="20" spans="1:7" x14ac:dyDescent="0.2">
      <c r="A20" s="16">
        <v>6</v>
      </c>
      <c r="B20" s="665" t="s">
        <v>722</v>
      </c>
      <c r="C20" s="169"/>
      <c r="E20" s="16">
        <v>24</v>
      </c>
      <c r="F20" s="665" t="s">
        <v>736</v>
      </c>
      <c r="G20" s="169"/>
    </row>
    <row r="21" spans="1:7" x14ac:dyDescent="0.2">
      <c r="A21" s="16">
        <v>7</v>
      </c>
      <c r="B21" s="665" t="s">
        <v>723</v>
      </c>
      <c r="C21" s="169"/>
      <c r="E21" s="16">
        <v>25</v>
      </c>
      <c r="F21" s="665" t="s">
        <v>737</v>
      </c>
      <c r="G21" s="169"/>
    </row>
    <row r="22" spans="1:7" x14ac:dyDescent="0.2">
      <c r="A22" s="16">
        <v>8</v>
      </c>
      <c r="B22" s="665" t="s">
        <v>724</v>
      </c>
      <c r="C22" s="169"/>
      <c r="E22" s="16">
        <v>26</v>
      </c>
      <c r="F22" s="665" t="s">
        <v>804</v>
      </c>
      <c r="G22" s="169"/>
    </row>
    <row r="23" spans="1:7" x14ac:dyDescent="0.2">
      <c r="A23" s="16">
        <v>9</v>
      </c>
      <c r="B23" s="665" t="s">
        <v>725</v>
      </c>
      <c r="C23" s="169"/>
      <c r="E23" s="16">
        <v>27</v>
      </c>
      <c r="F23" s="665" t="s">
        <v>805</v>
      </c>
      <c r="G23" s="169"/>
    </row>
    <row r="24" spans="1:7" x14ac:dyDescent="0.2">
      <c r="A24" s="16">
        <v>10</v>
      </c>
      <c r="B24" s="665" t="s">
        <v>726</v>
      </c>
      <c r="C24" s="169"/>
      <c r="E24" s="16">
        <v>28</v>
      </c>
      <c r="F24" s="665" t="s">
        <v>738</v>
      </c>
      <c r="G24" s="169"/>
    </row>
    <row r="25" spans="1:7" x14ac:dyDescent="0.2">
      <c r="A25" s="16">
        <v>11</v>
      </c>
      <c r="B25" s="665" t="s">
        <v>727</v>
      </c>
      <c r="C25" s="169"/>
      <c r="E25" s="16">
        <v>29</v>
      </c>
      <c r="F25" s="665" t="s">
        <v>739</v>
      </c>
      <c r="G25" s="169"/>
    </row>
    <row r="26" spans="1:7" x14ac:dyDescent="0.2">
      <c r="A26" s="16">
        <v>12</v>
      </c>
      <c r="B26" s="665" t="s">
        <v>728</v>
      </c>
      <c r="C26" s="169"/>
      <c r="E26" s="16">
        <v>30</v>
      </c>
      <c r="F26" s="665" t="s">
        <v>740</v>
      </c>
      <c r="G26" s="169"/>
    </row>
    <row r="27" spans="1:7" x14ac:dyDescent="0.2">
      <c r="A27" s="16">
        <v>13</v>
      </c>
      <c r="B27" s="665" t="s">
        <v>729</v>
      </c>
      <c r="C27" s="169"/>
      <c r="E27" s="16">
        <v>31</v>
      </c>
      <c r="F27" s="665" t="s">
        <v>741</v>
      </c>
      <c r="G27" s="169"/>
    </row>
    <row r="28" spans="1:7" x14ac:dyDescent="0.2">
      <c r="A28" s="16">
        <v>14</v>
      </c>
      <c r="B28" s="665" t="s">
        <v>730</v>
      </c>
      <c r="C28" s="169"/>
      <c r="E28" s="16">
        <v>32</v>
      </c>
      <c r="F28" s="665" t="s">
        <v>771</v>
      </c>
      <c r="G28" s="169"/>
    </row>
    <row r="29" spans="1:7" x14ac:dyDescent="0.2">
      <c r="A29" s="16">
        <v>15</v>
      </c>
      <c r="B29" s="665" t="s">
        <v>809</v>
      </c>
      <c r="C29" s="169"/>
      <c r="E29" s="16">
        <v>33</v>
      </c>
      <c r="F29" s="665" t="s">
        <v>742</v>
      </c>
      <c r="G29" s="169"/>
    </row>
    <row r="30" spans="1:7" x14ac:dyDescent="0.2">
      <c r="A30" s="16">
        <v>16</v>
      </c>
      <c r="B30" s="665" t="s">
        <v>810</v>
      </c>
      <c r="C30" s="169"/>
      <c r="E30" s="16">
        <v>34</v>
      </c>
      <c r="F30" s="665" t="s">
        <v>743</v>
      </c>
      <c r="G30" s="460"/>
    </row>
    <row r="31" spans="1:7" x14ac:dyDescent="0.2">
      <c r="A31" s="16">
        <v>17</v>
      </c>
      <c r="B31" s="665" t="s">
        <v>731</v>
      </c>
      <c r="C31" s="169"/>
      <c r="E31" s="16">
        <v>35</v>
      </c>
      <c r="F31" s="665" t="s">
        <v>744</v>
      </c>
      <c r="G31" s="460"/>
    </row>
    <row r="32" spans="1:7" x14ac:dyDescent="0.2">
      <c r="A32" s="16">
        <v>18</v>
      </c>
      <c r="B32" s="665" t="s">
        <v>732</v>
      </c>
      <c r="C32" s="461"/>
      <c r="E32" s="16">
        <v>36</v>
      </c>
      <c r="F32" s="665" t="s">
        <v>745</v>
      </c>
      <c r="G32" s="169"/>
    </row>
    <row r="33" spans="2:9" x14ac:dyDescent="0.2">
      <c r="B33" s="169"/>
      <c r="C33" s="169"/>
      <c r="G33" s="169"/>
    </row>
    <row r="34" spans="2:9" x14ac:dyDescent="0.2">
      <c r="B34" s="169"/>
      <c r="C34" s="664"/>
      <c r="F34" s="169"/>
      <c r="G34" s="169"/>
      <c r="I34" s="15"/>
    </row>
    <row r="35" spans="2:9" x14ac:dyDescent="0.2">
      <c r="C35" s="15"/>
      <c r="F35" s="460"/>
      <c r="I35" s="15"/>
    </row>
    <row r="36" spans="2:9" x14ac:dyDescent="0.2">
      <c r="C36" s="15"/>
      <c r="I36" s="15"/>
    </row>
    <row r="37" spans="2:9" x14ac:dyDescent="0.2">
      <c r="C37" s="15"/>
      <c r="I37" s="15"/>
    </row>
    <row r="38" spans="2:9" ht="12.75" customHeight="1" x14ac:dyDescent="0.2">
      <c r="C38" s="15"/>
      <c r="D38" s="663"/>
      <c r="E38" s="663"/>
      <c r="I38" s="15"/>
    </row>
    <row r="39" spans="2:9" x14ac:dyDescent="0.2">
      <c r="C39" s="238"/>
      <c r="D39" s="663"/>
      <c r="I39" s="15"/>
    </row>
    <row r="40" spans="2:9" x14ac:dyDescent="0.2">
      <c r="C40" s="15"/>
      <c r="D40" s="663"/>
      <c r="I40" s="238"/>
    </row>
    <row r="41" spans="2:9" ht="12.75" customHeight="1" x14ac:dyDescent="0.2">
      <c r="C41" s="566"/>
      <c r="D41" s="663"/>
    </row>
    <row r="42" spans="2:9" x14ac:dyDescent="0.2">
      <c r="B42" s="566"/>
      <c r="C42" s="566"/>
      <c r="D42" s="663"/>
    </row>
    <row r="43" spans="2:9" x14ac:dyDescent="0.2">
      <c r="D43" s="663"/>
    </row>
    <row r="44" spans="2:9" x14ac:dyDescent="0.2">
      <c r="D44" s="663"/>
    </row>
    <row r="45" spans="2:9" x14ac:dyDescent="0.2">
      <c r="D45" s="663"/>
    </row>
    <row r="46" spans="2:9" x14ac:dyDescent="0.2">
      <c r="D46" s="663"/>
    </row>
    <row r="47" spans="2:9" x14ac:dyDescent="0.2">
      <c r="D47" s="663"/>
    </row>
    <row r="48" spans="2:9" x14ac:dyDescent="0.2">
      <c r="D48" s="663"/>
    </row>
    <row r="49" spans="4:7" x14ac:dyDescent="0.2">
      <c r="D49" s="663"/>
    </row>
    <row r="50" spans="4:7" x14ac:dyDescent="0.2">
      <c r="D50" s="663"/>
    </row>
    <row r="51" spans="4:7" x14ac:dyDescent="0.2">
      <c r="D51" s="663"/>
    </row>
    <row r="52" spans="4:7" x14ac:dyDescent="0.2">
      <c r="D52" s="663"/>
    </row>
    <row r="53" spans="4:7" x14ac:dyDescent="0.2">
      <c r="D53" s="663"/>
    </row>
    <row r="54" spans="4:7" x14ac:dyDescent="0.2">
      <c r="D54" s="663"/>
    </row>
    <row r="55" spans="4:7" x14ac:dyDescent="0.2">
      <c r="D55" s="663"/>
    </row>
    <row r="56" spans="4:7" x14ac:dyDescent="0.2">
      <c r="D56" s="663"/>
    </row>
    <row r="57" spans="4:7" x14ac:dyDescent="0.2">
      <c r="D57" s="663"/>
    </row>
    <row r="58" spans="4:7" x14ac:dyDescent="0.2">
      <c r="D58" s="663"/>
    </row>
    <row r="59" spans="4:7" x14ac:dyDescent="0.2">
      <c r="D59" s="663"/>
      <c r="G59" s="169"/>
    </row>
    <row r="60" spans="4:7" x14ac:dyDescent="0.2">
      <c r="D60" s="663"/>
    </row>
    <row r="61" spans="4:7" x14ac:dyDescent="0.2">
      <c r="D61" s="663"/>
    </row>
    <row r="62" spans="4:7" x14ac:dyDescent="0.2">
      <c r="D62" s="663"/>
      <c r="G62" s="169"/>
    </row>
    <row r="63" spans="4:7" x14ac:dyDescent="0.2">
      <c r="D63" s="663"/>
    </row>
    <row r="64" spans="4:7" x14ac:dyDescent="0.2">
      <c r="D64" s="663"/>
    </row>
    <row r="65" spans="4:7" x14ac:dyDescent="0.2">
      <c r="D65" s="663"/>
    </row>
    <row r="66" spans="4:7" x14ac:dyDescent="0.2">
      <c r="D66" s="663"/>
    </row>
    <row r="67" spans="4:7" x14ac:dyDescent="0.2">
      <c r="D67" s="663"/>
    </row>
    <row r="68" spans="4:7" x14ac:dyDescent="0.2">
      <c r="D68" s="663"/>
    </row>
    <row r="69" spans="4:7" x14ac:dyDescent="0.2">
      <c r="D69" s="663"/>
    </row>
    <row r="70" spans="4:7" x14ac:dyDescent="0.2">
      <c r="D70" s="663"/>
      <c r="G70" s="169"/>
    </row>
    <row r="71" spans="4:7" x14ac:dyDescent="0.2">
      <c r="D71" s="663"/>
    </row>
  </sheetData>
  <phoneticPr fontId="17" type="noConversion"/>
  <hyperlinks>
    <hyperlink ref="B17" display="Appendix 2-A Capital Projects"/>
    <hyperlink ref="B31" display="Appendix 2-F Other Operating Revenue"/>
    <hyperlink ref="B30" display="Appendix 2-EB PP&amp;E Deferral Account - 2013 IFRS Adopters"/>
    <hyperlink ref="B29" display="Appendix 2-EA PP&amp;E Deferral Account - 2012 IFRS Adopters"/>
    <hyperlink ref="B28" display="Appendix 2-D Overhead"/>
    <hyperlink ref="B27" display="Appendix 2-CI Alternative Accounting Standards Depreciation Expense"/>
    <hyperlink ref="B26" display="Appendix 2-CH MIFRS Depreciation Expense 2013"/>
    <hyperlink ref="B25" display="Appendix 2-CG MIFRS Depreciation Expense 2012"/>
    <hyperlink ref="B24" display="Appendix 2-CF CGAAP Depreciation Expense 2012"/>
    <hyperlink ref="B23" display="Appendix 2-CE CGAAP Depreciation Expense 2011"/>
    <hyperlink ref="B22" display="Appendix 2-CD MIFRS Depreciation Expense 2013"/>
    <hyperlink ref="B21" display="Appendix 2-CC MIFRS Depreciation Expense 2012"/>
    <hyperlink ref="B20" display="Appendix 2-CB MIFRS Depreciation Expense 2011"/>
    <hyperlink ref="B19" display="Appendix 2-CA CGAAP Depreciation Expense 2011"/>
    <hyperlink ref="B18" display="Appendix 2-B Fixed Asset Continuity"/>
    <hyperlink ref="B32" display="Appendix 2-G Detailed OM&amp;A Expenses"/>
    <hyperlink ref="F15" display="Appendix 2-H OM&amp;A Detailed Analysis"/>
    <hyperlink ref="F16" display="Appendix 2-I OM&amp;A Summary Analysis"/>
    <hyperlink ref="F17" display="Appendix 2-J OM&amp;A Cost  Drivers"/>
    <hyperlink ref="F18" display="Appendix 2-K Employee Costs"/>
    <hyperlink ref="F19" display="Appendix 2-L OM&amp;A per Cust FTEE"/>
    <hyperlink ref="F20" display="Appendix 2-M Regulatory Costs"/>
    <hyperlink ref="F21" display="Appendix 2-N Corp Cost Allocation"/>
    <hyperlink ref="F23" display="Appendix 2-OB Debt Instruments"/>
    <hyperlink ref="F24" display="Appendix 2-P Cost Allocation"/>
    <hyperlink ref="F25" display="Appendix 2-Q Cost of Service Embedded Distributor"/>
    <hyperlink ref="F26" display="Appendix 2-R Loss Factors"/>
    <hyperlink ref="F27" display="Appendix 2-S Stranded Meters"/>
    <hyperlink ref="F28" display="Appendix 2-T 1592 Tax Variance"/>
    <hyperlink ref="F29" display="Appendix 2-U IFRS Transition Costs"/>
    <hyperlink ref="F30" display="Appendix 2-V Rev Reconciliation"/>
    <hyperlink ref="F31" display="Appendix 2-W Bill Impacts"/>
    <hyperlink ref="F32" display="Appendix 2-X CoS Flowchart"/>
    <hyperlink ref="B15" display="LDC Information Sheet"/>
    <hyperlink ref="F22" display="Appendix 2-OA Capital Structure and Cost of Capital"/>
  </hyperlinks>
  <pageMargins left="0.75" right="0.75" top="1" bottom="1" header="0.5" footer="0.5"/>
  <pageSetup scale="5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28"/>
  <sheetViews>
    <sheetView showGridLines="0" zoomScale="85" zoomScaleNormal="85" workbookViewId="0">
      <pane ySplit="16" topLeftCell="A104" activePane="bottomLeft" state="frozen"/>
      <selection pane="bottomLeft" activeCell="F14" sqref="F14:G14"/>
    </sheetView>
  </sheetViews>
  <sheetFormatPr defaultRowHeight="12.75" x14ac:dyDescent="0.2"/>
  <cols>
    <col min="2" max="2" width="67.140625" customWidth="1"/>
    <col min="3" max="9" width="12.7109375" customWidth="1"/>
  </cols>
  <sheetData>
    <row r="1" spans="1:9" x14ac:dyDescent="0.2">
      <c r="H1" s="329" t="s">
        <v>444</v>
      </c>
      <c r="I1" s="250" t="str">
        <f>'LDC Info'!$E$18</f>
        <v>EB-2012-0107</v>
      </c>
    </row>
    <row r="2" spans="1:9" x14ac:dyDescent="0.2">
      <c r="H2" s="329" t="s">
        <v>445</v>
      </c>
      <c r="I2" s="251">
        <v>4</v>
      </c>
    </row>
    <row r="3" spans="1:9" x14ac:dyDescent="0.2">
      <c r="H3" s="329" t="s">
        <v>446</v>
      </c>
      <c r="I3" s="251">
        <v>3</v>
      </c>
    </row>
    <row r="4" spans="1:9" x14ac:dyDescent="0.2">
      <c r="H4" s="329" t="s">
        <v>447</v>
      </c>
      <c r="I4" s="251">
        <v>1</v>
      </c>
    </row>
    <row r="5" spans="1:9" x14ac:dyDescent="0.2">
      <c r="H5" s="329" t="s">
        <v>1036</v>
      </c>
      <c r="I5" s="252">
        <v>1</v>
      </c>
    </row>
    <row r="6" spans="1:9" x14ac:dyDescent="0.2">
      <c r="H6" s="329"/>
      <c r="I6" s="250"/>
    </row>
    <row r="7" spans="1:9" x14ac:dyDescent="0.2">
      <c r="H7" s="329" t="s">
        <v>449</v>
      </c>
      <c r="I7" s="934"/>
    </row>
    <row r="9" spans="1:9" ht="18" x14ac:dyDescent="0.25">
      <c r="A9" s="1385" t="s">
        <v>668</v>
      </c>
      <c r="B9" s="1385"/>
      <c r="C9" s="1385"/>
      <c r="D9" s="1385"/>
      <c r="E9" s="1385"/>
      <c r="F9" s="1385"/>
      <c r="G9" s="1385"/>
      <c r="H9" s="1385"/>
      <c r="I9" s="1385"/>
    </row>
    <row r="10" spans="1:9" ht="18" x14ac:dyDescent="0.25">
      <c r="A10" s="1385" t="s">
        <v>103</v>
      </c>
      <c r="B10" s="1385"/>
      <c r="C10" s="1385"/>
      <c r="D10" s="1385"/>
      <c r="E10" s="1385"/>
      <c r="F10" s="1385"/>
      <c r="G10" s="1385"/>
      <c r="H10" s="1385"/>
      <c r="I10" s="1385"/>
    </row>
    <row r="11" spans="1:9" ht="15.75" x14ac:dyDescent="0.25">
      <c r="A11" s="1405" t="s">
        <v>223</v>
      </c>
      <c r="B11" s="1405"/>
      <c r="C11" s="1405"/>
      <c r="D11" s="1405"/>
      <c r="E11" s="1405"/>
      <c r="F11" s="1405"/>
      <c r="G11" s="1405"/>
      <c r="H11" s="1405"/>
      <c r="I11" s="1405"/>
    </row>
    <row r="13" spans="1:9" ht="13.5" thickBot="1" x14ac:dyDescent="0.25"/>
    <row r="14" spans="1:9" ht="53.25" customHeight="1" x14ac:dyDescent="0.2">
      <c r="A14" s="1409" t="s">
        <v>6</v>
      </c>
      <c r="B14" s="1409" t="s">
        <v>395</v>
      </c>
      <c r="C14" s="1411" t="str">
        <f>"Last Board-approved Rebasing Year ("&amp;'LDC Info'!E30&amp;" Year)"</f>
        <v>Last Board-approved Rebasing Year (2009 Year)</v>
      </c>
      <c r="D14" s="1413" t="s">
        <v>776</v>
      </c>
      <c r="E14" s="1411" t="str">
        <f>"Test Year " &amp; 'LDC Info'!E28</f>
        <v>Test Year 2013</v>
      </c>
      <c r="F14" s="1415" t="s">
        <v>256</v>
      </c>
      <c r="G14" s="1416"/>
      <c r="H14" s="1415" t="s">
        <v>257</v>
      </c>
      <c r="I14" s="1416"/>
    </row>
    <row r="15" spans="1:9" ht="12.75" customHeight="1" thickBot="1" x14ac:dyDescent="0.25">
      <c r="A15" s="1410"/>
      <c r="B15" s="1410"/>
      <c r="C15" s="1412"/>
      <c r="D15" s="1414"/>
      <c r="E15" s="1412"/>
      <c r="F15" s="644" t="s">
        <v>258</v>
      </c>
      <c r="G15" s="644" t="s">
        <v>259</v>
      </c>
      <c r="H15" s="645" t="s">
        <v>258</v>
      </c>
      <c r="I15" s="646" t="s">
        <v>259</v>
      </c>
    </row>
    <row r="16" spans="1:9" ht="12.75" customHeight="1" x14ac:dyDescent="0.2">
      <c r="A16" s="229" t="s">
        <v>174</v>
      </c>
      <c r="B16" s="230"/>
      <c r="C16" s="434" t="s">
        <v>175</v>
      </c>
      <c r="D16" s="434" t="s">
        <v>175</v>
      </c>
      <c r="E16" s="434" t="s">
        <v>176</v>
      </c>
      <c r="F16" s="448"/>
      <c r="G16" s="448"/>
      <c r="H16" s="449"/>
      <c r="I16" s="450"/>
    </row>
    <row r="17" spans="1:9" x14ac:dyDescent="0.2">
      <c r="A17" s="1398" t="s">
        <v>222</v>
      </c>
      <c r="B17" s="1399"/>
      <c r="C17" s="1399"/>
      <c r="D17" s="1399"/>
      <c r="E17" s="1399"/>
      <c r="F17" s="1399"/>
      <c r="G17" s="1399"/>
      <c r="H17" s="1399"/>
      <c r="I17" s="1400"/>
    </row>
    <row r="18" spans="1:9" x14ac:dyDescent="0.2">
      <c r="A18" s="89">
        <v>5005</v>
      </c>
      <c r="B18" s="18" t="s">
        <v>90</v>
      </c>
      <c r="C18" s="435">
        <v>835073.2439177999</v>
      </c>
      <c r="D18" s="435">
        <v>814674</v>
      </c>
      <c r="E18" s="310">
        <v>792514</v>
      </c>
      <c r="F18" s="125">
        <f>E18-C18</f>
        <v>-42559.243917799904</v>
      </c>
      <c r="G18" s="129">
        <f>IF(C18=0,"",(E18/C18)-1)</f>
        <v>-5.096468390979747E-2</v>
      </c>
      <c r="H18" s="125">
        <f>E18-D18</f>
        <v>-22160</v>
      </c>
      <c r="I18" s="130">
        <f>IF(D18=0,"",(E18/D18)-1)</f>
        <v>-2.7201064474869696E-2</v>
      </c>
    </row>
    <row r="19" spans="1:9" x14ac:dyDescent="0.2">
      <c r="A19" s="90">
        <v>5010</v>
      </c>
      <c r="B19" s="81" t="s">
        <v>91</v>
      </c>
      <c r="C19" s="435">
        <v>184798.89766571342</v>
      </c>
      <c r="D19" s="435">
        <v>212873</v>
      </c>
      <c r="E19" s="310">
        <v>221350</v>
      </c>
      <c r="F19" s="126">
        <f t="shared" ref="F19:F41" si="0">E19-C19</f>
        <v>36551.102334286581</v>
      </c>
      <c r="G19" s="129">
        <f t="shared" ref="G19:G41" si="1">IF(C19=0,"",(E19/C19)-1)</f>
        <v>0.19778853010478792</v>
      </c>
      <c r="H19" s="126">
        <f t="shared" ref="H19:H41" si="2">E19-D19</f>
        <v>8477</v>
      </c>
      <c r="I19" s="131">
        <f t="shared" ref="I19:I41" si="3">IF(D19=0,"",(E19/D19)-1)</f>
        <v>3.9821865619406926E-2</v>
      </c>
    </row>
    <row r="20" spans="1:9" x14ac:dyDescent="0.2">
      <c r="A20" s="80">
        <v>5012</v>
      </c>
      <c r="B20" s="17" t="s">
        <v>92</v>
      </c>
      <c r="C20" s="435">
        <v>88.425179155703603</v>
      </c>
      <c r="D20" s="435">
        <v>1917</v>
      </c>
      <c r="E20" s="310">
        <v>500</v>
      </c>
      <c r="F20" s="127">
        <f t="shared" si="0"/>
        <v>411.57482084429637</v>
      </c>
      <c r="G20" s="132">
        <f t="shared" si="1"/>
        <v>4.6544980148649095</v>
      </c>
      <c r="H20" s="127">
        <f t="shared" si="2"/>
        <v>-1417</v>
      </c>
      <c r="I20" s="133">
        <f t="shared" si="3"/>
        <v>-0.73917579551382362</v>
      </c>
    </row>
    <row r="21" spans="1:9" x14ac:dyDescent="0.2">
      <c r="A21" s="90">
        <v>5014</v>
      </c>
      <c r="B21" s="81" t="s">
        <v>93</v>
      </c>
      <c r="C21" s="435">
        <v>22990.546580482936</v>
      </c>
      <c r="D21" s="435"/>
      <c r="E21" s="310"/>
      <c r="F21" s="126">
        <f t="shared" si="0"/>
        <v>-22990.546580482936</v>
      </c>
      <c r="G21" s="129">
        <f t="shared" si="1"/>
        <v>-1</v>
      </c>
      <c r="H21" s="126">
        <f t="shared" si="2"/>
        <v>0</v>
      </c>
      <c r="I21" s="131" t="str">
        <f t="shared" si="3"/>
        <v/>
      </c>
    </row>
    <row r="22" spans="1:9" x14ac:dyDescent="0.2">
      <c r="A22" s="90">
        <v>5015</v>
      </c>
      <c r="B22" s="81" t="s">
        <v>94</v>
      </c>
      <c r="C22" s="435">
        <v>0</v>
      </c>
      <c r="D22" s="435"/>
      <c r="E22" s="310"/>
      <c r="F22" s="126">
        <f t="shared" si="0"/>
        <v>0</v>
      </c>
      <c r="G22" s="129" t="str">
        <f t="shared" si="1"/>
        <v/>
      </c>
      <c r="H22" s="126">
        <f t="shared" si="2"/>
        <v>0</v>
      </c>
      <c r="I22" s="131" t="str">
        <f t="shared" si="3"/>
        <v/>
      </c>
    </row>
    <row r="23" spans="1:9" x14ac:dyDescent="0.2">
      <c r="A23" s="90">
        <v>5016</v>
      </c>
      <c r="B23" s="81" t="s">
        <v>95</v>
      </c>
      <c r="C23" s="435">
        <v>0</v>
      </c>
      <c r="D23" s="435"/>
      <c r="E23" s="310"/>
      <c r="F23" s="126">
        <f t="shared" si="0"/>
        <v>0</v>
      </c>
      <c r="G23" s="129" t="str">
        <f t="shared" si="1"/>
        <v/>
      </c>
      <c r="H23" s="126">
        <f t="shared" si="2"/>
        <v>0</v>
      </c>
      <c r="I23" s="131" t="str">
        <f t="shared" si="3"/>
        <v/>
      </c>
    </row>
    <row r="24" spans="1:9" x14ac:dyDescent="0.2">
      <c r="A24" s="90">
        <v>5017</v>
      </c>
      <c r="B24" s="81" t="s">
        <v>96</v>
      </c>
      <c r="C24" s="435">
        <v>371.38575245395515</v>
      </c>
      <c r="D24" s="435">
        <v>25130</v>
      </c>
      <c r="E24" s="310">
        <v>26600</v>
      </c>
      <c r="F24" s="126">
        <f t="shared" si="0"/>
        <v>26228.614247546044</v>
      </c>
      <c r="G24" s="129">
        <f t="shared" si="1"/>
        <v>70.62364152162219</v>
      </c>
      <c r="H24" s="126">
        <f t="shared" si="2"/>
        <v>1470</v>
      </c>
      <c r="I24" s="131">
        <f t="shared" si="3"/>
        <v>5.8495821727019504E-2</v>
      </c>
    </row>
    <row r="25" spans="1:9" x14ac:dyDescent="0.2">
      <c r="A25" s="90">
        <v>5020</v>
      </c>
      <c r="B25" s="81" t="s">
        <v>97</v>
      </c>
      <c r="C25" s="435">
        <v>0</v>
      </c>
      <c r="D25" s="435"/>
      <c r="E25" s="310"/>
      <c r="F25" s="126">
        <f t="shared" si="0"/>
        <v>0</v>
      </c>
      <c r="G25" s="129" t="str">
        <f t="shared" si="1"/>
        <v/>
      </c>
      <c r="H25" s="126">
        <f t="shared" si="2"/>
        <v>0</v>
      </c>
      <c r="I25" s="131" t="str">
        <f t="shared" si="3"/>
        <v/>
      </c>
    </row>
    <row r="26" spans="1:9" x14ac:dyDescent="0.2">
      <c r="A26" s="90">
        <v>5025</v>
      </c>
      <c r="B26" s="81" t="s">
        <v>98</v>
      </c>
      <c r="C26" s="435">
        <v>204588.45276075986</v>
      </c>
      <c r="D26" s="435">
        <v>267780</v>
      </c>
      <c r="E26" s="310">
        <v>289300</v>
      </c>
      <c r="F26" s="126">
        <f t="shared" si="0"/>
        <v>84711.547239240143</v>
      </c>
      <c r="G26" s="129">
        <f t="shared" si="1"/>
        <v>0.41405830141498501</v>
      </c>
      <c r="H26" s="126">
        <f t="shared" si="2"/>
        <v>21520</v>
      </c>
      <c r="I26" s="131">
        <f t="shared" si="3"/>
        <v>8.0364478303084574E-2</v>
      </c>
    </row>
    <row r="27" spans="1:9" x14ac:dyDescent="0.2">
      <c r="A27" s="90">
        <v>5030</v>
      </c>
      <c r="B27" s="81" t="s">
        <v>121</v>
      </c>
      <c r="C27" s="435">
        <v>0</v>
      </c>
      <c r="D27" s="435"/>
      <c r="E27" s="310"/>
      <c r="F27" s="126">
        <f t="shared" si="0"/>
        <v>0</v>
      </c>
      <c r="G27" s="129" t="str">
        <f t="shared" si="1"/>
        <v/>
      </c>
      <c r="H27" s="126">
        <f t="shared" si="2"/>
        <v>0</v>
      </c>
      <c r="I27" s="131" t="str">
        <f t="shared" si="3"/>
        <v/>
      </c>
    </row>
    <row r="28" spans="1:9" x14ac:dyDescent="0.2">
      <c r="A28" s="90">
        <v>5035</v>
      </c>
      <c r="B28" s="81" t="s">
        <v>122</v>
      </c>
      <c r="C28" s="435">
        <v>1737.5547704095759</v>
      </c>
      <c r="D28" s="435">
        <v>1878</v>
      </c>
      <c r="E28" s="310"/>
      <c r="F28" s="126">
        <f t="shared" si="0"/>
        <v>-1737.5547704095759</v>
      </c>
      <c r="G28" s="129">
        <f t="shared" si="1"/>
        <v>-1</v>
      </c>
      <c r="H28" s="126">
        <f t="shared" si="2"/>
        <v>-1878</v>
      </c>
      <c r="I28" s="131">
        <f t="shared" si="3"/>
        <v>-1</v>
      </c>
    </row>
    <row r="29" spans="1:9" x14ac:dyDescent="0.2">
      <c r="A29" s="90">
        <v>5040</v>
      </c>
      <c r="B29" s="81" t="s">
        <v>123</v>
      </c>
      <c r="C29" s="435">
        <v>795487.94396516611</v>
      </c>
      <c r="D29" s="435">
        <v>995046</v>
      </c>
      <c r="E29" s="310">
        <v>1089225</v>
      </c>
      <c r="F29" s="126">
        <f t="shared" si="0"/>
        <v>293737.05603483389</v>
      </c>
      <c r="G29" s="129">
        <f t="shared" si="1"/>
        <v>0.36925393811838392</v>
      </c>
      <c r="H29" s="126">
        <f t="shared" si="2"/>
        <v>94179</v>
      </c>
      <c r="I29" s="131">
        <f t="shared" si="3"/>
        <v>9.4647885625388284E-2</v>
      </c>
    </row>
    <row r="30" spans="1:9" x14ac:dyDescent="0.2">
      <c r="A30" s="90">
        <v>5045</v>
      </c>
      <c r="B30" s="81" t="s">
        <v>124</v>
      </c>
      <c r="C30" s="435">
        <v>270909.10563112068</v>
      </c>
      <c r="D30" s="435">
        <v>120553</v>
      </c>
      <c r="E30" s="310">
        <v>124669</v>
      </c>
      <c r="F30" s="126">
        <f t="shared" si="0"/>
        <v>-146240.10563112068</v>
      </c>
      <c r="G30" s="129">
        <f t="shared" si="1"/>
        <v>-0.53981244111538396</v>
      </c>
      <c r="H30" s="126">
        <f t="shared" si="2"/>
        <v>4116</v>
      </c>
      <c r="I30" s="131">
        <f t="shared" si="3"/>
        <v>3.4142659245311124E-2</v>
      </c>
    </row>
    <row r="31" spans="1:9" x14ac:dyDescent="0.2">
      <c r="A31" s="90">
        <v>5050</v>
      </c>
      <c r="B31" s="81" t="s">
        <v>125</v>
      </c>
      <c r="C31" s="435">
        <v>0</v>
      </c>
      <c r="D31" s="435"/>
      <c r="E31" s="310"/>
      <c r="F31" s="126">
        <f t="shared" si="0"/>
        <v>0</v>
      </c>
      <c r="G31" s="129" t="str">
        <f t="shared" si="1"/>
        <v/>
      </c>
      <c r="H31" s="126">
        <f t="shared" si="2"/>
        <v>0</v>
      </c>
      <c r="I31" s="131" t="str">
        <f t="shared" si="3"/>
        <v/>
      </c>
    </row>
    <row r="32" spans="1:9" x14ac:dyDescent="0.2">
      <c r="A32" s="90">
        <v>5055</v>
      </c>
      <c r="B32" s="81" t="s">
        <v>126</v>
      </c>
      <c r="C32" s="435">
        <v>0</v>
      </c>
      <c r="D32" s="435">
        <v>1122</v>
      </c>
      <c r="E32" s="310">
        <v>0</v>
      </c>
      <c r="F32" s="126">
        <f t="shared" si="0"/>
        <v>0</v>
      </c>
      <c r="G32" s="129" t="str">
        <f t="shared" si="1"/>
        <v/>
      </c>
      <c r="H32" s="126">
        <f t="shared" si="2"/>
        <v>-1122</v>
      </c>
      <c r="I32" s="131">
        <f t="shared" si="3"/>
        <v>-1</v>
      </c>
    </row>
    <row r="33" spans="1:9" x14ac:dyDescent="0.2">
      <c r="A33" s="90">
        <v>5060</v>
      </c>
      <c r="B33" s="81" t="s">
        <v>127</v>
      </c>
      <c r="C33" s="435">
        <v>0</v>
      </c>
      <c r="D33" s="435">
        <v>0</v>
      </c>
      <c r="E33" s="310">
        <v>0</v>
      </c>
      <c r="F33" s="126">
        <f t="shared" si="0"/>
        <v>0</v>
      </c>
      <c r="G33" s="129" t="str">
        <f t="shared" si="1"/>
        <v/>
      </c>
      <c r="H33" s="126">
        <f t="shared" si="2"/>
        <v>0</v>
      </c>
      <c r="I33" s="131" t="str">
        <f t="shared" si="3"/>
        <v/>
      </c>
    </row>
    <row r="34" spans="1:9" x14ac:dyDescent="0.2">
      <c r="A34" s="80">
        <v>5065</v>
      </c>
      <c r="B34" s="17" t="s">
        <v>128</v>
      </c>
      <c r="C34" s="435">
        <v>386874.30683486816</v>
      </c>
      <c r="D34" s="435">
        <v>359545</v>
      </c>
      <c r="E34" s="310">
        <v>435738</v>
      </c>
      <c r="F34" s="127">
        <f t="shared" si="0"/>
        <v>48863.693165131845</v>
      </c>
      <c r="G34" s="132">
        <f t="shared" si="1"/>
        <v>0.12630379506176048</v>
      </c>
      <c r="H34" s="127">
        <f t="shared" si="2"/>
        <v>76193</v>
      </c>
      <c r="I34" s="133">
        <f t="shared" si="3"/>
        <v>0.21191505931107368</v>
      </c>
    </row>
    <row r="35" spans="1:9" x14ac:dyDescent="0.2">
      <c r="A35" s="90">
        <v>5070</v>
      </c>
      <c r="B35" s="81" t="s">
        <v>129</v>
      </c>
      <c r="C35" s="435">
        <v>0</v>
      </c>
      <c r="D35" s="435">
        <v>0</v>
      </c>
      <c r="E35" s="310">
        <v>0</v>
      </c>
      <c r="F35" s="126">
        <f t="shared" si="0"/>
        <v>0</v>
      </c>
      <c r="G35" s="129" t="str">
        <f t="shared" si="1"/>
        <v/>
      </c>
      <c r="H35" s="126">
        <f t="shared" si="2"/>
        <v>0</v>
      </c>
      <c r="I35" s="131" t="str">
        <f t="shared" si="3"/>
        <v/>
      </c>
    </row>
    <row r="36" spans="1:9" x14ac:dyDescent="0.2">
      <c r="A36" s="80">
        <v>5075</v>
      </c>
      <c r="B36" s="17" t="s">
        <v>130</v>
      </c>
      <c r="C36" s="435">
        <v>38217.362431095098</v>
      </c>
      <c r="D36" s="435">
        <v>0</v>
      </c>
      <c r="E36" s="310">
        <v>0</v>
      </c>
      <c r="F36" s="127">
        <f t="shared" si="0"/>
        <v>-38217.362431095098</v>
      </c>
      <c r="G36" s="132">
        <f t="shared" si="1"/>
        <v>-1</v>
      </c>
      <c r="H36" s="127">
        <f t="shared" si="2"/>
        <v>0</v>
      </c>
      <c r="I36" s="133" t="str">
        <f t="shared" si="3"/>
        <v/>
      </c>
    </row>
    <row r="37" spans="1:9" x14ac:dyDescent="0.2">
      <c r="A37" s="90">
        <v>5085</v>
      </c>
      <c r="B37" s="81" t="s">
        <v>131</v>
      </c>
      <c r="C37" s="435">
        <v>357866.42681283964</v>
      </c>
      <c r="D37" s="435">
        <v>344988</v>
      </c>
      <c r="E37" s="310">
        <v>451608</v>
      </c>
      <c r="F37" s="126">
        <f t="shared" si="0"/>
        <v>93741.573187160364</v>
      </c>
      <c r="G37" s="129">
        <f t="shared" si="1"/>
        <v>0.26194570421713848</v>
      </c>
      <c r="H37" s="126">
        <f t="shared" si="2"/>
        <v>106620</v>
      </c>
      <c r="I37" s="131">
        <f t="shared" si="3"/>
        <v>0.30905422797314697</v>
      </c>
    </row>
    <row r="38" spans="1:9" x14ac:dyDescent="0.2">
      <c r="A38" s="80">
        <v>5090</v>
      </c>
      <c r="B38" s="17" t="s">
        <v>132</v>
      </c>
      <c r="C38" s="435">
        <v>0</v>
      </c>
      <c r="D38" s="435"/>
      <c r="E38" s="310"/>
      <c r="F38" s="127">
        <f t="shared" si="0"/>
        <v>0</v>
      </c>
      <c r="G38" s="132" t="str">
        <f t="shared" si="1"/>
        <v/>
      </c>
      <c r="H38" s="127">
        <f t="shared" si="2"/>
        <v>0</v>
      </c>
      <c r="I38" s="133" t="str">
        <f t="shared" si="3"/>
        <v/>
      </c>
    </row>
    <row r="39" spans="1:9" x14ac:dyDescent="0.2">
      <c r="A39" s="90">
        <v>5095</v>
      </c>
      <c r="B39" s="81" t="s">
        <v>133</v>
      </c>
      <c r="C39" s="435">
        <v>27137.687482885434</v>
      </c>
      <c r="D39" s="435">
        <v>31891</v>
      </c>
      <c r="E39" s="310">
        <v>35500</v>
      </c>
      <c r="F39" s="126">
        <f t="shared" si="0"/>
        <v>8362.3125171145657</v>
      </c>
      <c r="G39" s="129">
        <f t="shared" si="1"/>
        <v>0.30814388744023646</v>
      </c>
      <c r="H39" s="126">
        <f t="shared" si="2"/>
        <v>3609</v>
      </c>
      <c r="I39" s="131">
        <f t="shared" si="3"/>
        <v>0.11316672415415008</v>
      </c>
    </row>
    <row r="40" spans="1:9" ht="13.5" thickBot="1" x14ac:dyDescent="0.25">
      <c r="A40" s="85">
        <v>5096</v>
      </c>
      <c r="B40" s="88" t="s">
        <v>134</v>
      </c>
      <c r="C40" s="435">
        <v>0</v>
      </c>
      <c r="D40" s="435"/>
      <c r="E40" s="310"/>
      <c r="F40" s="128">
        <f t="shared" si="0"/>
        <v>0</v>
      </c>
      <c r="G40" s="134" t="str">
        <f t="shared" si="1"/>
        <v/>
      </c>
      <c r="H40" s="128">
        <f t="shared" si="2"/>
        <v>0</v>
      </c>
      <c r="I40" s="135" t="str">
        <f t="shared" si="3"/>
        <v/>
      </c>
    </row>
    <row r="41" spans="1:9" ht="14.25" thickTop="1" thickBot="1" x14ac:dyDescent="0.25">
      <c r="A41" s="1396" t="s">
        <v>224</v>
      </c>
      <c r="B41" s="1397"/>
      <c r="C41" s="119">
        <f>SUM(C18:C40)</f>
        <v>3126141.3397847507</v>
      </c>
      <c r="D41" s="120">
        <f>SUM(D18:D40)</f>
        <v>3177397</v>
      </c>
      <c r="E41" s="121">
        <f>SUM(E18:E40)</f>
        <v>3467004</v>
      </c>
      <c r="F41" s="136">
        <f t="shared" si="0"/>
        <v>340862.66021524929</v>
      </c>
      <c r="G41" s="137">
        <f t="shared" si="1"/>
        <v>0.10903622810564251</v>
      </c>
      <c r="H41" s="136">
        <f t="shared" si="2"/>
        <v>289607</v>
      </c>
      <c r="I41" s="138">
        <f t="shared" si="3"/>
        <v>9.1145991514437696E-2</v>
      </c>
    </row>
    <row r="42" spans="1:9" ht="13.5" customHeight="1" x14ac:dyDescent="0.2">
      <c r="A42" s="86" t="s">
        <v>6</v>
      </c>
      <c r="B42" s="1407" t="s">
        <v>395</v>
      </c>
      <c r="C42" s="1407"/>
      <c r="D42" s="1407"/>
      <c r="E42" s="1407"/>
      <c r="F42" s="1407"/>
      <c r="G42" s="1407"/>
      <c r="H42" s="1407"/>
      <c r="I42" s="1408"/>
    </row>
    <row r="43" spans="1:9" x14ac:dyDescent="0.2">
      <c r="A43" s="1398" t="s">
        <v>225</v>
      </c>
      <c r="B43" s="1399"/>
      <c r="C43" s="1399"/>
      <c r="D43" s="1399"/>
      <c r="E43" s="1399"/>
      <c r="F43" s="1399"/>
      <c r="G43" s="1399"/>
      <c r="H43" s="1399"/>
      <c r="I43" s="1400"/>
    </row>
    <row r="44" spans="1:9" x14ac:dyDescent="0.2">
      <c r="A44" s="89">
        <v>5105</v>
      </c>
      <c r="B44" s="18" t="s">
        <v>135</v>
      </c>
      <c r="C44" s="435">
        <v>0</v>
      </c>
      <c r="D44" s="435"/>
      <c r="E44" s="416"/>
      <c r="F44" s="125">
        <f t="shared" ref="F44:F62" si="4">E44-C44</f>
        <v>0</v>
      </c>
      <c r="G44" s="129" t="str">
        <f t="shared" ref="G44:G62" si="5">IF(C44=0,"",(E44/C44)-1)</f>
        <v/>
      </c>
      <c r="H44" s="125">
        <f t="shared" ref="H44:H62" si="6">E44-D44</f>
        <v>0</v>
      </c>
      <c r="I44" s="130" t="str">
        <f t="shared" ref="I44:I62" si="7">IF(D44=0,"",(E44/D44)-1)</f>
        <v/>
      </c>
    </row>
    <row r="45" spans="1:9" x14ac:dyDescent="0.2">
      <c r="A45" s="89">
        <v>5110</v>
      </c>
      <c r="B45" s="18" t="s">
        <v>153</v>
      </c>
      <c r="C45" s="435">
        <v>0</v>
      </c>
      <c r="D45" s="435"/>
      <c r="E45" s="417"/>
      <c r="F45" s="126">
        <f t="shared" si="4"/>
        <v>0</v>
      </c>
      <c r="G45" s="129" t="str">
        <f t="shared" si="5"/>
        <v/>
      </c>
      <c r="H45" s="126">
        <f t="shared" si="6"/>
        <v>0</v>
      </c>
      <c r="I45" s="131" t="str">
        <f t="shared" si="7"/>
        <v/>
      </c>
    </row>
    <row r="46" spans="1:9" x14ac:dyDescent="0.2">
      <c r="A46" s="89">
        <v>5112</v>
      </c>
      <c r="B46" s="18" t="s">
        <v>154</v>
      </c>
      <c r="C46" s="435">
        <v>0</v>
      </c>
      <c r="D46" s="435"/>
      <c r="E46" s="418"/>
      <c r="F46" s="127">
        <f t="shared" si="4"/>
        <v>0</v>
      </c>
      <c r="G46" s="132" t="str">
        <f t="shared" si="5"/>
        <v/>
      </c>
      <c r="H46" s="127">
        <f t="shared" si="6"/>
        <v>0</v>
      </c>
      <c r="I46" s="133" t="str">
        <f t="shared" si="7"/>
        <v/>
      </c>
    </row>
    <row r="47" spans="1:9" x14ac:dyDescent="0.2">
      <c r="A47" s="89">
        <v>5114</v>
      </c>
      <c r="B47" s="18" t="s">
        <v>156</v>
      </c>
      <c r="C47" s="435">
        <v>6432.9317835774373</v>
      </c>
      <c r="D47" s="435">
        <v>30357</v>
      </c>
      <c r="E47" s="417">
        <v>18000</v>
      </c>
      <c r="F47" s="126">
        <f t="shared" si="4"/>
        <v>11567.068216422562</v>
      </c>
      <c r="G47" s="129">
        <f t="shared" si="5"/>
        <v>1.7981021104486148</v>
      </c>
      <c r="H47" s="126">
        <f t="shared" si="6"/>
        <v>-12357</v>
      </c>
      <c r="I47" s="131">
        <f t="shared" si="7"/>
        <v>-0.40705603320486217</v>
      </c>
    </row>
    <row r="48" spans="1:9" x14ac:dyDescent="0.2">
      <c r="A48" s="89">
        <v>5120</v>
      </c>
      <c r="B48" s="18" t="s">
        <v>155</v>
      </c>
      <c r="C48" s="435">
        <v>12644.800619265616</v>
      </c>
      <c r="D48" s="435">
        <v>4986</v>
      </c>
      <c r="E48" s="417">
        <v>9000</v>
      </c>
      <c r="F48" s="126">
        <f t="shared" si="4"/>
        <v>-3644.8006192656158</v>
      </c>
      <c r="G48" s="129">
        <f t="shared" si="5"/>
        <v>-0.28824500512189954</v>
      </c>
      <c r="H48" s="126">
        <f t="shared" si="6"/>
        <v>4014</v>
      </c>
      <c r="I48" s="131">
        <f t="shared" si="7"/>
        <v>0.80505415162454863</v>
      </c>
    </row>
    <row r="49" spans="1:9" x14ac:dyDescent="0.2">
      <c r="A49" s="89">
        <v>5125</v>
      </c>
      <c r="B49" s="18" t="s">
        <v>157</v>
      </c>
      <c r="C49" s="435">
        <v>73852.709630843645</v>
      </c>
      <c r="D49" s="435">
        <v>64602</v>
      </c>
      <c r="E49" s="417">
        <v>68000</v>
      </c>
      <c r="F49" s="126">
        <f t="shared" si="4"/>
        <v>-5852.7096308436448</v>
      </c>
      <c r="G49" s="129">
        <f t="shared" si="5"/>
        <v>-7.9248407541154475E-2</v>
      </c>
      <c r="H49" s="126">
        <f t="shared" si="6"/>
        <v>3398</v>
      </c>
      <c r="I49" s="131">
        <f t="shared" si="7"/>
        <v>5.2598990743320639E-2</v>
      </c>
    </row>
    <row r="50" spans="1:9" x14ac:dyDescent="0.2">
      <c r="A50" s="89">
        <v>5130</v>
      </c>
      <c r="B50" s="18" t="s">
        <v>158</v>
      </c>
      <c r="C50" s="435">
        <v>0</v>
      </c>
      <c r="D50" s="435"/>
      <c r="E50" s="417"/>
      <c r="F50" s="126">
        <f t="shared" si="4"/>
        <v>0</v>
      </c>
      <c r="G50" s="129" t="str">
        <f t="shared" si="5"/>
        <v/>
      </c>
      <c r="H50" s="126">
        <f t="shared" si="6"/>
        <v>0</v>
      </c>
      <c r="I50" s="131" t="str">
        <f t="shared" si="7"/>
        <v/>
      </c>
    </row>
    <row r="51" spans="1:9" x14ac:dyDescent="0.2">
      <c r="A51" s="89">
        <v>5135</v>
      </c>
      <c r="B51" s="18" t="s">
        <v>159</v>
      </c>
      <c r="C51" s="435">
        <v>0</v>
      </c>
      <c r="D51" s="435"/>
      <c r="E51" s="417"/>
      <c r="F51" s="126">
        <f t="shared" si="4"/>
        <v>0</v>
      </c>
      <c r="G51" s="129" t="str">
        <f t="shared" si="5"/>
        <v/>
      </c>
      <c r="H51" s="126">
        <f t="shared" si="6"/>
        <v>0</v>
      </c>
      <c r="I51" s="131" t="str">
        <f t="shared" si="7"/>
        <v/>
      </c>
    </row>
    <row r="52" spans="1:9" x14ac:dyDescent="0.2">
      <c r="A52" s="89">
        <v>5145</v>
      </c>
      <c r="B52" s="18" t="s">
        <v>160</v>
      </c>
      <c r="C52" s="435">
        <v>0</v>
      </c>
      <c r="D52" s="435">
        <v>14</v>
      </c>
      <c r="E52" s="417">
        <v>0</v>
      </c>
      <c r="F52" s="126">
        <f t="shared" si="4"/>
        <v>0</v>
      </c>
      <c r="G52" s="129" t="str">
        <f t="shared" si="5"/>
        <v/>
      </c>
      <c r="H52" s="126">
        <f t="shared" si="6"/>
        <v>-14</v>
      </c>
      <c r="I52" s="131">
        <f t="shared" si="7"/>
        <v>-1</v>
      </c>
    </row>
    <row r="53" spans="1:9" x14ac:dyDescent="0.2">
      <c r="A53" s="89">
        <v>5150</v>
      </c>
      <c r="B53" s="18" t="s">
        <v>161</v>
      </c>
      <c r="C53" s="435">
        <v>14943.855277313909</v>
      </c>
      <c r="D53" s="435">
        <v>25926</v>
      </c>
      <c r="E53" s="417">
        <v>19200</v>
      </c>
      <c r="F53" s="126">
        <f t="shared" si="4"/>
        <v>4256.144722686091</v>
      </c>
      <c r="G53" s="129">
        <f t="shared" si="5"/>
        <v>0.28480901639534029</v>
      </c>
      <c r="H53" s="126">
        <f t="shared" si="6"/>
        <v>-6726</v>
      </c>
      <c r="I53" s="131">
        <f t="shared" si="7"/>
        <v>-0.25943068734089336</v>
      </c>
    </row>
    <row r="54" spans="1:9" x14ac:dyDescent="0.2">
      <c r="A54" s="89">
        <v>5155</v>
      </c>
      <c r="B54" s="18" t="s">
        <v>162</v>
      </c>
      <c r="C54" s="435">
        <v>4549.4754675609502</v>
      </c>
      <c r="D54" s="435">
        <v>775</v>
      </c>
      <c r="E54" s="417">
        <v>400</v>
      </c>
      <c r="F54" s="126">
        <f t="shared" si="4"/>
        <v>-4149.4754675609502</v>
      </c>
      <c r="G54" s="129">
        <f t="shared" si="5"/>
        <v>-0.91207777625088582</v>
      </c>
      <c r="H54" s="126">
        <f t="shared" si="6"/>
        <v>-375</v>
      </c>
      <c r="I54" s="131">
        <f t="shared" si="7"/>
        <v>-0.4838709677419355</v>
      </c>
    </row>
    <row r="55" spans="1:9" x14ac:dyDescent="0.2">
      <c r="A55" s="89">
        <v>5160</v>
      </c>
      <c r="B55" s="18" t="s">
        <v>163</v>
      </c>
      <c r="C55" s="435">
        <v>22990.546580482936</v>
      </c>
      <c r="D55" s="435">
        <v>30102</v>
      </c>
      <c r="E55" s="417">
        <v>27500</v>
      </c>
      <c r="F55" s="126">
        <f t="shared" si="4"/>
        <v>4509.4534195170636</v>
      </c>
      <c r="G55" s="129">
        <f t="shared" si="5"/>
        <v>0.19614381083680787</v>
      </c>
      <c r="H55" s="126">
        <f t="shared" si="6"/>
        <v>-2602</v>
      </c>
      <c r="I55" s="131">
        <f t="shared" si="7"/>
        <v>-8.6439439239917593E-2</v>
      </c>
    </row>
    <row r="56" spans="1:9" x14ac:dyDescent="0.2">
      <c r="A56" s="89">
        <v>5165</v>
      </c>
      <c r="B56" s="18" t="s">
        <v>164</v>
      </c>
      <c r="C56" s="435">
        <v>0</v>
      </c>
      <c r="D56" s="435"/>
      <c r="E56" s="417"/>
      <c r="F56" s="126">
        <f t="shared" si="4"/>
        <v>0</v>
      </c>
      <c r="G56" s="129" t="str">
        <f t="shared" si="5"/>
        <v/>
      </c>
      <c r="H56" s="126">
        <f t="shared" si="6"/>
        <v>0</v>
      </c>
      <c r="I56" s="131" t="str">
        <f t="shared" si="7"/>
        <v/>
      </c>
    </row>
    <row r="57" spans="1:9" x14ac:dyDescent="0.2">
      <c r="A57" s="89">
        <v>5170</v>
      </c>
      <c r="B57" s="18" t="s">
        <v>165</v>
      </c>
      <c r="C57" s="435">
        <v>0</v>
      </c>
      <c r="D57" s="435"/>
      <c r="E57" s="417"/>
      <c r="F57" s="126">
        <f t="shared" si="4"/>
        <v>0</v>
      </c>
      <c r="G57" s="129" t="str">
        <f t="shared" si="5"/>
        <v/>
      </c>
      <c r="H57" s="126">
        <f t="shared" si="6"/>
        <v>0</v>
      </c>
      <c r="I57" s="131" t="str">
        <f t="shared" si="7"/>
        <v/>
      </c>
    </row>
    <row r="58" spans="1:9" x14ac:dyDescent="0.2">
      <c r="A58" s="89">
        <v>5172</v>
      </c>
      <c r="B58" s="18" t="s">
        <v>166</v>
      </c>
      <c r="C58" s="435">
        <v>0</v>
      </c>
      <c r="D58" s="435"/>
      <c r="E58" s="417"/>
      <c r="F58" s="126">
        <f t="shared" si="4"/>
        <v>0</v>
      </c>
      <c r="G58" s="129" t="str">
        <f t="shared" si="5"/>
        <v/>
      </c>
      <c r="H58" s="126">
        <f t="shared" si="6"/>
        <v>0</v>
      </c>
      <c r="I58" s="131" t="str">
        <f t="shared" si="7"/>
        <v/>
      </c>
    </row>
    <row r="59" spans="1:9" x14ac:dyDescent="0.2">
      <c r="A59" s="89">
        <v>5175</v>
      </c>
      <c r="B59" s="18" t="s">
        <v>167</v>
      </c>
      <c r="C59" s="435">
        <v>3979.1330620066624</v>
      </c>
      <c r="D59" s="435">
        <v>455</v>
      </c>
      <c r="E59" s="417">
        <v>500</v>
      </c>
      <c r="F59" s="126">
        <f t="shared" si="4"/>
        <v>-3479.1330620066624</v>
      </c>
      <c r="G59" s="129">
        <f t="shared" si="5"/>
        <v>-0.87434448855855762</v>
      </c>
      <c r="H59" s="126">
        <f t="shared" si="6"/>
        <v>45</v>
      </c>
      <c r="I59" s="131">
        <f t="shared" si="7"/>
        <v>9.8901098901098994E-2</v>
      </c>
    </row>
    <row r="60" spans="1:9" x14ac:dyDescent="0.2">
      <c r="A60" s="89">
        <v>5178</v>
      </c>
      <c r="B60" s="18" t="s">
        <v>168</v>
      </c>
      <c r="C60" s="435">
        <v>0</v>
      </c>
      <c r="D60" s="435"/>
      <c r="E60" s="418"/>
      <c r="F60" s="127">
        <f t="shared" si="4"/>
        <v>0</v>
      </c>
      <c r="G60" s="132" t="str">
        <f t="shared" si="5"/>
        <v/>
      </c>
      <c r="H60" s="127">
        <f t="shared" si="6"/>
        <v>0</v>
      </c>
      <c r="I60" s="133" t="str">
        <f t="shared" si="7"/>
        <v/>
      </c>
    </row>
    <row r="61" spans="1:9" ht="13.5" thickBot="1" x14ac:dyDescent="0.25">
      <c r="A61" s="95">
        <v>5195</v>
      </c>
      <c r="B61" s="18" t="s">
        <v>196</v>
      </c>
      <c r="C61" s="435">
        <v>0</v>
      </c>
      <c r="D61" s="435"/>
      <c r="E61" s="417"/>
      <c r="F61" s="126">
        <f t="shared" si="4"/>
        <v>0</v>
      </c>
      <c r="G61" s="129" t="str">
        <f t="shared" si="5"/>
        <v/>
      </c>
      <c r="H61" s="126">
        <f t="shared" si="6"/>
        <v>0</v>
      </c>
      <c r="I61" s="131" t="str">
        <f t="shared" si="7"/>
        <v/>
      </c>
    </row>
    <row r="62" spans="1:9" ht="14.25" thickTop="1" thickBot="1" x14ac:dyDescent="0.25">
      <c r="A62" s="1396" t="s">
        <v>226</v>
      </c>
      <c r="B62" s="1397"/>
      <c r="C62" s="119">
        <f>SUM(C44:C61)</f>
        <v>139393.45242105116</v>
      </c>
      <c r="D62" s="119">
        <f>SUM(D44:D61)</f>
        <v>157217</v>
      </c>
      <c r="E62" s="121">
        <f>SUM(E44:E61)</f>
        <v>142600</v>
      </c>
      <c r="F62" s="136">
        <f t="shared" si="4"/>
        <v>3206.547578948841</v>
      </c>
      <c r="G62" s="137">
        <f t="shared" si="5"/>
        <v>2.3003573864166516E-2</v>
      </c>
      <c r="H62" s="136">
        <f t="shared" si="6"/>
        <v>-14617</v>
      </c>
      <c r="I62" s="139">
        <f t="shared" si="7"/>
        <v>-9.297340618380967E-2</v>
      </c>
    </row>
    <row r="63" spans="1:9" ht="13.5" customHeight="1" x14ac:dyDescent="0.2">
      <c r="A63" s="86" t="s">
        <v>6</v>
      </c>
      <c r="B63" s="1407" t="s">
        <v>395</v>
      </c>
      <c r="C63" s="1407"/>
      <c r="D63" s="1407"/>
      <c r="E63" s="1407"/>
      <c r="F63" s="1407"/>
      <c r="G63" s="1407"/>
      <c r="H63" s="1407"/>
      <c r="I63" s="1408"/>
    </row>
    <row r="64" spans="1:9" x14ac:dyDescent="0.2">
      <c r="A64" s="1398" t="s">
        <v>169</v>
      </c>
      <c r="B64" s="1399"/>
      <c r="C64" s="1399"/>
      <c r="D64" s="1399"/>
      <c r="E64" s="1399"/>
      <c r="F64" s="1399"/>
      <c r="G64" s="1399"/>
      <c r="H64" s="1399"/>
      <c r="I64" s="1400"/>
    </row>
    <row r="65" spans="1:9" x14ac:dyDescent="0.2">
      <c r="A65" s="89">
        <v>5305</v>
      </c>
      <c r="B65" s="18" t="s">
        <v>188</v>
      </c>
      <c r="C65" s="435">
        <v>110356.39208990122</v>
      </c>
      <c r="D65" s="435">
        <v>208714</v>
      </c>
      <c r="E65" s="310">
        <v>230451</v>
      </c>
      <c r="F65" s="125">
        <f t="shared" ref="F65:F73" si="8">E65-C65</f>
        <v>120094.60791009878</v>
      </c>
      <c r="G65" s="129">
        <f t="shared" ref="G65:G73" si="9">IF(C65=0,"",(E65/C65)-1)</f>
        <v>1.0882433326767731</v>
      </c>
      <c r="H65" s="125">
        <f t="shared" ref="H65:H73" si="10">E65-D65</f>
        <v>21737</v>
      </c>
      <c r="I65" s="130">
        <f t="shared" ref="I65:I73" si="11">IF(D65=0,"",(E65/D65)-1)</f>
        <v>0.1041473020496948</v>
      </c>
    </row>
    <row r="66" spans="1:9" x14ac:dyDescent="0.2">
      <c r="A66" s="89">
        <v>5310</v>
      </c>
      <c r="B66" s="18" t="s">
        <v>189</v>
      </c>
      <c r="C66" s="435">
        <v>130998.36591200867</v>
      </c>
      <c r="D66" s="435">
        <v>55952</v>
      </c>
      <c r="E66" s="310">
        <v>241109</v>
      </c>
      <c r="F66" s="126">
        <f t="shared" si="8"/>
        <v>110110.63408799133</v>
      </c>
      <c r="G66" s="129">
        <f t="shared" si="9"/>
        <v>0.84054967648949463</v>
      </c>
      <c r="H66" s="126">
        <f t="shared" si="10"/>
        <v>185157</v>
      </c>
      <c r="I66" s="131">
        <f t="shared" si="11"/>
        <v>3.3092114669716901</v>
      </c>
    </row>
    <row r="67" spans="1:9" x14ac:dyDescent="0.2">
      <c r="A67" s="89">
        <v>5315</v>
      </c>
      <c r="B67" s="18" t="s">
        <v>190</v>
      </c>
      <c r="C67" s="435">
        <v>784936.16733651597</v>
      </c>
      <c r="D67" s="435">
        <v>818456</v>
      </c>
      <c r="E67" s="310">
        <v>1179268</v>
      </c>
      <c r="F67" s="127">
        <f t="shared" si="8"/>
        <v>394331.83266348403</v>
      </c>
      <c r="G67" s="132">
        <f t="shared" si="9"/>
        <v>0.50237439561684383</v>
      </c>
      <c r="H67" s="127">
        <f t="shared" si="10"/>
        <v>360812</v>
      </c>
      <c r="I67" s="133">
        <f t="shared" si="11"/>
        <v>0.44084471248301682</v>
      </c>
    </row>
    <row r="68" spans="1:9" x14ac:dyDescent="0.2">
      <c r="A68" s="89">
        <v>5320</v>
      </c>
      <c r="B68" s="18" t="s">
        <v>191</v>
      </c>
      <c r="C68" s="435">
        <v>206152.69418002426</v>
      </c>
      <c r="D68" s="435">
        <v>191529</v>
      </c>
      <c r="E68" s="310">
        <v>242549</v>
      </c>
      <c r="F68" s="126">
        <f t="shared" si="8"/>
        <v>36396.305819975736</v>
      </c>
      <c r="G68" s="129">
        <f t="shared" si="9"/>
        <v>0.17655023119994939</v>
      </c>
      <c r="H68" s="126">
        <f t="shared" si="10"/>
        <v>51020</v>
      </c>
      <c r="I68" s="131">
        <f t="shared" si="11"/>
        <v>0.26638263657200745</v>
      </c>
    </row>
    <row r="69" spans="1:9" x14ac:dyDescent="0.2">
      <c r="A69" s="89">
        <v>5325</v>
      </c>
      <c r="B69" s="18" t="s">
        <v>192</v>
      </c>
      <c r="C69" s="435">
        <v>0</v>
      </c>
      <c r="D69" s="435">
        <v>120</v>
      </c>
      <c r="E69" s="310">
        <v>100</v>
      </c>
      <c r="F69" s="126">
        <f t="shared" si="8"/>
        <v>100</v>
      </c>
      <c r="G69" s="129" t="str">
        <f t="shared" si="9"/>
        <v/>
      </c>
      <c r="H69" s="126">
        <f t="shared" si="10"/>
        <v>-20</v>
      </c>
      <c r="I69" s="131">
        <f t="shared" si="11"/>
        <v>-0.16666666666666663</v>
      </c>
    </row>
    <row r="70" spans="1:9" x14ac:dyDescent="0.2">
      <c r="A70" s="89">
        <v>5330</v>
      </c>
      <c r="B70" s="18" t="s">
        <v>193</v>
      </c>
      <c r="C70" s="435">
        <v>696.79041174694441</v>
      </c>
      <c r="D70" s="435">
        <v>309</v>
      </c>
      <c r="E70" s="310">
        <v>400</v>
      </c>
      <c r="F70" s="126">
        <f t="shared" si="8"/>
        <v>-296.79041174694441</v>
      </c>
      <c r="G70" s="129">
        <f t="shared" si="9"/>
        <v>-0.42593928783097368</v>
      </c>
      <c r="H70" s="126">
        <f t="shared" si="10"/>
        <v>91</v>
      </c>
      <c r="I70" s="131">
        <f t="shared" si="11"/>
        <v>0.2944983818770226</v>
      </c>
    </row>
    <row r="71" spans="1:9" x14ac:dyDescent="0.2">
      <c r="A71" s="89">
        <v>5335</v>
      </c>
      <c r="B71" s="18" t="s">
        <v>194</v>
      </c>
      <c r="C71" s="435">
        <v>90976.245574345652</v>
      </c>
      <c r="D71" s="435">
        <v>206195</v>
      </c>
      <c r="E71" s="310">
        <v>189234</v>
      </c>
      <c r="F71" s="126">
        <f t="shared" si="8"/>
        <v>98257.754425654348</v>
      </c>
      <c r="G71" s="129">
        <f t="shared" si="9"/>
        <v>1.0800374735771907</v>
      </c>
      <c r="H71" s="126">
        <f t="shared" si="10"/>
        <v>-16961</v>
      </c>
      <c r="I71" s="131">
        <f t="shared" si="11"/>
        <v>-8.2257086738281693E-2</v>
      </c>
    </row>
    <row r="72" spans="1:9" ht="13.5" thickBot="1" x14ac:dyDescent="0.25">
      <c r="A72" s="95">
        <v>5340</v>
      </c>
      <c r="B72" s="18" t="s">
        <v>195</v>
      </c>
      <c r="C72" s="435">
        <v>0</v>
      </c>
      <c r="D72" s="435"/>
      <c r="E72" s="310"/>
      <c r="F72" s="126">
        <f t="shared" si="8"/>
        <v>0</v>
      </c>
      <c r="G72" s="129" t="str">
        <f t="shared" si="9"/>
        <v/>
      </c>
      <c r="H72" s="126">
        <f t="shared" si="10"/>
        <v>0</v>
      </c>
      <c r="I72" s="140" t="str">
        <f t="shared" si="11"/>
        <v/>
      </c>
    </row>
    <row r="73" spans="1:9" ht="14.25" thickTop="1" thickBot="1" x14ac:dyDescent="0.25">
      <c r="A73" s="1396" t="s">
        <v>227</v>
      </c>
      <c r="B73" s="1397"/>
      <c r="C73" s="119">
        <f>SUM(C65:C72)</f>
        <v>1324116.6555045429</v>
      </c>
      <c r="D73" s="119">
        <f>SUM(D65:D72)</f>
        <v>1481275</v>
      </c>
      <c r="E73" s="121">
        <f>SUM(E65:E72)</f>
        <v>2083111</v>
      </c>
      <c r="F73" s="136">
        <f t="shared" si="8"/>
        <v>758994.34449545713</v>
      </c>
      <c r="G73" s="137">
        <f t="shared" si="9"/>
        <v>0.57320806391204937</v>
      </c>
      <c r="H73" s="136">
        <f t="shared" si="10"/>
        <v>601836</v>
      </c>
      <c r="I73" s="137">
        <f t="shared" si="11"/>
        <v>0.40629592749489452</v>
      </c>
    </row>
    <row r="74" spans="1:9" ht="13.5" customHeight="1" x14ac:dyDescent="0.2">
      <c r="A74" s="86" t="s">
        <v>6</v>
      </c>
      <c r="B74" s="1407" t="s">
        <v>395</v>
      </c>
      <c r="C74" s="1407"/>
      <c r="D74" s="1407"/>
      <c r="E74" s="1407"/>
      <c r="F74" s="1407"/>
      <c r="G74" s="1407"/>
      <c r="H74" s="1407"/>
      <c r="I74" s="1408"/>
    </row>
    <row r="75" spans="1:9" x14ac:dyDescent="0.2">
      <c r="A75" s="1398" t="s">
        <v>228</v>
      </c>
      <c r="B75" s="1399"/>
      <c r="C75" s="1399"/>
      <c r="D75" s="1399"/>
      <c r="E75" s="1399"/>
      <c r="F75" s="1399"/>
      <c r="G75" s="1399"/>
      <c r="H75" s="1399"/>
      <c r="I75" s="1400"/>
    </row>
    <row r="76" spans="1:9" x14ac:dyDescent="0.2">
      <c r="A76" s="89">
        <v>5405</v>
      </c>
      <c r="B76" s="18" t="s">
        <v>188</v>
      </c>
      <c r="C76" s="435">
        <v>0</v>
      </c>
      <c r="D76" s="415"/>
      <c r="E76" s="416"/>
      <c r="F76" s="125">
        <f t="shared" ref="F76:F85" si="12">E76-C76</f>
        <v>0</v>
      </c>
      <c r="G76" s="129" t="str">
        <f t="shared" ref="G76:G85" si="13">IF(C76=0,"",(E76/C76)-1)</f>
        <v/>
      </c>
      <c r="H76" s="125">
        <f t="shared" ref="H76:H85" si="14">E76-D76</f>
        <v>0</v>
      </c>
      <c r="I76" s="130" t="str">
        <f t="shared" ref="I76:I85" si="15">IF(D76=0,"",(E76/D76)-1)</f>
        <v/>
      </c>
    </row>
    <row r="77" spans="1:9" x14ac:dyDescent="0.2">
      <c r="A77" s="89">
        <v>5410</v>
      </c>
      <c r="B77" s="18" t="s">
        <v>197</v>
      </c>
      <c r="C77" s="435">
        <v>45981.093160965873</v>
      </c>
      <c r="D77" s="246">
        <v>106039</v>
      </c>
      <c r="E77" s="417">
        <v>95900</v>
      </c>
      <c r="F77" s="126">
        <f>E77-C77</f>
        <v>49918.906839034127</v>
      </c>
      <c r="G77" s="129">
        <f>IF(C77=0,"",(E77/C77)-1)</f>
        <v>1.0856398447136342</v>
      </c>
      <c r="H77" s="126">
        <f>E77-D77</f>
        <v>-10139</v>
      </c>
      <c r="I77" s="131">
        <f>IF(D77=0,"",(E77/D77)-1)</f>
        <v>-9.5615764011354298E-2</v>
      </c>
    </row>
    <row r="78" spans="1:9" x14ac:dyDescent="0.2">
      <c r="A78" s="89">
        <v>5415</v>
      </c>
      <c r="B78" s="18" t="s">
        <v>198</v>
      </c>
      <c r="C78" s="435">
        <v>40268.826587507421</v>
      </c>
      <c r="D78" s="407">
        <v>27391</v>
      </c>
      <c r="E78" s="418">
        <v>39342</v>
      </c>
      <c r="F78" s="127">
        <f t="shared" si="12"/>
        <v>-926.82658750742121</v>
      </c>
      <c r="G78" s="132">
        <f t="shared" si="13"/>
        <v>-2.3015981990271106E-2</v>
      </c>
      <c r="H78" s="127">
        <f t="shared" si="14"/>
        <v>11951</v>
      </c>
      <c r="I78" s="133">
        <f t="shared" si="15"/>
        <v>0.43631119710853938</v>
      </c>
    </row>
    <row r="79" spans="1:9" x14ac:dyDescent="0.2">
      <c r="A79" s="89">
        <v>5420</v>
      </c>
      <c r="B79" s="18" t="s">
        <v>199</v>
      </c>
      <c r="C79" s="435">
        <v>105518.65053829267</v>
      </c>
      <c r="D79" s="246">
        <v>122273</v>
      </c>
      <c r="E79" s="417">
        <v>123241</v>
      </c>
      <c r="F79" s="126">
        <f t="shared" si="12"/>
        <v>17722.34946170733</v>
      </c>
      <c r="G79" s="129">
        <f t="shared" si="13"/>
        <v>0.16795466366655143</v>
      </c>
      <c r="H79" s="126">
        <f t="shared" si="14"/>
        <v>968</v>
      </c>
      <c r="I79" s="131">
        <f t="shared" si="15"/>
        <v>7.9167109664439739E-3</v>
      </c>
    </row>
    <row r="80" spans="1:9" x14ac:dyDescent="0.2">
      <c r="A80" s="89">
        <v>5425</v>
      </c>
      <c r="B80" s="18" t="s">
        <v>200</v>
      </c>
      <c r="C80" s="435">
        <v>0</v>
      </c>
      <c r="D80" s="246">
        <v>596</v>
      </c>
      <c r="E80" s="417">
        <v>0</v>
      </c>
      <c r="F80" s="126">
        <f t="shared" si="12"/>
        <v>0</v>
      </c>
      <c r="G80" s="129" t="str">
        <f t="shared" si="13"/>
        <v/>
      </c>
      <c r="H80" s="126">
        <f t="shared" si="14"/>
        <v>-596</v>
      </c>
      <c r="I80" s="131">
        <f t="shared" si="15"/>
        <v>-1</v>
      </c>
    </row>
    <row r="81" spans="1:9" x14ac:dyDescent="0.2">
      <c r="A81" s="89">
        <v>5505</v>
      </c>
      <c r="B81" s="18" t="s">
        <v>188</v>
      </c>
      <c r="C81" s="435">
        <v>0</v>
      </c>
      <c r="D81" s="246"/>
      <c r="E81" s="417"/>
      <c r="F81" s="126">
        <f t="shared" si="12"/>
        <v>0</v>
      </c>
      <c r="G81" s="129" t="str">
        <f t="shared" si="13"/>
        <v/>
      </c>
      <c r="H81" s="126">
        <f t="shared" si="14"/>
        <v>0</v>
      </c>
      <c r="I81" s="131" t="str">
        <f t="shared" si="15"/>
        <v/>
      </c>
    </row>
    <row r="82" spans="1:9" x14ac:dyDescent="0.2">
      <c r="A82" s="89">
        <v>5510</v>
      </c>
      <c r="B82" s="18" t="s">
        <v>201</v>
      </c>
      <c r="C82" s="435">
        <v>0</v>
      </c>
      <c r="D82" s="246"/>
      <c r="E82" s="417"/>
      <c r="F82" s="126">
        <f t="shared" si="12"/>
        <v>0</v>
      </c>
      <c r="G82" s="129" t="str">
        <f t="shared" si="13"/>
        <v/>
      </c>
      <c r="H82" s="126">
        <f t="shared" si="14"/>
        <v>0</v>
      </c>
      <c r="I82" s="131" t="str">
        <f t="shared" si="15"/>
        <v/>
      </c>
    </row>
    <row r="83" spans="1:9" x14ac:dyDescent="0.2">
      <c r="A83" s="89">
        <v>5515</v>
      </c>
      <c r="B83" s="18" t="s">
        <v>202</v>
      </c>
      <c r="C83" s="435">
        <v>0</v>
      </c>
      <c r="D83" s="246"/>
      <c r="E83" s="417"/>
      <c r="F83" s="126">
        <f t="shared" si="12"/>
        <v>0</v>
      </c>
      <c r="G83" s="129" t="str">
        <f t="shared" si="13"/>
        <v/>
      </c>
      <c r="H83" s="126">
        <f t="shared" si="14"/>
        <v>0</v>
      </c>
      <c r="I83" s="131" t="str">
        <f t="shared" si="15"/>
        <v/>
      </c>
    </row>
    <row r="84" spans="1:9" ht="13.5" thickBot="1" x14ac:dyDescent="0.25">
      <c r="A84" s="80">
        <v>5520</v>
      </c>
      <c r="B84" s="18" t="s">
        <v>203</v>
      </c>
      <c r="C84" s="435">
        <v>0</v>
      </c>
      <c r="D84" s="246"/>
      <c r="E84" s="412"/>
      <c r="F84" s="126">
        <f>E84-C84</f>
        <v>0</v>
      </c>
      <c r="G84" s="129" t="str">
        <f>IF(C84=0,"",(E84/C84)-1)</f>
        <v/>
      </c>
      <c r="H84" s="126">
        <f>E84-D84</f>
        <v>0</v>
      </c>
      <c r="I84" s="141" t="str">
        <f>IF(D84=0,"",(E84/D84)-1)</f>
        <v/>
      </c>
    </row>
    <row r="85" spans="1:9" ht="14.25" thickTop="1" thickBot="1" x14ac:dyDescent="0.25">
      <c r="A85" s="97" t="s">
        <v>261</v>
      </c>
      <c r="B85" s="91"/>
      <c r="C85" s="119">
        <f>SUM(C76:C84)</f>
        <v>191768.57028676599</v>
      </c>
      <c r="D85" s="119">
        <f>SUM(D76:D84)</f>
        <v>256299</v>
      </c>
      <c r="E85" s="121">
        <f>SUM(E76:E84)</f>
        <v>258483</v>
      </c>
      <c r="F85" s="136">
        <f t="shared" si="12"/>
        <v>66714.429713234014</v>
      </c>
      <c r="G85" s="137">
        <f t="shared" si="13"/>
        <v>0.34789032224347771</v>
      </c>
      <c r="H85" s="136">
        <f t="shared" si="14"/>
        <v>2184</v>
      </c>
      <c r="I85" s="138">
        <f t="shared" si="15"/>
        <v>8.5212973909378764E-3</v>
      </c>
    </row>
    <row r="86" spans="1:9" ht="13.5" customHeight="1" x14ac:dyDescent="0.2">
      <c r="A86" s="86" t="s">
        <v>6</v>
      </c>
      <c r="B86" s="1407" t="s">
        <v>395</v>
      </c>
      <c r="C86" s="1407"/>
      <c r="D86" s="1407"/>
      <c r="E86" s="1407"/>
      <c r="F86" s="1407"/>
      <c r="G86" s="1407"/>
      <c r="H86" s="1407"/>
      <c r="I86" s="1408"/>
    </row>
    <row r="87" spans="1:9" x14ac:dyDescent="0.2">
      <c r="A87" s="1398" t="s">
        <v>204</v>
      </c>
      <c r="B87" s="1399"/>
      <c r="C87" s="1399"/>
      <c r="D87" s="1399"/>
      <c r="E87" s="1399"/>
      <c r="F87" s="1399"/>
      <c r="G87" s="1399"/>
      <c r="H87" s="1399"/>
      <c r="I87" s="1400"/>
    </row>
    <row r="88" spans="1:9" x14ac:dyDescent="0.2">
      <c r="A88" s="89">
        <v>5605</v>
      </c>
      <c r="B88" s="18" t="s">
        <v>205</v>
      </c>
      <c r="C88" s="435">
        <v>851116.22417201928</v>
      </c>
      <c r="D88" s="415">
        <v>1213294</v>
      </c>
      <c r="E88" s="416">
        <v>1338330</v>
      </c>
      <c r="F88" s="125">
        <f t="shared" ref="F88:F113" si="16">E88-C88</f>
        <v>487213.77582798072</v>
      </c>
      <c r="G88" s="129">
        <f t="shared" ref="G88:G113" si="17">IF(C88=0,"",(E88/C88)-1)</f>
        <v>0.57244094518577748</v>
      </c>
      <c r="H88" s="125">
        <f t="shared" ref="H88:H113" si="18">E88-D88</f>
        <v>125036</v>
      </c>
      <c r="I88" s="130">
        <f t="shared" ref="I88:I113" si="19">IF(D88=0,"",(E88/D88)-1)</f>
        <v>0.10305498914525257</v>
      </c>
    </row>
    <row r="89" spans="1:9" x14ac:dyDescent="0.2">
      <c r="A89" s="89">
        <v>5610</v>
      </c>
      <c r="B89" s="18" t="s">
        <v>206</v>
      </c>
      <c r="C89" s="435">
        <v>184825.42521946013</v>
      </c>
      <c r="D89" s="246">
        <v>74042</v>
      </c>
      <c r="E89" s="417">
        <v>85356</v>
      </c>
      <c r="F89" s="126">
        <f t="shared" si="16"/>
        <v>-99469.425219460129</v>
      </c>
      <c r="G89" s="129">
        <f t="shared" si="17"/>
        <v>-0.53818042134273991</v>
      </c>
      <c r="H89" s="126">
        <f t="shared" si="18"/>
        <v>11314</v>
      </c>
      <c r="I89" s="131">
        <f t="shared" si="19"/>
        <v>0.15280516463628757</v>
      </c>
    </row>
    <row r="90" spans="1:9" x14ac:dyDescent="0.2">
      <c r="A90" s="89">
        <v>5615</v>
      </c>
      <c r="B90" s="18" t="s">
        <v>207</v>
      </c>
      <c r="C90" s="435">
        <v>1515324.6101554616</v>
      </c>
      <c r="D90" s="407">
        <v>1352575</v>
      </c>
      <c r="E90" s="418">
        <v>1591130</v>
      </c>
      <c r="F90" s="127">
        <f t="shared" si="16"/>
        <v>75805.389844538411</v>
      </c>
      <c r="G90" s="132">
        <f t="shared" si="17"/>
        <v>5.0025842209981297E-2</v>
      </c>
      <c r="H90" s="127">
        <f t="shared" si="18"/>
        <v>238555</v>
      </c>
      <c r="I90" s="133">
        <f t="shared" si="19"/>
        <v>0.17637099606306483</v>
      </c>
    </row>
    <row r="91" spans="1:9" x14ac:dyDescent="0.2">
      <c r="A91" s="89">
        <v>5620</v>
      </c>
      <c r="B91" s="18" t="s">
        <v>208</v>
      </c>
      <c r="C91" s="435">
        <v>2528.9601238531232</v>
      </c>
      <c r="D91" s="246">
        <v>5269</v>
      </c>
      <c r="E91" s="417">
        <v>4569</v>
      </c>
      <c r="F91" s="126">
        <f t="shared" si="16"/>
        <v>2040.0398761468768</v>
      </c>
      <c r="G91" s="129">
        <f t="shared" si="17"/>
        <v>0.80667142866557828</v>
      </c>
      <c r="H91" s="126">
        <f t="shared" si="18"/>
        <v>-700</v>
      </c>
      <c r="I91" s="131">
        <f t="shared" si="19"/>
        <v>-0.13285253368760674</v>
      </c>
    </row>
    <row r="92" spans="1:9" x14ac:dyDescent="0.2">
      <c r="A92" s="89">
        <v>5625</v>
      </c>
      <c r="B92" s="18" t="s">
        <v>209</v>
      </c>
      <c r="C92" s="435">
        <v>-543487</v>
      </c>
      <c r="D92" s="246"/>
      <c r="E92" s="417"/>
      <c r="F92" s="126">
        <f t="shared" si="16"/>
        <v>543487</v>
      </c>
      <c r="G92" s="129">
        <f t="shared" si="17"/>
        <v>-1</v>
      </c>
      <c r="H92" s="126">
        <f t="shared" si="18"/>
        <v>0</v>
      </c>
      <c r="I92" s="131" t="str">
        <f t="shared" si="19"/>
        <v/>
      </c>
    </row>
    <row r="93" spans="1:9" x14ac:dyDescent="0.2">
      <c r="A93" s="89">
        <v>5630</v>
      </c>
      <c r="B93" s="18" t="s">
        <v>210</v>
      </c>
      <c r="C93" s="435">
        <v>157993.6888564534</v>
      </c>
      <c r="D93" s="246">
        <v>281162</v>
      </c>
      <c r="E93" s="417">
        <v>389845</v>
      </c>
      <c r="F93" s="126">
        <f t="shared" si="16"/>
        <v>231851.3111435466</v>
      </c>
      <c r="G93" s="129">
        <f t="shared" si="17"/>
        <v>1.4674719782902037</v>
      </c>
      <c r="H93" s="126">
        <f t="shared" si="18"/>
        <v>108683</v>
      </c>
      <c r="I93" s="131">
        <f t="shared" si="19"/>
        <v>0.38654939145403722</v>
      </c>
    </row>
    <row r="94" spans="1:9" x14ac:dyDescent="0.2">
      <c r="A94" s="89">
        <v>5635</v>
      </c>
      <c r="B94" s="18" t="s">
        <v>211</v>
      </c>
      <c r="C94" s="435">
        <v>146853.00053462631</v>
      </c>
      <c r="D94" s="246">
        <v>127829</v>
      </c>
      <c r="E94" s="417">
        <v>148023</v>
      </c>
      <c r="F94" s="126">
        <f t="shared" si="16"/>
        <v>1169.999465373694</v>
      </c>
      <c r="G94" s="129">
        <f t="shared" si="17"/>
        <v>7.9671471547346773E-3</v>
      </c>
      <c r="H94" s="126">
        <f t="shared" si="18"/>
        <v>20194</v>
      </c>
      <c r="I94" s="131">
        <f t="shared" si="19"/>
        <v>0.15797667196019693</v>
      </c>
    </row>
    <row r="95" spans="1:9" x14ac:dyDescent="0.2">
      <c r="A95" s="89">
        <v>5640</v>
      </c>
      <c r="B95" s="18" t="s">
        <v>212</v>
      </c>
      <c r="C95" s="435">
        <v>0</v>
      </c>
      <c r="D95" s="246"/>
      <c r="E95" s="417"/>
      <c r="F95" s="126">
        <f t="shared" si="16"/>
        <v>0</v>
      </c>
      <c r="G95" s="129" t="str">
        <f t="shared" si="17"/>
        <v/>
      </c>
      <c r="H95" s="126">
        <f t="shared" si="18"/>
        <v>0</v>
      </c>
      <c r="I95" s="131" t="str">
        <f t="shared" si="19"/>
        <v/>
      </c>
    </row>
    <row r="96" spans="1:9" x14ac:dyDescent="0.2">
      <c r="A96" s="89">
        <v>5645</v>
      </c>
      <c r="B96" s="574" t="s">
        <v>707</v>
      </c>
      <c r="C96" s="435">
        <v>1756540.540626097</v>
      </c>
      <c r="D96" s="246">
        <v>1707958</v>
      </c>
      <c r="E96" s="417">
        <v>2075079</v>
      </c>
      <c r="F96" s="126">
        <f t="shared" si="16"/>
        <v>318538.459373903</v>
      </c>
      <c r="G96" s="129">
        <f t="shared" si="17"/>
        <v>0.18134421153773306</v>
      </c>
      <c r="H96" s="126">
        <f t="shared" si="18"/>
        <v>367121</v>
      </c>
      <c r="I96" s="131">
        <f t="shared" si="19"/>
        <v>0.21494732306063735</v>
      </c>
    </row>
    <row r="97" spans="1:9" x14ac:dyDescent="0.2">
      <c r="A97" s="89">
        <v>5646</v>
      </c>
      <c r="B97" s="574" t="s">
        <v>708</v>
      </c>
      <c r="C97" s="435">
        <v>0</v>
      </c>
      <c r="D97" s="246"/>
      <c r="E97" s="417"/>
      <c r="F97" s="126">
        <f t="shared" ref="F97:F98" si="20">E97-C97</f>
        <v>0</v>
      </c>
      <c r="G97" s="129" t="str">
        <f t="shared" ref="G97:G98" si="21">IF(C97=0,"",(E97/C97)-1)</f>
        <v/>
      </c>
      <c r="H97" s="126">
        <f t="shared" ref="H97:H98" si="22">E97-D97</f>
        <v>0</v>
      </c>
      <c r="I97" s="131" t="str">
        <f t="shared" ref="I97:I98" si="23">IF(D97=0,"",(E97/D97)-1)</f>
        <v/>
      </c>
    </row>
    <row r="98" spans="1:9" x14ac:dyDescent="0.2">
      <c r="A98" s="89">
        <v>5647</v>
      </c>
      <c r="B98" s="574" t="s">
        <v>709</v>
      </c>
      <c r="C98" s="435">
        <v>0</v>
      </c>
      <c r="D98" s="246"/>
      <c r="E98" s="417"/>
      <c r="F98" s="126">
        <f t="shared" si="20"/>
        <v>0</v>
      </c>
      <c r="G98" s="129" t="str">
        <f t="shared" si="21"/>
        <v/>
      </c>
      <c r="H98" s="126">
        <f t="shared" si="22"/>
        <v>0</v>
      </c>
      <c r="I98" s="131" t="str">
        <f t="shared" si="23"/>
        <v/>
      </c>
    </row>
    <row r="99" spans="1:9" x14ac:dyDescent="0.2">
      <c r="A99" s="89">
        <v>5650</v>
      </c>
      <c r="B99" s="18" t="s">
        <v>213</v>
      </c>
      <c r="C99" s="435">
        <v>0</v>
      </c>
      <c r="D99" s="246"/>
      <c r="E99" s="417"/>
      <c r="F99" s="126">
        <f t="shared" si="16"/>
        <v>0</v>
      </c>
      <c r="G99" s="129" t="str">
        <f t="shared" si="17"/>
        <v/>
      </c>
      <c r="H99" s="126">
        <f t="shared" si="18"/>
        <v>0</v>
      </c>
      <c r="I99" s="131" t="str">
        <f t="shared" si="19"/>
        <v/>
      </c>
    </row>
    <row r="100" spans="1:9" x14ac:dyDescent="0.2">
      <c r="A100" s="89">
        <v>5655</v>
      </c>
      <c r="B100" s="18" t="s">
        <v>214</v>
      </c>
      <c r="C100" s="435">
        <v>387046.73593422183</v>
      </c>
      <c r="D100" s="246">
        <v>322518</v>
      </c>
      <c r="E100" s="417">
        <v>374545</v>
      </c>
      <c r="F100" s="126">
        <f t="shared" si="16"/>
        <v>-12501.735934221826</v>
      </c>
      <c r="G100" s="129">
        <f t="shared" si="17"/>
        <v>-3.2300326481364494E-2</v>
      </c>
      <c r="H100" s="126">
        <f t="shared" si="18"/>
        <v>52027</v>
      </c>
      <c r="I100" s="131">
        <f t="shared" si="19"/>
        <v>0.16131502737831682</v>
      </c>
    </row>
    <row r="101" spans="1:9" x14ac:dyDescent="0.2">
      <c r="A101" s="89">
        <v>5660</v>
      </c>
      <c r="B101" s="18" t="s">
        <v>215</v>
      </c>
      <c r="C101" s="435">
        <v>18569.287622697757</v>
      </c>
      <c r="D101" s="246">
        <v>39301</v>
      </c>
      <c r="E101" s="417">
        <v>7000</v>
      </c>
      <c r="F101" s="126">
        <f t="shared" si="16"/>
        <v>-11569.287622697757</v>
      </c>
      <c r="G101" s="129">
        <f t="shared" si="17"/>
        <v>-0.62303346567567264</v>
      </c>
      <c r="H101" s="126">
        <f t="shared" si="18"/>
        <v>-32301</v>
      </c>
      <c r="I101" s="131">
        <f t="shared" si="19"/>
        <v>-0.82188748377903864</v>
      </c>
    </row>
    <row r="102" spans="1:9" x14ac:dyDescent="0.2">
      <c r="A102" s="89">
        <v>5665</v>
      </c>
      <c r="B102" s="18" t="s">
        <v>57</v>
      </c>
      <c r="C102" s="435">
        <v>640899.50875799882</v>
      </c>
      <c r="D102" s="246">
        <v>719664</v>
      </c>
      <c r="E102" s="417">
        <v>947730</v>
      </c>
      <c r="F102" s="126">
        <f t="shared" si="16"/>
        <v>306830.49124200118</v>
      </c>
      <c r="G102" s="129">
        <f t="shared" si="17"/>
        <v>0.47874976817599535</v>
      </c>
      <c r="H102" s="126">
        <f t="shared" si="18"/>
        <v>228066</v>
      </c>
      <c r="I102" s="131">
        <f t="shared" si="19"/>
        <v>0.31690622290402182</v>
      </c>
    </row>
    <row r="103" spans="1:9" x14ac:dyDescent="0.2">
      <c r="A103" s="89">
        <v>5670</v>
      </c>
      <c r="B103" s="18" t="s">
        <v>216</v>
      </c>
      <c r="C103" s="435">
        <v>0</v>
      </c>
      <c r="D103" s="246"/>
      <c r="E103" s="417"/>
      <c r="F103" s="126">
        <f t="shared" ref="F103:F109" si="24">E103-C103</f>
        <v>0</v>
      </c>
      <c r="G103" s="129" t="str">
        <f t="shared" ref="G103:G109" si="25">IF(C103=0,"",(E103/C103)-1)</f>
        <v/>
      </c>
      <c r="H103" s="126">
        <f t="shared" ref="H103:H109" si="26">E103-D103</f>
        <v>0</v>
      </c>
      <c r="I103" s="131" t="str">
        <f t="shared" si="19"/>
        <v/>
      </c>
    </row>
    <row r="104" spans="1:9" x14ac:dyDescent="0.2">
      <c r="A104" s="575">
        <v>5672</v>
      </c>
      <c r="B104" s="574" t="s">
        <v>710</v>
      </c>
      <c r="C104" s="435">
        <v>0</v>
      </c>
      <c r="D104" s="246"/>
      <c r="E104" s="417"/>
      <c r="F104" s="126">
        <f t="shared" si="24"/>
        <v>0</v>
      </c>
      <c r="G104" s="129" t="str">
        <f t="shared" si="25"/>
        <v/>
      </c>
      <c r="H104" s="126">
        <f t="shared" si="26"/>
        <v>0</v>
      </c>
      <c r="I104" s="131"/>
    </row>
    <row r="105" spans="1:9" x14ac:dyDescent="0.2">
      <c r="A105" s="89">
        <v>5675</v>
      </c>
      <c r="B105" s="18" t="s">
        <v>217</v>
      </c>
      <c r="C105" s="435">
        <v>91788</v>
      </c>
      <c r="D105" s="246">
        <v>146944</v>
      </c>
      <c r="E105" s="417">
        <v>166023</v>
      </c>
      <c r="F105" s="126">
        <f t="shared" si="24"/>
        <v>74235</v>
      </c>
      <c r="G105" s="129">
        <f t="shared" si="25"/>
        <v>0.80876585174532623</v>
      </c>
      <c r="H105" s="126">
        <f t="shared" si="26"/>
        <v>19079</v>
      </c>
      <c r="I105" s="131">
        <f t="shared" si="19"/>
        <v>0.12983857796167242</v>
      </c>
    </row>
    <row r="106" spans="1:9" x14ac:dyDescent="0.2">
      <c r="A106" s="89">
        <v>5680</v>
      </c>
      <c r="B106" s="18" t="s">
        <v>218</v>
      </c>
      <c r="C106" s="435">
        <v>0</v>
      </c>
      <c r="D106" s="246">
        <v>714</v>
      </c>
      <c r="E106" s="417"/>
      <c r="F106" s="126">
        <f t="shared" si="24"/>
        <v>0</v>
      </c>
      <c r="G106" s="129" t="str">
        <f t="shared" si="25"/>
        <v/>
      </c>
      <c r="H106" s="126">
        <f t="shared" si="26"/>
        <v>-714</v>
      </c>
      <c r="I106" s="131">
        <f t="shared" si="19"/>
        <v>-1</v>
      </c>
    </row>
    <row r="107" spans="1:9" x14ac:dyDescent="0.2">
      <c r="A107" s="575">
        <v>5681</v>
      </c>
      <c r="B107" s="574" t="s">
        <v>711</v>
      </c>
      <c r="C107" s="435">
        <v>0</v>
      </c>
      <c r="D107" s="246"/>
      <c r="E107" s="417"/>
      <c r="F107" s="126">
        <f t="shared" si="24"/>
        <v>0</v>
      </c>
      <c r="G107" s="129" t="str">
        <f t="shared" si="25"/>
        <v/>
      </c>
      <c r="H107" s="126">
        <f t="shared" si="26"/>
        <v>0</v>
      </c>
      <c r="I107" s="131"/>
    </row>
    <row r="108" spans="1:9" x14ac:dyDescent="0.2">
      <c r="A108" s="89">
        <v>5685</v>
      </c>
      <c r="B108" s="18" t="s">
        <v>219</v>
      </c>
      <c r="C108" s="435">
        <v>0</v>
      </c>
      <c r="D108" s="407"/>
      <c r="E108" s="418"/>
      <c r="F108" s="126">
        <f t="shared" si="24"/>
        <v>0</v>
      </c>
      <c r="G108" s="129" t="str">
        <f t="shared" si="25"/>
        <v/>
      </c>
      <c r="H108" s="126">
        <f t="shared" si="26"/>
        <v>0</v>
      </c>
      <c r="I108" s="133" t="str">
        <f t="shared" si="19"/>
        <v/>
      </c>
    </row>
    <row r="109" spans="1:9" x14ac:dyDescent="0.2">
      <c r="A109" s="89">
        <v>5695</v>
      </c>
      <c r="B109" s="18" t="s">
        <v>220</v>
      </c>
      <c r="C109" s="435">
        <v>0</v>
      </c>
      <c r="D109" s="246"/>
      <c r="E109" s="417"/>
      <c r="F109" s="126">
        <f t="shared" si="24"/>
        <v>0</v>
      </c>
      <c r="G109" s="129" t="str">
        <f t="shared" si="25"/>
        <v/>
      </c>
      <c r="H109" s="126">
        <f t="shared" si="26"/>
        <v>0</v>
      </c>
      <c r="I109" s="131" t="str">
        <f t="shared" si="19"/>
        <v/>
      </c>
    </row>
    <row r="110" spans="1:9" x14ac:dyDescent="0.2">
      <c r="A110" s="80">
        <v>6205</v>
      </c>
      <c r="B110" s="574" t="s">
        <v>713</v>
      </c>
      <c r="C110" s="435">
        <v>0</v>
      </c>
      <c r="D110" s="246">
        <v>30629</v>
      </c>
      <c r="E110" s="417"/>
      <c r="F110" s="126">
        <f t="shared" ref="F110" si="27">E110-C110</f>
        <v>0</v>
      </c>
      <c r="G110" s="129" t="str">
        <f t="shared" ref="G110" si="28">IF(C110=0,"",(E110/C110)-1)</f>
        <v/>
      </c>
      <c r="H110" s="126">
        <f t="shared" ref="H110" si="29">E110-D110</f>
        <v>-30629</v>
      </c>
      <c r="I110" s="131">
        <f t="shared" ref="I110" si="30">IF(D110=0,"",(E110/D110)-1)</f>
        <v>-1</v>
      </c>
    </row>
    <row r="111" spans="1:9" ht="13.5" thickBot="1" x14ac:dyDescent="0.25">
      <c r="A111" s="95">
        <v>6205</v>
      </c>
      <c r="B111" s="576" t="s">
        <v>712</v>
      </c>
      <c r="C111" s="435">
        <v>0</v>
      </c>
      <c r="D111" s="407"/>
      <c r="E111" s="418"/>
      <c r="F111" s="127">
        <f t="shared" si="16"/>
        <v>0</v>
      </c>
      <c r="G111" s="132" t="str">
        <f t="shared" si="17"/>
        <v/>
      </c>
      <c r="H111" s="127">
        <f t="shared" si="18"/>
        <v>0</v>
      </c>
      <c r="I111" s="133" t="str">
        <f t="shared" si="19"/>
        <v/>
      </c>
    </row>
    <row r="112" spans="1:9" ht="14.25" thickTop="1" thickBot="1" x14ac:dyDescent="0.25">
      <c r="A112" s="67" t="s">
        <v>262</v>
      </c>
      <c r="B112" s="91"/>
      <c r="C112" s="119">
        <f>SUM(C88:C111)</f>
        <v>5209998.9820028897</v>
      </c>
      <c r="D112" s="119">
        <f>SUM(D88:D111)</f>
        <v>6021899</v>
      </c>
      <c r="E112" s="121">
        <f>SUM(E88:E111)</f>
        <v>7127630</v>
      </c>
      <c r="F112" s="136">
        <f t="shared" si="16"/>
        <v>1917631.0179971103</v>
      </c>
      <c r="G112" s="137">
        <f t="shared" si="17"/>
        <v>0.36806744581357131</v>
      </c>
      <c r="H112" s="136">
        <f t="shared" si="18"/>
        <v>1105731</v>
      </c>
      <c r="I112" s="137">
        <f t="shared" si="19"/>
        <v>0.18361832372147058</v>
      </c>
    </row>
    <row r="113" spans="1:9" ht="13.5" thickBot="1" x14ac:dyDescent="0.25">
      <c r="A113" s="1403" t="s">
        <v>260</v>
      </c>
      <c r="B113" s="1404"/>
      <c r="C113" s="122">
        <f>C112+C85+C73+C62+C41</f>
        <v>9991419</v>
      </c>
      <c r="D113" s="123">
        <f>D112+D85+D73+D62+D41</f>
        <v>11094087</v>
      </c>
      <c r="E113" s="124">
        <f>E112+E85+E73+E62+E41</f>
        <v>13078828</v>
      </c>
      <c r="F113" s="142">
        <f t="shared" si="16"/>
        <v>3087409</v>
      </c>
      <c r="G113" s="143">
        <f t="shared" si="17"/>
        <v>0.30900605809845438</v>
      </c>
      <c r="H113" s="142">
        <f t="shared" si="18"/>
        <v>1984741</v>
      </c>
      <c r="I113" s="143">
        <f t="shared" si="19"/>
        <v>0.17890079643327117</v>
      </c>
    </row>
    <row r="114" spans="1:9" ht="13.5" thickBot="1" x14ac:dyDescent="0.25">
      <c r="A114" s="1403" t="s">
        <v>100</v>
      </c>
      <c r="B114" s="1404"/>
    </row>
    <row r="115" spans="1:9" x14ac:dyDescent="0.2">
      <c r="A115" s="575">
        <v>5681</v>
      </c>
      <c r="B115" s="574" t="s">
        <v>711</v>
      </c>
      <c r="C115" s="437"/>
      <c r="D115" s="437"/>
      <c r="E115" s="438"/>
      <c r="F115" s="224">
        <f>E115-C115</f>
        <v>0</v>
      </c>
      <c r="G115" s="220" t="str">
        <f>IF(C115=0,"",(E115/C115)-1)</f>
        <v/>
      </c>
      <c r="H115" s="222">
        <f>E115-D115</f>
        <v>0</v>
      </c>
      <c r="I115" s="227" t="str">
        <f>IF(D115=0,"",(E115/D115)-1)</f>
        <v/>
      </c>
    </row>
    <row r="116" spans="1:9" ht="14.25" x14ac:dyDescent="0.2">
      <c r="A116" s="90">
        <v>6205</v>
      </c>
      <c r="B116" s="574" t="s">
        <v>714</v>
      </c>
      <c r="C116" s="436"/>
      <c r="D116" s="436">
        <f>'App.2-G_Detailed_OM&amp;A_Expen '!F115</f>
        <v>30629</v>
      </c>
      <c r="E116" s="439"/>
      <c r="F116" s="225">
        <f>E116-C116</f>
        <v>0</v>
      </c>
      <c r="G116" s="129" t="str">
        <f>IF(C116=0,"",(E116/C116)-1)</f>
        <v/>
      </c>
      <c r="H116" s="126">
        <f>E116-D116</f>
        <v>-30629</v>
      </c>
      <c r="I116" s="131">
        <f>IF(D116=0,"",(E116/D116)-1)</f>
        <v>-1</v>
      </c>
    </row>
    <row r="117" spans="1:9" x14ac:dyDescent="0.2">
      <c r="A117" s="582"/>
      <c r="B117" s="583"/>
      <c r="C117" s="436"/>
      <c r="D117" s="436"/>
      <c r="E117" s="439"/>
      <c r="F117" s="225">
        <f>E117-C117</f>
        <v>0</v>
      </c>
      <c r="G117" s="129" t="str">
        <f>IF(C117=0,"",(E117/C117)-1)</f>
        <v/>
      </c>
      <c r="H117" s="126">
        <f>E117-D117</f>
        <v>0</v>
      </c>
      <c r="I117" s="131" t="str">
        <f>IF(D117=0,"",(E117/D117)-1)</f>
        <v/>
      </c>
    </row>
    <row r="118" spans="1:9" x14ac:dyDescent="0.2">
      <c r="A118" s="582"/>
      <c r="B118" s="583"/>
      <c r="C118" s="436"/>
      <c r="D118" s="436"/>
      <c r="E118" s="439"/>
      <c r="F118" s="225">
        <f>E118-C118</f>
        <v>0</v>
      </c>
      <c r="G118" s="129" t="str">
        <f>IF(C118=0,"",(E118/C118)-1)</f>
        <v/>
      </c>
      <c r="H118" s="126">
        <f>E118-D118</f>
        <v>0</v>
      </c>
      <c r="I118" s="131" t="str">
        <f>IF(D118=0,"",(E118/D118)-1)</f>
        <v/>
      </c>
    </row>
    <row r="119" spans="1:9" ht="13.5" thickBot="1" x14ac:dyDescent="0.25">
      <c r="A119" s="584"/>
      <c r="B119" s="585"/>
      <c r="C119" s="440"/>
      <c r="D119" s="440"/>
      <c r="E119" s="441"/>
      <c r="F119" s="226">
        <f>E119-C119</f>
        <v>0</v>
      </c>
      <c r="G119" s="221" t="str">
        <f>IF(C119=0,"",(E119/C119)-1)</f>
        <v/>
      </c>
      <c r="H119" s="223">
        <f>E119-D119</f>
        <v>0</v>
      </c>
      <c r="I119" s="228" t="str">
        <f>IF(D119=0,"",(E119/D119)-1)</f>
        <v/>
      </c>
    </row>
    <row r="120" spans="1:9" ht="13.5" thickBot="1" x14ac:dyDescent="0.25">
      <c r="A120" s="1403" t="s">
        <v>101</v>
      </c>
      <c r="B120" s="1404"/>
      <c r="C120" s="442">
        <f>C113-SUM(C115:C119)</f>
        <v>9991419</v>
      </c>
      <c r="D120" s="442">
        <f t="shared" ref="D120:H120" si="31">D113-SUM(D115:D119)</f>
        <v>11063458</v>
      </c>
      <c r="E120" s="442">
        <f t="shared" si="31"/>
        <v>13078828</v>
      </c>
      <c r="F120" s="442">
        <f t="shared" si="31"/>
        <v>3087409</v>
      </c>
      <c r="G120" s="143">
        <f t="shared" ref="G120" si="32">IF(C120=0,"",(E120/C120)-1)</f>
        <v>0.30900605809845438</v>
      </c>
      <c r="H120" s="442">
        <f t="shared" si="31"/>
        <v>2015370</v>
      </c>
      <c r="I120" s="143">
        <f t="shared" ref="I120" si="33">IF(D120=0,"",(E120/D120)-1)</f>
        <v>0.18216456373766676</v>
      </c>
    </row>
    <row r="122" spans="1:9" ht="14.25" x14ac:dyDescent="0.2">
      <c r="A122" s="169" t="s">
        <v>715</v>
      </c>
    </row>
    <row r="123" spans="1:9" x14ac:dyDescent="0.2">
      <c r="A123" s="169"/>
    </row>
    <row r="124" spans="1:9" x14ac:dyDescent="0.2">
      <c r="A124" s="169"/>
    </row>
    <row r="125" spans="1:9" x14ac:dyDescent="0.2">
      <c r="A125" s="443" t="s">
        <v>229</v>
      </c>
    </row>
    <row r="126" spans="1:9" x14ac:dyDescent="0.2">
      <c r="A126" s="1"/>
    </row>
    <row r="127" spans="1:9" x14ac:dyDescent="0.2">
      <c r="A127" s="444">
        <v>1</v>
      </c>
      <c r="B127" s="1417" t="s">
        <v>703</v>
      </c>
      <c r="C127" s="1418"/>
      <c r="D127" s="1418"/>
      <c r="E127" s="1418"/>
      <c r="F127" s="1418"/>
      <c r="G127" s="1418"/>
      <c r="H127" s="1418"/>
      <c r="I127" s="1418"/>
    </row>
    <row r="128" spans="1:9" ht="27.75" customHeight="1" x14ac:dyDescent="0.2">
      <c r="A128" s="445">
        <v>2</v>
      </c>
      <c r="B128" s="1267" t="s">
        <v>704</v>
      </c>
      <c r="C128" s="1263"/>
      <c r="D128" s="1263"/>
      <c r="E128" s="1263"/>
      <c r="F128" s="1263"/>
      <c r="G128" s="1263"/>
      <c r="H128" s="1263"/>
      <c r="I128" s="1263"/>
    </row>
  </sheetData>
  <mergeCells count="27">
    <mergeCell ref="B127:I127"/>
    <mergeCell ref="B128:I128"/>
    <mergeCell ref="A113:B113"/>
    <mergeCell ref="A75:I75"/>
    <mergeCell ref="A87:I87"/>
    <mergeCell ref="B74:I74"/>
    <mergeCell ref="B86:I86"/>
    <mergeCell ref="A120:B120"/>
    <mergeCell ref="A114:B114"/>
    <mergeCell ref="A43:I43"/>
    <mergeCell ref="A64:I64"/>
    <mergeCell ref="B63:I63"/>
    <mergeCell ref="A73:B73"/>
    <mergeCell ref="A62:B62"/>
    <mergeCell ref="B42:I42"/>
    <mergeCell ref="A9:I9"/>
    <mergeCell ref="A10:I10"/>
    <mergeCell ref="A11:I11"/>
    <mergeCell ref="A41:B41"/>
    <mergeCell ref="A17:I17"/>
    <mergeCell ref="A14:A15"/>
    <mergeCell ref="B14:B15"/>
    <mergeCell ref="C14:C15"/>
    <mergeCell ref="D14:D15"/>
    <mergeCell ref="E14:E15"/>
    <mergeCell ref="H14:I14"/>
    <mergeCell ref="F14:G14"/>
  </mergeCells>
  <phoneticPr fontId="17" type="noConversion"/>
  <dataValidations count="2">
    <dataValidation allowBlank="1" showInputMessage="1" showErrorMessage="1" promptTitle="Date Format" prompt="E.g:  &quot;August 1, 2011&quot;" sqref="I7"/>
    <dataValidation type="list" allowBlank="1" showInputMessage="1" showErrorMessage="1" sqref="C16:E16">
      <formula1>"CGAAP, MIFRS, USGAAP, ASPE"</formula1>
    </dataValidation>
  </dataValidations>
  <pageMargins left="0.75" right="0.75" top="1" bottom="1" header="0.5" footer="0.5"/>
  <pageSetup scale="51"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L132"/>
  <sheetViews>
    <sheetView showGridLines="0" topLeftCell="A34" zoomScaleNormal="100" workbookViewId="0">
      <selection activeCell="G25" sqref="G25"/>
    </sheetView>
  </sheetViews>
  <sheetFormatPr defaultRowHeight="12.75" x14ac:dyDescent="0.2"/>
  <cols>
    <col min="1" max="1" width="29" customWidth="1"/>
    <col min="2" max="2" width="15.140625" customWidth="1"/>
    <col min="3" max="3" width="15" customWidth="1"/>
    <col min="4" max="4" width="13.28515625" bestFit="1" customWidth="1"/>
    <col min="5" max="5" width="12.7109375" bestFit="1" customWidth="1"/>
    <col min="6" max="7" width="12.7109375" customWidth="1"/>
    <col min="8" max="8" width="13.28515625" bestFit="1" customWidth="1"/>
    <col min="9" max="9" width="11.85546875" customWidth="1"/>
    <col min="10" max="10" width="13.28515625" bestFit="1" customWidth="1"/>
    <col min="11" max="11" width="12.7109375" bestFit="1" customWidth="1"/>
    <col min="12" max="12" width="10.85546875" bestFit="1" customWidth="1"/>
  </cols>
  <sheetData>
    <row r="1" spans="1:12" x14ac:dyDescent="0.2">
      <c r="K1" s="329" t="s">
        <v>444</v>
      </c>
      <c r="L1" s="250" t="str">
        <f>'LDC Info'!$E$18</f>
        <v>EB-2012-0107</v>
      </c>
    </row>
    <row r="2" spans="1:12" x14ac:dyDescent="0.2">
      <c r="K2" s="329" t="s">
        <v>445</v>
      </c>
      <c r="L2" s="251">
        <v>4</v>
      </c>
    </row>
    <row r="3" spans="1:12" x14ac:dyDescent="0.2">
      <c r="K3" s="329" t="s">
        <v>446</v>
      </c>
      <c r="L3" s="251">
        <v>2</v>
      </c>
    </row>
    <row r="4" spans="1:12" x14ac:dyDescent="0.2">
      <c r="K4" s="329" t="s">
        <v>447</v>
      </c>
      <c r="L4" s="251">
        <v>1</v>
      </c>
    </row>
    <row r="5" spans="1:12" x14ac:dyDescent="0.2">
      <c r="K5" s="329" t="s">
        <v>1036</v>
      </c>
      <c r="L5" s="252">
        <v>1</v>
      </c>
    </row>
    <row r="6" spans="1:12" x14ac:dyDescent="0.2">
      <c r="K6" s="329"/>
      <c r="L6" s="250"/>
    </row>
    <row r="7" spans="1:12" x14ac:dyDescent="0.2">
      <c r="K7" s="329" t="s">
        <v>449</v>
      </c>
      <c r="L7" s="934"/>
    </row>
    <row r="9" spans="1:12" ht="18" x14ac:dyDescent="0.2">
      <c r="A9" s="1419" t="s">
        <v>292</v>
      </c>
      <c r="B9" s="1419"/>
      <c r="C9" s="1419"/>
      <c r="D9" s="1419"/>
      <c r="E9" s="1419"/>
      <c r="F9" s="1419"/>
      <c r="G9" s="1419"/>
    </row>
    <row r="10" spans="1:12" ht="18" x14ac:dyDescent="0.2">
      <c r="A10" s="1419" t="s">
        <v>102</v>
      </c>
      <c r="B10" s="1419"/>
      <c r="C10" s="1419"/>
      <c r="D10" s="1419"/>
      <c r="E10" s="1419"/>
      <c r="F10" s="1419"/>
      <c r="G10" s="1419"/>
    </row>
    <row r="12" spans="1:12" ht="13.5" thickBot="1" x14ac:dyDescent="0.25">
      <c r="H12" s="15"/>
      <c r="I12" s="15"/>
    </row>
    <row r="13" spans="1:12" ht="39" thickBot="1" x14ac:dyDescent="0.25">
      <c r="A13" s="484"/>
      <c r="B13" s="485" t="str">
        <f>"Last Rebasing Year (" &amp; 'LDC Info'!E30 &amp; " BA)"</f>
        <v>Last Rebasing Year (2009 BA)</v>
      </c>
      <c r="C13" s="452" t="str">
        <f>"Last Rebasing Year (" &amp; 'LDC Info'!E30 &amp; " Actuals)"</f>
        <v>Last Rebasing Year (2009 Actuals)</v>
      </c>
      <c r="D13" s="189" t="str">
        <f>'LDC Info'!E26 -2 &amp; " Actuals"</f>
        <v>2010 Actuals</v>
      </c>
      <c r="E13" s="189" t="str">
        <f>'LDC Info'!E26 -1 &amp; " Actuals"</f>
        <v>2011 Actuals</v>
      </c>
      <c r="F13" s="189" t="str">
        <f>'LDC Info'!E26 &amp; " Bridge Year"</f>
        <v>2012 Bridge Year</v>
      </c>
      <c r="G13" s="451" t="str">
        <f>'LDC Info'!E28 &amp; " Test Year"</f>
        <v>2013 Test Year</v>
      </c>
      <c r="H13" s="1420"/>
      <c r="I13" s="1420"/>
      <c r="J13" s="462"/>
      <c r="K13" s="462"/>
    </row>
    <row r="14" spans="1:12" ht="13.5" thickBot="1" x14ac:dyDescent="0.25">
      <c r="A14" s="588" t="s">
        <v>174</v>
      </c>
      <c r="B14" s="586" t="s">
        <v>175</v>
      </c>
      <c r="C14" s="586" t="s">
        <v>175</v>
      </c>
      <c r="D14" s="586" t="s">
        <v>175</v>
      </c>
      <c r="E14" s="586" t="s">
        <v>175</v>
      </c>
      <c r="F14" s="586" t="s">
        <v>176</v>
      </c>
      <c r="G14" s="587" t="s">
        <v>176</v>
      </c>
      <c r="H14" s="475"/>
      <c r="I14" s="475"/>
      <c r="J14" s="462"/>
      <c r="K14" s="462"/>
    </row>
    <row r="15" spans="1:12" x14ac:dyDescent="0.2">
      <c r="A15" s="481" t="s">
        <v>222</v>
      </c>
      <c r="B15" s="642">
        <f>'App.2-H_OM&amp;A_Detailed_Analysis'!C41</f>
        <v>3126141.3397847507</v>
      </c>
      <c r="C15" s="642">
        <f>'App.2-G_Detailed_OM&amp;A_Expen '!D40</f>
        <v>2926385</v>
      </c>
      <c r="D15" s="642">
        <f>'App.2-G_Detailed_OM&amp;A_Expen '!E40</f>
        <v>3135697</v>
      </c>
      <c r="E15" s="642">
        <f>'App.2-G_Detailed_OM&amp;A_Expen '!F40</f>
        <v>3177397</v>
      </c>
      <c r="F15" s="642">
        <f>'App.2-G_Detailed_OM&amp;A_Expen '!I40</f>
        <v>3102525</v>
      </c>
      <c r="G15" s="642">
        <f>'App.2-G_Detailed_OM&amp;A_Expen '!J40</f>
        <v>3467004</v>
      </c>
      <c r="H15" s="476"/>
      <c r="I15" s="476"/>
      <c r="J15" s="462"/>
      <c r="K15" s="462"/>
    </row>
    <row r="16" spans="1:12" x14ac:dyDescent="0.2">
      <c r="A16" s="470" t="s">
        <v>225</v>
      </c>
      <c r="B16" s="641">
        <f>'App.2-H_OM&amp;A_Detailed_Analysis'!C62</f>
        <v>139393.45242105116</v>
      </c>
      <c r="C16" s="641">
        <f>'App.2-G_Detailed_OM&amp;A_Expen '!D61</f>
        <v>162468</v>
      </c>
      <c r="D16" s="641">
        <f>'App.2-G_Detailed_OM&amp;A_Expen '!E61</f>
        <v>175850</v>
      </c>
      <c r="E16" s="641">
        <f>'App.2-G_Detailed_OM&amp;A_Expen '!F61</f>
        <v>157217</v>
      </c>
      <c r="F16" s="641">
        <f>'App.2-G_Detailed_OM&amp;A_Expen '!I61</f>
        <v>138100</v>
      </c>
      <c r="G16" s="641">
        <f>'App.2-G_Detailed_OM&amp;A_Expen '!J61</f>
        <v>142600</v>
      </c>
      <c r="H16" s="476"/>
      <c r="I16" s="476"/>
      <c r="J16" s="462"/>
      <c r="K16" s="462"/>
    </row>
    <row r="17" spans="1:11" x14ac:dyDescent="0.2">
      <c r="A17" s="471" t="s">
        <v>669</v>
      </c>
      <c r="B17" s="639">
        <f>SUM(B15:B16)</f>
        <v>3265534.7922058017</v>
      </c>
      <c r="C17" s="639">
        <f t="shared" ref="C17:G17" si="0">SUM(C15:C16)</f>
        <v>3088853</v>
      </c>
      <c r="D17" s="639">
        <f t="shared" si="0"/>
        <v>3311547</v>
      </c>
      <c r="E17" s="639">
        <f t="shared" si="0"/>
        <v>3334614</v>
      </c>
      <c r="F17" s="639">
        <f t="shared" si="0"/>
        <v>3240625</v>
      </c>
      <c r="G17" s="640">
        <f t="shared" si="0"/>
        <v>3609604</v>
      </c>
      <c r="H17" s="477"/>
      <c r="I17" s="477"/>
      <c r="J17" s="462"/>
      <c r="K17" s="462"/>
    </row>
    <row r="18" spans="1:11" x14ac:dyDescent="0.2">
      <c r="A18" s="470" t="s">
        <v>670</v>
      </c>
      <c r="B18" s="489"/>
      <c r="C18" s="489"/>
      <c r="D18" s="463">
        <f>IF(ISERROR((D17-C17)/C17), "", (D17-C17)/C17)</f>
        <v>7.2096017518476926E-2</v>
      </c>
      <c r="E18" s="463">
        <f t="shared" ref="E18:G18" si="1">IF(ISERROR((E17-D17)/D17), "", (E17-D17)/D17)</f>
        <v>6.965626639150826E-3</v>
      </c>
      <c r="F18" s="463">
        <f t="shared" si="1"/>
        <v>-2.8185870988366269E-2</v>
      </c>
      <c r="G18" s="480">
        <f t="shared" si="1"/>
        <v>0.11386044358727097</v>
      </c>
      <c r="H18" s="478"/>
      <c r="I18" s="478"/>
      <c r="J18" s="462"/>
      <c r="K18" s="462"/>
    </row>
    <row r="19" spans="1:11" ht="24" x14ac:dyDescent="0.2">
      <c r="A19" s="470" t="s">
        <v>671</v>
      </c>
      <c r="B19" s="464"/>
      <c r="C19" s="465"/>
      <c r="D19" s="465"/>
      <c r="E19" s="465"/>
      <c r="F19" s="466"/>
      <c r="G19" s="480">
        <f>IF(ISERROR((G17-C17)/C17), "", (G17-C17)/C17)</f>
        <v>0.16859041203967945</v>
      </c>
      <c r="H19" s="478"/>
      <c r="I19" s="478"/>
      <c r="J19" s="462"/>
      <c r="K19" s="462"/>
    </row>
    <row r="20" spans="1:11" x14ac:dyDescent="0.2">
      <c r="A20" s="470" t="s">
        <v>169</v>
      </c>
      <c r="B20" s="641">
        <f>'App.2-H_OM&amp;A_Detailed_Analysis'!C73</f>
        <v>1324116.6555045429</v>
      </c>
      <c r="C20" s="641">
        <f>'App.2-G_Detailed_OM&amp;A_Expen '!D72</f>
        <v>1357619</v>
      </c>
      <c r="D20" s="641">
        <f>'App.2-G_Detailed_OM&amp;A_Expen '!E72</f>
        <v>1732894</v>
      </c>
      <c r="E20" s="641">
        <f>'App.2-G_Detailed_OM&amp;A_Expen '!F72</f>
        <v>1481275</v>
      </c>
      <c r="F20" s="641">
        <f>'App.2-G_Detailed_OM&amp;A_Expen '!I72</f>
        <v>1467712</v>
      </c>
      <c r="G20" s="641">
        <f>'App.2-G_Detailed_OM&amp;A_Expen '!J72</f>
        <v>2083111</v>
      </c>
      <c r="H20" s="476"/>
      <c r="I20" s="476"/>
      <c r="J20" s="462"/>
      <c r="K20" s="462"/>
    </row>
    <row r="21" spans="1:11" x14ac:dyDescent="0.2">
      <c r="A21" s="470" t="s">
        <v>228</v>
      </c>
      <c r="B21" s="641">
        <f>'App.2-H_OM&amp;A_Detailed_Analysis'!C85</f>
        <v>191768.57028676599</v>
      </c>
      <c r="C21" s="641">
        <f>'App.2-G_Detailed_OM&amp;A_Expen '!D84</f>
        <v>213194</v>
      </c>
      <c r="D21" s="641">
        <f>'App.2-G_Detailed_OM&amp;A_Expen '!E84</f>
        <v>191747</v>
      </c>
      <c r="E21" s="641">
        <f>'App.2-G_Detailed_OM&amp;A_Expen '!F84</f>
        <v>256299</v>
      </c>
      <c r="F21" s="641">
        <f>'App.2-G_Detailed_OM&amp;A_Expen '!I84</f>
        <v>270425</v>
      </c>
      <c r="G21" s="641">
        <f>'App.2-G_Detailed_OM&amp;A_Expen '!J84</f>
        <v>258483</v>
      </c>
      <c r="H21" s="476"/>
      <c r="I21" s="476"/>
      <c r="J21" s="462"/>
      <c r="K21" s="462"/>
    </row>
    <row r="22" spans="1:11" x14ac:dyDescent="0.2">
      <c r="A22" s="470" t="s">
        <v>288</v>
      </c>
      <c r="B22" s="641">
        <f>'App.2-H_OM&amp;A_Detailed_Analysis'!C112</f>
        <v>5209998.9820028897</v>
      </c>
      <c r="C22" s="641">
        <f>'App.2-G_Detailed_OM&amp;A_Expen '!D111-'App.2-G_Detailed_OM&amp;A_Expen '!D115</f>
        <v>5112516</v>
      </c>
      <c r="D22" s="641">
        <f>'App.2-G_Detailed_OM&amp;A_Expen '!E111-'App.2-G_Detailed_OM&amp;A_Expen '!E115</f>
        <v>5018632</v>
      </c>
      <c r="E22" s="641">
        <f>'App.2-G_Detailed_OM&amp;A_Expen '!F111-'App.2-G_Detailed_OM&amp;A_Expen '!F115</f>
        <v>5991270</v>
      </c>
      <c r="F22" s="641">
        <f>'App.2-G_Detailed_OM&amp;A_Expen '!I111</f>
        <v>6479176</v>
      </c>
      <c r="G22" s="641">
        <f>'App.2-G_Detailed_OM&amp;A_Expen '!J111</f>
        <v>7127630</v>
      </c>
      <c r="H22" s="476"/>
      <c r="I22" s="476"/>
      <c r="J22" s="462"/>
      <c r="K22" s="462"/>
    </row>
    <row r="23" spans="1:11" x14ac:dyDescent="0.2">
      <c r="A23" s="471" t="s">
        <v>669</v>
      </c>
      <c r="B23" s="639">
        <f>SUM(B20:B22)</f>
        <v>6725884.2077941988</v>
      </c>
      <c r="C23" s="639">
        <f t="shared" ref="C23:G23" si="2">SUM(C20:C22)</f>
        <v>6683329</v>
      </c>
      <c r="D23" s="639">
        <f t="shared" si="2"/>
        <v>6943273</v>
      </c>
      <c r="E23" s="639">
        <f t="shared" si="2"/>
        <v>7728844</v>
      </c>
      <c r="F23" s="639">
        <f t="shared" si="2"/>
        <v>8217313</v>
      </c>
      <c r="G23" s="640">
        <f t="shared" si="2"/>
        <v>9469224</v>
      </c>
      <c r="H23" s="477"/>
      <c r="I23" s="477"/>
      <c r="J23" s="462"/>
      <c r="K23" s="462"/>
    </row>
    <row r="24" spans="1:11" x14ac:dyDescent="0.2">
      <c r="A24" s="470" t="s">
        <v>670</v>
      </c>
      <c r="B24" s="489"/>
      <c r="C24" s="489"/>
      <c r="D24" s="463">
        <f>IF(ISERROR((D23-C23)/C23), "", (D23-C23)/C23)</f>
        <v>3.8894389308082845E-2</v>
      </c>
      <c r="E24" s="463">
        <f t="shared" ref="E24" si="3">IF(ISERROR((E23-D23)/D23), "", (E23-D23)/D23)</f>
        <v>0.11314130958123064</v>
      </c>
      <c r="F24" s="463">
        <f t="shared" ref="F24" si="4">IF(ISERROR((F23-E23)/E23), "", (F23-E23)/E23)</f>
        <v>6.3200783972350849E-2</v>
      </c>
      <c r="G24" s="480">
        <f t="shared" ref="G24" si="5">IF(ISERROR((G23-F23)/F23), "", (G23-F23)/F23)</f>
        <v>0.15235040943432482</v>
      </c>
      <c r="H24" s="478"/>
      <c r="I24" s="478"/>
      <c r="J24" s="462"/>
      <c r="K24" s="462"/>
    </row>
    <row r="25" spans="1:11" ht="24" x14ac:dyDescent="0.2">
      <c r="A25" s="470" t="s">
        <v>671</v>
      </c>
      <c r="B25" s="464"/>
      <c r="C25" s="465"/>
      <c r="D25" s="465"/>
      <c r="E25" s="465"/>
      <c r="F25" s="466"/>
      <c r="G25" s="480">
        <f>IF(ISERROR((G23-C23)/C23), "", (G23-C23)/C23)</f>
        <v>0.41684241491029395</v>
      </c>
      <c r="H25" s="478"/>
      <c r="I25" s="478"/>
      <c r="J25" s="462"/>
      <c r="K25" s="462"/>
    </row>
    <row r="26" spans="1:11" x14ac:dyDescent="0.2">
      <c r="A26" s="471" t="s">
        <v>439</v>
      </c>
      <c r="B26" s="639">
        <f>SUM(B23,B17)</f>
        <v>9991419</v>
      </c>
      <c r="C26" s="639">
        <f t="shared" ref="C26:G26" si="6">SUM(C23,C17)</f>
        <v>9772182</v>
      </c>
      <c r="D26" s="639">
        <f t="shared" si="6"/>
        <v>10254820</v>
      </c>
      <c r="E26" s="639">
        <f t="shared" si="6"/>
        <v>11063458</v>
      </c>
      <c r="F26" s="639">
        <f t="shared" si="6"/>
        <v>11457938</v>
      </c>
      <c r="G26" s="640">
        <f t="shared" si="6"/>
        <v>13078828</v>
      </c>
      <c r="H26" s="477"/>
      <c r="I26" s="1082"/>
      <c r="J26" s="462"/>
      <c r="K26" s="462"/>
    </row>
    <row r="27" spans="1:11" ht="13.5" thickBot="1" x14ac:dyDescent="0.25">
      <c r="A27" s="472" t="s">
        <v>670</v>
      </c>
      <c r="B27" s="487"/>
      <c r="C27" s="488"/>
      <c r="D27" s="473">
        <f>IF(ISERROR((D26-C26)/C26), "", (D26-C26)/C26)</f>
        <v>4.938896962827749E-2</v>
      </c>
      <c r="E27" s="473">
        <f t="shared" ref="E27" si="7">IF(ISERROR((E26-D26)/D26), "", (E26-D26)/D26)</f>
        <v>7.8854431379585407E-2</v>
      </c>
      <c r="F27" s="473">
        <f t="shared" ref="F27" si="8">IF(ISERROR((F26-E26)/E26), "", (F26-E26)/E26)</f>
        <v>3.5656121259736329E-2</v>
      </c>
      <c r="G27" s="474">
        <f t="shared" ref="G27" si="9">IF(ISERROR((G26-F26)/F26), "", (G26-F26)/F26)</f>
        <v>0.14146437168712206</v>
      </c>
      <c r="H27" s="478"/>
      <c r="I27" s="478"/>
      <c r="J27" s="462"/>
      <c r="K27" s="462"/>
    </row>
    <row r="28" spans="1:11" x14ac:dyDescent="0.2">
      <c r="A28" s="467"/>
      <c r="B28" s="468"/>
      <c r="C28" s="468"/>
      <c r="D28" s="469"/>
      <c r="E28" s="469"/>
      <c r="F28" s="469"/>
      <c r="G28" s="468"/>
      <c r="H28" s="479"/>
      <c r="I28" s="479"/>
      <c r="J28" s="462"/>
      <c r="K28" s="462"/>
    </row>
    <row r="29" spans="1:11" ht="13.5" thickBot="1" x14ac:dyDescent="0.25">
      <c r="A29" s="467"/>
      <c r="B29" s="467"/>
      <c r="C29" s="467"/>
      <c r="D29" s="467"/>
      <c r="E29" s="467"/>
      <c r="F29" s="467"/>
      <c r="G29" s="467"/>
      <c r="H29" s="462"/>
      <c r="I29" s="462"/>
      <c r="J29" s="462"/>
      <c r="K29" s="462"/>
    </row>
    <row r="30" spans="1:11" ht="36" x14ac:dyDescent="0.2">
      <c r="A30" s="486"/>
      <c r="B30" s="482" t="str">
        <f>B13</f>
        <v>Last Rebasing Year (2009 BA)</v>
      </c>
      <c r="C30" s="482" t="str">
        <f t="shared" ref="C30:G30" si="10">C13</f>
        <v>Last Rebasing Year (2009 Actuals)</v>
      </c>
      <c r="D30" s="482" t="str">
        <f t="shared" si="10"/>
        <v>2010 Actuals</v>
      </c>
      <c r="E30" s="482" t="str">
        <f t="shared" si="10"/>
        <v>2011 Actuals</v>
      </c>
      <c r="F30" s="482" t="str">
        <f t="shared" si="10"/>
        <v>2012 Bridge Year</v>
      </c>
      <c r="G30" s="483" t="str">
        <f t="shared" si="10"/>
        <v>2013 Test Year</v>
      </c>
      <c r="H30" s="462"/>
      <c r="I30" s="462"/>
      <c r="J30" s="462"/>
      <c r="K30" s="462"/>
    </row>
    <row r="31" spans="1:11" x14ac:dyDescent="0.2">
      <c r="A31" s="470" t="s">
        <v>222</v>
      </c>
      <c r="B31" s="635">
        <f>B15</f>
        <v>3126141.3397847507</v>
      </c>
      <c r="C31" s="635">
        <f t="shared" ref="C31:G31" si="11">C15</f>
        <v>2926385</v>
      </c>
      <c r="D31" s="635">
        <f t="shared" si="11"/>
        <v>3135697</v>
      </c>
      <c r="E31" s="635">
        <f t="shared" si="11"/>
        <v>3177397</v>
      </c>
      <c r="F31" s="635">
        <f t="shared" si="11"/>
        <v>3102525</v>
      </c>
      <c r="G31" s="638">
        <f t="shared" si="11"/>
        <v>3467004</v>
      </c>
      <c r="H31" s="462"/>
      <c r="I31" s="462"/>
      <c r="J31" s="462"/>
      <c r="K31" s="462"/>
    </row>
    <row r="32" spans="1:11" x14ac:dyDescent="0.2">
      <c r="A32" s="470" t="s">
        <v>225</v>
      </c>
      <c r="B32" s="635">
        <f>B16</f>
        <v>139393.45242105116</v>
      </c>
      <c r="C32" s="635">
        <f t="shared" ref="C32:G32" si="12">C16</f>
        <v>162468</v>
      </c>
      <c r="D32" s="635">
        <f t="shared" si="12"/>
        <v>175850</v>
      </c>
      <c r="E32" s="635">
        <f t="shared" si="12"/>
        <v>157217</v>
      </c>
      <c r="F32" s="635">
        <f t="shared" si="12"/>
        <v>138100</v>
      </c>
      <c r="G32" s="638">
        <f t="shared" si="12"/>
        <v>142600</v>
      </c>
      <c r="H32" s="462"/>
      <c r="I32" s="462"/>
      <c r="J32" s="462"/>
      <c r="K32" s="462"/>
    </row>
    <row r="33" spans="1:12" x14ac:dyDescent="0.2">
      <c r="A33" s="470" t="s">
        <v>169</v>
      </c>
      <c r="B33" s="635">
        <f>B20</f>
        <v>1324116.6555045429</v>
      </c>
      <c r="C33" s="635">
        <f t="shared" ref="C33:G33" si="13">C20</f>
        <v>1357619</v>
      </c>
      <c r="D33" s="635">
        <f t="shared" si="13"/>
        <v>1732894</v>
      </c>
      <c r="E33" s="635">
        <f t="shared" si="13"/>
        <v>1481275</v>
      </c>
      <c r="F33" s="635">
        <f t="shared" si="13"/>
        <v>1467712</v>
      </c>
      <c r="G33" s="638">
        <f t="shared" si="13"/>
        <v>2083111</v>
      </c>
      <c r="H33" s="462"/>
      <c r="I33" s="462"/>
      <c r="J33" s="462"/>
      <c r="K33" s="462"/>
    </row>
    <row r="34" spans="1:12" x14ac:dyDescent="0.2">
      <c r="A34" s="470" t="s">
        <v>228</v>
      </c>
      <c r="B34" s="635">
        <f>B21</f>
        <v>191768.57028676599</v>
      </c>
      <c r="C34" s="635">
        <f t="shared" ref="C34:G34" si="14">C21</f>
        <v>213194</v>
      </c>
      <c r="D34" s="635">
        <f t="shared" si="14"/>
        <v>191747</v>
      </c>
      <c r="E34" s="635">
        <f t="shared" si="14"/>
        <v>256299</v>
      </c>
      <c r="F34" s="635">
        <f t="shared" si="14"/>
        <v>270425</v>
      </c>
      <c r="G34" s="638">
        <f t="shared" si="14"/>
        <v>258483</v>
      </c>
      <c r="H34" s="462"/>
      <c r="I34" s="462"/>
      <c r="J34" s="462"/>
      <c r="K34" s="462"/>
    </row>
    <row r="35" spans="1:12" x14ac:dyDescent="0.2">
      <c r="A35" s="470" t="s">
        <v>288</v>
      </c>
      <c r="B35" s="635">
        <f>B22</f>
        <v>5209998.9820028897</v>
      </c>
      <c r="C35" s="635">
        <f t="shared" ref="C35:G35" si="15">C22</f>
        <v>5112516</v>
      </c>
      <c r="D35" s="635">
        <f t="shared" si="15"/>
        <v>5018632</v>
      </c>
      <c r="E35" s="635">
        <f t="shared" si="15"/>
        <v>5991270</v>
      </c>
      <c r="F35" s="635">
        <f t="shared" si="15"/>
        <v>6479176</v>
      </c>
      <c r="G35" s="638">
        <f t="shared" si="15"/>
        <v>7127630</v>
      </c>
      <c r="H35" s="462"/>
      <c r="I35" s="462"/>
      <c r="J35" s="462"/>
      <c r="K35" s="462"/>
    </row>
    <row r="36" spans="1:12" x14ac:dyDescent="0.2">
      <c r="A36" s="471" t="s">
        <v>439</v>
      </c>
      <c r="B36" s="639">
        <f>SUM(B31:B35)</f>
        <v>9991419</v>
      </c>
      <c r="C36" s="639">
        <f t="shared" ref="C36:G36" si="16">SUM(C31:C35)</f>
        <v>9772182</v>
      </c>
      <c r="D36" s="639">
        <f t="shared" si="16"/>
        <v>10254820</v>
      </c>
      <c r="E36" s="639">
        <f t="shared" si="16"/>
        <v>11063458</v>
      </c>
      <c r="F36" s="639">
        <f t="shared" si="16"/>
        <v>11457938</v>
      </c>
      <c r="G36" s="640">
        <f t="shared" si="16"/>
        <v>13078828</v>
      </c>
      <c r="H36" s="462"/>
      <c r="I36" s="462"/>
      <c r="J36" s="462"/>
      <c r="K36" s="462"/>
    </row>
    <row r="37" spans="1:12" ht="13.5" thickBot="1" x14ac:dyDescent="0.25">
      <c r="A37" s="472" t="s">
        <v>670</v>
      </c>
      <c r="B37" s="487"/>
      <c r="C37" s="488"/>
      <c r="D37" s="473">
        <f>IF(ISERROR((D36-C36)/C36), "", (D36-C36)/C36)</f>
        <v>4.938896962827749E-2</v>
      </c>
      <c r="E37" s="473">
        <f t="shared" ref="E37" si="17">IF(ISERROR((E36-D36)/D36), "", (E36-D36)/D36)</f>
        <v>7.8854431379585407E-2</v>
      </c>
      <c r="F37" s="473">
        <f t="shared" ref="F37" si="18">IF(ISERROR((F36-E36)/E36), "", (F36-E36)/E36)</f>
        <v>3.5656121259736329E-2</v>
      </c>
      <c r="G37" s="474">
        <f t="shared" ref="G37" si="19">IF(ISERROR((G36-F36)/F36), "", (G36-F36)/F36)</f>
        <v>0.14146437168712206</v>
      </c>
      <c r="H37" s="462"/>
      <c r="I37" s="462"/>
      <c r="J37" s="462"/>
      <c r="K37" s="462"/>
    </row>
    <row r="38" spans="1:12" x14ac:dyDescent="0.2">
      <c r="A38" s="462"/>
      <c r="B38" s="462"/>
      <c r="C38" s="462"/>
      <c r="D38" s="462"/>
      <c r="E38" s="462"/>
      <c r="F38" s="462"/>
      <c r="G38" s="462"/>
      <c r="H38" s="462"/>
      <c r="I38" s="462"/>
      <c r="J38" s="462"/>
      <c r="K38" s="462"/>
    </row>
    <row r="39" spans="1:12" ht="13.5" thickBot="1" x14ac:dyDescent="0.25">
      <c r="A39" s="462"/>
      <c r="B39" s="462"/>
      <c r="C39" s="462"/>
      <c r="D39" s="462"/>
      <c r="E39" s="462"/>
      <c r="F39" s="462"/>
      <c r="G39" s="462"/>
      <c r="H39" s="462"/>
      <c r="I39" s="462"/>
      <c r="J39" s="462"/>
      <c r="K39" s="462"/>
    </row>
    <row r="40" spans="1:12" ht="48.75" thickBot="1" x14ac:dyDescent="0.25">
      <c r="A40" s="490"/>
      <c r="B40" s="491" t="str">
        <f>B13</f>
        <v>Last Rebasing Year (2009 BA)</v>
      </c>
      <c r="C40" s="491" t="str">
        <f>C13</f>
        <v>Last Rebasing Year (2009 Actuals)</v>
      </c>
      <c r="D40" s="491" t="str">
        <f>"Variance " &amp; 'LDC Info'!E30 &amp; "  BA – " &amp; 'LDC Info'!E30 &amp; " Actuals"</f>
        <v>Variance 2009  BA – 2009 Actuals</v>
      </c>
      <c r="E40" s="491" t="str">
        <f>D13</f>
        <v>2010 Actuals</v>
      </c>
      <c r="F40" s="491" t="str">
        <f>"Variance " &amp; 'LDC Info'!E26 -2 &amp; " Actuals vs. " &amp;  'LDC Info'!E30 &amp; " Actuals"</f>
        <v>Variance 2010 Actuals vs. 2009 Actuals</v>
      </c>
      <c r="G40" s="491" t="str">
        <f>E13</f>
        <v>2011 Actuals</v>
      </c>
      <c r="H40" s="491" t="str">
        <f>"Variance " &amp; 'LDC Info'!E26 -1 &amp; " Actuals vs. " &amp;  'LDC Info'!E26-2 &amp; " Actuals"</f>
        <v>Variance 2011 Actuals vs. 2010 Actuals</v>
      </c>
      <c r="I40" s="491" t="str">
        <f>F13</f>
        <v>2012 Bridge Year</v>
      </c>
      <c r="J40" s="491" t="str">
        <f>"Variance " &amp; 'LDC Info'!E26 &amp; " Bridge vs. " &amp; 'LDC Info'!E26 -1 &amp; " Actuals"</f>
        <v>Variance 2012 Bridge vs. 2011 Actuals</v>
      </c>
      <c r="K40" s="491" t="str">
        <f>G13</f>
        <v>2013 Test Year</v>
      </c>
      <c r="L40" s="492" t="str">
        <f>"Variance " &amp; 'LDC Info'!E28 &amp; " Test vs. " &amp; 'LDC Info'!E26 &amp; " Bridge"</f>
        <v>Variance 2013 Test vs. 2012 Bridge</v>
      </c>
    </row>
    <row r="41" spans="1:12" x14ac:dyDescent="0.2">
      <c r="A41" s="511" t="s">
        <v>222</v>
      </c>
      <c r="B41" s="632">
        <f t="shared" ref="B41:C42" si="20">B15</f>
        <v>3126141.3397847507</v>
      </c>
      <c r="C41" s="632">
        <f t="shared" si="20"/>
        <v>2926385</v>
      </c>
      <c r="D41" s="633">
        <f>B41-C41</f>
        <v>199756.33978475071</v>
      </c>
      <c r="E41" s="633">
        <f>D15</f>
        <v>3135697</v>
      </c>
      <c r="F41" s="633">
        <f>E41-C41</f>
        <v>209312</v>
      </c>
      <c r="G41" s="633">
        <f>E15</f>
        <v>3177397</v>
      </c>
      <c r="H41" s="633">
        <f>G41-E41</f>
        <v>41700</v>
      </c>
      <c r="I41" s="633">
        <f>F15</f>
        <v>3102525</v>
      </c>
      <c r="J41" s="633">
        <f>I41-G41</f>
        <v>-74872</v>
      </c>
      <c r="K41" s="633">
        <f>G15</f>
        <v>3467004</v>
      </c>
      <c r="L41" s="634">
        <f>K41-I41</f>
        <v>364479</v>
      </c>
    </row>
    <row r="42" spans="1:12" x14ac:dyDescent="0.2">
      <c r="A42" s="512" t="s">
        <v>672</v>
      </c>
      <c r="B42" s="635">
        <f t="shared" si="20"/>
        <v>139393.45242105116</v>
      </c>
      <c r="C42" s="635">
        <f t="shared" si="20"/>
        <v>162468</v>
      </c>
      <c r="D42" s="636">
        <f t="shared" ref="D42:D45" si="21">B42-C42</f>
        <v>-23074.547578948841</v>
      </c>
      <c r="E42" s="636">
        <f>D16</f>
        <v>175850</v>
      </c>
      <c r="F42" s="636">
        <f t="shared" ref="F42:F45" si="22">E42-C42</f>
        <v>13382</v>
      </c>
      <c r="G42" s="636">
        <f>E16</f>
        <v>157217</v>
      </c>
      <c r="H42" s="636">
        <f t="shared" ref="H42:L45" si="23">G42-E42</f>
        <v>-18633</v>
      </c>
      <c r="I42" s="636">
        <f>F16</f>
        <v>138100</v>
      </c>
      <c r="J42" s="636">
        <f t="shared" si="23"/>
        <v>-19117</v>
      </c>
      <c r="K42" s="636">
        <f>G16</f>
        <v>142600</v>
      </c>
      <c r="L42" s="637">
        <f t="shared" si="23"/>
        <v>4500</v>
      </c>
    </row>
    <row r="43" spans="1:12" x14ac:dyDescent="0.2">
      <c r="A43" s="512" t="s">
        <v>673</v>
      </c>
      <c r="B43" s="635">
        <f t="shared" ref="B43:C45" si="24">B20</f>
        <v>1324116.6555045429</v>
      </c>
      <c r="C43" s="635">
        <f t="shared" si="24"/>
        <v>1357619</v>
      </c>
      <c r="D43" s="636">
        <f t="shared" si="21"/>
        <v>-33502.344495457131</v>
      </c>
      <c r="E43" s="636">
        <f>D20</f>
        <v>1732894</v>
      </c>
      <c r="F43" s="636">
        <f t="shared" si="22"/>
        <v>375275</v>
      </c>
      <c r="G43" s="636">
        <f>E20</f>
        <v>1481275</v>
      </c>
      <c r="H43" s="636">
        <f t="shared" si="23"/>
        <v>-251619</v>
      </c>
      <c r="I43" s="636">
        <f>F20</f>
        <v>1467712</v>
      </c>
      <c r="J43" s="636">
        <f t="shared" si="23"/>
        <v>-13563</v>
      </c>
      <c r="K43" s="636">
        <f>G20</f>
        <v>2083111</v>
      </c>
      <c r="L43" s="637">
        <f t="shared" si="23"/>
        <v>615399</v>
      </c>
    </row>
    <row r="44" spans="1:12" x14ac:dyDescent="0.2">
      <c r="A44" s="512" t="s">
        <v>674</v>
      </c>
      <c r="B44" s="635">
        <f t="shared" si="24"/>
        <v>191768.57028676599</v>
      </c>
      <c r="C44" s="635">
        <f t="shared" si="24"/>
        <v>213194</v>
      </c>
      <c r="D44" s="636">
        <f t="shared" si="21"/>
        <v>-21425.429713234014</v>
      </c>
      <c r="E44" s="636">
        <f t="shared" ref="E44:E45" si="25">D21</f>
        <v>191747</v>
      </c>
      <c r="F44" s="636">
        <f t="shared" si="22"/>
        <v>-21447</v>
      </c>
      <c r="G44" s="636">
        <f t="shared" ref="G44:G45" si="26">E21</f>
        <v>256299</v>
      </c>
      <c r="H44" s="636">
        <f t="shared" si="23"/>
        <v>64552</v>
      </c>
      <c r="I44" s="636">
        <f t="shared" ref="I44:I45" si="27">F21</f>
        <v>270425</v>
      </c>
      <c r="J44" s="636">
        <f t="shared" si="23"/>
        <v>14126</v>
      </c>
      <c r="K44" s="636">
        <f t="shared" ref="K44:K45" si="28">G21</f>
        <v>258483</v>
      </c>
      <c r="L44" s="637">
        <f t="shared" si="23"/>
        <v>-11942</v>
      </c>
    </row>
    <row r="45" spans="1:12" x14ac:dyDescent="0.2">
      <c r="A45" s="512" t="s">
        <v>675</v>
      </c>
      <c r="B45" s="635">
        <f t="shared" si="24"/>
        <v>5209998.9820028897</v>
      </c>
      <c r="C45" s="635">
        <f t="shared" si="24"/>
        <v>5112516</v>
      </c>
      <c r="D45" s="636">
        <f t="shared" si="21"/>
        <v>97482.982002889737</v>
      </c>
      <c r="E45" s="636">
        <f t="shared" si="25"/>
        <v>5018632</v>
      </c>
      <c r="F45" s="636">
        <f t="shared" si="22"/>
        <v>-93884</v>
      </c>
      <c r="G45" s="636">
        <f t="shared" si="26"/>
        <v>5991270</v>
      </c>
      <c r="H45" s="636">
        <f t="shared" si="23"/>
        <v>972638</v>
      </c>
      <c r="I45" s="636">
        <f t="shared" si="27"/>
        <v>6479176</v>
      </c>
      <c r="J45" s="636">
        <f t="shared" si="23"/>
        <v>487906</v>
      </c>
      <c r="K45" s="636">
        <f t="shared" si="28"/>
        <v>7127630</v>
      </c>
      <c r="L45" s="637">
        <f t="shared" si="23"/>
        <v>648454</v>
      </c>
    </row>
    <row r="46" spans="1:12" x14ac:dyDescent="0.2">
      <c r="A46" s="512" t="s">
        <v>676</v>
      </c>
      <c r="B46" s="636">
        <f>SUM(B41:B45)</f>
        <v>9991419</v>
      </c>
      <c r="C46" s="636">
        <f t="shared" ref="C46:L46" si="29">SUM(C41:C45)</f>
        <v>9772182</v>
      </c>
      <c r="D46" s="636">
        <f t="shared" si="29"/>
        <v>219237.00000000047</v>
      </c>
      <c r="E46" s="636">
        <f t="shared" si="29"/>
        <v>10254820</v>
      </c>
      <c r="F46" s="636">
        <f t="shared" si="29"/>
        <v>482638</v>
      </c>
      <c r="G46" s="636">
        <f t="shared" si="29"/>
        <v>11063458</v>
      </c>
      <c r="H46" s="636">
        <f t="shared" si="29"/>
        <v>808638</v>
      </c>
      <c r="I46" s="636">
        <f t="shared" si="29"/>
        <v>11457938</v>
      </c>
      <c r="J46" s="636">
        <f t="shared" si="29"/>
        <v>394480</v>
      </c>
      <c r="K46" s="636">
        <f t="shared" si="29"/>
        <v>13078828</v>
      </c>
      <c r="L46" s="637">
        <f t="shared" si="29"/>
        <v>1620890</v>
      </c>
    </row>
    <row r="47" spans="1:12" x14ac:dyDescent="0.2">
      <c r="A47" s="512" t="s">
        <v>677</v>
      </c>
      <c r="B47" s="500"/>
      <c r="C47" s="501"/>
      <c r="D47" s="501"/>
      <c r="E47" s="636">
        <f>E46-C46</f>
        <v>482638</v>
      </c>
      <c r="F47" s="496"/>
      <c r="G47" s="636">
        <f>G46-E46</f>
        <v>808638</v>
      </c>
      <c r="H47" s="612"/>
      <c r="I47" s="636">
        <f>I46-G46</f>
        <v>394480</v>
      </c>
      <c r="J47" s="610"/>
      <c r="K47" s="636">
        <f>K46-I46</f>
        <v>1620890</v>
      </c>
      <c r="L47" s="607"/>
    </row>
    <row r="48" spans="1:12" x14ac:dyDescent="0.2">
      <c r="A48" s="512" t="s">
        <v>678</v>
      </c>
      <c r="B48" s="502"/>
      <c r="C48" s="503"/>
      <c r="D48" s="503"/>
      <c r="E48" s="493">
        <f>IF(ISERROR(E47/C46), "", E47/C46)</f>
        <v>4.938896962827749E-2</v>
      </c>
      <c r="F48" s="497"/>
      <c r="G48" s="493">
        <f>IF(ISERROR(G47/E46), "", G47/E46)</f>
        <v>7.8854431379585407E-2</v>
      </c>
      <c r="H48" s="613"/>
      <c r="I48" s="493">
        <f>IF(ISERROR(I47/G46), "", I47/G46)</f>
        <v>3.5656121259736329E-2</v>
      </c>
      <c r="J48" s="611"/>
      <c r="K48" s="493">
        <f>IF(ISERROR(K47/I46), "", K47/I46)</f>
        <v>0.14146437168712206</v>
      </c>
      <c r="L48" s="608"/>
    </row>
    <row r="49" spans="1:12" ht="24" x14ac:dyDescent="0.2">
      <c r="A49" s="512" t="s">
        <v>679</v>
      </c>
      <c r="B49" s="506"/>
      <c r="C49" s="507"/>
      <c r="D49" s="507"/>
      <c r="E49" s="508"/>
      <c r="F49" s="509"/>
      <c r="G49" s="494">
        <f>IF(ISERROR((K46-G46)/G46), "", (K46-G46)/G46)</f>
        <v>0.18216456373766682</v>
      </c>
      <c r="H49" s="615"/>
      <c r="I49" s="508"/>
      <c r="J49" s="510"/>
      <c r="K49" s="508"/>
      <c r="L49" s="616"/>
    </row>
    <row r="50" spans="1:12" ht="24" x14ac:dyDescent="0.2">
      <c r="A50" s="512" t="s">
        <v>289</v>
      </c>
      <c r="B50" s="506"/>
      <c r="C50" s="507"/>
      <c r="D50" s="507"/>
      <c r="E50" s="510"/>
      <c r="F50" s="510"/>
      <c r="G50" s="617">
        <f>IF(ISERROR((K46-C46)/C46), "", (K46-C46)/C46)</f>
        <v>0.33837335407793262</v>
      </c>
      <c r="H50" s="510"/>
      <c r="I50" s="510"/>
      <c r="J50" s="510"/>
      <c r="K50" s="510"/>
      <c r="L50" s="618">
        <f>IF(ISERROR(AVERAGE(E48,G48,I48,K48)), "", AVERAGE(E48,G48,I48,K48))</f>
        <v>7.6340973488680325E-2</v>
      </c>
    </row>
    <row r="51" spans="1:12" ht="24" x14ac:dyDescent="0.2">
      <c r="A51" s="512" t="s">
        <v>763</v>
      </c>
      <c r="B51" s="506"/>
      <c r="C51" s="507"/>
      <c r="D51" s="507"/>
      <c r="E51" s="510"/>
      <c r="F51" s="510"/>
      <c r="G51" s="617" t="str">
        <f>IF(ISERROR((K47-C47)/C47), "", (K47-C47)/C47)</f>
        <v/>
      </c>
      <c r="H51" s="510"/>
      <c r="I51" s="510"/>
      <c r="J51" s="510"/>
      <c r="K51" s="510"/>
      <c r="L51" s="619">
        <f>IF((K46-C46)=0, "", (K46/C46)^(1/5)-1)</f>
        <v>6.0023409528352722E-2</v>
      </c>
    </row>
    <row r="52" spans="1:12" ht="24.75" thickBot="1" x14ac:dyDescent="0.25">
      <c r="A52" s="513" t="str">
        <f>"Compound Growth Rate                                                            (" &amp; E13 &amp; " vs. " &amp; 'LDC Info'!E30 &amp; " Actuals)"</f>
        <v>Compound Growth Rate                                                            (2011 Actuals vs. 2009 Actuals)</v>
      </c>
      <c r="B52" s="504"/>
      <c r="C52" s="505"/>
      <c r="D52" s="505"/>
      <c r="E52" s="499"/>
      <c r="F52" s="498"/>
      <c r="G52" s="495">
        <f>IF(ISERROR((G46/C46)^(1/(2010-2008)) - 1), "", (G46-C46)/C46)</f>
        <v>0.13213794012432434</v>
      </c>
      <c r="H52" s="614"/>
      <c r="I52" s="499"/>
      <c r="J52" s="499"/>
      <c r="K52" s="499"/>
      <c r="L52" s="609"/>
    </row>
    <row r="53" spans="1:12" x14ac:dyDescent="0.2">
      <c r="A53" s="462"/>
      <c r="B53" s="462"/>
      <c r="C53" s="462"/>
      <c r="D53" s="462"/>
      <c r="E53" s="462"/>
      <c r="F53" s="462"/>
      <c r="G53" s="462"/>
      <c r="H53" s="462"/>
      <c r="I53" s="462"/>
      <c r="J53" s="462"/>
      <c r="K53" s="462"/>
    </row>
    <row r="54" spans="1:12" x14ac:dyDescent="0.2">
      <c r="A54" s="516" t="s">
        <v>229</v>
      </c>
      <c r="B54" s="462"/>
      <c r="C54" s="462"/>
      <c r="D54" s="462"/>
      <c r="E54" s="462"/>
      <c r="F54" s="462"/>
      <c r="G54" s="462"/>
      <c r="H54" s="462"/>
      <c r="I54" s="462"/>
      <c r="J54" s="462"/>
      <c r="K54" s="462"/>
    </row>
    <row r="55" spans="1:12" x14ac:dyDescent="0.2">
      <c r="A55" s="516"/>
      <c r="B55" s="462"/>
      <c r="C55" s="462"/>
      <c r="D55" s="462"/>
      <c r="E55" s="462"/>
      <c r="F55" s="462"/>
      <c r="G55" s="462"/>
      <c r="H55" s="462"/>
      <c r="I55" s="462"/>
      <c r="J55" s="462"/>
      <c r="K55" s="462"/>
    </row>
    <row r="56" spans="1:12" x14ac:dyDescent="0.2">
      <c r="A56" s="514" t="s">
        <v>680</v>
      </c>
      <c r="B56" s="462"/>
      <c r="C56" s="462"/>
      <c r="D56" s="462"/>
      <c r="E56" s="462"/>
      <c r="F56" s="462"/>
      <c r="G56" s="462"/>
      <c r="H56" s="462"/>
      <c r="I56" s="462"/>
      <c r="J56" s="462"/>
      <c r="K56" s="462"/>
    </row>
    <row r="57" spans="1:12" ht="12.75" customHeight="1" x14ac:dyDescent="0.2">
      <c r="A57" s="1267" t="s">
        <v>681</v>
      </c>
      <c r="B57" s="1267"/>
      <c r="C57" s="1267"/>
      <c r="D57" s="1267"/>
      <c r="E57" s="1267"/>
      <c r="F57" s="1267"/>
      <c r="G57" s="1267"/>
      <c r="H57" s="1267"/>
      <c r="I57" s="1267"/>
      <c r="J57" s="1267"/>
      <c r="K57" s="1267"/>
      <c r="L57" s="1267"/>
    </row>
    <row r="58" spans="1:12" x14ac:dyDescent="0.2">
      <c r="A58" s="1267"/>
      <c r="B58" s="1267"/>
      <c r="C58" s="1267"/>
      <c r="D58" s="1267"/>
      <c r="E58" s="1267"/>
      <c r="F58" s="1267"/>
      <c r="G58" s="1267"/>
      <c r="H58" s="1267"/>
      <c r="I58" s="1267"/>
      <c r="J58" s="1267"/>
      <c r="K58" s="1267"/>
      <c r="L58" s="1267"/>
    </row>
    <row r="59" spans="1:12" x14ac:dyDescent="0.2">
      <c r="A59" s="515" t="s">
        <v>762</v>
      </c>
      <c r="B59" s="330"/>
      <c r="C59" s="330"/>
      <c r="D59" s="330"/>
      <c r="E59" s="330"/>
      <c r="F59" s="330"/>
      <c r="G59" s="330"/>
      <c r="H59" s="330"/>
      <c r="I59" s="330"/>
      <c r="J59" s="330"/>
      <c r="K59" s="330"/>
      <c r="L59" s="330"/>
    </row>
    <row r="60" spans="1:12" x14ac:dyDescent="0.2">
      <c r="A60" s="330"/>
      <c r="B60" s="330"/>
      <c r="C60" s="330"/>
      <c r="D60" s="330"/>
      <c r="E60" s="330"/>
      <c r="F60" s="330"/>
      <c r="G60" s="330"/>
      <c r="H60" s="330"/>
      <c r="I60" s="330"/>
      <c r="J60" s="330"/>
      <c r="K60" s="330"/>
      <c r="L60" s="330"/>
    </row>
    <row r="61" spans="1:12" x14ac:dyDescent="0.2">
      <c r="A61" s="945" t="s">
        <v>1020</v>
      </c>
      <c r="B61" s="330"/>
      <c r="C61" s="330"/>
      <c r="D61" s="330"/>
      <c r="E61" s="330"/>
      <c r="F61" s="330"/>
      <c r="G61" s="462"/>
      <c r="H61" s="462"/>
      <c r="I61" s="462"/>
      <c r="J61" s="462"/>
      <c r="K61" s="462"/>
    </row>
    <row r="62" spans="1:12" x14ac:dyDescent="0.2">
      <c r="A62" s="169" t="s">
        <v>1021</v>
      </c>
      <c r="B62" s="961"/>
      <c r="C62" s="961"/>
      <c r="D62" s="961"/>
      <c r="E62" s="961"/>
      <c r="F62" s="961"/>
      <c r="G62" s="462"/>
      <c r="H62" s="462"/>
      <c r="I62" s="462"/>
      <c r="J62" s="462"/>
      <c r="K62" s="462"/>
    </row>
    <row r="63" spans="1:12" x14ac:dyDescent="0.2">
      <c r="A63" s="169"/>
      <c r="B63" s="961"/>
      <c r="C63" s="961"/>
      <c r="D63" s="961"/>
      <c r="E63" s="961"/>
      <c r="F63" s="961"/>
      <c r="G63" s="462"/>
      <c r="H63" s="462"/>
      <c r="I63" s="462"/>
      <c r="J63" s="462"/>
      <c r="K63" s="462"/>
    </row>
    <row r="64" spans="1:12" x14ac:dyDescent="0.2">
      <c r="A64" s="462"/>
      <c r="B64" s="462"/>
      <c r="C64" s="462"/>
      <c r="D64" s="462"/>
      <c r="E64" s="462"/>
      <c r="F64" s="462"/>
      <c r="G64" s="462"/>
      <c r="H64" s="462"/>
      <c r="I64" s="462"/>
      <c r="J64" s="462"/>
      <c r="K64" s="462"/>
    </row>
    <row r="65" spans="1:11" x14ac:dyDescent="0.2">
      <c r="A65" s="462"/>
      <c r="B65" s="462"/>
      <c r="C65" s="462"/>
      <c r="D65" s="462"/>
      <c r="E65" s="462"/>
      <c r="F65" s="462"/>
      <c r="G65" s="462"/>
      <c r="H65" s="462"/>
      <c r="I65" s="462"/>
      <c r="J65" s="462"/>
      <c r="K65" s="462"/>
    </row>
    <row r="66" spans="1:11" x14ac:dyDescent="0.2">
      <c r="A66" s="462"/>
      <c r="B66" s="462"/>
      <c r="C66" s="462"/>
      <c r="D66" s="462"/>
      <c r="E66" s="462"/>
      <c r="F66" s="462"/>
      <c r="G66" s="462"/>
      <c r="H66" s="462"/>
      <c r="I66" s="462"/>
      <c r="J66" s="462"/>
      <c r="K66" s="462"/>
    </row>
    <row r="67" spans="1:11" x14ac:dyDescent="0.2">
      <c r="A67" s="462"/>
      <c r="B67" s="462"/>
      <c r="C67" s="462"/>
      <c r="D67" s="462"/>
      <c r="E67" s="462"/>
      <c r="F67" s="462"/>
      <c r="G67" s="462"/>
      <c r="H67" s="462"/>
      <c r="I67" s="462"/>
      <c r="J67" s="462"/>
      <c r="K67" s="462"/>
    </row>
    <row r="68" spans="1:11" x14ac:dyDescent="0.2">
      <c r="A68" s="462"/>
      <c r="B68" s="462"/>
      <c r="C68" s="462"/>
      <c r="D68" s="462"/>
      <c r="E68" s="462"/>
      <c r="F68" s="462"/>
      <c r="G68" s="462"/>
      <c r="H68" s="462"/>
      <c r="I68" s="462"/>
      <c r="J68" s="462"/>
      <c r="K68" s="462"/>
    </row>
    <row r="69" spans="1:11" x14ac:dyDescent="0.2">
      <c r="A69" s="462"/>
      <c r="B69" s="462"/>
      <c r="C69" s="462"/>
      <c r="D69" s="462"/>
      <c r="E69" s="462"/>
      <c r="F69" s="462"/>
      <c r="G69" s="462"/>
      <c r="H69" s="462"/>
      <c r="I69" s="462"/>
      <c r="J69" s="462"/>
      <c r="K69" s="462"/>
    </row>
    <row r="70" spans="1:11" x14ac:dyDescent="0.2">
      <c r="A70" s="462"/>
      <c r="B70" s="462"/>
      <c r="C70" s="462"/>
      <c r="D70" s="462"/>
      <c r="E70" s="462"/>
      <c r="F70" s="462"/>
      <c r="G70" s="462"/>
      <c r="H70" s="462"/>
      <c r="I70" s="462"/>
      <c r="J70" s="462"/>
      <c r="K70" s="462"/>
    </row>
    <row r="71" spans="1:11" x14ac:dyDescent="0.2">
      <c r="A71" s="462"/>
      <c r="B71" s="462"/>
      <c r="C71" s="462"/>
      <c r="D71" s="462"/>
      <c r="E71" s="462"/>
      <c r="F71" s="462"/>
      <c r="G71" s="462"/>
      <c r="H71" s="462"/>
      <c r="I71" s="462"/>
      <c r="J71" s="462"/>
      <c r="K71" s="462"/>
    </row>
    <row r="72" spans="1:11" x14ac:dyDescent="0.2">
      <c r="A72" s="462"/>
      <c r="B72" s="462"/>
      <c r="C72" s="462"/>
      <c r="D72" s="462"/>
      <c r="E72" s="462"/>
      <c r="F72" s="462"/>
      <c r="G72" s="462"/>
      <c r="H72" s="462"/>
      <c r="I72" s="462"/>
      <c r="J72" s="462"/>
      <c r="K72" s="462"/>
    </row>
    <row r="73" spans="1:11" x14ac:dyDescent="0.2">
      <c r="A73" s="462"/>
      <c r="B73" s="462"/>
      <c r="C73" s="462"/>
      <c r="D73" s="462"/>
      <c r="E73" s="462"/>
      <c r="F73" s="462"/>
      <c r="G73" s="462"/>
      <c r="H73" s="462"/>
      <c r="I73" s="462"/>
      <c r="J73" s="462"/>
      <c r="K73" s="462"/>
    </row>
    <row r="74" spans="1:11" x14ac:dyDescent="0.2">
      <c r="A74" s="462"/>
      <c r="B74" s="462"/>
      <c r="C74" s="462"/>
      <c r="D74" s="462"/>
      <c r="E74" s="462"/>
      <c r="F74" s="462"/>
      <c r="G74" s="462"/>
      <c r="H74" s="462"/>
      <c r="I74" s="462"/>
      <c r="J74" s="462"/>
      <c r="K74" s="462"/>
    </row>
    <row r="75" spans="1:11" x14ac:dyDescent="0.2">
      <c r="A75" s="462"/>
      <c r="B75" s="462"/>
      <c r="C75" s="462"/>
      <c r="D75" s="462"/>
      <c r="E75" s="462"/>
      <c r="F75" s="462"/>
      <c r="G75" s="462"/>
      <c r="H75" s="462"/>
      <c r="I75" s="462"/>
      <c r="J75" s="462"/>
      <c r="K75" s="462"/>
    </row>
    <row r="76" spans="1:11" x14ac:dyDescent="0.2">
      <c r="A76" s="462"/>
      <c r="B76" s="462"/>
      <c r="C76" s="462"/>
      <c r="D76" s="462"/>
      <c r="E76" s="462"/>
      <c r="F76" s="462"/>
      <c r="G76" s="462"/>
      <c r="H76" s="462"/>
      <c r="I76" s="462"/>
      <c r="J76" s="462"/>
      <c r="K76" s="462"/>
    </row>
    <row r="77" spans="1:11" x14ac:dyDescent="0.2">
      <c r="A77" s="462"/>
      <c r="B77" s="462"/>
      <c r="C77" s="462"/>
      <c r="D77" s="462"/>
      <c r="E77" s="462"/>
      <c r="F77" s="462"/>
      <c r="G77" s="462"/>
      <c r="H77" s="462"/>
      <c r="I77" s="462"/>
      <c r="J77" s="462"/>
      <c r="K77" s="462"/>
    </row>
    <row r="78" spans="1:11" x14ac:dyDescent="0.2">
      <c r="A78" s="462"/>
      <c r="B78" s="462"/>
      <c r="C78" s="462"/>
      <c r="D78" s="462"/>
      <c r="E78" s="462"/>
      <c r="F78" s="462"/>
      <c r="G78" s="462"/>
      <c r="H78" s="462"/>
      <c r="I78" s="462"/>
      <c r="J78" s="462"/>
      <c r="K78" s="462"/>
    </row>
    <row r="79" spans="1:11" x14ac:dyDescent="0.2">
      <c r="A79" s="462"/>
      <c r="B79" s="462"/>
      <c r="C79" s="462"/>
      <c r="D79" s="462"/>
      <c r="E79" s="462"/>
      <c r="F79" s="462"/>
      <c r="G79" s="462"/>
      <c r="H79" s="462"/>
      <c r="I79" s="462"/>
      <c r="J79" s="462"/>
      <c r="K79" s="462"/>
    </row>
    <row r="80" spans="1:11" x14ac:dyDescent="0.2">
      <c r="A80" s="462"/>
      <c r="B80" s="462"/>
      <c r="C80" s="462"/>
      <c r="D80" s="462"/>
      <c r="E80" s="462"/>
      <c r="F80" s="462"/>
      <c r="G80" s="462"/>
      <c r="H80" s="462"/>
      <c r="I80" s="462"/>
      <c r="J80" s="462"/>
      <c r="K80" s="462"/>
    </row>
    <row r="81" spans="1:11" x14ac:dyDescent="0.2">
      <c r="A81" s="462"/>
      <c r="B81" s="462"/>
      <c r="C81" s="462"/>
      <c r="D81" s="462"/>
      <c r="E81" s="462"/>
      <c r="F81" s="462"/>
      <c r="G81" s="462"/>
      <c r="H81" s="462"/>
      <c r="I81" s="462"/>
      <c r="J81" s="462"/>
      <c r="K81" s="462"/>
    </row>
    <row r="82" spans="1:11" x14ac:dyDescent="0.2">
      <c r="A82" s="462"/>
      <c r="B82" s="462"/>
      <c r="C82" s="462"/>
      <c r="D82" s="462"/>
      <c r="E82" s="462"/>
      <c r="F82" s="462"/>
      <c r="G82" s="462"/>
      <c r="H82" s="462"/>
      <c r="I82" s="462"/>
      <c r="J82" s="462"/>
      <c r="K82" s="462"/>
    </row>
    <row r="83" spans="1:11" x14ac:dyDescent="0.2">
      <c r="A83" s="462"/>
      <c r="B83" s="462"/>
      <c r="C83" s="462"/>
      <c r="D83" s="462"/>
      <c r="E83" s="462"/>
      <c r="F83" s="462"/>
      <c r="G83" s="462"/>
      <c r="H83" s="462"/>
      <c r="I83" s="462"/>
      <c r="J83" s="462"/>
      <c r="K83" s="462"/>
    </row>
    <row r="84" spans="1:11" x14ac:dyDescent="0.2">
      <c r="A84" s="462"/>
      <c r="B84" s="462"/>
      <c r="C84" s="462"/>
      <c r="D84" s="462"/>
      <c r="E84" s="462"/>
      <c r="F84" s="462"/>
      <c r="G84" s="462"/>
      <c r="H84" s="462"/>
      <c r="I84" s="462"/>
      <c r="J84" s="462"/>
      <c r="K84" s="462"/>
    </row>
    <row r="85" spans="1:11" x14ac:dyDescent="0.2">
      <c r="A85" s="462"/>
      <c r="B85" s="462"/>
      <c r="C85" s="462"/>
      <c r="D85" s="462"/>
      <c r="E85" s="462"/>
      <c r="F85" s="462"/>
      <c r="G85" s="462"/>
      <c r="H85" s="462"/>
      <c r="I85" s="462"/>
      <c r="J85" s="462"/>
      <c r="K85" s="462"/>
    </row>
    <row r="86" spans="1:11" x14ac:dyDescent="0.2">
      <c r="A86" s="462"/>
      <c r="B86" s="462"/>
      <c r="C86" s="462"/>
      <c r="D86" s="462"/>
      <c r="E86" s="462"/>
      <c r="F86" s="462"/>
      <c r="G86" s="462"/>
      <c r="H86" s="462"/>
      <c r="I86" s="462"/>
      <c r="J86" s="462"/>
      <c r="K86" s="462"/>
    </row>
    <row r="87" spans="1:11" x14ac:dyDescent="0.2">
      <c r="A87" s="462"/>
      <c r="B87" s="462"/>
      <c r="C87" s="462"/>
      <c r="D87" s="462"/>
      <c r="E87" s="462"/>
      <c r="F87" s="462"/>
      <c r="G87" s="462"/>
      <c r="H87" s="462"/>
      <c r="I87" s="462"/>
      <c r="J87" s="462"/>
      <c r="K87" s="462"/>
    </row>
    <row r="88" spans="1:11" x14ac:dyDescent="0.2">
      <c r="A88" s="462"/>
      <c r="B88" s="462"/>
      <c r="C88" s="462"/>
      <c r="D88" s="462"/>
      <c r="E88" s="462"/>
      <c r="F88" s="462"/>
      <c r="G88" s="462"/>
      <c r="H88" s="462"/>
      <c r="I88" s="462"/>
      <c r="J88" s="462"/>
      <c r="K88" s="462"/>
    </row>
    <row r="89" spans="1:11" x14ac:dyDescent="0.2">
      <c r="A89" s="462"/>
      <c r="B89" s="462"/>
      <c r="C89" s="462"/>
      <c r="D89" s="462"/>
      <c r="E89" s="462"/>
      <c r="F89" s="462"/>
      <c r="G89" s="462"/>
      <c r="H89" s="462"/>
      <c r="I89" s="462"/>
      <c r="J89" s="462"/>
      <c r="K89" s="462"/>
    </row>
    <row r="90" spans="1:11" x14ac:dyDescent="0.2">
      <c r="A90" s="462"/>
      <c r="B90" s="462"/>
      <c r="C90" s="462"/>
      <c r="D90" s="462"/>
      <c r="E90" s="462"/>
      <c r="F90" s="462"/>
      <c r="G90" s="462"/>
      <c r="H90" s="462"/>
      <c r="I90" s="462"/>
      <c r="J90" s="462"/>
      <c r="K90" s="462"/>
    </row>
    <row r="91" spans="1:11" x14ac:dyDescent="0.2">
      <c r="A91" s="462"/>
      <c r="B91" s="462"/>
      <c r="C91" s="462"/>
      <c r="D91" s="462"/>
      <c r="E91" s="462"/>
      <c r="F91" s="462"/>
      <c r="G91" s="462"/>
      <c r="H91" s="462"/>
      <c r="I91" s="462"/>
      <c r="J91" s="462"/>
      <c r="K91" s="462"/>
    </row>
    <row r="92" spans="1:11" x14ac:dyDescent="0.2">
      <c r="A92" s="462"/>
      <c r="B92" s="462"/>
      <c r="C92" s="462"/>
      <c r="D92" s="462"/>
      <c r="E92" s="462"/>
      <c r="F92" s="462"/>
      <c r="G92" s="462"/>
      <c r="H92" s="462"/>
      <c r="I92" s="462"/>
      <c r="J92" s="462"/>
      <c r="K92" s="462"/>
    </row>
    <row r="93" spans="1:11" x14ac:dyDescent="0.2">
      <c r="A93" s="462"/>
      <c r="B93" s="462"/>
      <c r="C93" s="462"/>
      <c r="D93" s="462"/>
      <c r="E93" s="462"/>
      <c r="F93" s="462"/>
      <c r="G93" s="462"/>
      <c r="H93" s="462"/>
      <c r="I93" s="462"/>
      <c r="J93" s="462"/>
      <c r="K93" s="462"/>
    </row>
    <row r="94" spans="1:11" x14ac:dyDescent="0.2">
      <c r="A94" s="462"/>
      <c r="B94" s="462"/>
      <c r="C94" s="462"/>
      <c r="D94" s="462"/>
      <c r="E94" s="462"/>
      <c r="F94" s="462"/>
      <c r="G94" s="462"/>
      <c r="H94" s="462"/>
      <c r="I94" s="462"/>
      <c r="J94" s="462"/>
      <c r="K94" s="462"/>
    </row>
    <row r="95" spans="1:11" x14ac:dyDescent="0.2">
      <c r="A95" s="462"/>
      <c r="B95" s="462"/>
      <c r="C95" s="462"/>
      <c r="D95" s="462"/>
      <c r="E95" s="462"/>
      <c r="F95" s="462"/>
      <c r="G95" s="462"/>
      <c r="H95" s="462"/>
      <c r="I95" s="462"/>
      <c r="J95" s="462"/>
      <c r="K95" s="462"/>
    </row>
    <row r="96" spans="1:11" x14ac:dyDescent="0.2">
      <c r="A96" s="462"/>
      <c r="B96" s="462"/>
      <c r="C96" s="462"/>
      <c r="D96" s="462"/>
      <c r="E96" s="462"/>
      <c r="F96" s="462"/>
      <c r="G96" s="462"/>
      <c r="H96" s="462"/>
      <c r="I96" s="462"/>
      <c r="J96" s="462"/>
      <c r="K96" s="462"/>
    </row>
    <row r="97" spans="1:11" x14ac:dyDescent="0.2">
      <c r="A97" s="462"/>
      <c r="B97" s="462"/>
      <c r="C97" s="462"/>
      <c r="D97" s="462"/>
      <c r="E97" s="462"/>
      <c r="F97" s="462"/>
      <c r="G97" s="462"/>
      <c r="H97" s="462"/>
      <c r="I97" s="462"/>
      <c r="J97" s="462"/>
      <c r="K97" s="462"/>
    </row>
    <row r="98" spans="1:11" x14ac:dyDescent="0.2">
      <c r="A98" s="462"/>
      <c r="B98" s="462"/>
      <c r="C98" s="462"/>
      <c r="D98" s="462"/>
      <c r="E98" s="462"/>
      <c r="F98" s="462"/>
      <c r="G98" s="462"/>
      <c r="H98" s="462"/>
      <c r="I98" s="462"/>
      <c r="J98" s="462"/>
      <c r="K98" s="462"/>
    </row>
    <row r="99" spans="1:11" x14ac:dyDescent="0.2">
      <c r="A99" s="462"/>
      <c r="B99" s="462"/>
      <c r="C99" s="462"/>
      <c r="D99" s="462"/>
      <c r="E99" s="462"/>
      <c r="F99" s="462"/>
      <c r="G99" s="462"/>
      <c r="H99" s="462"/>
      <c r="I99" s="462"/>
      <c r="J99" s="462"/>
      <c r="K99" s="462"/>
    </row>
    <row r="100" spans="1:11" x14ac:dyDescent="0.2">
      <c r="A100" s="462"/>
      <c r="B100" s="462"/>
      <c r="C100" s="462"/>
      <c r="D100" s="462"/>
      <c r="E100" s="462"/>
      <c r="F100" s="462"/>
      <c r="G100" s="462"/>
      <c r="H100" s="462"/>
      <c r="I100" s="462"/>
      <c r="J100" s="462"/>
      <c r="K100" s="462"/>
    </row>
    <row r="101" spans="1:11" x14ac:dyDescent="0.2">
      <c r="A101" s="462"/>
      <c r="B101" s="462"/>
      <c r="C101" s="462"/>
      <c r="D101" s="462"/>
      <c r="E101" s="462"/>
      <c r="F101" s="462"/>
      <c r="G101" s="462"/>
      <c r="H101" s="462"/>
      <c r="I101" s="462"/>
      <c r="J101" s="462"/>
      <c r="K101" s="462"/>
    </row>
    <row r="102" spans="1:11" x14ac:dyDescent="0.2">
      <c r="A102" s="462"/>
      <c r="B102" s="462"/>
      <c r="C102" s="462"/>
      <c r="D102" s="462"/>
      <c r="E102" s="462"/>
      <c r="F102" s="462"/>
      <c r="G102" s="462"/>
      <c r="H102" s="462"/>
      <c r="I102" s="462"/>
      <c r="J102" s="462"/>
      <c r="K102" s="462"/>
    </row>
    <row r="103" spans="1:11" x14ac:dyDescent="0.2">
      <c r="A103" s="462"/>
      <c r="B103" s="462"/>
      <c r="C103" s="462"/>
      <c r="D103" s="462"/>
      <c r="E103" s="462"/>
      <c r="F103" s="462"/>
      <c r="G103" s="462"/>
      <c r="H103" s="462"/>
      <c r="I103" s="462"/>
      <c r="J103" s="462"/>
      <c r="K103" s="462"/>
    </row>
    <row r="104" spans="1:11" x14ac:dyDescent="0.2">
      <c r="A104" s="462"/>
      <c r="B104" s="462"/>
      <c r="C104" s="462"/>
      <c r="D104" s="462"/>
      <c r="E104" s="462"/>
      <c r="F104" s="462"/>
      <c r="G104" s="462"/>
      <c r="H104" s="462"/>
      <c r="I104" s="462"/>
      <c r="J104" s="462"/>
      <c r="K104" s="462"/>
    </row>
    <row r="105" spans="1:11" x14ac:dyDescent="0.2">
      <c r="A105" s="462"/>
      <c r="B105" s="462"/>
      <c r="C105" s="462"/>
      <c r="D105" s="462"/>
      <c r="E105" s="462"/>
      <c r="F105" s="462"/>
      <c r="G105" s="462"/>
      <c r="H105" s="462"/>
      <c r="I105" s="462"/>
      <c r="J105" s="462"/>
      <c r="K105" s="462"/>
    </row>
    <row r="106" spans="1:11" x14ac:dyDescent="0.2">
      <c r="A106" s="462"/>
      <c r="B106" s="462"/>
      <c r="C106" s="462"/>
      <c r="D106" s="462"/>
      <c r="E106" s="462"/>
      <c r="F106" s="462"/>
      <c r="G106" s="462"/>
      <c r="H106" s="462"/>
      <c r="I106" s="462"/>
      <c r="J106" s="462"/>
      <c r="K106" s="462"/>
    </row>
    <row r="107" spans="1:11" x14ac:dyDescent="0.2">
      <c r="A107" s="462"/>
      <c r="B107" s="462"/>
      <c r="C107" s="462"/>
      <c r="D107" s="462"/>
      <c r="E107" s="462"/>
      <c r="F107" s="462"/>
      <c r="G107" s="462"/>
      <c r="H107" s="462"/>
      <c r="I107" s="462"/>
      <c r="J107" s="462"/>
      <c r="K107" s="462"/>
    </row>
    <row r="108" spans="1:11" x14ac:dyDescent="0.2">
      <c r="A108" s="462"/>
      <c r="B108" s="462"/>
      <c r="C108" s="462"/>
      <c r="D108" s="462"/>
      <c r="E108" s="462"/>
      <c r="F108" s="462"/>
      <c r="G108" s="462"/>
      <c r="H108" s="462"/>
      <c r="I108" s="462"/>
      <c r="J108" s="462"/>
      <c r="K108" s="462"/>
    </row>
    <row r="109" spans="1:11" x14ac:dyDescent="0.2">
      <c r="A109" s="462"/>
      <c r="B109" s="462"/>
      <c r="C109" s="462"/>
      <c r="D109" s="462"/>
      <c r="E109" s="462"/>
      <c r="F109" s="462"/>
      <c r="G109" s="462"/>
      <c r="H109" s="462"/>
      <c r="I109" s="462"/>
      <c r="J109" s="462"/>
      <c r="K109" s="462"/>
    </row>
    <row r="110" spans="1:11" x14ac:dyDescent="0.2">
      <c r="A110" s="462"/>
      <c r="B110" s="462"/>
      <c r="C110" s="462"/>
      <c r="D110" s="462"/>
      <c r="E110" s="462"/>
      <c r="F110" s="462"/>
      <c r="G110" s="462"/>
      <c r="H110" s="462"/>
      <c r="I110" s="462"/>
      <c r="J110" s="462"/>
      <c r="K110" s="462"/>
    </row>
    <row r="111" spans="1:11" x14ac:dyDescent="0.2">
      <c r="A111" s="462"/>
      <c r="B111" s="462"/>
      <c r="C111" s="462"/>
      <c r="D111" s="462"/>
      <c r="E111" s="462"/>
      <c r="F111" s="462"/>
      <c r="G111" s="462"/>
      <c r="H111" s="462"/>
      <c r="I111" s="462"/>
      <c r="J111" s="462"/>
      <c r="K111" s="462"/>
    </row>
    <row r="112" spans="1:11" x14ac:dyDescent="0.2">
      <c r="A112" s="462"/>
      <c r="B112" s="462"/>
      <c r="C112" s="462"/>
      <c r="D112" s="462"/>
      <c r="E112" s="462"/>
      <c r="F112" s="462"/>
      <c r="G112" s="462"/>
      <c r="H112" s="462"/>
      <c r="I112" s="462"/>
      <c r="J112" s="462"/>
      <c r="K112" s="462"/>
    </row>
    <row r="113" spans="1:11" x14ac:dyDescent="0.2">
      <c r="A113" s="462"/>
      <c r="B113" s="462"/>
      <c r="C113" s="462"/>
      <c r="D113" s="462"/>
      <c r="E113" s="462"/>
      <c r="F113" s="462"/>
      <c r="G113" s="462"/>
      <c r="H113" s="462"/>
      <c r="I113" s="462"/>
      <c r="J113" s="462"/>
      <c r="K113" s="462"/>
    </row>
    <row r="114" spans="1:11" x14ac:dyDescent="0.2">
      <c r="A114" s="462"/>
      <c r="B114" s="462"/>
      <c r="C114" s="462"/>
      <c r="D114" s="462"/>
      <c r="E114" s="462"/>
      <c r="F114" s="462"/>
      <c r="G114" s="462"/>
      <c r="H114" s="462"/>
      <c r="I114" s="462"/>
      <c r="J114" s="462"/>
      <c r="K114" s="462"/>
    </row>
    <row r="115" spans="1:11" x14ac:dyDescent="0.2">
      <c r="A115" s="462"/>
      <c r="B115" s="462"/>
      <c r="C115" s="462"/>
      <c r="D115" s="462"/>
      <c r="E115" s="462"/>
      <c r="F115" s="462"/>
      <c r="G115" s="462"/>
      <c r="H115" s="462"/>
      <c r="I115" s="462"/>
      <c r="J115" s="462"/>
      <c r="K115" s="462"/>
    </row>
    <row r="116" spans="1:11" x14ac:dyDescent="0.2">
      <c r="A116" s="462"/>
      <c r="B116" s="462"/>
      <c r="C116" s="462"/>
      <c r="D116" s="462"/>
      <c r="E116" s="462"/>
      <c r="F116" s="462"/>
      <c r="G116" s="462"/>
      <c r="H116" s="462"/>
      <c r="I116" s="462"/>
      <c r="J116" s="462"/>
      <c r="K116" s="462"/>
    </row>
    <row r="117" spans="1:11" x14ac:dyDescent="0.2">
      <c r="A117" s="462"/>
      <c r="B117" s="462"/>
      <c r="C117" s="462"/>
      <c r="D117" s="462"/>
      <c r="E117" s="462"/>
      <c r="F117" s="462"/>
      <c r="G117" s="462"/>
      <c r="H117" s="462"/>
      <c r="I117" s="462"/>
      <c r="J117" s="462"/>
      <c r="K117" s="462"/>
    </row>
    <row r="118" spans="1:11" x14ac:dyDescent="0.2">
      <c r="A118" s="462"/>
      <c r="B118" s="462"/>
      <c r="C118" s="462"/>
      <c r="D118" s="462"/>
      <c r="E118" s="462"/>
      <c r="F118" s="462"/>
      <c r="G118" s="462"/>
      <c r="H118" s="462"/>
      <c r="I118" s="462"/>
      <c r="J118" s="462"/>
      <c r="K118" s="462"/>
    </row>
    <row r="119" spans="1:11" x14ac:dyDescent="0.2">
      <c r="A119" s="462"/>
      <c r="B119" s="462"/>
      <c r="C119" s="462"/>
      <c r="D119" s="462"/>
      <c r="E119" s="462"/>
      <c r="F119" s="462"/>
      <c r="G119" s="462"/>
      <c r="H119" s="462"/>
      <c r="I119" s="462"/>
      <c r="J119" s="462"/>
      <c r="K119" s="462"/>
    </row>
    <row r="120" spans="1:11" x14ac:dyDescent="0.2">
      <c r="A120" s="462"/>
      <c r="B120" s="462"/>
      <c r="C120" s="462"/>
      <c r="D120" s="462"/>
      <c r="E120" s="462"/>
      <c r="F120" s="462"/>
      <c r="G120" s="462"/>
      <c r="H120" s="462"/>
      <c r="I120" s="462"/>
      <c r="J120" s="462"/>
      <c r="K120" s="462"/>
    </row>
    <row r="121" spans="1:11" x14ac:dyDescent="0.2">
      <c r="A121" s="462"/>
      <c r="B121" s="462"/>
      <c r="C121" s="462"/>
      <c r="D121" s="462"/>
      <c r="E121" s="462"/>
      <c r="F121" s="462"/>
      <c r="G121" s="462"/>
      <c r="H121" s="462"/>
      <c r="I121" s="462"/>
      <c r="J121" s="462"/>
      <c r="K121" s="462"/>
    </row>
    <row r="122" spans="1:11" x14ac:dyDescent="0.2">
      <c r="A122" s="462"/>
      <c r="B122" s="462"/>
      <c r="C122" s="462"/>
      <c r="D122" s="462"/>
      <c r="E122" s="462"/>
      <c r="F122" s="462"/>
      <c r="G122" s="462"/>
      <c r="H122" s="462"/>
      <c r="I122" s="462"/>
      <c r="J122" s="462"/>
      <c r="K122" s="462"/>
    </row>
    <row r="123" spans="1:11" x14ac:dyDescent="0.2">
      <c r="A123" s="462"/>
      <c r="B123" s="462"/>
      <c r="C123" s="462"/>
      <c r="D123" s="462"/>
      <c r="E123" s="462"/>
      <c r="F123" s="462"/>
      <c r="G123" s="462"/>
      <c r="H123" s="462"/>
      <c r="I123" s="462"/>
      <c r="J123" s="462"/>
      <c r="K123" s="462"/>
    </row>
    <row r="124" spans="1:11" x14ac:dyDescent="0.2">
      <c r="A124" s="462"/>
      <c r="B124" s="462"/>
      <c r="C124" s="462"/>
      <c r="D124" s="462"/>
      <c r="E124" s="462"/>
      <c r="F124" s="462"/>
      <c r="G124" s="462"/>
      <c r="H124" s="462"/>
      <c r="I124" s="462"/>
      <c r="J124" s="462"/>
      <c r="K124" s="462"/>
    </row>
    <row r="125" spans="1:11" x14ac:dyDescent="0.2">
      <c r="A125" s="462"/>
      <c r="B125" s="462"/>
      <c r="C125" s="462"/>
      <c r="D125" s="462"/>
      <c r="E125" s="462"/>
      <c r="F125" s="462"/>
      <c r="G125" s="462"/>
      <c r="H125" s="462"/>
      <c r="I125" s="462"/>
      <c r="J125" s="462"/>
      <c r="K125" s="462"/>
    </row>
    <row r="126" spans="1:11" x14ac:dyDescent="0.2">
      <c r="A126" s="462"/>
      <c r="B126" s="462"/>
      <c r="C126" s="462"/>
      <c r="D126" s="462"/>
      <c r="E126" s="462"/>
      <c r="F126" s="462"/>
      <c r="G126" s="462"/>
      <c r="H126" s="462"/>
      <c r="I126" s="462"/>
      <c r="J126" s="462"/>
      <c r="K126" s="462"/>
    </row>
    <row r="127" spans="1:11" x14ac:dyDescent="0.2">
      <c r="A127" s="462"/>
      <c r="B127" s="462"/>
      <c r="C127" s="462"/>
      <c r="D127" s="462"/>
      <c r="E127" s="462"/>
      <c r="F127" s="462"/>
      <c r="G127" s="462"/>
      <c r="H127" s="462"/>
      <c r="I127" s="462"/>
      <c r="J127" s="462"/>
      <c r="K127" s="462"/>
    </row>
    <row r="128" spans="1:11" x14ac:dyDescent="0.2">
      <c r="A128" s="462"/>
      <c r="B128" s="462"/>
      <c r="C128" s="462"/>
      <c r="D128" s="462"/>
      <c r="E128" s="462"/>
      <c r="F128" s="462"/>
      <c r="G128" s="462"/>
      <c r="H128" s="462"/>
      <c r="I128" s="462"/>
      <c r="J128" s="462"/>
      <c r="K128" s="462"/>
    </row>
    <row r="129" spans="1:11" x14ac:dyDescent="0.2">
      <c r="A129" s="462"/>
      <c r="B129" s="462"/>
      <c r="C129" s="462"/>
      <c r="D129" s="462"/>
      <c r="E129" s="462"/>
      <c r="F129" s="462"/>
      <c r="G129" s="462"/>
      <c r="H129" s="462"/>
      <c r="I129" s="462"/>
      <c r="J129" s="462"/>
      <c r="K129" s="462"/>
    </row>
    <row r="130" spans="1:11" x14ac:dyDescent="0.2">
      <c r="A130" s="462"/>
      <c r="B130" s="462"/>
      <c r="C130" s="462"/>
      <c r="D130" s="462"/>
      <c r="E130" s="462"/>
      <c r="F130" s="462"/>
      <c r="G130" s="462"/>
      <c r="H130" s="462"/>
      <c r="I130" s="462"/>
      <c r="J130" s="462"/>
      <c r="K130" s="462"/>
    </row>
    <row r="131" spans="1:11" x14ac:dyDescent="0.2">
      <c r="A131" s="462"/>
      <c r="B131" s="462"/>
      <c r="C131" s="462"/>
      <c r="D131" s="462"/>
      <c r="E131" s="462"/>
      <c r="F131" s="462"/>
      <c r="G131" s="462"/>
      <c r="H131" s="462"/>
      <c r="I131" s="462"/>
      <c r="J131" s="462"/>
      <c r="K131" s="462"/>
    </row>
    <row r="132" spans="1:11" x14ac:dyDescent="0.2">
      <c r="A132" s="462"/>
      <c r="B132" s="462"/>
      <c r="C132" s="462"/>
      <c r="D132" s="462"/>
      <c r="E132" s="462"/>
      <c r="F132" s="462"/>
      <c r="G132" s="462"/>
      <c r="H132" s="462"/>
      <c r="I132" s="462"/>
      <c r="J132" s="462"/>
      <c r="K132" s="462"/>
    </row>
  </sheetData>
  <mergeCells count="4">
    <mergeCell ref="A57:L58"/>
    <mergeCell ref="A9:G9"/>
    <mergeCell ref="A10:G10"/>
    <mergeCell ref="H13:I13"/>
  </mergeCells>
  <dataValidations count="2">
    <dataValidation allowBlank="1" showInputMessage="1" showErrorMessage="1" promptTitle="Date Format" prompt="E.g:  &quot;August 1, 2011&quot;" sqref="L7"/>
    <dataValidation type="list" allowBlank="1" showInputMessage="1" showErrorMessage="1" sqref="B14:G14">
      <formula1>"CGAAP, MIFRS, USGAAP, ASPE"</formula1>
    </dataValidation>
  </dataValidations>
  <pageMargins left="0.75" right="0.75" top="1" bottom="1" header="0.5" footer="0.5"/>
  <pageSetup scale="5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44"/>
  <sheetViews>
    <sheetView showGridLines="0" topLeftCell="A14" zoomScaleNormal="100" workbookViewId="0">
      <selection activeCell="G48" sqref="G48"/>
    </sheetView>
  </sheetViews>
  <sheetFormatPr defaultRowHeight="12.75" x14ac:dyDescent="0.2"/>
  <cols>
    <col min="1" max="1" width="46.5703125" style="946" bestFit="1" customWidth="1"/>
    <col min="2" max="2" width="17.85546875" style="946" customWidth="1"/>
    <col min="3" max="3" width="17.85546875" style="946" hidden="1" customWidth="1"/>
    <col min="4" max="7" width="17.85546875" style="946" customWidth="1"/>
    <col min="8" max="8" width="3" style="946" customWidth="1"/>
    <col min="9" max="16384" width="9.140625" style="946"/>
  </cols>
  <sheetData>
    <row r="1" spans="1:13" x14ac:dyDescent="0.2">
      <c r="F1" s="912" t="s">
        <v>444</v>
      </c>
      <c r="G1" s="947" t="str">
        <f>'[10]LDC Info'!$E$18</f>
        <v>EB-2012-0107</v>
      </c>
    </row>
    <row r="2" spans="1:13" x14ac:dyDescent="0.2">
      <c r="F2" s="912" t="s">
        <v>445</v>
      </c>
      <c r="G2" s="948">
        <v>4</v>
      </c>
    </row>
    <row r="3" spans="1:13" x14ac:dyDescent="0.2">
      <c r="F3" s="912" t="s">
        <v>446</v>
      </c>
      <c r="G3" s="948">
        <v>2</v>
      </c>
    </row>
    <row r="4" spans="1:13" x14ac:dyDescent="0.2">
      <c r="F4" s="912" t="s">
        <v>447</v>
      </c>
      <c r="G4" s="948">
        <v>2</v>
      </c>
    </row>
    <row r="5" spans="1:13" x14ac:dyDescent="0.2">
      <c r="F5" s="912" t="s">
        <v>448</v>
      </c>
      <c r="G5" s="949">
        <v>1</v>
      </c>
    </row>
    <row r="6" spans="1:13" x14ac:dyDescent="0.2">
      <c r="F6" s="912"/>
      <c r="G6" s="947"/>
    </row>
    <row r="7" spans="1:13" x14ac:dyDescent="0.2">
      <c r="F7" s="912" t="s">
        <v>449</v>
      </c>
      <c r="G7" s="949"/>
    </row>
    <row r="8" spans="1:13" x14ac:dyDescent="0.2">
      <c r="G8" s="256"/>
    </row>
    <row r="9" spans="1:13" x14ac:dyDescent="0.2">
      <c r="G9" s="256"/>
    </row>
    <row r="10" spans="1:13" ht="18" x14ac:dyDescent="0.25">
      <c r="A10" s="1282" t="s">
        <v>249</v>
      </c>
      <c r="B10" s="1282"/>
      <c r="C10" s="1282"/>
      <c r="D10" s="1282"/>
      <c r="E10" s="1282"/>
      <c r="F10" s="1282"/>
      <c r="G10" s="1282"/>
    </row>
    <row r="11" spans="1:13" ht="18" x14ac:dyDescent="0.25">
      <c r="A11" s="1282" t="s">
        <v>171</v>
      </c>
      <c r="B11" s="1282"/>
      <c r="C11" s="1282"/>
      <c r="D11" s="1282"/>
      <c r="E11" s="1282"/>
      <c r="F11" s="1282"/>
      <c r="G11" s="1282"/>
    </row>
    <row r="12" spans="1:13" ht="13.5" thickBot="1" x14ac:dyDescent="0.25"/>
    <row r="13" spans="1:13" ht="39" thickBot="1" x14ac:dyDescent="0.25">
      <c r="A13" s="1212" t="s">
        <v>231</v>
      </c>
      <c r="B13" s="1213" t="str">
        <f>"Last Rebasing Year (" &amp; '[10]LDC Info'!E30 &amp; " Actuals)"</f>
        <v>Last Rebasing Year (2009 Actuals)</v>
      </c>
      <c r="C13" s="1213" t="s">
        <v>769</v>
      </c>
      <c r="D13" s="966" t="str">
        <f>'[10]LDC Info'!E26 -2 &amp; " Actuals"</f>
        <v>2010 Actuals</v>
      </c>
      <c r="E13" s="966" t="str">
        <f>'[10]LDC Info'!E26 -1 &amp; " Actuals"</f>
        <v>2011 Actuals</v>
      </c>
      <c r="F13" s="966" t="str">
        <f>'[10]LDC Info'!E26 &amp; " Bridge Year"</f>
        <v>2012 Bridge Year</v>
      </c>
      <c r="G13" s="970" t="str">
        <f>'[10]LDC Info'!E28 &amp; " Test Year"</f>
        <v>2013 Test Year</v>
      </c>
    </row>
    <row r="14" spans="1:13" ht="13.5" thickBot="1" x14ac:dyDescent="0.25">
      <c r="A14" s="588" t="s">
        <v>174</v>
      </c>
      <c r="B14" s="1214" t="s">
        <v>175</v>
      </c>
      <c r="C14" s="1214"/>
      <c r="D14" s="1214" t="s">
        <v>175</v>
      </c>
      <c r="E14" s="1214" t="s">
        <v>175</v>
      </c>
      <c r="F14" s="1214" t="s">
        <v>176</v>
      </c>
      <c r="G14" s="1215" t="s">
        <v>176</v>
      </c>
      <c r="M14" s="589"/>
    </row>
    <row r="15" spans="1:13" ht="13.5" thickBot="1" x14ac:dyDescent="0.25">
      <c r="A15" s="1216" t="s">
        <v>396</v>
      </c>
      <c r="B15" s="1217">
        <v>9991419</v>
      </c>
      <c r="C15" s="1218">
        <f>B32</f>
        <v>9772182</v>
      </c>
      <c r="D15" s="1218">
        <f>IF(ISERROR(FIND("2008", $B$13)), B32, C32)</f>
        <v>9772182</v>
      </c>
      <c r="E15" s="1218">
        <f>D32</f>
        <v>10254820</v>
      </c>
      <c r="F15" s="1218">
        <f>E32</f>
        <v>11063458</v>
      </c>
      <c r="G15" s="1218">
        <f>F32</f>
        <v>11457938</v>
      </c>
    </row>
    <row r="16" spans="1:13" x14ac:dyDescent="0.2">
      <c r="A16" s="1219" t="s">
        <v>1240</v>
      </c>
      <c r="B16" s="1220"/>
      <c r="C16" s="1221"/>
      <c r="D16" s="1221">
        <v>-225000</v>
      </c>
      <c r="E16" s="1221">
        <v>-196000</v>
      </c>
      <c r="F16" s="1221">
        <v>73000</v>
      </c>
      <c r="G16" s="1222">
        <v>364000</v>
      </c>
    </row>
    <row r="17" spans="1:7" x14ac:dyDescent="0.2">
      <c r="A17" s="1219" t="s">
        <v>1031</v>
      </c>
      <c r="B17" s="1221">
        <v>56000</v>
      </c>
      <c r="C17" s="1221"/>
      <c r="D17" s="1221">
        <v>342000</v>
      </c>
      <c r="E17" s="1221">
        <v>279000</v>
      </c>
      <c r="F17" s="1221">
        <v>290000</v>
      </c>
      <c r="G17" s="1222">
        <v>344000</v>
      </c>
    </row>
    <row r="18" spans="1:7" x14ac:dyDescent="0.2">
      <c r="A18" s="1219" t="s">
        <v>1027</v>
      </c>
      <c r="B18" s="1221"/>
      <c r="C18" s="1221"/>
      <c r="D18" s="1221"/>
      <c r="E18" s="1221"/>
      <c r="F18" s="1221"/>
      <c r="G18" s="1222">
        <v>322000</v>
      </c>
    </row>
    <row r="19" spans="1:7" x14ac:dyDescent="0.2">
      <c r="A19" s="1219" t="s">
        <v>1032</v>
      </c>
      <c r="B19" s="1221"/>
      <c r="C19" s="1221"/>
      <c r="D19" s="1221"/>
      <c r="E19" s="1221"/>
      <c r="F19" s="1221">
        <v>66000</v>
      </c>
      <c r="G19" s="1222">
        <v>125000</v>
      </c>
    </row>
    <row r="20" spans="1:7" x14ac:dyDescent="0.2">
      <c r="A20" s="1219" t="s">
        <v>1034</v>
      </c>
      <c r="B20" s="1221">
        <v>-57000</v>
      </c>
      <c r="C20" s="1221"/>
      <c r="D20" s="1221">
        <v>396000</v>
      </c>
      <c r="E20" s="1221">
        <v>202000</v>
      </c>
      <c r="F20" s="1221">
        <v>121000</v>
      </c>
      <c r="G20" s="1222">
        <v>102000</v>
      </c>
    </row>
    <row r="21" spans="1:7" x14ac:dyDescent="0.2">
      <c r="A21" s="1219" t="s">
        <v>1030</v>
      </c>
      <c r="B21" s="1221"/>
      <c r="C21" s="1221"/>
      <c r="D21" s="1221">
        <v>102000</v>
      </c>
      <c r="E21" s="1221">
        <v>59000</v>
      </c>
      <c r="F21" s="1221">
        <v>55000</v>
      </c>
      <c r="G21" s="1222">
        <v>89000</v>
      </c>
    </row>
    <row r="22" spans="1:7" x14ac:dyDescent="0.2">
      <c r="A22" s="1219" t="s">
        <v>194</v>
      </c>
      <c r="B22" s="1221"/>
      <c r="C22" s="1221"/>
      <c r="D22" s="1221">
        <f>373607+13768</f>
        <v>387375</v>
      </c>
      <c r="E22" s="1221">
        <v>-283949</v>
      </c>
      <c r="F22" s="1221">
        <v>-104195</v>
      </c>
      <c r="G22" s="1222">
        <v>87000</v>
      </c>
    </row>
    <row r="23" spans="1:7" x14ac:dyDescent="0.2">
      <c r="A23" s="1219" t="s">
        <v>1029</v>
      </c>
      <c r="B23" s="1221"/>
      <c r="C23" s="1221"/>
      <c r="D23" s="1221"/>
      <c r="E23" s="1221">
        <v>118000</v>
      </c>
      <c r="F23" s="1221">
        <v>74000</v>
      </c>
      <c r="G23" s="1222">
        <v>85000</v>
      </c>
    </row>
    <row r="24" spans="1:7" x14ac:dyDescent="0.2">
      <c r="A24" s="1219" t="s">
        <v>1241</v>
      </c>
      <c r="B24" s="1221"/>
      <c r="C24" s="1221"/>
      <c r="D24" s="1221">
        <v>-283000</v>
      </c>
      <c r="E24" s="1221">
        <v>197000</v>
      </c>
      <c r="F24" s="1221">
        <v>62000</v>
      </c>
      <c r="G24" s="1222">
        <v>63000</v>
      </c>
    </row>
    <row r="25" spans="1:7" x14ac:dyDescent="0.2">
      <c r="A25" s="1223" t="s">
        <v>1242</v>
      </c>
      <c r="B25" s="1224"/>
      <c r="C25" s="1224"/>
      <c r="D25" s="1224">
        <v>-382000</v>
      </c>
      <c r="E25" s="1224">
        <v>187000</v>
      </c>
      <c r="F25" s="1224">
        <v>602000</v>
      </c>
      <c r="G25" s="1225">
        <v>25000</v>
      </c>
    </row>
    <row r="26" spans="1:7" x14ac:dyDescent="0.2">
      <c r="A26" s="1219" t="s">
        <v>1028</v>
      </c>
      <c r="B26" s="1221">
        <v>-226000</v>
      </c>
      <c r="C26" s="1221"/>
      <c r="D26" s="1221">
        <v>162000</v>
      </c>
      <c r="E26" s="1221">
        <v>-41000</v>
      </c>
      <c r="F26" s="1221">
        <v>-20000</v>
      </c>
      <c r="G26" s="1222">
        <v>-11000</v>
      </c>
    </row>
    <row r="27" spans="1:7" x14ac:dyDescent="0.2">
      <c r="A27" s="1219" t="s">
        <v>1243</v>
      </c>
      <c r="B27" s="1221"/>
      <c r="C27" s="1221"/>
      <c r="D27" s="1221">
        <v>-233000</v>
      </c>
      <c r="E27" s="1221">
        <v>-42000</v>
      </c>
      <c r="F27" s="1221">
        <v>-615000</v>
      </c>
      <c r="G27" s="1222">
        <v>-91000</v>
      </c>
    </row>
    <row r="28" spans="1:7" x14ac:dyDescent="0.2">
      <c r="A28" s="1223" t="s">
        <v>1022</v>
      </c>
      <c r="B28" s="1224"/>
      <c r="C28" s="1224"/>
      <c r="D28" s="1224"/>
      <c r="E28" s="1224"/>
      <c r="F28" s="1224">
        <v>-130000</v>
      </c>
      <c r="G28" s="1225"/>
    </row>
    <row r="29" spans="1:7" x14ac:dyDescent="0.2">
      <c r="A29" s="1223"/>
      <c r="B29" s="1224"/>
      <c r="C29" s="1224"/>
      <c r="D29" s="1224"/>
      <c r="E29" s="1224"/>
      <c r="F29" s="1224"/>
      <c r="G29" s="1225"/>
    </row>
    <row r="30" spans="1:7" x14ac:dyDescent="0.2">
      <c r="A30" s="1223" t="s">
        <v>1033</v>
      </c>
      <c r="B30" s="1224">
        <v>7763</v>
      </c>
      <c r="C30" s="1224"/>
      <c r="D30" s="1224">
        <f>10254820-10038557</f>
        <v>216263</v>
      </c>
      <c r="E30" s="1224">
        <f>11063458-10778781+45000-90</f>
        <v>329587</v>
      </c>
      <c r="F30" s="1224">
        <f>11457938-11545353+8000+90</f>
        <v>-79325</v>
      </c>
      <c r="G30" s="1225">
        <f>13078828-13011938+50000</f>
        <v>116890</v>
      </c>
    </row>
    <row r="31" spans="1:7" ht="13.5" thickBot="1" x14ac:dyDescent="0.25">
      <c r="A31" s="1226"/>
      <c r="B31" s="1224"/>
      <c r="C31" s="1227"/>
      <c r="D31" s="1227"/>
      <c r="E31" s="1227"/>
      <c r="F31" s="1227"/>
      <c r="G31" s="1228"/>
    </row>
    <row r="32" spans="1:7" ht="14.25" thickTop="1" thickBot="1" x14ac:dyDescent="0.25">
      <c r="A32" s="1229" t="s">
        <v>404</v>
      </c>
      <c r="B32" s="1230">
        <f>SUM(B15:B31)</f>
        <v>9772182</v>
      </c>
      <c r="C32" s="1231">
        <f t="shared" ref="C32:G32" si="0">SUM(C15:C31)</f>
        <v>9772182</v>
      </c>
      <c r="D32" s="1231">
        <f t="shared" si="0"/>
        <v>10254820</v>
      </c>
      <c r="E32" s="1231">
        <f t="shared" si="0"/>
        <v>11063458</v>
      </c>
      <c r="F32" s="1231">
        <f t="shared" si="0"/>
        <v>11457938</v>
      </c>
      <c r="G32" s="1232">
        <f t="shared" si="0"/>
        <v>13078828</v>
      </c>
    </row>
    <row r="34" spans="1:7" x14ac:dyDescent="0.2">
      <c r="A34" s="288" t="s">
        <v>16</v>
      </c>
    </row>
    <row r="36" spans="1:7" x14ac:dyDescent="0.2">
      <c r="A36" s="336">
        <v>1</v>
      </c>
      <c r="B36" s="946" t="s">
        <v>138</v>
      </c>
    </row>
    <row r="37" spans="1:7" x14ac:dyDescent="0.2">
      <c r="A37" s="336"/>
      <c r="B37" s="946" t="s">
        <v>137</v>
      </c>
    </row>
    <row r="38" spans="1:7" x14ac:dyDescent="0.2">
      <c r="A38" s="336">
        <v>2</v>
      </c>
      <c r="B38" s="946" t="s">
        <v>232</v>
      </c>
    </row>
    <row r="39" spans="1:7" x14ac:dyDescent="0.2">
      <c r="A39" s="336">
        <v>3</v>
      </c>
      <c r="B39" s="1421" t="s">
        <v>332</v>
      </c>
      <c r="C39" s="1421"/>
      <c r="D39" s="1421"/>
      <c r="E39" s="1421"/>
      <c r="F39" s="1421"/>
      <c r="G39" s="1421"/>
    </row>
    <row r="40" spans="1:7" x14ac:dyDescent="0.2">
      <c r="A40" s="275"/>
      <c r="B40" s="1421"/>
      <c r="C40" s="1421"/>
      <c r="D40" s="1421"/>
      <c r="E40" s="1421"/>
      <c r="F40" s="1421"/>
      <c r="G40" s="1421"/>
    </row>
    <row r="41" spans="1:7" x14ac:dyDescent="0.2">
      <c r="A41" s="275"/>
      <c r="B41" s="1421"/>
      <c r="C41" s="1421"/>
      <c r="D41" s="1421"/>
      <c r="E41" s="1421"/>
      <c r="F41" s="1421"/>
      <c r="G41" s="1421"/>
    </row>
    <row r="42" spans="1:7" ht="3" customHeight="1" x14ac:dyDescent="0.2">
      <c r="A42" s="275"/>
      <c r="B42" s="1421"/>
      <c r="C42" s="1421"/>
      <c r="D42" s="1421"/>
      <c r="E42" s="1421"/>
      <c r="F42" s="1421"/>
      <c r="G42" s="1421"/>
    </row>
    <row r="43" spans="1:7" x14ac:dyDescent="0.2">
      <c r="A43" s="336">
        <v>4</v>
      </c>
      <c r="B43" s="1258" t="s">
        <v>770</v>
      </c>
      <c r="C43" s="1258"/>
      <c r="D43" s="1271"/>
      <c r="E43" s="1271"/>
      <c r="F43" s="1271"/>
      <c r="G43" s="1271"/>
    </row>
    <row r="44" spans="1:7" ht="3.75" customHeight="1" x14ac:dyDescent="0.2">
      <c r="B44" s="1271"/>
      <c r="C44" s="1271"/>
      <c r="D44" s="1271"/>
      <c r="E44" s="1271"/>
      <c r="F44" s="1271"/>
      <c r="G44" s="1271"/>
    </row>
  </sheetData>
  <mergeCells count="4">
    <mergeCell ref="A10:G10"/>
    <mergeCell ref="A11:G11"/>
    <mergeCell ref="B39:G42"/>
    <mergeCell ref="B43:G44"/>
  </mergeCells>
  <dataValidations disablePrompts="1" count="2">
    <dataValidation type="list" allowBlank="1" showInputMessage="1" showErrorMessage="1" sqref="B14:G14">
      <formula1>"CGAAP, MIFRS, USGAAP, ASPE"</formula1>
    </dataValidation>
    <dataValidation allowBlank="1" showInputMessage="1" showErrorMessage="1" promptTitle="Date Format" prompt="E.g:  &quot;August 1, 2011&quot;" sqref="G7"/>
  </dataValidations>
  <pageMargins left="0.75" right="0.75" top="1" bottom="1" header="0.5" footer="0.5"/>
  <pageSetup scale="8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6"/>
  <sheetViews>
    <sheetView zoomScaleNormal="100" workbookViewId="0">
      <pane xSplit="1" ySplit="12" topLeftCell="B98" activePane="bottomRight" state="frozen"/>
      <selection pane="topRight" activeCell="B1" sqref="B1"/>
      <selection pane="bottomLeft" activeCell="A14" sqref="A14"/>
      <selection pane="bottomRight" activeCell="N4" sqref="N4"/>
    </sheetView>
  </sheetViews>
  <sheetFormatPr defaultRowHeight="15" x14ac:dyDescent="0.25"/>
  <cols>
    <col min="1" max="1" width="2.7109375" style="1185" customWidth="1"/>
    <col min="2" max="2" width="36" style="1185" customWidth="1"/>
    <col min="3" max="8" width="15.7109375" style="1185" customWidth="1"/>
    <col min="9" max="9" width="13.42578125" style="1185" bestFit="1" customWidth="1"/>
    <col min="10" max="11" width="9.140625" style="1185"/>
    <col min="12" max="13" width="9.7109375" style="1185" bestFit="1" customWidth="1"/>
    <col min="14" max="16384" width="9.140625" style="1185"/>
  </cols>
  <sheetData>
    <row r="1" spans="2:10" x14ac:dyDescent="0.25">
      <c r="G1" s="1186" t="s">
        <v>444</v>
      </c>
      <c r="H1" s="1187" t="s">
        <v>866</v>
      </c>
    </row>
    <row r="2" spans="2:10" x14ac:dyDescent="0.25">
      <c r="G2" s="1186" t="s">
        <v>445</v>
      </c>
      <c r="H2" s="1187">
        <v>4</v>
      </c>
    </row>
    <row r="3" spans="2:10" x14ac:dyDescent="0.25">
      <c r="G3" s="1186" t="s">
        <v>446</v>
      </c>
      <c r="H3" s="1187">
        <v>4</v>
      </c>
    </row>
    <row r="4" spans="2:10" x14ac:dyDescent="0.25">
      <c r="G4" s="1186" t="s">
        <v>447</v>
      </c>
      <c r="H4" s="1187">
        <v>1</v>
      </c>
    </row>
    <row r="5" spans="2:10" x14ac:dyDescent="0.25">
      <c r="G5" s="1186" t="s">
        <v>1035</v>
      </c>
      <c r="H5" s="1187">
        <v>1</v>
      </c>
    </row>
    <row r="6" spans="2:10" ht="9" customHeight="1" x14ac:dyDescent="0.25">
      <c r="G6" s="1186"/>
    </row>
    <row r="7" spans="2:10" x14ac:dyDescent="0.25">
      <c r="G7" s="1186" t="s">
        <v>449</v>
      </c>
      <c r="H7" s="1188"/>
    </row>
    <row r="8" spans="2:10" ht="9" customHeight="1" x14ac:dyDescent="0.25"/>
    <row r="9" spans="2:10" ht="17.25" customHeight="1" x14ac:dyDescent="0.25">
      <c r="B9" s="1425" t="s">
        <v>399</v>
      </c>
      <c r="C9" s="1425"/>
      <c r="D9" s="1425"/>
      <c r="E9" s="1425"/>
      <c r="F9" s="1425"/>
      <c r="G9" s="1425"/>
      <c r="H9" s="1425"/>
    </row>
    <row r="10" spans="2:10" ht="18" x14ac:dyDescent="0.25">
      <c r="B10" s="1425" t="s">
        <v>4</v>
      </c>
      <c r="C10" s="1425"/>
      <c r="D10" s="1425"/>
      <c r="E10" s="1425"/>
      <c r="F10" s="1425"/>
      <c r="G10" s="1425"/>
      <c r="H10" s="1425"/>
      <c r="I10" s="1189"/>
      <c r="J10" s="1189"/>
    </row>
    <row r="11" spans="2:10" ht="18" x14ac:dyDescent="0.25">
      <c r="B11" s="1190"/>
      <c r="C11" s="1190"/>
      <c r="D11" s="1190"/>
      <c r="E11" s="1190"/>
      <c r="F11" s="1190"/>
      <c r="G11" s="1190"/>
      <c r="H11" s="1190"/>
    </row>
    <row r="12" spans="2:10" ht="29.25" customHeight="1" x14ac:dyDescent="0.25">
      <c r="B12" s="1191"/>
      <c r="C12" s="1192" t="s">
        <v>938</v>
      </c>
      <c r="D12" s="1192" t="s">
        <v>1237</v>
      </c>
      <c r="E12" s="1192" t="s">
        <v>1238</v>
      </c>
      <c r="F12" s="1192" t="s">
        <v>1239</v>
      </c>
      <c r="G12" s="1192" t="s">
        <v>970</v>
      </c>
      <c r="H12" s="1192" t="s">
        <v>969</v>
      </c>
      <c r="I12" s="1193"/>
    </row>
    <row r="13" spans="2:10" x14ac:dyDescent="0.25">
      <c r="B13" s="1422" t="s">
        <v>148</v>
      </c>
      <c r="C13" s="1423"/>
      <c r="D13" s="1423"/>
      <c r="E13" s="1423"/>
      <c r="F13" s="1423"/>
      <c r="G13" s="1423"/>
      <c r="H13" s="1424"/>
    </row>
    <row r="14" spans="2:10" x14ac:dyDescent="0.25">
      <c r="B14" s="1191" t="s">
        <v>1010</v>
      </c>
      <c r="C14" s="1194">
        <v>6</v>
      </c>
      <c r="D14" s="1194">
        <f>+'[12]2009 Employees (sorted)'!G146</f>
        <v>6</v>
      </c>
      <c r="E14" s="1194">
        <f>+'[12]2010 Employees (sorted)'!C166</f>
        <v>6</v>
      </c>
      <c r="F14" s="1194">
        <f>+'[12]2011 Employees (sorted)'!G178</f>
        <v>6</v>
      </c>
      <c r="G14" s="1194">
        <f>+'[12]2012 Employees (sorted)'!G157</f>
        <v>6</v>
      </c>
      <c r="H14" s="1194">
        <f>+'[12]2013 Employees (sorted)'!G158</f>
        <v>6</v>
      </c>
    </row>
    <row r="15" spans="2:10" x14ac:dyDescent="0.25">
      <c r="B15" s="1191" t="s">
        <v>458</v>
      </c>
      <c r="C15" s="1194">
        <f>9*0.88</f>
        <v>7.92</v>
      </c>
      <c r="D15" s="1194">
        <f>+'[12]2009 Employees (sorted)'!C152+1</f>
        <v>8</v>
      </c>
      <c r="E15" s="1194">
        <f>+'[12]2010 Employees (sorted)'!C160+1</f>
        <v>8</v>
      </c>
      <c r="F15" s="1194">
        <f>+'[12]2011 Employees (sorted)'!G172+1</f>
        <v>9</v>
      </c>
      <c r="G15" s="1194">
        <f>+'[12]2012 Employees (sorted)'!G151+1</f>
        <v>9</v>
      </c>
      <c r="H15" s="1194">
        <f>+'[12]2013 Employees (sorted)'!G152+1</f>
        <v>9</v>
      </c>
    </row>
    <row r="16" spans="2:10" x14ac:dyDescent="0.25">
      <c r="B16" s="1191" t="s">
        <v>459</v>
      </c>
      <c r="C16" s="1194">
        <f>6*0.88</f>
        <v>5.28</v>
      </c>
      <c r="D16" s="1194">
        <f>+'[12]2009 Employees (sorted)'!C153-1</f>
        <v>5</v>
      </c>
      <c r="E16" s="1194">
        <f>+'[12]2010 Employees (sorted)'!C161-1</f>
        <v>8</v>
      </c>
      <c r="F16" s="1194">
        <f>+'[12]2011 Employees (sorted)'!G173-1</f>
        <v>8</v>
      </c>
      <c r="G16" s="1194">
        <f>+'[12]2012 Employees (sorted)'!G152-1</f>
        <v>8</v>
      </c>
      <c r="H16" s="1194">
        <f>+'[12]2013 Employees (sorted)'!G153-1</f>
        <v>8</v>
      </c>
    </row>
    <row r="17" spans="2:10" x14ac:dyDescent="0.25">
      <c r="B17" s="1191" t="s">
        <v>460</v>
      </c>
      <c r="C17" s="1194">
        <f>27*0.88</f>
        <v>23.76</v>
      </c>
      <c r="D17" s="1194">
        <f>+'[12]2009 Employees (sorted)'!C155</f>
        <v>24.33</v>
      </c>
      <c r="E17" s="1194">
        <f>+'[12]2010 Employees (sorted)'!C163</f>
        <v>26.33</v>
      </c>
      <c r="F17" s="1194">
        <f>+'[12]2011 Employees (sorted)'!G175</f>
        <v>27.5</v>
      </c>
      <c r="G17" s="1194">
        <f>+'[12]2012 Employees (sorted)'!G154</f>
        <v>28</v>
      </c>
      <c r="H17" s="1194">
        <v>28</v>
      </c>
    </row>
    <row r="18" spans="2:10" x14ac:dyDescent="0.25">
      <c r="B18" s="1191" t="s">
        <v>461</v>
      </c>
      <c r="C18" s="1194">
        <f>57*0.88</f>
        <v>50.160000000000004</v>
      </c>
      <c r="D18" s="1194">
        <f>+'[12]2009 Employees (sorted)'!C154</f>
        <v>52.970000000000006</v>
      </c>
      <c r="E18" s="1194">
        <f>+'[12]2010 Employees (sorted)'!C162</f>
        <v>51.335000000000001</v>
      </c>
      <c r="F18" s="1194">
        <f>+'[12]2011 Employees (sorted)'!G174</f>
        <v>53.125000000000007</v>
      </c>
      <c r="G18" s="1194">
        <f>+'[12]2012 Employees (sorted)'!G153</f>
        <v>51</v>
      </c>
      <c r="H18" s="1194">
        <f>+'[12]2013 Employees (sorted)'!G154</f>
        <v>56.166666666666664</v>
      </c>
    </row>
    <row r="19" spans="2:10" x14ac:dyDescent="0.25">
      <c r="B19" s="1191" t="s">
        <v>1009</v>
      </c>
      <c r="C19" s="1194">
        <f>1*0.88</f>
        <v>0.88</v>
      </c>
      <c r="D19" s="1194">
        <f>+'[12]2009 Employees (sorted)'!C156</f>
        <v>3.2916666666666656</v>
      </c>
      <c r="E19" s="1194">
        <f>+'[12]2010 Employees (sorted)'!C164</f>
        <v>6.2083333333333313</v>
      </c>
      <c r="F19" s="1194">
        <f>+'[12]2011 Employees (sorted)'!G176</f>
        <v>6.5816666666666661</v>
      </c>
      <c r="G19" s="1194">
        <f>+'[12]2012 Employees (sorted)'!G155</f>
        <v>3.9166666666666665</v>
      </c>
      <c r="H19" s="1194">
        <v>2</v>
      </c>
    </row>
    <row r="20" spans="2:10" x14ac:dyDescent="0.25">
      <c r="B20" s="1191" t="s">
        <v>1015</v>
      </c>
      <c r="C20" s="1194">
        <f>(12.5/12*4)*0.88</f>
        <v>3.666666666666667</v>
      </c>
      <c r="D20" s="1194">
        <f>+'[12]2009 Employees'!B35</f>
        <v>5.666666666666667</v>
      </c>
      <c r="E20" s="1194">
        <f>+'[12]2010 Employees (sorted)'!C165</f>
        <v>5.4444444444444455</v>
      </c>
      <c r="F20" s="1194">
        <f>+'[12]2011 Employees (sorted)'!G177</f>
        <v>6.333333333333333</v>
      </c>
      <c r="G20" s="1194">
        <f>+'[12]2012 Employees (sorted)'!G156</f>
        <v>5.666666666666667</v>
      </c>
      <c r="H20" s="1194">
        <f>+'[12]2013 Employees (sorted)'!G157</f>
        <v>5.333333333333333</v>
      </c>
    </row>
    <row r="21" spans="2:10" x14ac:dyDescent="0.25">
      <c r="B21" s="1191" t="s">
        <v>439</v>
      </c>
      <c r="C21" s="1195">
        <f t="shared" ref="C21:H21" si="0">SUM(C14:C20)</f>
        <v>97.666666666666671</v>
      </c>
      <c r="D21" s="1195">
        <f t="shared" si="0"/>
        <v>105.25833333333335</v>
      </c>
      <c r="E21" s="1195">
        <f t="shared" si="0"/>
        <v>111.31777777777776</v>
      </c>
      <c r="F21" s="1195">
        <f t="shared" si="0"/>
        <v>116.53999999999999</v>
      </c>
      <c r="G21" s="1195">
        <f t="shared" si="0"/>
        <v>111.58333333333334</v>
      </c>
      <c r="H21" s="1195">
        <f t="shared" si="0"/>
        <v>114.49999999999999</v>
      </c>
      <c r="I21" s="1196"/>
    </row>
    <row r="22" spans="2:10" x14ac:dyDescent="0.25">
      <c r="B22" s="1422" t="s">
        <v>462</v>
      </c>
      <c r="C22" s="1423"/>
      <c r="D22" s="1423"/>
      <c r="E22" s="1423"/>
      <c r="F22" s="1423"/>
      <c r="G22" s="1423"/>
      <c r="H22" s="1424"/>
    </row>
    <row r="23" spans="2:10" x14ac:dyDescent="0.25">
      <c r="B23" s="1197"/>
      <c r="C23" s="1198"/>
      <c r="D23" s="1198"/>
      <c r="E23" s="1198"/>
      <c r="F23" s="1198"/>
      <c r="G23" s="1198"/>
      <c r="H23" s="1199"/>
    </row>
    <row r="24" spans="2:10" x14ac:dyDescent="0.25">
      <c r="B24" s="1191" t="s">
        <v>458</v>
      </c>
      <c r="C24" s="1200">
        <v>0</v>
      </c>
      <c r="D24" s="1200">
        <v>0</v>
      </c>
      <c r="E24" s="1200">
        <v>0</v>
      </c>
      <c r="F24" s="1200">
        <v>0</v>
      </c>
      <c r="G24" s="1200">
        <v>0</v>
      </c>
      <c r="H24" s="1200">
        <v>0</v>
      </c>
    </row>
    <row r="25" spans="2:10" x14ac:dyDescent="0.25">
      <c r="B25" s="1191" t="s">
        <v>459</v>
      </c>
      <c r="C25" s="1200">
        <v>0</v>
      </c>
      <c r="D25" s="1200">
        <v>0</v>
      </c>
      <c r="E25" s="1200">
        <v>0</v>
      </c>
      <c r="F25" s="1200">
        <v>0</v>
      </c>
      <c r="G25" s="1200">
        <v>0</v>
      </c>
      <c r="H25" s="1200">
        <v>0</v>
      </c>
    </row>
    <row r="26" spans="2:10" x14ac:dyDescent="0.25">
      <c r="B26" s="1191" t="s">
        <v>460</v>
      </c>
      <c r="C26" s="1200">
        <v>0</v>
      </c>
      <c r="D26" s="1200">
        <v>0</v>
      </c>
      <c r="E26" s="1200">
        <v>0</v>
      </c>
      <c r="F26" s="1200">
        <v>0</v>
      </c>
      <c r="G26" s="1200">
        <v>0</v>
      </c>
      <c r="H26" s="1200">
        <v>0</v>
      </c>
    </row>
    <row r="27" spans="2:10" x14ac:dyDescent="0.25">
      <c r="B27" s="1191" t="s">
        <v>461</v>
      </c>
      <c r="C27" s="1200">
        <v>0</v>
      </c>
      <c r="D27" s="1200">
        <v>0</v>
      </c>
      <c r="E27" s="1200">
        <v>0</v>
      </c>
      <c r="F27" s="1200">
        <v>0</v>
      </c>
      <c r="G27" s="1200">
        <v>0</v>
      </c>
      <c r="H27" s="1200">
        <v>0</v>
      </c>
    </row>
    <row r="28" spans="2:10" x14ac:dyDescent="0.25">
      <c r="B28" s="1191" t="s">
        <v>439</v>
      </c>
      <c r="C28" s="1201">
        <f t="shared" ref="C28:H28" si="1">SUM(C24:C27)</f>
        <v>0</v>
      </c>
      <c r="D28" s="1201">
        <f t="shared" si="1"/>
        <v>0</v>
      </c>
      <c r="E28" s="1201">
        <f t="shared" si="1"/>
        <v>0</v>
      </c>
      <c r="F28" s="1201">
        <f t="shared" si="1"/>
        <v>0</v>
      </c>
      <c r="G28" s="1201">
        <v>0</v>
      </c>
      <c r="H28" s="1201">
        <f t="shared" si="1"/>
        <v>0</v>
      </c>
    </row>
    <row r="29" spans="2:10" x14ac:dyDescent="0.25">
      <c r="B29" s="1422" t="s">
        <v>1017</v>
      </c>
      <c r="C29" s="1423"/>
      <c r="D29" s="1423"/>
      <c r="E29" s="1423"/>
      <c r="F29" s="1423"/>
      <c r="G29" s="1423"/>
      <c r="H29" s="1424"/>
    </row>
    <row r="30" spans="2:10" x14ac:dyDescent="0.25">
      <c r="B30" s="1191" t="s">
        <v>1010</v>
      </c>
      <c r="C30" s="1202">
        <f>101661*0.88</f>
        <v>89461.680000000008</v>
      </c>
      <c r="D30" s="1202">
        <f>+'[12]2009 T4 Rec'!D147</f>
        <v>101500</v>
      </c>
      <c r="E30" s="1202">
        <f>+'[12]2010 T-4 Rec to GL'!D116</f>
        <v>105900</v>
      </c>
      <c r="F30" s="1202">
        <f>+'[12]2011 T-4 Rec to GL'!D105</f>
        <v>118050</v>
      </c>
      <c r="G30" s="1202">
        <f>+'[12]2012 SAP Payroll budget'!C104</f>
        <v>111515</v>
      </c>
      <c r="H30" s="1202">
        <f>+'[12]2013 Payroll Budget'!C119</f>
        <v>106515</v>
      </c>
    </row>
    <row r="31" spans="2:10" x14ac:dyDescent="0.25">
      <c r="B31" s="1191" t="s">
        <v>458</v>
      </c>
      <c r="C31" s="1202">
        <f>1088176*0.88</f>
        <v>957594.88</v>
      </c>
      <c r="D31" s="1202">
        <f>+'[12]2009 T4 Rec'!D123</f>
        <v>970059.17</v>
      </c>
      <c r="E31" s="1202">
        <f>+'[12]2010 T-4 Rec to GL'!D91</f>
        <v>1077568.22</v>
      </c>
      <c r="F31" s="1202">
        <f>+'[12]2011 T-4 Rec to GL'!D83</f>
        <v>1217262.21</v>
      </c>
      <c r="G31" s="1202">
        <f>+'[12]2012 SAP Payroll budget'!C85</f>
        <v>1307751</v>
      </c>
      <c r="H31" s="1202">
        <f>+'[12]2013 Payroll Budget'!C100</f>
        <v>1366301.0042000001</v>
      </c>
    </row>
    <row r="32" spans="2:10" x14ac:dyDescent="0.25">
      <c r="B32" s="1191" t="s">
        <v>459</v>
      </c>
      <c r="C32" s="1202">
        <f>494852*0.88</f>
        <v>435469.76</v>
      </c>
      <c r="D32" s="1202">
        <f>+'[12]2009 T4 Rec'!D129</f>
        <v>402496.55</v>
      </c>
      <c r="E32" s="1202">
        <f>+'[12]2010 T-4 Rec to GL'!D97</f>
        <v>687790.55000000016</v>
      </c>
      <c r="F32" s="1202">
        <f>+'[12]2011 T-4 Rec to GL'!D88</f>
        <v>692386.16000000015</v>
      </c>
      <c r="G32" s="1202">
        <f>+'[12]2012 SAP Payroll budget'!C89</f>
        <v>733425</v>
      </c>
      <c r="H32" s="1202">
        <f>+'[12]2013 Payroll Budget'!C104</f>
        <v>751396.75210769218</v>
      </c>
      <c r="J32" s="1189"/>
    </row>
    <row r="33" spans="2:13" x14ac:dyDescent="0.25">
      <c r="B33" s="1191" t="s">
        <v>460</v>
      </c>
      <c r="C33" s="1202">
        <f>1750594*0.88</f>
        <v>1540522.72</v>
      </c>
      <c r="D33" s="1202">
        <f>+'[12]2009 T4 Rec'!D138</f>
        <v>1570109.95</v>
      </c>
      <c r="E33" s="1202">
        <f>+'[12]2010 T-4 Rec to GL'!D107</f>
        <v>1843781.1800000002</v>
      </c>
      <c r="F33" s="1202">
        <f>+'[12]2011 T-4 Rec to GL'!D98</f>
        <v>1964633.42</v>
      </c>
      <c r="G33" s="1202">
        <f>+'[12]2012 SAP Payroll budget'!C97</f>
        <v>2030808</v>
      </c>
      <c r="H33" s="1202">
        <f>+'[12]2013 Payroll Budget'!C112</f>
        <v>2083354.7583438463</v>
      </c>
    </row>
    <row r="34" spans="2:13" x14ac:dyDescent="0.25">
      <c r="B34" s="1191" t="s">
        <v>461</v>
      </c>
      <c r="C34" s="1202">
        <f>3358816*0.88</f>
        <v>2955758.08</v>
      </c>
      <c r="D34" s="1202">
        <f>+'[12]2009 T4 Rec'!D135</f>
        <v>3059018.89</v>
      </c>
      <c r="E34" s="1202">
        <f>+'[12]2010 T-4 Rec to GL'!D103</f>
        <v>3169624.5400000005</v>
      </c>
      <c r="F34" s="1202">
        <f>+'[12]2011 T-4 Rec to GL'!D93</f>
        <v>3128275.17</v>
      </c>
      <c r="G34" s="1202">
        <f>+'[12]2012 SAP Payroll budget'!C93</f>
        <v>3258578</v>
      </c>
      <c r="H34" s="1202">
        <f>+'[12]2013 Payroll Budget'!C108+'[12]2013 Payroll Budget'!C140</f>
        <v>3635940.6919999993</v>
      </c>
    </row>
    <row r="35" spans="2:13" x14ac:dyDescent="0.25">
      <c r="B35" s="1191" t="s">
        <v>1009</v>
      </c>
      <c r="C35" s="1202">
        <f>26580*0.88</f>
        <v>23390.400000000001</v>
      </c>
      <c r="D35" s="1202">
        <f>+'[12]2009 T4 Rec'!D143</f>
        <v>146463.94</v>
      </c>
      <c r="E35" s="1202">
        <f>+'[12]2010 T-4 Rec to GL'!D112</f>
        <v>268569.90000000002</v>
      </c>
      <c r="F35" s="1202">
        <f>+'[12]2011 T-4 Rec to GL'!D101</f>
        <v>261048</v>
      </c>
      <c r="G35" s="1202">
        <f>+'[12]2012 SAP Payroll budget'!C100</f>
        <v>184390</v>
      </c>
      <c r="H35" s="1202">
        <f>+'[12]2013 Payroll Budget'!C115</f>
        <v>136592.83000000002</v>
      </c>
    </row>
    <row r="36" spans="2:13" x14ac:dyDescent="0.25">
      <c r="B36" s="1191" t="s">
        <v>1008</v>
      </c>
      <c r="C36" s="1202">
        <f>150075.9*0.88</f>
        <v>132066.79199999999</v>
      </c>
      <c r="D36" s="1202">
        <f>+'[12]2009 T4 Rec'!D145</f>
        <v>110730.18</v>
      </c>
      <c r="E36" s="1202">
        <f>+'[12]2010 T-4 Rec to GL'!D114</f>
        <v>135330.74</v>
      </c>
      <c r="F36" s="1202">
        <f>+'[12]2011 T-4 Rec to GL'!D103</f>
        <v>125796.09</v>
      </c>
      <c r="G36" s="1202">
        <f>+'[12]2012 SAP Payroll budget'!C102</f>
        <v>174688</v>
      </c>
      <c r="H36" s="1202">
        <f>+'[12]2013 Payroll Budget'!C117</f>
        <v>218225.47499999998</v>
      </c>
    </row>
    <row r="37" spans="2:13" x14ac:dyDescent="0.25">
      <c r="B37" s="1191" t="s">
        <v>439</v>
      </c>
      <c r="C37" s="1203">
        <f t="shared" ref="C37:H37" si="2">SUM(C30:C36)</f>
        <v>6134264.3120000008</v>
      </c>
      <c r="D37" s="1203">
        <f t="shared" si="2"/>
        <v>6360378.6800000006</v>
      </c>
      <c r="E37" s="1203">
        <f t="shared" si="2"/>
        <v>7288565.1300000008</v>
      </c>
      <c r="F37" s="1203">
        <f>SUM(F30:F36)</f>
        <v>7507451.0499999998</v>
      </c>
      <c r="G37" s="1203">
        <f t="shared" si="2"/>
        <v>7801155</v>
      </c>
      <c r="H37" s="1203">
        <f t="shared" si="2"/>
        <v>8298326.5116515383</v>
      </c>
      <c r="I37" s="1189"/>
    </row>
    <row r="38" spans="2:13" x14ac:dyDescent="0.25">
      <c r="B38" s="1422" t="s">
        <v>2</v>
      </c>
      <c r="C38" s="1423"/>
      <c r="D38" s="1423"/>
      <c r="E38" s="1423"/>
      <c r="F38" s="1423"/>
      <c r="G38" s="1423"/>
      <c r="H38" s="1424"/>
    </row>
    <row r="39" spans="2:13" x14ac:dyDescent="0.25">
      <c r="B39" s="1191" t="s">
        <v>1010</v>
      </c>
      <c r="C39" s="1202">
        <v>3500</v>
      </c>
      <c r="D39" s="1202">
        <f>+'[12]2009 SAP Benefit Summary '!C290</f>
        <v>3413.67</v>
      </c>
      <c r="E39" s="1202">
        <f>+'[12]2010 SAP Benefit Summary'!C303</f>
        <v>3492.99</v>
      </c>
      <c r="F39" s="1202">
        <f>+'[12]2011 SAP Benefit Summary '!C253</f>
        <v>4001.4</v>
      </c>
      <c r="G39" s="1202">
        <f>+'[12]2012 Burden Summary by Category'!C10</f>
        <v>2174.5425</v>
      </c>
      <c r="H39" s="1202">
        <f>+'[12]2013 O &amp; M Burden '!C10</f>
        <v>2077.0425</v>
      </c>
      <c r="I39" s="1189"/>
      <c r="J39" s="1189"/>
      <c r="K39" s="1189"/>
      <c r="L39" s="1189"/>
      <c r="M39" s="1189"/>
    </row>
    <row r="40" spans="2:13" x14ac:dyDescent="0.25">
      <c r="B40" s="1191" t="s">
        <v>458</v>
      </c>
      <c r="C40" s="1202">
        <f>223513*0.88</f>
        <v>196691.44</v>
      </c>
      <c r="D40" s="1202">
        <f>+'[12]2009 SAP Benefit Summary '!C284+'[12]2009 T4 Rec'!D125+'[12]2009 T4 Rec'!D128</f>
        <v>251927.57077170326</v>
      </c>
      <c r="E40" s="1202">
        <f>+'[12]2010 SAP Benefit Summary'!C297+'[12]2010 T-4 Rec to GL'!D93+'[12]2010 T-4 Rec to GL'!D96</f>
        <v>272564.2</v>
      </c>
      <c r="F40" s="1202">
        <f>+'[12]2011 SAP Benefit Summary '!C247+'[12]2011 SAP Benefit Summary '!D247+'[12]2011 SAP Benefit Summary '!E247</f>
        <v>342752.8</v>
      </c>
      <c r="G40" s="1202">
        <f>+'[12]2012 Burden Summary by Category'!C4+'[12]2012 Benefit Sum by Category '!C5+'[12]2012 SAP Payroll budget'!C88</f>
        <v>304586.37406146125</v>
      </c>
      <c r="H40" s="1202">
        <f>+'[12]2013 O &amp; M Burden '!C4+'[12]2013 O&amp;M Benefit  Budget'!C5+'[12]2013 Payroll Budget'!C138+'[12]2013 Payroll Budget'!C141</f>
        <v>357762.80322322343</v>
      </c>
      <c r="I40" s="1189"/>
      <c r="J40" s="1189"/>
      <c r="K40" s="1189"/>
      <c r="L40" s="1189"/>
      <c r="M40" s="1189"/>
    </row>
    <row r="41" spans="2:13" x14ac:dyDescent="0.25">
      <c r="B41" s="1191" t="s">
        <v>459</v>
      </c>
      <c r="C41" s="1202">
        <f>122664*0.88</f>
        <v>107944.32000000001</v>
      </c>
      <c r="D41" s="1202">
        <f>+'[12]2009 SAP Benefit Summary '!C285+'[12]2009 T4 Rec'!D131+'[12]2009 T4 Rec'!D134</f>
        <v>118694.99090721741</v>
      </c>
      <c r="E41" s="1202">
        <f>+'[12]2010 SAP Benefit Summary'!C298+'[12]2010 T-4 Rec to GL'!D99+'[12]2010 T-4 Rec to GL'!D102</f>
        <v>175355.86</v>
      </c>
      <c r="F41" s="1202">
        <f>+'[12]2011 SAP Benefit Summary '!C248+'[12]2011 SAP Benefit Summary '!D248+'[12]2011 SAP Benefit Summary '!E248</f>
        <v>196522.01</v>
      </c>
      <c r="G41" s="1202">
        <f>+'[12]2012 Burden Summary by Category'!C5+'[12]2012 Benefit Sum by Category '!C6+'[12]2012 SAP Payroll budget'!C92</f>
        <v>218160.85782876061</v>
      </c>
      <c r="H41" s="1202">
        <f>+'[12]2013 O &amp; M Burden '!C5+'[12]2013 O&amp;M Benefit  Budget'!C6+'[12]2013 Payroll Budget'!C139</f>
        <v>251704.34288864551</v>
      </c>
      <c r="I41" s="1189"/>
      <c r="J41" s="1189"/>
      <c r="K41" s="1189"/>
      <c r="L41" s="1189"/>
      <c r="M41" s="1189"/>
    </row>
    <row r="42" spans="2:13" x14ac:dyDescent="0.25">
      <c r="B42" s="1191" t="s">
        <v>460</v>
      </c>
      <c r="C42" s="1202">
        <f>416281*0.88</f>
        <v>366327.28</v>
      </c>
      <c r="D42" s="1202">
        <f>+'[12]2009 SAP Benefit Summary '!C287+'[12]2009 T4 Rec'!D140</f>
        <v>393491.48881129152</v>
      </c>
      <c r="E42" s="1202">
        <f>+'[12]2010 SAP Benefit Summary'!C300+'[12]2010 T-4 Rec to GL'!D109</f>
        <v>461919.22000000003</v>
      </c>
      <c r="F42" s="1202">
        <f>+'[12]2011 SAP Benefit Summary '!C250</f>
        <v>538726.94000000006</v>
      </c>
      <c r="G42" s="1202">
        <f>+'[12]2012 Burden Summary by Category'!C7+'[12]2012 Benefit Sum by Category '!C8</f>
        <v>527036.96081794624</v>
      </c>
      <c r="H42" s="1202">
        <f>+'[12]2013 O &amp; M Burden '!C7+'[12]2013 O&amp;M Benefit  Budget'!C8</f>
        <v>550800.39481963776</v>
      </c>
      <c r="I42" s="1189"/>
      <c r="J42" s="1189"/>
      <c r="K42" s="1189"/>
      <c r="L42" s="1189"/>
      <c r="M42" s="1189"/>
    </row>
    <row r="43" spans="2:13" x14ac:dyDescent="0.25">
      <c r="B43" s="1191" t="s">
        <v>461</v>
      </c>
      <c r="C43" s="1202">
        <f>801488*0.88</f>
        <v>705309.44000000006</v>
      </c>
      <c r="D43" s="1202">
        <f>+'[12]2009 SAP Benefit Summary '!C286</f>
        <v>797603.19591360702</v>
      </c>
      <c r="E43" s="1202">
        <f>+'[12]2010 SAP Benefit Summary'!C299+'[12]2010 T-4 Rec to GL'!D104</f>
        <v>755035.74</v>
      </c>
      <c r="F43" s="1202">
        <f>+'[12]2011 SAP Benefit Summary '!C249+'[12]2011 SAP Benefit Summary '!D249+'[12]2011 SAP Benefit Summary '!E249</f>
        <v>832345.2300000001</v>
      </c>
      <c r="G43" s="1202">
        <f>+'[12]2012 Burden Summary by Category'!C6+'[12]2012 Benefit Sum by Category '!C7</f>
        <v>895746.58015520568</v>
      </c>
      <c r="H43" s="1202">
        <f>+'[12]2013 O &amp; M Burden '!C6+'[12]2013 O&amp;M Benefit  Budget'!C7</f>
        <v>1034431.4199999999</v>
      </c>
      <c r="I43" s="1189"/>
      <c r="J43" s="1189"/>
      <c r="K43" s="1189"/>
      <c r="L43" s="1204"/>
      <c r="M43" s="1204"/>
    </row>
    <row r="44" spans="2:13" x14ac:dyDescent="0.25">
      <c r="B44" s="1191" t="s">
        <v>1009</v>
      </c>
      <c r="C44" s="1202">
        <v>10000</v>
      </c>
      <c r="D44" s="1202">
        <f>+'[12]2009 SAP Benefit Summary '!C288</f>
        <v>12905.28</v>
      </c>
      <c r="E44" s="1202">
        <f>+'[12]2010 SAP Benefit Summary'!C301</f>
        <v>22871.62</v>
      </c>
      <c r="F44" s="1202">
        <f>+'[12]2011 SAP Benefit Summary '!C251</f>
        <v>24651.78</v>
      </c>
      <c r="G44" s="1202">
        <f>+'[12]2012 Burden Summary by Category'!C8+'[12]2012 Benefit Sum by Category '!C10</f>
        <v>5541.758005009</v>
      </c>
      <c r="H44" s="1202">
        <f>+'[12]2013 O &amp; M Burden '!C8</f>
        <v>9320.900145262498</v>
      </c>
      <c r="I44" s="1189"/>
      <c r="J44" s="1189"/>
      <c r="K44" s="1189"/>
      <c r="L44" s="1189"/>
      <c r="M44" s="1189"/>
    </row>
    <row r="45" spans="2:13" x14ac:dyDescent="0.25">
      <c r="B45" s="1191" t="s">
        <v>1008</v>
      </c>
      <c r="C45" s="1202">
        <v>10000</v>
      </c>
      <c r="D45" s="1202">
        <f>+'[12]2009 SAP Benefit Summary '!C289</f>
        <v>10613.2</v>
      </c>
      <c r="E45" s="1202">
        <f>+'[12]2010 SAP Benefit Summary'!C302</f>
        <v>12804.25</v>
      </c>
      <c r="F45" s="1202">
        <f>+'[12]2011 SAP Benefit Summary '!C252</f>
        <v>11966.38</v>
      </c>
      <c r="G45" s="1202">
        <f>+'[12]2012 Burden Summary by Category'!C9</f>
        <v>11408.364881415384</v>
      </c>
      <c r="H45" s="1202">
        <f>+'[12]2013 O &amp; M Burden '!C9</f>
        <v>22813.826892000005</v>
      </c>
      <c r="I45" s="1189"/>
      <c r="J45" s="1189"/>
      <c r="K45" s="1189"/>
      <c r="L45" s="1189"/>
      <c r="M45" s="1189"/>
    </row>
    <row r="46" spans="2:13" x14ac:dyDescent="0.25">
      <c r="B46" s="1191" t="s">
        <v>1007</v>
      </c>
      <c r="C46" s="1202">
        <v>200000</v>
      </c>
      <c r="D46" s="1202">
        <f>+'[12]2009 SAP Benefit Summary '!C291</f>
        <v>226951.12</v>
      </c>
      <c r="E46" s="1202">
        <f>+'[12]2010 SAP Benefit Summary'!C304</f>
        <v>244643.62</v>
      </c>
      <c r="F46" s="1202">
        <f>+'[12]2011 SAP Benefit Summary '!C254</f>
        <v>285786.44</v>
      </c>
      <c r="G46" s="1202">
        <f>+'[12]2012 Burden Summary by Category'!C11+'[12]2012 Benefit Sum by Category '!C9</f>
        <v>304263.32092602825</v>
      </c>
      <c r="H46" s="1202">
        <f>+'[12]2013 O &amp; M Burden '!C11+'[12]2013 O&amp;M Benefit  Budget'!C9</f>
        <v>334852.07</v>
      </c>
      <c r="I46" s="1189"/>
      <c r="J46" s="1189"/>
      <c r="K46" s="1189"/>
      <c r="L46" s="1189"/>
      <c r="M46" s="1189"/>
    </row>
    <row r="47" spans="2:13" x14ac:dyDescent="0.25">
      <c r="B47" s="1191" t="s">
        <v>439</v>
      </c>
      <c r="C47" s="1203">
        <f t="shared" ref="C47:H47" si="3">SUM(C39:C46)</f>
        <v>1599772.48</v>
      </c>
      <c r="D47" s="1203">
        <f t="shared" si="3"/>
        <v>1815600.5164038194</v>
      </c>
      <c r="E47" s="1203">
        <f t="shared" si="3"/>
        <v>1948687.5</v>
      </c>
      <c r="F47" s="1203">
        <f t="shared" si="3"/>
        <v>2236752.98</v>
      </c>
      <c r="G47" s="1203">
        <f t="shared" si="3"/>
        <v>2268918.7591758263</v>
      </c>
      <c r="H47" s="1203">
        <f t="shared" si="3"/>
        <v>2563762.8004687689</v>
      </c>
    </row>
    <row r="48" spans="2:13" x14ac:dyDescent="0.25">
      <c r="B48" s="1422" t="s">
        <v>3</v>
      </c>
      <c r="C48" s="1423"/>
      <c r="D48" s="1423"/>
      <c r="E48" s="1423"/>
      <c r="F48" s="1423"/>
      <c r="G48" s="1423"/>
      <c r="H48" s="1424"/>
    </row>
    <row r="49" spans="2:8" x14ac:dyDescent="0.25">
      <c r="B49" s="1191" t="s">
        <v>458</v>
      </c>
      <c r="C49" s="1202"/>
      <c r="D49" s="1202"/>
      <c r="E49" s="1202"/>
      <c r="F49" s="1202"/>
      <c r="G49" s="1202"/>
      <c r="H49" s="1202"/>
    </row>
    <row r="50" spans="2:8" x14ac:dyDescent="0.25">
      <c r="B50" s="1191" t="s">
        <v>459</v>
      </c>
      <c r="C50" s="1202"/>
      <c r="D50" s="1202"/>
      <c r="E50" s="1202"/>
      <c r="F50" s="1202"/>
      <c r="G50" s="1202"/>
      <c r="H50" s="1202"/>
    </row>
    <row r="51" spans="2:8" x14ac:dyDescent="0.25">
      <c r="B51" s="1191" t="s">
        <v>460</v>
      </c>
      <c r="C51" s="1202"/>
      <c r="D51" s="1202"/>
      <c r="E51" s="1202"/>
      <c r="F51" s="1202"/>
      <c r="G51" s="1202"/>
      <c r="H51" s="1202"/>
    </row>
    <row r="52" spans="2:8" x14ac:dyDescent="0.25">
      <c r="B52" s="1191" t="s">
        <v>461</v>
      </c>
      <c r="C52" s="1202"/>
      <c r="D52" s="1202"/>
      <c r="E52" s="1202"/>
      <c r="F52" s="1202"/>
      <c r="G52" s="1202"/>
      <c r="H52" s="1202"/>
    </row>
    <row r="53" spans="2:8" x14ac:dyDescent="0.25">
      <c r="B53" s="1191" t="s">
        <v>439</v>
      </c>
      <c r="C53" s="1203">
        <f t="shared" ref="C53:H53" si="4">SUM(C49:C52)</f>
        <v>0</v>
      </c>
      <c r="D53" s="1203">
        <f t="shared" si="4"/>
        <v>0</v>
      </c>
      <c r="E53" s="1203">
        <f t="shared" si="4"/>
        <v>0</v>
      </c>
      <c r="F53" s="1203">
        <f t="shared" si="4"/>
        <v>0</v>
      </c>
      <c r="G53" s="1203">
        <f t="shared" si="4"/>
        <v>0</v>
      </c>
      <c r="H53" s="1203">
        <f t="shared" si="4"/>
        <v>0</v>
      </c>
    </row>
    <row r="54" spans="2:8" x14ac:dyDescent="0.25">
      <c r="B54" s="1422" t="s">
        <v>1016</v>
      </c>
      <c r="C54" s="1423"/>
      <c r="D54" s="1423"/>
      <c r="E54" s="1423"/>
      <c r="F54" s="1423"/>
      <c r="G54" s="1423"/>
      <c r="H54" s="1424"/>
    </row>
    <row r="55" spans="2:8" x14ac:dyDescent="0.25">
      <c r="B55" s="1191" t="s">
        <v>1010</v>
      </c>
      <c r="C55" s="1203">
        <f>+C39</f>
        <v>3500</v>
      </c>
      <c r="D55" s="1203">
        <f>+D39</f>
        <v>3413.67</v>
      </c>
      <c r="E55" s="1203">
        <f>E39</f>
        <v>3492.99</v>
      </c>
      <c r="F55" s="1203">
        <f t="shared" ref="E55:H59" si="5">F39+F48</f>
        <v>4001.4</v>
      </c>
      <c r="G55" s="1203">
        <f t="shared" si="5"/>
        <v>2174.5425</v>
      </c>
      <c r="H55" s="1203">
        <f t="shared" si="5"/>
        <v>2077.0425</v>
      </c>
    </row>
    <row r="56" spans="2:8" x14ac:dyDescent="0.25">
      <c r="B56" s="1191" t="s">
        <v>458</v>
      </c>
      <c r="C56" s="1203">
        <f t="shared" ref="C56:D59" si="6">C40+C49</f>
        <v>196691.44</v>
      </c>
      <c r="D56" s="1203">
        <f t="shared" si="6"/>
        <v>251927.57077170326</v>
      </c>
      <c r="E56" s="1203">
        <f t="shared" si="5"/>
        <v>272564.2</v>
      </c>
      <c r="F56" s="1203">
        <f t="shared" si="5"/>
        <v>342752.8</v>
      </c>
      <c r="G56" s="1203">
        <f t="shared" si="5"/>
        <v>304586.37406146125</v>
      </c>
      <c r="H56" s="1203">
        <f t="shared" si="5"/>
        <v>357762.80322322343</v>
      </c>
    </row>
    <row r="57" spans="2:8" x14ac:dyDescent="0.25">
      <c r="B57" s="1191" t="s">
        <v>459</v>
      </c>
      <c r="C57" s="1203">
        <f t="shared" si="6"/>
        <v>107944.32000000001</v>
      </c>
      <c r="D57" s="1203">
        <f t="shared" si="6"/>
        <v>118694.99090721741</v>
      </c>
      <c r="E57" s="1203">
        <f t="shared" si="5"/>
        <v>175355.86</v>
      </c>
      <c r="F57" s="1203">
        <f t="shared" si="5"/>
        <v>196522.01</v>
      </c>
      <c r="G57" s="1203">
        <f t="shared" si="5"/>
        <v>218160.85782876061</v>
      </c>
      <c r="H57" s="1203">
        <f t="shared" si="5"/>
        <v>251704.34288864551</v>
      </c>
    </row>
    <row r="58" spans="2:8" x14ac:dyDescent="0.25">
      <c r="B58" s="1191" t="s">
        <v>460</v>
      </c>
      <c r="C58" s="1203">
        <f t="shared" si="6"/>
        <v>366327.28</v>
      </c>
      <c r="D58" s="1203">
        <f t="shared" si="6"/>
        <v>393491.48881129152</v>
      </c>
      <c r="E58" s="1203">
        <f t="shared" si="5"/>
        <v>461919.22000000003</v>
      </c>
      <c r="F58" s="1203">
        <f t="shared" si="5"/>
        <v>538726.94000000006</v>
      </c>
      <c r="G58" s="1203">
        <f t="shared" si="5"/>
        <v>527036.96081794624</v>
      </c>
      <c r="H58" s="1203">
        <f t="shared" si="5"/>
        <v>550800.39481963776</v>
      </c>
    </row>
    <row r="59" spans="2:8" x14ac:dyDescent="0.25">
      <c r="B59" s="1191" t="s">
        <v>461</v>
      </c>
      <c r="C59" s="1203">
        <f t="shared" si="6"/>
        <v>705309.44000000006</v>
      </c>
      <c r="D59" s="1203">
        <f t="shared" si="6"/>
        <v>797603.19591360702</v>
      </c>
      <c r="E59" s="1203">
        <f t="shared" si="5"/>
        <v>755035.74</v>
      </c>
      <c r="F59" s="1203">
        <f t="shared" si="5"/>
        <v>832345.2300000001</v>
      </c>
      <c r="G59" s="1203">
        <f t="shared" si="5"/>
        <v>895746.58015520568</v>
      </c>
      <c r="H59" s="1203">
        <f t="shared" si="5"/>
        <v>1034431.4199999999</v>
      </c>
    </row>
    <row r="60" spans="2:8" x14ac:dyDescent="0.25">
      <c r="B60" s="1191" t="s">
        <v>1009</v>
      </c>
      <c r="C60" s="1203">
        <f t="shared" ref="C60:H62" si="7">+C44</f>
        <v>10000</v>
      </c>
      <c r="D60" s="1203">
        <f t="shared" si="7"/>
        <v>12905.28</v>
      </c>
      <c r="E60" s="1203">
        <f t="shared" si="7"/>
        <v>22871.62</v>
      </c>
      <c r="F60" s="1203">
        <f t="shared" si="7"/>
        <v>24651.78</v>
      </c>
      <c r="G60" s="1203">
        <f t="shared" si="7"/>
        <v>5541.758005009</v>
      </c>
      <c r="H60" s="1203">
        <f t="shared" si="7"/>
        <v>9320.900145262498</v>
      </c>
    </row>
    <row r="61" spans="2:8" x14ac:dyDescent="0.25">
      <c r="B61" s="1191" t="s">
        <v>1008</v>
      </c>
      <c r="C61" s="1203">
        <f t="shared" si="7"/>
        <v>10000</v>
      </c>
      <c r="D61" s="1203">
        <f t="shared" si="7"/>
        <v>10613.2</v>
      </c>
      <c r="E61" s="1203">
        <f t="shared" si="7"/>
        <v>12804.25</v>
      </c>
      <c r="F61" s="1203">
        <f t="shared" si="7"/>
        <v>11966.38</v>
      </c>
      <c r="G61" s="1203">
        <f t="shared" si="7"/>
        <v>11408.364881415384</v>
      </c>
      <c r="H61" s="1203">
        <f t="shared" si="7"/>
        <v>22813.826892000005</v>
      </c>
    </row>
    <row r="62" spans="2:8" x14ac:dyDescent="0.25">
      <c r="B62" s="1191" t="s">
        <v>1007</v>
      </c>
      <c r="C62" s="1203">
        <f t="shared" si="7"/>
        <v>200000</v>
      </c>
      <c r="D62" s="1203">
        <f t="shared" si="7"/>
        <v>226951.12</v>
      </c>
      <c r="E62" s="1203">
        <f t="shared" si="7"/>
        <v>244643.62</v>
      </c>
      <c r="F62" s="1203">
        <f t="shared" si="7"/>
        <v>285786.44</v>
      </c>
      <c r="G62" s="1203">
        <f t="shared" si="7"/>
        <v>304263.32092602825</v>
      </c>
      <c r="H62" s="1203">
        <f t="shared" si="7"/>
        <v>334852.07</v>
      </c>
    </row>
    <row r="63" spans="2:8" x14ac:dyDescent="0.25">
      <c r="B63" s="1191" t="s">
        <v>439</v>
      </c>
      <c r="C63" s="1203">
        <f t="shared" ref="C63:H63" si="8">C47+C53</f>
        <v>1599772.48</v>
      </c>
      <c r="D63" s="1203">
        <f t="shared" si="8"/>
        <v>1815600.5164038194</v>
      </c>
      <c r="E63" s="1203">
        <f t="shared" si="8"/>
        <v>1948687.5</v>
      </c>
      <c r="F63" s="1203">
        <f t="shared" si="8"/>
        <v>2236752.98</v>
      </c>
      <c r="G63" s="1203">
        <f t="shared" si="8"/>
        <v>2268918.7591758263</v>
      </c>
      <c r="H63" s="1203">
        <f t="shared" si="8"/>
        <v>2563762.8004687689</v>
      </c>
    </row>
    <row r="64" spans="2:8" x14ac:dyDescent="0.25">
      <c r="B64" s="1422" t="s">
        <v>0</v>
      </c>
      <c r="C64" s="1423"/>
      <c r="D64" s="1423"/>
      <c r="E64" s="1423"/>
      <c r="F64" s="1423"/>
      <c r="G64" s="1423"/>
      <c r="H64" s="1424"/>
    </row>
    <row r="65" spans="2:9" x14ac:dyDescent="0.25">
      <c r="B65" s="1191" t="s">
        <v>1010</v>
      </c>
      <c r="C65" s="1203">
        <f>+C30+C39</f>
        <v>92961.680000000008</v>
      </c>
      <c r="D65" s="1203">
        <f>+D30+D55</f>
        <v>104913.67</v>
      </c>
      <c r="E65" s="1203">
        <f>+E30+E55</f>
        <v>109392.99</v>
      </c>
      <c r="F65" s="1203">
        <f>+F30+F55</f>
        <v>122051.4</v>
      </c>
      <c r="G65" s="1203">
        <f>+G30+G55</f>
        <v>113689.5425</v>
      </c>
      <c r="H65" s="1203">
        <f>+H30+H55</f>
        <v>108592.0425</v>
      </c>
    </row>
    <row r="66" spans="2:9" x14ac:dyDescent="0.25">
      <c r="B66" s="1191" t="s">
        <v>458</v>
      </c>
      <c r="C66" s="1203">
        <f t="shared" ref="C66:H69" si="9">C31+C56</f>
        <v>1154286.32</v>
      </c>
      <c r="D66" s="1203">
        <f t="shared" si="9"/>
        <v>1221986.7407717034</v>
      </c>
      <c r="E66" s="1203">
        <f t="shared" si="9"/>
        <v>1350132.42</v>
      </c>
      <c r="F66" s="1203">
        <f t="shared" si="9"/>
        <v>1560015.01</v>
      </c>
      <c r="G66" s="1203">
        <f>G31+G56</f>
        <v>1612337.3740614613</v>
      </c>
      <c r="H66" s="1203">
        <f t="shared" si="9"/>
        <v>1724063.8074232235</v>
      </c>
    </row>
    <row r="67" spans="2:9" x14ac:dyDescent="0.25">
      <c r="B67" s="1191" t="s">
        <v>459</v>
      </c>
      <c r="C67" s="1203">
        <f t="shared" si="9"/>
        <v>543414.08000000007</v>
      </c>
      <c r="D67" s="1203">
        <f t="shared" si="9"/>
        <v>521191.54090721742</v>
      </c>
      <c r="E67" s="1203">
        <f t="shared" si="9"/>
        <v>863146.41000000015</v>
      </c>
      <c r="F67" s="1203">
        <f t="shared" si="9"/>
        <v>888908.17000000016</v>
      </c>
      <c r="G67" s="1203">
        <f t="shared" si="9"/>
        <v>951585.85782876064</v>
      </c>
      <c r="H67" s="1203">
        <f t="shared" si="9"/>
        <v>1003101.0949963377</v>
      </c>
    </row>
    <row r="68" spans="2:9" x14ac:dyDescent="0.25">
      <c r="B68" s="1191" t="s">
        <v>460</v>
      </c>
      <c r="C68" s="1203">
        <f t="shared" si="9"/>
        <v>1906850</v>
      </c>
      <c r="D68" s="1203">
        <f t="shared" si="9"/>
        <v>1963601.4388112915</v>
      </c>
      <c r="E68" s="1203">
        <f t="shared" si="9"/>
        <v>2305700.4000000004</v>
      </c>
      <c r="F68" s="1203">
        <f t="shared" si="9"/>
        <v>2503360.36</v>
      </c>
      <c r="G68" s="1203">
        <f t="shared" si="9"/>
        <v>2557844.9608179461</v>
      </c>
      <c r="H68" s="1203">
        <f t="shared" si="9"/>
        <v>2634155.1531634843</v>
      </c>
    </row>
    <row r="69" spans="2:9" x14ac:dyDescent="0.25">
      <c r="B69" s="1191" t="s">
        <v>461</v>
      </c>
      <c r="C69" s="1203">
        <f t="shared" si="9"/>
        <v>3661067.52</v>
      </c>
      <c r="D69" s="1203">
        <f t="shared" si="9"/>
        <v>3856622.0859136069</v>
      </c>
      <c r="E69" s="1203">
        <f t="shared" si="9"/>
        <v>3924660.2800000003</v>
      </c>
      <c r="F69" s="1203">
        <f t="shared" si="9"/>
        <v>3960620.4</v>
      </c>
      <c r="G69" s="1203">
        <f t="shared" si="9"/>
        <v>4154324.5801552059</v>
      </c>
      <c r="H69" s="1203">
        <f t="shared" si="9"/>
        <v>4670372.1119999997</v>
      </c>
    </row>
    <row r="70" spans="2:9" x14ac:dyDescent="0.25">
      <c r="B70" s="1191" t="s">
        <v>1009</v>
      </c>
      <c r="C70" s="1203">
        <v>0</v>
      </c>
      <c r="D70" s="1203">
        <f t="shared" ref="D70:H71" si="10">+D35+D60</f>
        <v>159369.22</v>
      </c>
      <c r="E70" s="1203">
        <f t="shared" si="10"/>
        <v>291441.52</v>
      </c>
      <c r="F70" s="1203">
        <f t="shared" si="10"/>
        <v>285699.78000000003</v>
      </c>
      <c r="G70" s="1203">
        <f t="shared" si="10"/>
        <v>189931.758005009</v>
      </c>
      <c r="H70" s="1203">
        <f t="shared" si="10"/>
        <v>145913.73014526253</v>
      </c>
    </row>
    <row r="71" spans="2:9" x14ac:dyDescent="0.25">
      <c r="B71" s="1191" t="s">
        <v>1008</v>
      </c>
      <c r="C71" s="1203">
        <v>0</v>
      </c>
      <c r="D71" s="1203">
        <f t="shared" si="10"/>
        <v>121343.37999999999</v>
      </c>
      <c r="E71" s="1203">
        <f t="shared" si="10"/>
        <v>148134.99</v>
      </c>
      <c r="F71" s="1203">
        <f t="shared" si="10"/>
        <v>137762.47</v>
      </c>
      <c r="G71" s="1203">
        <f t="shared" si="10"/>
        <v>186096.36488141539</v>
      </c>
      <c r="H71" s="1203">
        <f t="shared" si="10"/>
        <v>241039.30189199999</v>
      </c>
    </row>
    <row r="72" spans="2:9" x14ac:dyDescent="0.25">
      <c r="B72" s="1191" t="s">
        <v>1007</v>
      </c>
      <c r="C72" s="1203">
        <v>0</v>
      </c>
      <c r="D72" s="1203">
        <f>+D62</f>
        <v>226951.12</v>
      </c>
      <c r="E72" s="1203">
        <f>+E62</f>
        <v>244643.62</v>
      </c>
      <c r="F72" s="1203">
        <f>+F62</f>
        <v>285786.44</v>
      </c>
      <c r="G72" s="1203">
        <f>+G62</f>
        <v>304263.32092602825</v>
      </c>
      <c r="H72" s="1203">
        <f>+H62</f>
        <v>334852.07</v>
      </c>
    </row>
    <row r="73" spans="2:9" x14ac:dyDescent="0.25">
      <c r="B73" s="1191" t="s">
        <v>439</v>
      </c>
      <c r="C73" s="1203">
        <f t="shared" ref="C73:H73" si="11">C37+C63</f>
        <v>7734036.7920000013</v>
      </c>
      <c r="D73" s="1203">
        <f t="shared" si="11"/>
        <v>8175979.1964038201</v>
      </c>
      <c r="E73" s="1203">
        <f t="shared" si="11"/>
        <v>9237252.6300000008</v>
      </c>
      <c r="F73" s="1203">
        <f t="shared" si="11"/>
        <v>9744204.0299999993</v>
      </c>
      <c r="G73" s="1203">
        <f t="shared" si="11"/>
        <v>10070073.759175826</v>
      </c>
      <c r="H73" s="1203">
        <f t="shared" si="11"/>
        <v>10862089.312120307</v>
      </c>
    </row>
    <row r="74" spans="2:9" x14ac:dyDescent="0.25">
      <c r="B74" s="1422" t="s">
        <v>1014</v>
      </c>
      <c r="C74" s="1423"/>
      <c r="D74" s="1423"/>
      <c r="E74" s="1423"/>
      <c r="F74" s="1423"/>
      <c r="G74" s="1423"/>
      <c r="H74" s="1424"/>
    </row>
    <row r="75" spans="2:9" x14ac:dyDescent="0.25">
      <c r="B75" s="1191" t="s">
        <v>1010</v>
      </c>
      <c r="C75" s="1205">
        <f t="shared" ref="C75:H81" si="12">+C30/C14</f>
        <v>14910.28</v>
      </c>
      <c r="D75" s="1205">
        <f t="shared" si="12"/>
        <v>16916.666666666668</v>
      </c>
      <c r="E75" s="1205">
        <f t="shared" si="12"/>
        <v>17650</v>
      </c>
      <c r="F75" s="1205">
        <f t="shared" si="12"/>
        <v>19675</v>
      </c>
      <c r="G75" s="1205">
        <f t="shared" si="12"/>
        <v>18585.833333333332</v>
      </c>
      <c r="H75" s="1205">
        <f t="shared" si="12"/>
        <v>17752.5</v>
      </c>
    </row>
    <row r="76" spans="2:9" x14ac:dyDescent="0.25">
      <c r="B76" s="1191" t="s">
        <v>458</v>
      </c>
      <c r="C76" s="1205">
        <f>+C31/C15</f>
        <v>120908.44444444445</v>
      </c>
      <c r="D76" s="1205">
        <f>+D31/D15</f>
        <v>121257.39625000001</v>
      </c>
      <c r="E76" s="1205">
        <f t="shared" si="12"/>
        <v>134696.0275</v>
      </c>
      <c r="F76" s="1205">
        <f t="shared" si="12"/>
        <v>135251.35666666666</v>
      </c>
      <c r="G76" s="1205">
        <f t="shared" si="12"/>
        <v>145305.66666666666</v>
      </c>
      <c r="H76" s="1205">
        <f t="shared" si="12"/>
        <v>151811.2226888889</v>
      </c>
      <c r="I76" s="1206"/>
    </row>
    <row r="77" spans="2:9" x14ac:dyDescent="0.25">
      <c r="B77" s="1191" t="s">
        <v>459</v>
      </c>
      <c r="C77" s="1205">
        <f t="shared" ref="C77:C81" si="13">+C32/C16</f>
        <v>82475.333333333328</v>
      </c>
      <c r="D77" s="1205">
        <f t="shared" si="12"/>
        <v>80499.31</v>
      </c>
      <c r="E77" s="1205">
        <f t="shared" si="12"/>
        <v>85973.81875000002</v>
      </c>
      <c r="F77" s="1205">
        <f t="shared" si="12"/>
        <v>86548.270000000019</v>
      </c>
      <c r="G77" s="1205">
        <f t="shared" si="12"/>
        <v>91678.125</v>
      </c>
      <c r="H77" s="1205">
        <f t="shared" si="12"/>
        <v>93924.594013461523</v>
      </c>
    </row>
    <row r="78" spans="2:9" x14ac:dyDescent="0.25">
      <c r="B78" s="1191" t="s">
        <v>460</v>
      </c>
      <c r="C78" s="1205">
        <f t="shared" si="13"/>
        <v>64836.81481481481</v>
      </c>
      <c r="D78" s="1205">
        <f t="shared" si="12"/>
        <v>64533.906699547886</v>
      </c>
      <c r="E78" s="1205">
        <f t="shared" si="12"/>
        <v>70025.870869730352</v>
      </c>
      <c r="F78" s="1205">
        <f t="shared" si="12"/>
        <v>71441.215272727277</v>
      </c>
      <c r="G78" s="1205">
        <f t="shared" si="12"/>
        <v>72528.857142857145</v>
      </c>
      <c r="H78" s="1205">
        <f t="shared" si="12"/>
        <v>74405.527083708803</v>
      </c>
    </row>
    <row r="79" spans="2:9" x14ac:dyDescent="0.25">
      <c r="B79" s="1191" t="s">
        <v>461</v>
      </c>
      <c r="C79" s="1205">
        <f t="shared" si="13"/>
        <v>58926.596491228069</v>
      </c>
      <c r="D79" s="1205">
        <f t="shared" si="12"/>
        <v>57750.026241268635</v>
      </c>
      <c r="E79" s="1205">
        <f t="shared" si="12"/>
        <v>61743.927924418051</v>
      </c>
      <c r="F79" s="1205">
        <f t="shared" si="12"/>
        <v>58885.179670588223</v>
      </c>
      <c r="G79" s="1205">
        <f t="shared" si="12"/>
        <v>63893.686274509804</v>
      </c>
      <c r="H79" s="1205">
        <f t="shared" si="12"/>
        <v>64734.849115726996</v>
      </c>
    </row>
    <row r="80" spans="2:9" x14ac:dyDescent="0.25">
      <c r="B80" s="1191" t="s">
        <v>1009</v>
      </c>
      <c r="C80" s="1205">
        <f t="shared" si="13"/>
        <v>26580</v>
      </c>
      <c r="D80" s="1205">
        <f t="shared" si="12"/>
        <v>44495.374177215206</v>
      </c>
      <c r="E80" s="1205">
        <f t="shared" si="12"/>
        <v>43259.581208053707</v>
      </c>
      <c r="F80" s="1205">
        <f t="shared" si="12"/>
        <v>39662.902000506459</v>
      </c>
      <c r="G80" s="1205">
        <f t="shared" si="12"/>
        <v>47078.29787234043</v>
      </c>
      <c r="H80" s="1205">
        <f t="shared" si="12"/>
        <v>68296.415000000008</v>
      </c>
    </row>
    <row r="81" spans="2:8" x14ac:dyDescent="0.25">
      <c r="B81" s="1191" t="s">
        <v>1008</v>
      </c>
      <c r="C81" s="1205">
        <f t="shared" si="13"/>
        <v>36018.215999999993</v>
      </c>
      <c r="D81" s="1205">
        <f t="shared" si="12"/>
        <v>19540.62</v>
      </c>
      <c r="E81" s="1205">
        <f t="shared" si="12"/>
        <v>24856.666530612238</v>
      </c>
      <c r="F81" s="1205">
        <f t="shared" si="12"/>
        <v>19862.540526315788</v>
      </c>
      <c r="G81" s="1205">
        <f t="shared" si="12"/>
        <v>30827.294117647056</v>
      </c>
      <c r="H81" s="1205">
        <f t="shared" si="12"/>
        <v>40917.276562499996</v>
      </c>
    </row>
    <row r="82" spans="2:8" x14ac:dyDescent="0.25">
      <c r="B82" s="1191" t="s">
        <v>439</v>
      </c>
      <c r="C82" s="1205">
        <f t="shared" ref="C82:H82" si="14">SUM(C75:C81)</f>
        <v>404655.68508382072</v>
      </c>
      <c r="D82" s="1205">
        <f t="shared" si="14"/>
        <v>404993.30003469839</v>
      </c>
      <c r="E82" s="1205">
        <f t="shared" si="14"/>
        <v>438205.89278281434</v>
      </c>
      <c r="F82" s="1205">
        <f t="shared" si="14"/>
        <v>431326.46413680445</v>
      </c>
      <c r="G82" s="1205">
        <f t="shared" si="14"/>
        <v>469897.76040735445</v>
      </c>
      <c r="H82" s="1205">
        <f t="shared" si="14"/>
        <v>511842.38446428621</v>
      </c>
    </row>
    <row r="83" spans="2:8" x14ac:dyDescent="0.25">
      <c r="B83" s="1422" t="s">
        <v>1013</v>
      </c>
      <c r="C83" s="1423"/>
      <c r="D83" s="1423"/>
      <c r="E83" s="1423"/>
      <c r="F83" s="1423"/>
      <c r="G83" s="1423"/>
      <c r="H83" s="1424"/>
    </row>
    <row r="84" spans="2:8" x14ac:dyDescent="0.25">
      <c r="B84" s="1191" t="s">
        <v>458</v>
      </c>
      <c r="C84" s="1207">
        <v>0</v>
      </c>
      <c r="D84" s="1202">
        <f>+'[12]2009 T4 Rec'!D126</f>
        <v>1901.54</v>
      </c>
      <c r="E84" s="1202">
        <f>+'[12]2010 T-4 Rec to GL'!D94</f>
        <v>4828.32</v>
      </c>
      <c r="F84" s="1207">
        <f>+'[12]2011 T-4 Rec to GL'!D85</f>
        <v>0</v>
      </c>
      <c r="G84" s="1207">
        <f>+'[12]2012 SAP Payroll budget'!C86</f>
        <v>0</v>
      </c>
      <c r="H84" s="1207">
        <f>+'[12]2013 Payroll Budget'!C101</f>
        <v>0</v>
      </c>
    </row>
    <row r="85" spans="2:8" x14ac:dyDescent="0.25">
      <c r="B85" s="1191" t="s">
        <v>459</v>
      </c>
      <c r="C85" s="1207">
        <v>13220</v>
      </c>
      <c r="D85" s="1202">
        <f>+'[12]2009 T4 Rec'!D132</f>
        <v>4505.17</v>
      </c>
      <c r="E85" s="1202">
        <f>+'[12]2010 T-4 Rec to GL'!D100</f>
        <v>46608.14</v>
      </c>
      <c r="F85" s="1202">
        <f>+'[12]2011 T-4 Rec to GL'!D90</f>
        <v>42541.350000000006</v>
      </c>
      <c r="G85" s="1202">
        <f>+'[12]2012 SAP Payroll budget'!C90</f>
        <v>0</v>
      </c>
      <c r="H85" s="1202">
        <f>+'[12]2013 Payroll Budget'!C105</f>
        <v>30000</v>
      </c>
    </row>
    <row r="86" spans="2:8" x14ac:dyDescent="0.25">
      <c r="B86" s="1191" t="s">
        <v>460</v>
      </c>
      <c r="C86" s="1207">
        <v>9000</v>
      </c>
      <c r="D86" s="1202">
        <f>+'[12]2009 T4 Rec'!D141</f>
        <v>26236.91</v>
      </c>
      <c r="E86" s="1202">
        <f>+'[12]2010 T-4 Rec to GL'!D110</f>
        <v>8322.9499999999989</v>
      </c>
      <c r="F86" s="1202">
        <f>+'[12]2011 T-4 Rec to GL'!D99</f>
        <v>8096.16</v>
      </c>
      <c r="G86" s="1202">
        <f>+'[12]2012 SAP Payroll budget'!C98</f>
        <v>26500</v>
      </c>
      <c r="H86" s="1202">
        <f>+'[12]2013 Payroll Budget'!C113</f>
        <v>6000</v>
      </c>
    </row>
    <row r="87" spans="2:8" x14ac:dyDescent="0.25">
      <c r="B87" s="1191" t="s">
        <v>461</v>
      </c>
      <c r="C87" s="1207">
        <v>421228</v>
      </c>
      <c r="D87" s="1202">
        <f>+'[12]2009 T4 Rec'!D136</f>
        <v>427118.55999999994</v>
      </c>
      <c r="E87" s="1202">
        <f>+'[12]2010 T-4 Rec to GL'!D105</f>
        <v>554219.93000000005</v>
      </c>
      <c r="F87" s="1202">
        <f>+'[12]2011 T-4 Rec to GL'!D95</f>
        <v>476814.33</v>
      </c>
      <c r="G87" s="1202">
        <f>+'[12]2012 SAP Payroll budget'!C94</f>
        <v>295500</v>
      </c>
      <c r="H87" s="1202">
        <f>+'[12]2013 Payroll Budget'!C109</f>
        <v>280000</v>
      </c>
    </row>
    <row r="88" spans="2:8" x14ac:dyDescent="0.25">
      <c r="B88" s="1191" t="s">
        <v>1009</v>
      </c>
      <c r="C88" s="1207">
        <v>0</v>
      </c>
      <c r="D88" s="1202">
        <f>+'[12]2009 T4 Rec'!D144</f>
        <v>1078.96</v>
      </c>
      <c r="E88" s="1202">
        <f>+'[12]2010 T-4 Rec to GL'!D113</f>
        <v>2118.21</v>
      </c>
      <c r="F88" s="1202">
        <f>+'[12]2011 T-4 Rec to GL'!D102</f>
        <v>2059.98</v>
      </c>
      <c r="G88" s="1202">
        <f>+'[12]2012 SAP Payroll budget'!C101</f>
        <v>1500</v>
      </c>
      <c r="H88" s="1202">
        <f>+'[12]2013 Payroll Budget'!C116</f>
        <v>0</v>
      </c>
    </row>
    <row r="89" spans="2:8" x14ac:dyDescent="0.25">
      <c r="B89" s="1191" t="s">
        <v>1008</v>
      </c>
      <c r="C89" s="1207">
        <v>0</v>
      </c>
      <c r="D89" s="1202">
        <f>+'[12]2009 T4 Rec'!D146</f>
        <v>367.2</v>
      </c>
      <c r="E89" s="1202">
        <f>+'[12]2010 T-4 Rec to GL'!D115</f>
        <v>1677</v>
      </c>
      <c r="F89" s="1202">
        <f>+'[12]2011 T-4 Rec to GL'!D104</f>
        <v>16.75</v>
      </c>
      <c r="G89" s="1202">
        <f>+'[12]2012 SAP Payroll budget'!C103</f>
        <v>0</v>
      </c>
      <c r="H89" s="1202">
        <f>+'[12]2013 Payroll Budget'!C118</f>
        <v>0</v>
      </c>
    </row>
    <row r="90" spans="2:8" x14ac:dyDescent="0.25">
      <c r="B90" s="1191" t="s">
        <v>439</v>
      </c>
      <c r="C90" s="1202">
        <f t="shared" ref="C90:H90" si="15">SUM(C84:C89)</f>
        <v>443448</v>
      </c>
      <c r="D90" s="1202">
        <f t="shared" si="15"/>
        <v>461208.33999999997</v>
      </c>
      <c r="E90" s="1202">
        <f t="shared" si="15"/>
        <v>617774.55000000005</v>
      </c>
      <c r="F90" s="1202">
        <f t="shared" si="15"/>
        <v>529528.57000000007</v>
      </c>
      <c r="G90" s="1202">
        <f t="shared" si="15"/>
        <v>323500</v>
      </c>
      <c r="H90" s="1202">
        <f t="shared" si="15"/>
        <v>316000</v>
      </c>
    </row>
    <row r="91" spans="2:8" x14ac:dyDescent="0.25">
      <c r="B91" s="1422" t="s">
        <v>1012</v>
      </c>
      <c r="C91" s="1423"/>
      <c r="D91" s="1423"/>
      <c r="E91" s="1423"/>
      <c r="F91" s="1423"/>
      <c r="G91" s="1423"/>
      <c r="H91" s="1424"/>
    </row>
    <row r="92" spans="2:8" x14ac:dyDescent="0.25">
      <c r="B92" s="1191" t="s">
        <v>458</v>
      </c>
      <c r="C92" s="1202">
        <v>129215</v>
      </c>
      <c r="D92" s="1202">
        <f>(+'[12]2009 T4 Rec'!D124+'[12]2009 T4 Rec'!D127)*0.9</f>
        <v>129828.6</v>
      </c>
      <c r="E92" s="1202">
        <f>(+'[12]2010 T-4 Rec to GL'!D92+'[12]2010 T-4 Rec to GL'!D95)*0.9</f>
        <v>114545.25900000001</v>
      </c>
      <c r="F92" s="1202">
        <f>+'[12]2011 T-4 Rec to GL'!D86*0.9</f>
        <v>158169.807</v>
      </c>
      <c r="G92" s="1202">
        <f>+'[12]2012 SAP Payroll budget'!C87*0.9</f>
        <v>160398</v>
      </c>
      <c r="H92" s="1202">
        <f>+'[12]2013 Payroll Budget'!D150*0.9</f>
        <v>174563.48249999998</v>
      </c>
    </row>
    <row r="93" spans="2:8" x14ac:dyDescent="0.25">
      <c r="B93" s="1191" t="s">
        <v>459</v>
      </c>
      <c r="C93" s="1202">
        <v>21912</v>
      </c>
      <c r="D93" s="1202">
        <f>(+'[12]2009 T4 Rec'!D130+'[12]2009 T4 Rec'!D133)*0.9</f>
        <v>19637.319599999999</v>
      </c>
      <c r="E93" s="1202">
        <f>+'[12]2010 T-4 Rec to GL'!D101*0.9</f>
        <v>27988.911</v>
      </c>
      <c r="F93" s="1202">
        <f>+'[12]2011 T-4 Rec to GL'!D91*0.9</f>
        <v>51271.991999999998</v>
      </c>
      <c r="G93" s="1202">
        <f>+'[12]2012 SAP Payroll budget'!C91*0.9</f>
        <v>33201</v>
      </c>
      <c r="H93" s="1202">
        <f>+'[12]2013 Payroll Budget'!D151*0.9</f>
        <v>37462.720837499997</v>
      </c>
    </row>
    <row r="94" spans="2:8" x14ac:dyDescent="0.25">
      <c r="B94" s="1191" t="s">
        <v>460</v>
      </c>
      <c r="C94" s="1202">
        <v>45141</v>
      </c>
      <c r="D94" s="1202">
        <f>(+'[12]2009 T4 Rec'!D139+'[12]2009 T4 Rec'!D142)*0.9</f>
        <v>42819.379200000003</v>
      </c>
      <c r="E94" s="1202">
        <f>(+'[12]2010 T-4 Rec to GL'!K108+'[12]2010 T-4 Rec to GL'!D111)*0.9</f>
        <v>43752.744000000006</v>
      </c>
      <c r="F94" s="1202">
        <f>+'[12]2011 T-4 Rec to GL'!D100*0.9</f>
        <v>45793.701000000001</v>
      </c>
      <c r="G94" s="1202">
        <f>+'[12]2012 SAP Payroll budget'!C99*0.9</f>
        <v>52308</v>
      </c>
      <c r="H94" s="1202">
        <f>+'[12]2013 Payroll Budget'!D153*0.9</f>
        <v>49751.154686250004</v>
      </c>
    </row>
    <row r="95" spans="2:8" x14ac:dyDescent="0.25">
      <c r="B95" s="1191" t="s">
        <v>461</v>
      </c>
      <c r="C95" s="1202">
        <v>50597</v>
      </c>
      <c r="D95" s="1202">
        <f>+'[12]2009 T4 Rec'!D137*0.9</f>
        <v>33117.883199999997</v>
      </c>
      <c r="E95" s="1202">
        <f>+'[12]2010 T-4 Rec to GL'!D106*0.9</f>
        <v>39729.744000000006</v>
      </c>
      <c r="F95" s="1202">
        <f>+'[12]2011 T-4 Rec to GL'!D96*0.9</f>
        <v>38378.61</v>
      </c>
      <c r="G95" s="1202">
        <f>+'[12]2012 SAP Payroll budget'!C95*0.9</f>
        <v>37146.6</v>
      </c>
      <c r="H95" s="1202">
        <f>+'[12]2013 Payroll Budget'!D152*0.9</f>
        <v>45899.32051800003</v>
      </c>
    </row>
    <row r="96" spans="2:8" x14ac:dyDescent="0.25">
      <c r="B96" s="1191" t="s">
        <v>439</v>
      </c>
      <c r="C96" s="1202">
        <f t="shared" ref="C96:H96" si="16">SUM(C92:C95)</f>
        <v>246865</v>
      </c>
      <c r="D96" s="1202">
        <f t="shared" si="16"/>
        <v>225403.18199999997</v>
      </c>
      <c r="E96" s="1202">
        <f t="shared" si="16"/>
        <v>226016.65800000002</v>
      </c>
      <c r="F96" s="1202">
        <f t="shared" si="16"/>
        <v>293614.11</v>
      </c>
      <c r="G96" s="1202">
        <f t="shared" si="16"/>
        <v>283053.59999999998</v>
      </c>
      <c r="H96" s="1202">
        <f t="shared" si="16"/>
        <v>307676.67854175001</v>
      </c>
    </row>
    <row r="97" spans="2:9" x14ac:dyDescent="0.25">
      <c r="B97" s="1422" t="s">
        <v>1011</v>
      </c>
      <c r="C97" s="1423"/>
      <c r="D97" s="1423"/>
      <c r="E97" s="1423"/>
      <c r="F97" s="1423"/>
      <c r="G97" s="1423"/>
      <c r="H97" s="1424"/>
    </row>
    <row r="98" spans="2:9" x14ac:dyDescent="0.25">
      <c r="B98" s="1191" t="s">
        <v>1010</v>
      </c>
      <c r="C98" s="1208">
        <f t="shared" ref="C98:H104" si="17">+C39/C14</f>
        <v>583.33333333333337</v>
      </c>
      <c r="D98" s="1208">
        <f t="shared" si="17"/>
        <v>568.94500000000005</v>
      </c>
      <c r="E98" s="1208">
        <f t="shared" si="17"/>
        <v>582.16499999999996</v>
      </c>
      <c r="F98" s="1208">
        <f t="shared" si="17"/>
        <v>666.9</v>
      </c>
      <c r="G98" s="1208">
        <f t="shared" si="17"/>
        <v>362.42374999999998</v>
      </c>
      <c r="H98" s="1208">
        <f t="shared" si="17"/>
        <v>346.17374999999998</v>
      </c>
    </row>
    <row r="99" spans="2:9" x14ac:dyDescent="0.25">
      <c r="B99" s="1191" t="s">
        <v>458</v>
      </c>
      <c r="C99" s="1208">
        <f t="shared" si="17"/>
        <v>24834.777777777777</v>
      </c>
      <c r="D99" s="1208">
        <f t="shared" si="17"/>
        <v>31490.946346462908</v>
      </c>
      <c r="E99" s="1208">
        <f t="shared" si="17"/>
        <v>34070.525000000001</v>
      </c>
      <c r="F99" s="1208">
        <f t="shared" si="17"/>
        <v>38083.644444444442</v>
      </c>
      <c r="G99" s="1208">
        <f t="shared" si="17"/>
        <v>33842.930451273474</v>
      </c>
      <c r="H99" s="1208">
        <f t="shared" si="17"/>
        <v>39751.422580358158</v>
      </c>
      <c r="I99" s="1206"/>
    </row>
    <row r="100" spans="2:9" x14ac:dyDescent="0.25">
      <c r="B100" s="1191" t="s">
        <v>459</v>
      </c>
      <c r="C100" s="1208">
        <f t="shared" si="17"/>
        <v>20444</v>
      </c>
      <c r="D100" s="1208">
        <f t="shared" si="17"/>
        <v>23738.99818144348</v>
      </c>
      <c r="E100" s="1208">
        <f t="shared" si="17"/>
        <v>21919.482499999998</v>
      </c>
      <c r="F100" s="1208">
        <f t="shared" si="17"/>
        <v>24565.251250000001</v>
      </c>
      <c r="G100" s="1208">
        <f t="shared" si="17"/>
        <v>27270.107228595076</v>
      </c>
      <c r="H100" s="1208">
        <f t="shared" si="17"/>
        <v>31463.042861080688</v>
      </c>
    </row>
    <row r="101" spans="2:9" x14ac:dyDescent="0.25">
      <c r="B101" s="1191" t="s">
        <v>460</v>
      </c>
      <c r="C101" s="1208">
        <f t="shared" si="17"/>
        <v>15417.814814814816</v>
      </c>
      <c r="D101" s="1208">
        <f t="shared" si="17"/>
        <v>16173.098594792091</v>
      </c>
      <c r="E101" s="1208">
        <f t="shared" si="17"/>
        <v>17543.456893277631</v>
      </c>
      <c r="F101" s="1208">
        <f t="shared" si="17"/>
        <v>19590.070545454546</v>
      </c>
      <c r="G101" s="1208">
        <f t="shared" si="17"/>
        <v>18822.748600640938</v>
      </c>
      <c r="H101" s="1208">
        <f t="shared" si="17"/>
        <v>19671.442672129921</v>
      </c>
    </row>
    <row r="102" spans="2:9" x14ac:dyDescent="0.25">
      <c r="B102" s="1191" t="s">
        <v>461</v>
      </c>
      <c r="C102" s="1208">
        <f t="shared" si="17"/>
        <v>14061.192982456141</v>
      </c>
      <c r="D102" s="1208">
        <f t="shared" si="17"/>
        <v>15057.640096537794</v>
      </c>
      <c r="E102" s="1208">
        <f t="shared" si="17"/>
        <v>14708.010908736729</v>
      </c>
      <c r="F102" s="1208">
        <f t="shared" si="17"/>
        <v>15667.674917647058</v>
      </c>
      <c r="G102" s="1208">
        <f t="shared" si="17"/>
        <v>17563.658434415796</v>
      </c>
      <c r="H102" s="1208">
        <f t="shared" si="17"/>
        <v>18417.176617210684</v>
      </c>
    </row>
    <row r="103" spans="2:9" x14ac:dyDescent="0.25">
      <c r="B103" s="1191" t="s">
        <v>1009</v>
      </c>
      <c r="C103" s="1208">
        <f t="shared" si="17"/>
        <v>11363.636363636364</v>
      </c>
      <c r="D103" s="1208">
        <f t="shared" si="17"/>
        <v>3920.5913924050647</v>
      </c>
      <c r="E103" s="1208">
        <f t="shared" si="17"/>
        <v>3684.0193288590613</v>
      </c>
      <c r="F103" s="1208">
        <f t="shared" si="17"/>
        <v>3745.5224107368954</v>
      </c>
      <c r="G103" s="1208">
        <f t="shared" si="17"/>
        <v>1414.9169374491064</v>
      </c>
      <c r="H103" s="1208">
        <f t="shared" si="17"/>
        <v>4660.450072631249</v>
      </c>
    </row>
    <row r="104" spans="2:9" x14ac:dyDescent="0.25">
      <c r="B104" s="1191" t="s">
        <v>1008</v>
      </c>
      <c r="C104" s="1208">
        <f t="shared" si="17"/>
        <v>2727.272727272727</v>
      </c>
      <c r="D104" s="1208">
        <f t="shared" si="17"/>
        <v>1872.9176470588236</v>
      </c>
      <c r="E104" s="1208">
        <f t="shared" si="17"/>
        <v>2351.8010204081629</v>
      </c>
      <c r="F104" s="1208">
        <f t="shared" si="17"/>
        <v>1889.4284210526316</v>
      </c>
      <c r="G104" s="1208">
        <f t="shared" si="17"/>
        <v>2013.240861426244</v>
      </c>
      <c r="H104" s="1208">
        <f t="shared" si="17"/>
        <v>4277.5925422500013</v>
      </c>
    </row>
    <row r="105" spans="2:9" x14ac:dyDescent="0.25">
      <c r="B105" s="1191" t="s">
        <v>1007</v>
      </c>
      <c r="C105" s="1208">
        <v>0</v>
      </c>
      <c r="D105" s="1208">
        <v>0</v>
      </c>
      <c r="E105" s="1208">
        <v>0</v>
      </c>
      <c r="F105" s="1208">
        <v>0</v>
      </c>
      <c r="G105" s="1208">
        <v>0</v>
      </c>
      <c r="H105" s="1208">
        <v>0</v>
      </c>
    </row>
    <row r="106" spans="2:9" x14ac:dyDescent="0.25">
      <c r="B106" s="1191" t="s">
        <v>439</v>
      </c>
      <c r="C106" s="1208">
        <f t="shared" ref="C106:H106" si="18">SUM(C98:C105)</f>
        <v>89432.027999291153</v>
      </c>
      <c r="D106" s="1208">
        <f t="shared" si="18"/>
        <v>92823.137258700168</v>
      </c>
      <c r="E106" s="1208">
        <f t="shared" si="18"/>
        <v>94859.460651281595</v>
      </c>
      <c r="F106" s="1208">
        <f t="shared" si="18"/>
        <v>104208.49198933558</v>
      </c>
      <c r="G106" s="1208">
        <f t="shared" si="18"/>
        <v>101290.02626380061</v>
      </c>
      <c r="H106" s="1208">
        <f t="shared" si="18"/>
        <v>118587.30109566072</v>
      </c>
    </row>
    <row r="107" spans="2:9" x14ac:dyDescent="0.25">
      <c r="B107" s="1426"/>
      <c r="C107" s="1427"/>
      <c r="D107" s="1427"/>
      <c r="E107" s="1427"/>
      <c r="F107" s="1427"/>
      <c r="G107" s="1427"/>
      <c r="H107" s="1428"/>
    </row>
    <row r="108" spans="2:9" x14ac:dyDescent="0.25">
      <c r="B108" s="1209" t="s">
        <v>1</v>
      </c>
      <c r="C108" s="1203">
        <f t="shared" ref="C108:G108" si="19">SUM(C65:C72)</f>
        <v>7358579.5999999996</v>
      </c>
      <c r="D108" s="1203">
        <f>SUM(D65:D72)</f>
        <v>8175979.1964038191</v>
      </c>
      <c r="E108" s="1203">
        <f t="shared" si="19"/>
        <v>9237252.629999999</v>
      </c>
      <c r="F108" s="1203">
        <f t="shared" si="19"/>
        <v>9744204.0299999993</v>
      </c>
      <c r="G108" s="1203">
        <f t="shared" si="19"/>
        <v>10070073.759175824</v>
      </c>
      <c r="H108" s="1203">
        <f>SUM(H65:H72)</f>
        <v>10862089.312120307</v>
      </c>
    </row>
    <row r="109" spans="2:9" x14ac:dyDescent="0.25">
      <c r="B109" s="1209" t="s">
        <v>1006</v>
      </c>
      <c r="C109" s="1207">
        <v>0</v>
      </c>
      <c r="D109" s="1202">
        <f>D108-D113-D112-D111-D110</f>
        <v>6621747.1964038191</v>
      </c>
      <c r="E109" s="1202">
        <f t="shared" ref="E109:H109" si="20">E108-E113-E112-E111-E110</f>
        <v>7200336.629999999</v>
      </c>
      <c r="F109" s="1202">
        <f t="shared" si="20"/>
        <v>7703615.0299999993</v>
      </c>
      <c r="G109" s="1202">
        <f t="shared" si="20"/>
        <v>7758974.759175824</v>
      </c>
      <c r="H109" s="1202">
        <f t="shared" si="20"/>
        <v>8866752.3121203072</v>
      </c>
    </row>
    <row r="110" spans="2:9" x14ac:dyDescent="0.25">
      <c r="B110" s="1209" t="s">
        <v>1018</v>
      </c>
      <c r="C110" s="1207">
        <v>0</v>
      </c>
      <c r="D110" s="1202">
        <v>472529</v>
      </c>
      <c r="E110" s="1202">
        <v>544926</v>
      </c>
      <c r="F110" s="1207">
        <v>502145</v>
      </c>
      <c r="G110" s="1207">
        <v>448106</v>
      </c>
      <c r="H110" s="1207">
        <v>482499</v>
      </c>
    </row>
    <row r="111" spans="2:9" x14ac:dyDescent="0.25">
      <c r="B111" s="1209" t="s">
        <v>1005</v>
      </c>
      <c r="C111" s="1207">
        <v>0</v>
      </c>
      <c r="D111" s="1202">
        <v>14992</v>
      </c>
      <c r="E111" s="1202">
        <v>232251</v>
      </c>
      <c r="F111" s="1207">
        <v>425396</v>
      </c>
      <c r="G111" s="1207">
        <v>364078</v>
      </c>
      <c r="H111" s="1207">
        <v>0</v>
      </c>
    </row>
    <row r="112" spans="2:9" x14ac:dyDescent="0.25">
      <c r="B112" s="1209" t="s">
        <v>1004</v>
      </c>
      <c r="C112" s="1207">
        <v>0</v>
      </c>
      <c r="D112" s="1202">
        <v>160885</v>
      </c>
      <c r="E112" s="1202">
        <v>425643</v>
      </c>
      <c r="F112" s="1207">
        <v>243090</v>
      </c>
      <c r="G112" s="1207">
        <v>191280</v>
      </c>
      <c r="H112" s="1207">
        <v>138731</v>
      </c>
    </row>
    <row r="113" spans="2:8" x14ac:dyDescent="0.25">
      <c r="B113" s="1209" t="s">
        <v>1003</v>
      </c>
      <c r="C113" s="1203">
        <v>1086186</v>
      </c>
      <c r="D113" s="1203">
        <v>905826</v>
      </c>
      <c r="E113" s="1203">
        <v>834096</v>
      </c>
      <c r="F113" s="1203">
        <v>869958</v>
      </c>
      <c r="G113" s="1203">
        <v>1307635</v>
      </c>
      <c r="H113" s="1203">
        <v>1374107</v>
      </c>
    </row>
    <row r="115" spans="2:8" ht="19.5" customHeight="1" x14ac:dyDescent="0.25">
      <c r="B115" s="1210" t="s">
        <v>229</v>
      </c>
    </row>
    <row r="116" spans="2:8" x14ac:dyDescent="0.25">
      <c r="B116" s="1211" t="s">
        <v>1002</v>
      </c>
    </row>
  </sheetData>
  <mergeCells count="14">
    <mergeCell ref="B97:H97"/>
    <mergeCell ref="B107:H107"/>
    <mergeCell ref="B48:H48"/>
    <mergeCell ref="B54:H54"/>
    <mergeCell ref="B64:H64"/>
    <mergeCell ref="B74:H74"/>
    <mergeCell ref="B83:H83"/>
    <mergeCell ref="B91:H91"/>
    <mergeCell ref="B38:H38"/>
    <mergeCell ref="B9:H9"/>
    <mergeCell ref="B10:H10"/>
    <mergeCell ref="B13:H13"/>
    <mergeCell ref="B22:H22"/>
    <mergeCell ref="B29:H29"/>
  </mergeCells>
  <dataValidations disablePrompts="1" count="1">
    <dataValidation allowBlank="1" showInputMessage="1" showErrorMessage="1" promptTitle="Date Format" prompt="E.g:  &quot;August 1, 2011&quot;" sqref="H7"/>
  </dataValidations>
  <pageMargins left="0.7" right="0.7" top="0.75" bottom="0.75" header="0.3" footer="0.3"/>
  <pageSetup scale="68" fitToHeight="2" orientation="portrait" r:id="rId1"/>
  <rowBreaks count="1" manualBreakCount="1">
    <brk id="63"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36"/>
  <sheetViews>
    <sheetView showGridLines="0" zoomScaleNormal="100" workbookViewId="0">
      <selection activeCell="J19" sqref="J19"/>
    </sheetView>
  </sheetViews>
  <sheetFormatPr defaultRowHeight="12.75" x14ac:dyDescent="0.2"/>
  <cols>
    <col min="1" max="1" width="6" customWidth="1"/>
    <col min="2" max="2" width="20.28515625" customWidth="1"/>
    <col min="3" max="7" width="13.7109375" customWidth="1"/>
    <col min="8" max="8" width="13" customWidth="1"/>
  </cols>
  <sheetData>
    <row r="1" spans="1:8" x14ac:dyDescent="0.2">
      <c r="G1" s="329" t="s">
        <v>444</v>
      </c>
      <c r="H1" s="250" t="str">
        <f>'LDC Info'!$E$18</f>
        <v>EB-2012-0107</v>
      </c>
    </row>
    <row r="2" spans="1:8" x14ac:dyDescent="0.2">
      <c r="G2" s="329" t="s">
        <v>445</v>
      </c>
      <c r="H2" s="251">
        <v>4</v>
      </c>
    </row>
    <row r="3" spans="1:8" x14ac:dyDescent="0.2">
      <c r="G3" s="329" t="s">
        <v>446</v>
      </c>
      <c r="H3" s="251">
        <v>2</v>
      </c>
    </row>
    <row r="4" spans="1:8" x14ac:dyDescent="0.2">
      <c r="G4" s="329" t="s">
        <v>447</v>
      </c>
      <c r="H4" s="251">
        <v>1</v>
      </c>
    </row>
    <row r="5" spans="1:8" x14ac:dyDescent="0.2">
      <c r="G5" s="329" t="s">
        <v>1036</v>
      </c>
      <c r="H5" s="252">
        <v>3</v>
      </c>
    </row>
    <row r="6" spans="1:8" x14ac:dyDescent="0.2">
      <c r="G6" s="329"/>
      <c r="H6" s="250"/>
    </row>
    <row r="7" spans="1:8" x14ac:dyDescent="0.2">
      <c r="G7" s="329" t="s">
        <v>449</v>
      </c>
      <c r="H7" s="934">
        <v>41204</v>
      </c>
    </row>
    <row r="9" spans="1:8" ht="18" x14ac:dyDescent="0.25">
      <c r="A9" s="1385" t="s">
        <v>299</v>
      </c>
      <c r="B9" s="1385"/>
      <c r="C9" s="1385"/>
      <c r="D9" s="1385"/>
      <c r="E9" s="1385"/>
      <c r="F9" s="1385"/>
      <c r="G9" s="1385"/>
      <c r="H9" s="1385"/>
    </row>
    <row r="10" spans="1:8" ht="18" x14ac:dyDescent="0.25">
      <c r="A10" s="1385" t="s">
        <v>105</v>
      </c>
      <c r="B10" s="1385"/>
      <c r="C10" s="1385"/>
      <c r="D10" s="1385"/>
      <c r="E10" s="1385"/>
      <c r="F10" s="1385"/>
      <c r="G10" s="1385"/>
      <c r="H10" s="1385"/>
    </row>
    <row r="11" spans="1:8" ht="13.5" thickBot="1" x14ac:dyDescent="0.25"/>
    <row r="12" spans="1:8" ht="64.5" thickBot="1" x14ac:dyDescent="0.25">
      <c r="A12" s="432"/>
      <c r="B12" s="431"/>
      <c r="C12" s="452" t="str">
        <f>"Last Rebasing Year (" &amp; 'LDC Info'!E30 &amp; " Board-Approved)"</f>
        <v>Last Rebasing Year (2009 Board-Approved)</v>
      </c>
      <c r="D12" s="452" t="str">
        <f>"Last Rebasing Year (" &amp; 'LDC Info'!E30 &amp; " Actuals)"</f>
        <v>Last Rebasing Year (2009 Actuals)</v>
      </c>
      <c r="E12" s="452" t="str">
        <f>'LDC Info'!E26 -2 &amp; " Actuals"</f>
        <v>2010 Actuals</v>
      </c>
      <c r="F12" s="452" t="str">
        <f>'LDC Info'!E26 -1 &amp; " Actuals"</f>
        <v>2011 Actuals</v>
      </c>
      <c r="G12" s="452" t="str">
        <f>'LDC Info'!E26 &amp; " Bridge Year"</f>
        <v>2012 Bridge Year</v>
      </c>
      <c r="H12" s="433" t="str">
        <f>'LDC Info'!E28 &amp; " Test Year"</f>
        <v>2013 Test Year</v>
      </c>
    </row>
    <row r="13" spans="1:8" ht="13.5" thickBot="1" x14ac:dyDescent="0.25">
      <c r="A13" s="1436" t="s">
        <v>174</v>
      </c>
      <c r="B13" s="1437"/>
      <c r="C13" s="586" t="s">
        <v>175</v>
      </c>
      <c r="D13" s="586" t="s">
        <v>175</v>
      </c>
      <c r="E13" s="586" t="s">
        <v>175</v>
      </c>
      <c r="F13" s="586" t="s">
        <v>175</v>
      </c>
      <c r="G13" s="586" t="s">
        <v>176</v>
      </c>
      <c r="H13" s="587" t="s">
        <v>176</v>
      </c>
    </row>
    <row r="14" spans="1:8" x14ac:dyDescent="0.2">
      <c r="A14" s="1369" t="s">
        <v>293</v>
      </c>
      <c r="B14" s="1370"/>
      <c r="C14" s="941">
        <f>35867+260+192+7</f>
        <v>36326</v>
      </c>
      <c r="D14" s="941">
        <f>35366+260+192+7</f>
        <v>35825</v>
      </c>
      <c r="E14" s="941">
        <f>35475+260+192+7</f>
        <v>35934</v>
      </c>
      <c r="F14" s="941">
        <f>35719+260+192+7</f>
        <v>36178</v>
      </c>
      <c r="G14" s="941">
        <f>35917+260+192+7</f>
        <v>36376</v>
      </c>
      <c r="H14" s="942">
        <f>36119+260+192+7</f>
        <v>36578</v>
      </c>
    </row>
    <row r="15" spans="1:8" ht="27" customHeight="1" x14ac:dyDescent="0.2">
      <c r="A15" s="1434" t="s">
        <v>786</v>
      </c>
      <c r="B15" s="1435"/>
      <c r="C15" s="453">
        <f>'App.2-I_OM&amp;A_Summary_Analys'!B26</f>
        <v>9991419</v>
      </c>
      <c r="D15" s="453">
        <f>'App.2-I_OM&amp;A_Summary_Analys'!C26</f>
        <v>9772182</v>
      </c>
      <c r="E15" s="453">
        <f>'App.2-I_OM&amp;A_Summary_Analys'!D26</f>
        <v>10254820</v>
      </c>
      <c r="F15" s="453">
        <f>'App.2-I_OM&amp;A_Summary_Analys'!E26</f>
        <v>11063458</v>
      </c>
      <c r="G15" s="453">
        <f>'App.2-I_OM&amp;A_Summary_Analys'!F26</f>
        <v>11457938</v>
      </c>
      <c r="H15" s="453">
        <f>'App.2-I_OM&amp;A_Summary_Analys'!G26</f>
        <v>13078828</v>
      </c>
    </row>
    <row r="16" spans="1:8" x14ac:dyDescent="0.2">
      <c r="A16" s="1430" t="s">
        <v>294</v>
      </c>
      <c r="B16" s="1431"/>
      <c r="C16" s="149">
        <f t="shared" ref="C16:H16" si="0">IF(C14=0,"",C15/C14)</f>
        <v>275.04869790232891</v>
      </c>
      <c r="D16" s="149">
        <f t="shared" si="0"/>
        <v>272.77549197487787</v>
      </c>
      <c r="E16" s="149">
        <f t="shared" si="0"/>
        <v>285.37930650637281</v>
      </c>
      <c r="F16" s="149">
        <f t="shared" si="0"/>
        <v>305.80623583393225</v>
      </c>
      <c r="G16" s="149">
        <f t="shared" si="0"/>
        <v>314.98619969210466</v>
      </c>
      <c r="H16" s="149">
        <f t="shared" si="0"/>
        <v>357.55995407075289</v>
      </c>
    </row>
    <row r="17" spans="1:8" x14ac:dyDescent="0.2">
      <c r="A17" s="1430" t="s">
        <v>295</v>
      </c>
      <c r="B17" s="1431"/>
      <c r="C17" s="1234">
        <f>97.67-6</f>
        <v>91.67</v>
      </c>
      <c r="D17" s="1234">
        <f>105.26-6</f>
        <v>99.26</v>
      </c>
      <c r="E17" s="1234">
        <f>111.32-6</f>
        <v>105.32</v>
      </c>
      <c r="F17" s="1234">
        <f>116.54-6</f>
        <v>110.54</v>
      </c>
      <c r="G17" s="1234">
        <f>111.58-6</f>
        <v>105.58</v>
      </c>
      <c r="H17" s="1234">
        <f>114.5-6</f>
        <v>108.5</v>
      </c>
    </row>
    <row r="18" spans="1:8" x14ac:dyDescent="0.2">
      <c r="A18" s="1430" t="s">
        <v>296</v>
      </c>
      <c r="B18" s="1431"/>
      <c r="C18" s="1235">
        <f t="shared" ref="C18:H18" si="1">IF(C17=0,"",C14/C17)</f>
        <v>396.26922657357915</v>
      </c>
      <c r="D18" s="1235">
        <f t="shared" si="1"/>
        <v>360.9208140237759</v>
      </c>
      <c r="E18" s="1235">
        <f t="shared" si="1"/>
        <v>341.18875807064188</v>
      </c>
      <c r="F18" s="1235">
        <f t="shared" si="1"/>
        <v>327.28424099873348</v>
      </c>
      <c r="G18" s="1235">
        <f t="shared" si="1"/>
        <v>344.53494980109872</v>
      </c>
      <c r="H18" s="1236">
        <f t="shared" si="1"/>
        <v>337.12442396313367</v>
      </c>
    </row>
    <row r="19" spans="1:8" ht="13.5" thickBot="1" x14ac:dyDescent="0.25">
      <c r="A19" s="1432" t="s">
        <v>297</v>
      </c>
      <c r="B19" s="1433"/>
      <c r="C19" s="943">
        <f t="shared" ref="C19:H19" si="2">IF(C17=0,"",C15/C17)</f>
        <v>108993.33478782589</v>
      </c>
      <c r="D19" s="943">
        <f t="shared" si="2"/>
        <v>98450.352609308888</v>
      </c>
      <c r="E19" s="943">
        <f t="shared" si="2"/>
        <v>97368.211165970381</v>
      </c>
      <c r="F19" s="943">
        <f t="shared" si="2"/>
        <v>100085.5617875882</v>
      </c>
      <c r="G19" s="943">
        <f t="shared" si="2"/>
        <v>108523.75449895814</v>
      </c>
      <c r="H19" s="944">
        <f t="shared" si="2"/>
        <v>120542.19354838709</v>
      </c>
    </row>
    <row r="21" spans="1:8" x14ac:dyDescent="0.2">
      <c r="A21" s="150" t="s">
        <v>16</v>
      </c>
    </row>
    <row r="23" spans="1:8" ht="12.75" customHeight="1" x14ac:dyDescent="0.2">
      <c r="A23" s="454">
        <v>1</v>
      </c>
      <c r="B23" s="1242" t="s">
        <v>332</v>
      </c>
      <c r="C23" s="1242"/>
      <c r="D23" s="1242"/>
      <c r="E23" s="1242"/>
      <c r="F23" s="1242"/>
      <c r="G23" s="1242"/>
    </row>
    <row r="24" spans="1:8" x14ac:dyDescent="0.2">
      <c r="A24" s="444"/>
      <c r="B24" s="1242"/>
      <c r="C24" s="1242"/>
      <c r="D24" s="1242"/>
      <c r="E24" s="1242"/>
      <c r="F24" s="1242"/>
      <c r="G24" s="1242"/>
    </row>
    <row r="25" spans="1:8" x14ac:dyDescent="0.2">
      <c r="A25" s="444"/>
      <c r="B25" s="1242"/>
      <c r="C25" s="1242"/>
      <c r="D25" s="1242"/>
      <c r="E25" s="1242"/>
      <c r="F25" s="1242"/>
      <c r="G25" s="1242"/>
    </row>
    <row r="26" spans="1:8" x14ac:dyDescent="0.2">
      <c r="A26" s="444"/>
      <c r="B26" s="1242"/>
      <c r="C26" s="1242"/>
      <c r="D26" s="1242"/>
      <c r="E26" s="1242"/>
      <c r="F26" s="1242"/>
      <c r="G26" s="1242"/>
    </row>
    <row r="27" spans="1:8" x14ac:dyDescent="0.2">
      <c r="A27" s="454">
        <v>2</v>
      </c>
      <c r="B27" s="1240" t="s">
        <v>417</v>
      </c>
      <c r="C27" s="1240"/>
      <c r="D27" s="1240"/>
      <c r="E27" s="1240"/>
      <c r="F27" s="1240"/>
      <c r="G27" s="1240"/>
    </row>
    <row r="28" spans="1:8" x14ac:dyDescent="0.2">
      <c r="A28" s="454">
        <v>3</v>
      </c>
      <c r="B28" s="1429" t="s">
        <v>774</v>
      </c>
      <c r="C28" s="1240"/>
      <c r="D28" s="1240"/>
      <c r="E28" s="1240"/>
      <c r="F28" s="1240"/>
      <c r="G28" s="1240"/>
    </row>
    <row r="29" spans="1:8" x14ac:dyDescent="0.2">
      <c r="A29" s="454">
        <v>4</v>
      </c>
      <c r="B29" s="1366" t="s">
        <v>298</v>
      </c>
      <c r="C29" s="1366"/>
      <c r="D29" s="1366"/>
      <c r="E29" s="1366"/>
      <c r="F29" s="1366"/>
      <c r="G29" s="1366"/>
    </row>
    <row r="30" spans="1:8" x14ac:dyDescent="0.2">
      <c r="A30" s="1"/>
      <c r="B30" s="1366"/>
      <c r="C30" s="1366"/>
      <c r="D30" s="1366"/>
      <c r="E30" s="1366"/>
      <c r="F30" s="1366"/>
      <c r="G30" s="1366"/>
    </row>
    <row r="33" spans="1:7" x14ac:dyDescent="0.2">
      <c r="A33" s="847" t="s">
        <v>999</v>
      </c>
      <c r="B33" s="847"/>
      <c r="C33" s="847"/>
      <c r="D33" s="847"/>
      <c r="E33" s="847"/>
      <c r="F33" s="847"/>
      <c r="G33" s="847"/>
    </row>
    <row r="34" spans="1:7" x14ac:dyDescent="0.2">
      <c r="A34" s="847" t="s">
        <v>1244</v>
      </c>
      <c r="B34" s="847"/>
      <c r="C34" s="847"/>
      <c r="D34" s="847"/>
      <c r="E34" s="847"/>
      <c r="F34" s="847"/>
      <c r="G34" s="847"/>
    </row>
    <row r="35" spans="1:7" s="1233" customFormat="1" x14ac:dyDescent="0.2">
      <c r="A35" s="847" t="s">
        <v>1245</v>
      </c>
      <c r="B35" s="847"/>
      <c r="C35" s="847"/>
      <c r="D35" s="847"/>
      <c r="E35" s="847"/>
      <c r="F35" s="847"/>
      <c r="G35" s="847"/>
    </row>
    <row r="36" spans="1:7" x14ac:dyDescent="0.2">
      <c r="A36" s="847" t="s">
        <v>1019</v>
      </c>
      <c r="B36" s="847"/>
      <c r="C36" s="847"/>
      <c r="D36" s="847"/>
      <c r="E36" s="847"/>
      <c r="F36" s="847"/>
      <c r="G36" s="847"/>
    </row>
  </sheetData>
  <mergeCells count="13">
    <mergeCell ref="A9:H9"/>
    <mergeCell ref="A10:H10"/>
    <mergeCell ref="B29:G30"/>
    <mergeCell ref="B23:G26"/>
    <mergeCell ref="B27:G27"/>
    <mergeCell ref="B28:G28"/>
    <mergeCell ref="A16:B16"/>
    <mergeCell ref="A17:B17"/>
    <mergeCell ref="A18:B18"/>
    <mergeCell ref="A19:B19"/>
    <mergeCell ref="A14:B14"/>
    <mergeCell ref="A15:B15"/>
    <mergeCell ref="A13:B13"/>
  </mergeCells>
  <phoneticPr fontId="17" type="noConversion"/>
  <dataValidations disablePrompts="1" count="2">
    <dataValidation allowBlank="1" showInputMessage="1" showErrorMessage="1" promptTitle="Date Format" prompt="E.g:  &quot;August 1, 2011&quot;" sqref="H7"/>
    <dataValidation type="list" allowBlank="1" showInputMessage="1" showErrorMessage="1" sqref="C13:H13">
      <formula1>"CGAAP, MIFRS, USGAAP, ASPE"</formula1>
    </dataValidation>
  </dataValidations>
  <pageMargins left="0.75" right="0.75" top="1" bottom="1" header="0.5" footer="0.5"/>
  <pageSetup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49"/>
  <sheetViews>
    <sheetView showGridLines="0" topLeftCell="A5" zoomScaleNormal="100" workbookViewId="0">
      <selection activeCell="A5" sqref="A1:XFD1048576"/>
    </sheetView>
  </sheetViews>
  <sheetFormatPr defaultRowHeight="12.75" x14ac:dyDescent="0.2"/>
  <cols>
    <col min="1" max="1" width="4.140625" customWidth="1"/>
    <col min="2" max="2" width="40.7109375" customWidth="1"/>
    <col min="3" max="3" width="17.7109375" customWidth="1"/>
    <col min="4" max="8" width="13.7109375" customWidth="1"/>
    <col min="9" max="9" width="15" customWidth="1"/>
    <col min="10" max="10" width="12.85546875" customWidth="1"/>
    <col min="11" max="11" width="13.7109375" customWidth="1"/>
    <col min="12" max="12" width="10.7109375" customWidth="1"/>
  </cols>
  <sheetData>
    <row r="1" spans="1:12" x14ac:dyDescent="0.2">
      <c r="J1" s="329" t="s">
        <v>444</v>
      </c>
      <c r="K1" s="250" t="str">
        <f>'LDC Info'!$E$18</f>
        <v>EB-2012-0107</v>
      </c>
    </row>
    <row r="2" spans="1:12" x14ac:dyDescent="0.2">
      <c r="J2" s="329" t="s">
        <v>445</v>
      </c>
      <c r="K2" s="251">
        <v>4</v>
      </c>
    </row>
    <row r="3" spans="1:12" x14ac:dyDescent="0.2">
      <c r="J3" s="329" t="s">
        <v>446</v>
      </c>
      <c r="K3" s="251">
        <v>2</v>
      </c>
    </row>
    <row r="4" spans="1:12" x14ac:dyDescent="0.2">
      <c r="J4" s="329" t="s">
        <v>447</v>
      </c>
      <c r="K4" s="251">
        <v>3</v>
      </c>
    </row>
    <row r="5" spans="1:12" x14ac:dyDescent="0.2">
      <c r="J5" s="329" t="s">
        <v>1036</v>
      </c>
      <c r="K5" s="252">
        <v>1</v>
      </c>
    </row>
    <row r="6" spans="1:12" x14ac:dyDescent="0.2">
      <c r="J6" s="329"/>
      <c r="K6" s="250"/>
    </row>
    <row r="7" spans="1:12" x14ac:dyDescent="0.2">
      <c r="J7" s="329" t="s">
        <v>449</v>
      </c>
      <c r="K7" s="934"/>
    </row>
    <row r="9" spans="1:12" ht="18" x14ac:dyDescent="0.25">
      <c r="A9" s="1385" t="s">
        <v>62</v>
      </c>
      <c r="B9" s="1385"/>
      <c r="C9" s="1385"/>
      <c r="D9" s="1385"/>
      <c r="E9" s="1385"/>
      <c r="F9" s="1385"/>
      <c r="G9" s="1385"/>
      <c r="H9" s="1385"/>
      <c r="I9" s="1385"/>
      <c r="J9" s="1385"/>
      <c r="K9" s="1385"/>
    </row>
    <row r="10" spans="1:12" ht="18" x14ac:dyDescent="0.25">
      <c r="A10" s="1385" t="s">
        <v>172</v>
      </c>
      <c r="B10" s="1385"/>
      <c r="C10" s="1385"/>
      <c r="D10" s="1385"/>
      <c r="E10" s="1385"/>
      <c r="F10" s="1385"/>
      <c r="G10" s="1385"/>
      <c r="H10" s="1385"/>
      <c r="I10" s="1385"/>
      <c r="J10" s="1385"/>
      <c r="K10" s="1385"/>
    </row>
    <row r="11" spans="1:12" x14ac:dyDescent="0.2">
      <c r="E11" s="77" t="s">
        <v>870</v>
      </c>
    </row>
    <row r="12" spans="1:12" ht="13.5" thickBot="1" x14ac:dyDescent="0.25">
      <c r="E12" s="77" t="s">
        <v>871</v>
      </c>
    </row>
    <row r="13" spans="1:12" ht="63.75" x14ac:dyDescent="0.2">
      <c r="A13" s="1438" t="s">
        <v>233</v>
      </c>
      <c r="B13" s="1439"/>
      <c r="C13" s="523" t="s">
        <v>234</v>
      </c>
      <c r="D13" s="523" t="s">
        <v>237</v>
      </c>
      <c r="E13" s="523" t="s">
        <v>142</v>
      </c>
      <c r="F13" s="189" t="str">
        <f>"Last Rebasing Year (" &amp; 'LDC Info'!E30 &amp; " Board Approved)"</f>
        <v>Last Rebasing Year (2009 Board Approved)</v>
      </c>
      <c r="G13" s="189" t="s">
        <v>776</v>
      </c>
      <c r="H13" s="189" t="str">
        <f>'LDC Info'!E26 &amp; " Bridge Year"</f>
        <v>2012 Bridge Year</v>
      </c>
      <c r="I13" s="523" t="s">
        <v>235</v>
      </c>
      <c r="J13" s="189" t="str">
        <f>'LDC Info'!E28 &amp; " Test Year"</f>
        <v>2013 Test Year</v>
      </c>
      <c r="K13" s="524" t="s">
        <v>235</v>
      </c>
    </row>
    <row r="14" spans="1:12" x14ac:dyDescent="0.2">
      <c r="A14" s="1440" t="s">
        <v>48</v>
      </c>
      <c r="B14" s="1441"/>
      <c r="C14" s="102" t="s">
        <v>49</v>
      </c>
      <c r="D14" s="102" t="s">
        <v>236</v>
      </c>
      <c r="E14" s="102" t="s">
        <v>50</v>
      </c>
      <c r="F14" s="102" t="s">
        <v>51</v>
      </c>
      <c r="G14" s="102" t="s">
        <v>238</v>
      </c>
      <c r="H14" s="102" t="s">
        <v>239</v>
      </c>
      <c r="I14" s="102" t="s">
        <v>241</v>
      </c>
      <c r="J14" s="102" t="s">
        <v>240</v>
      </c>
      <c r="K14" s="104" t="s">
        <v>242</v>
      </c>
    </row>
    <row r="15" spans="1:12" x14ac:dyDescent="0.2">
      <c r="A15" s="184">
        <v>1</v>
      </c>
      <c r="B15" s="103" t="s">
        <v>243</v>
      </c>
      <c r="C15" s="518">
        <v>5655</v>
      </c>
      <c r="D15" s="519"/>
      <c r="E15" s="517" t="s">
        <v>870</v>
      </c>
      <c r="F15" s="519">
        <f>112689-5097</f>
        <v>107592</v>
      </c>
      <c r="G15" s="519">
        <v>122864</v>
      </c>
      <c r="H15" s="519">
        <v>134757</v>
      </c>
      <c r="I15" s="111">
        <f>IF(G15=0,"",(H15-G15)/G15)</f>
        <v>9.6798085688240651E-2</v>
      </c>
      <c r="J15" s="519">
        <v>132190</v>
      </c>
      <c r="K15" s="112">
        <f>IF(H15=0,"",(J15-H15)/H15)</f>
        <v>-1.9049103200575852E-2</v>
      </c>
      <c r="L15" s="98"/>
    </row>
    <row r="16" spans="1:12" x14ac:dyDescent="0.2">
      <c r="A16" s="184">
        <v>2</v>
      </c>
      <c r="B16" s="103" t="s">
        <v>104</v>
      </c>
      <c r="C16" s="518">
        <v>5655</v>
      </c>
      <c r="D16" s="519"/>
      <c r="E16" s="517" t="s">
        <v>871</v>
      </c>
      <c r="F16" s="519">
        <v>11506</v>
      </c>
      <c r="G16" s="519"/>
      <c r="H16" s="519"/>
      <c r="I16" s="111" t="str">
        <f t="shared" ref="I16:I30" si="0">IF(G16=0,"",(H16-G16)/G16)</f>
        <v/>
      </c>
      <c r="J16" s="519">
        <f>E47</f>
        <v>12000</v>
      </c>
      <c r="K16" s="112" t="str">
        <f t="shared" ref="K16:K30" si="1">IF(H16=0,"",(J16-H16)/H16)</f>
        <v/>
      </c>
      <c r="L16" s="98"/>
    </row>
    <row r="17" spans="1:12" x14ac:dyDescent="0.2">
      <c r="A17" s="184">
        <v>3</v>
      </c>
      <c r="B17" s="103" t="s">
        <v>244</v>
      </c>
      <c r="C17" s="518">
        <v>5655</v>
      </c>
      <c r="D17" s="519"/>
      <c r="E17" s="517" t="s">
        <v>870</v>
      </c>
      <c r="F17" s="519">
        <v>5097</v>
      </c>
      <c r="G17" s="519">
        <v>5303</v>
      </c>
      <c r="H17" s="519">
        <v>4000</v>
      </c>
      <c r="I17" s="111">
        <f t="shared" si="0"/>
        <v>-0.24570997548557422</v>
      </c>
      <c r="J17" s="519">
        <v>4000</v>
      </c>
      <c r="K17" s="112">
        <f t="shared" si="1"/>
        <v>0</v>
      </c>
      <c r="L17" s="98"/>
    </row>
    <row r="18" spans="1:12" ht="12.75" customHeight="1" x14ac:dyDescent="0.2">
      <c r="A18" s="184">
        <v>4</v>
      </c>
      <c r="B18" s="103" t="s">
        <v>245</v>
      </c>
      <c r="C18" s="518">
        <v>5655</v>
      </c>
      <c r="D18" s="519"/>
      <c r="E18" s="517"/>
      <c r="F18" s="519"/>
      <c r="G18" s="519"/>
      <c r="H18" s="519"/>
      <c r="I18" s="111" t="str">
        <f t="shared" si="0"/>
        <v/>
      </c>
      <c r="J18" s="519"/>
      <c r="K18" s="112" t="str">
        <f t="shared" si="1"/>
        <v/>
      </c>
      <c r="L18" s="98"/>
    </row>
    <row r="19" spans="1:12" x14ac:dyDescent="0.2">
      <c r="A19" s="184">
        <v>5</v>
      </c>
      <c r="B19" s="103" t="s">
        <v>246</v>
      </c>
      <c r="C19" s="518">
        <v>5655</v>
      </c>
      <c r="D19" s="519"/>
      <c r="E19" s="517" t="s">
        <v>870</v>
      </c>
      <c r="F19" s="519">
        <f>390</f>
        <v>390</v>
      </c>
      <c r="G19" s="519">
        <v>173</v>
      </c>
      <c r="H19" s="519">
        <v>5000</v>
      </c>
      <c r="I19" s="111">
        <f t="shared" si="0"/>
        <v>27.901734104046241</v>
      </c>
      <c r="J19" s="519">
        <f>5000</f>
        <v>5000</v>
      </c>
      <c r="K19" s="112">
        <f t="shared" si="1"/>
        <v>0</v>
      </c>
      <c r="L19" s="98"/>
    </row>
    <row r="20" spans="1:12" x14ac:dyDescent="0.2">
      <c r="A20" s="184" t="s">
        <v>875</v>
      </c>
      <c r="B20" s="780" t="s">
        <v>246</v>
      </c>
      <c r="C20" s="518"/>
      <c r="D20" s="519"/>
      <c r="E20" s="517" t="s">
        <v>871</v>
      </c>
      <c r="F20" s="519">
        <f>C44</f>
        <v>141817.23000000001</v>
      </c>
      <c r="G20" s="519"/>
      <c r="H20" s="519">
        <f>D44</f>
        <v>80000</v>
      </c>
      <c r="I20" s="111"/>
      <c r="J20" s="519">
        <f>E44</f>
        <v>64000</v>
      </c>
      <c r="K20" s="112"/>
      <c r="L20" s="98"/>
    </row>
    <row r="21" spans="1:12" x14ac:dyDescent="0.2">
      <c r="A21" s="184">
        <v>6</v>
      </c>
      <c r="B21" s="103" t="s">
        <v>247</v>
      </c>
      <c r="C21" s="518">
        <v>5655</v>
      </c>
      <c r="D21" s="519"/>
      <c r="E21" s="517" t="s">
        <v>870</v>
      </c>
      <c r="F21" s="519">
        <v>1500</v>
      </c>
      <c r="G21" s="519"/>
      <c r="H21" s="519"/>
      <c r="I21" s="111" t="str">
        <f t="shared" si="0"/>
        <v/>
      </c>
      <c r="J21" s="519">
        <f>10000</f>
        <v>10000</v>
      </c>
      <c r="K21" s="112" t="str">
        <f t="shared" si="1"/>
        <v/>
      </c>
      <c r="L21" s="98"/>
    </row>
    <row r="22" spans="1:12" x14ac:dyDescent="0.2">
      <c r="A22" s="184" t="s">
        <v>876</v>
      </c>
      <c r="B22" s="780" t="s">
        <v>247</v>
      </c>
      <c r="C22" s="518"/>
      <c r="D22" s="519"/>
      <c r="E22" s="517" t="s">
        <v>871</v>
      </c>
      <c r="F22" s="519">
        <f>C43</f>
        <v>132372.51</v>
      </c>
      <c r="G22" s="519"/>
      <c r="H22" s="519">
        <f>D43</f>
        <v>88000</v>
      </c>
      <c r="I22" s="111"/>
      <c r="J22" s="519">
        <f>E43</f>
        <v>42000</v>
      </c>
      <c r="K22" s="112"/>
      <c r="L22" s="98"/>
    </row>
    <row r="23" spans="1:12" ht="25.5" customHeight="1" x14ac:dyDescent="0.2">
      <c r="A23" s="184">
        <v>7</v>
      </c>
      <c r="B23" s="103" t="s">
        <v>248</v>
      </c>
      <c r="C23" s="518">
        <v>5655</v>
      </c>
      <c r="D23" s="519"/>
      <c r="E23" s="517" t="s">
        <v>870</v>
      </c>
      <c r="F23" s="519">
        <f>3627+1187+150+1180+75320+66+1800+195+1333</f>
        <v>84858</v>
      </c>
      <c r="G23" s="519">
        <v>98240</v>
      </c>
      <c r="H23" s="519">
        <f>2400+1080+150+320+83648+200+300+600+1800</f>
        <v>90498</v>
      </c>
      <c r="I23" s="111">
        <f t="shared" si="0"/>
        <v>-7.8807003257328992E-2</v>
      </c>
      <c r="J23" s="519">
        <v>95169</v>
      </c>
      <c r="K23" s="112">
        <f t="shared" si="1"/>
        <v>5.1614400318239079E-2</v>
      </c>
      <c r="L23" s="98"/>
    </row>
    <row r="24" spans="1:12" ht="26.25" customHeight="1" x14ac:dyDescent="0.2">
      <c r="A24" s="184">
        <v>8</v>
      </c>
      <c r="B24" s="103" t="s">
        <v>141</v>
      </c>
      <c r="C24" s="518">
        <v>5655</v>
      </c>
      <c r="D24" s="519"/>
      <c r="E24" s="517" t="s">
        <v>871</v>
      </c>
      <c r="F24" s="519">
        <f>C46</f>
        <v>13023.49</v>
      </c>
      <c r="G24" s="519"/>
      <c r="H24" s="519">
        <f>D46</f>
        <v>4800</v>
      </c>
      <c r="I24" s="111" t="str">
        <f t="shared" si="0"/>
        <v/>
      </c>
      <c r="J24" s="519">
        <f>E46</f>
        <v>10000</v>
      </c>
      <c r="K24" s="112">
        <f t="shared" si="1"/>
        <v>1.0833333333333333</v>
      </c>
      <c r="L24" s="98"/>
    </row>
    <row r="25" spans="1:12" ht="13.5" customHeight="1" x14ac:dyDescent="0.2">
      <c r="A25" s="184">
        <v>9</v>
      </c>
      <c r="B25" s="103" t="s">
        <v>250</v>
      </c>
      <c r="C25" s="518">
        <v>5655</v>
      </c>
      <c r="D25" s="519"/>
      <c r="E25" s="517" t="s">
        <v>870</v>
      </c>
      <c r="F25" s="519">
        <v>18257</v>
      </c>
      <c r="G25" s="519">
        <v>19937</v>
      </c>
      <c r="H25" s="519">
        <v>22000</v>
      </c>
      <c r="I25" s="111">
        <f t="shared" si="0"/>
        <v>0.10347594924010634</v>
      </c>
      <c r="J25" s="519">
        <v>22500</v>
      </c>
      <c r="K25" s="112">
        <f t="shared" si="1"/>
        <v>2.2727272727272728E-2</v>
      </c>
      <c r="L25" s="98"/>
    </row>
    <row r="26" spans="1:12" ht="25.5" x14ac:dyDescent="0.2">
      <c r="A26" s="184">
        <v>10</v>
      </c>
      <c r="B26" s="780" t="s">
        <v>1235</v>
      </c>
      <c r="C26" s="518">
        <v>5410</v>
      </c>
      <c r="D26" s="519"/>
      <c r="E26" s="517" t="s">
        <v>870</v>
      </c>
      <c r="F26" s="519"/>
      <c r="G26" s="519">
        <f>23267+6950</f>
        <v>30217</v>
      </c>
      <c r="H26" s="519">
        <v>23267</v>
      </c>
      <c r="I26" s="111">
        <f t="shared" si="0"/>
        <v>-0.23000297845583612</v>
      </c>
      <c r="J26" s="519">
        <v>24000</v>
      </c>
      <c r="K26" s="112">
        <f t="shared" si="1"/>
        <v>3.1503846649761462E-2</v>
      </c>
      <c r="L26" s="98"/>
    </row>
    <row r="27" spans="1:12" x14ac:dyDescent="0.2">
      <c r="A27" s="184">
        <v>11</v>
      </c>
      <c r="B27" s="103" t="s">
        <v>251</v>
      </c>
      <c r="C27" s="518">
        <v>5655</v>
      </c>
      <c r="D27" s="519"/>
      <c r="E27" s="517" t="s">
        <v>871</v>
      </c>
      <c r="F27" s="519">
        <f>C48</f>
        <v>94494.61</v>
      </c>
      <c r="G27" s="519"/>
      <c r="H27" s="519"/>
      <c r="I27" s="111" t="str">
        <f t="shared" si="0"/>
        <v/>
      </c>
      <c r="J27" s="519">
        <f>E48</f>
        <v>100000</v>
      </c>
      <c r="K27" s="112" t="str">
        <f t="shared" si="1"/>
        <v/>
      </c>
      <c r="L27" s="98"/>
    </row>
    <row r="28" spans="1:12" ht="14.25" x14ac:dyDescent="0.2">
      <c r="A28" s="185">
        <v>12</v>
      </c>
      <c r="B28" s="109" t="s">
        <v>143</v>
      </c>
      <c r="C28" s="520"/>
      <c r="D28" s="110">
        <f>SUMIF($E15:$E27,$E11,D15:D27)</f>
        <v>0</v>
      </c>
      <c r="E28" s="520"/>
      <c r="F28" s="110">
        <f>SUMIF($E15:$E27,$E11,F15:F27)</f>
        <v>217694</v>
      </c>
      <c r="G28" s="110">
        <f>SUMIF($E15:$E27,$E11,G15:G27)</f>
        <v>276734</v>
      </c>
      <c r="H28" s="110">
        <f>SUMIF($E15:$E27,$E11,H15:H27)</f>
        <v>279522</v>
      </c>
      <c r="I28" s="113">
        <f t="shared" si="0"/>
        <v>1.0074656529374778E-2</v>
      </c>
      <c r="J28" s="110">
        <f>SUMIF($E15:$E27,$E11,J15:J27)</f>
        <v>292859</v>
      </c>
      <c r="K28" s="116">
        <f t="shared" si="1"/>
        <v>4.7713596783079688E-2</v>
      </c>
      <c r="L28" s="98"/>
    </row>
    <row r="29" spans="1:12" ht="15" thickBot="1" x14ac:dyDescent="0.25">
      <c r="A29" s="186">
        <v>13</v>
      </c>
      <c r="B29" s="107" t="s">
        <v>144</v>
      </c>
      <c r="C29" s="521"/>
      <c r="D29" s="108">
        <f>SUMIF($E15:$E27,$E12,D15:D27)</f>
        <v>0</v>
      </c>
      <c r="E29" s="521"/>
      <c r="F29" s="108">
        <f>SUMIF($E15:$E27,$E12,F15:F27)</f>
        <v>393213.83999999997</v>
      </c>
      <c r="G29" s="108">
        <f>SUMIF($E15:$E27,$E12,G15:G27)</f>
        <v>0</v>
      </c>
      <c r="H29" s="108">
        <f>SUMIF($E15:$E27,$E12,H15:H27)</f>
        <v>172800</v>
      </c>
      <c r="I29" s="114" t="str">
        <f t="shared" si="0"/>
        <v/>
      </c>
      <c r="J29" s="108">
        <f>SUMIF($E15:$E27,$E12,J15:J27)</f>
        <v>228000</v>
      </c>
      <c r="K29" s="117">
        <f t="shared" si="1"/>
        <v>0.31944444444444442</v>
      </c>
      <c r="L29" s="98"/>
    </row>
    <row r="30" spans="1:12" ht="14.25" thickTop="1" thickBot="1" x14ac:dyDescent="0.25">
      <c r="A30" s="187">
        <v>14</v>
      </c>
      <c r="B30" s="105" t="s">
        <v>439</v>
      </c>
      <c r="C30" s="522"/>
      <c r="D30" s="106">
        <f>D28+D29</f>
        <v>0</v>
      </c>
      <c r="E30" s="522"/>
      <c r="F30" s="106">
        <f>F28+F29</f>
        <v>610907.84</v>
      </c>
      <c r="G30" s="106">
        <f>G28+G29</f>
        <v>276734</v>
      </c>
      <c r="H30" s="106">
        <f>H28+H29</f>
        <v>452322</v>
      </c>
      <c r="I30" s="115">
        <f t="shared" si="0"/>
        <v>0.63450100096121187</v>
      </c>
      <c r="J30" s="106">
        <f>J28+J29</f>
        <v>520859</v>
      </c>
      <c r="K30" s="118">
        <f t="shared" si="1"/>
        <v>0.15152258789092726</v>
      </c>
      <c r="L30" s="98"/>
    </row>
    <row r="31" spans="1:12" x14ac:dyDescent="0.2">
      <c r="E31" s="551"/>
      <c r="F31" s="100"/>
      <c r="G31" s="100"/>
      <c r="H31" s="100"/>
      <c r="I31" s="100"/>
      <c r="J31" s="100"/>
    </row>
    <row r="32" spans="1:12" x14ac:dyDescent="0.2">
      <c r="A32" s="525"/>
      <c r="D32" s="551"/>
      <c r="E32" s="551"/>
      <c r="F32" s="100"/>
      <c r="G32" s="765"/>
      <c r="H32" s="765"/>
      <c r="I32" s="100"/>
      <c r="J32" s="765"/>
    </row>
    <row r="33" spans="1:11" ht="14.25" x14ac:dyDescent="0.2">
      <c r="A33" s="188" t="s">
        <v>140</v>
      </c>
      <c r="B33" t="s">
        <v>254</v>
      </c>
      <c r="D33" s="551"/>
      <c r="E33" s="169"/>
      <c r="F33" s="752"/>
      <c r="G33" s="752"/>
      <c r="H33" s="752"/>
      <c r="J33" s="752"/>
    </row>
    <row r="34" spans="1:11" ht="14.25" x14ac:dyDescent="0.2">
      <c r="A34" s="188" t="s">
        <v>145</v>
      </c>
      <c r="B34" t="s">
        <v>255</v>
      </c>
    </row>
    <row r="35" spans="1:11" ht="14.25" x14ac:dyDescent="0.2">
      <c r="A35" s="188" t="s">
        <v>146</v>
      </c>
      <c r="B35" t="s">
        <v>252</v>
      </c>
      <c r="E35" s="551"/>
      <c r="F35" s="765"/>
      <c r="G35" s="765"/>
      <c r="H35" s="765"/>
      <c r="I35" s="100"/>
      <c r="J35" s="765"/>
      <c r="K35" s="100"/>
    </row>
    <row r="36" spans="1:11" ht="14.25" x14ac:dyDescent="0.2">
      <c r="A36" s="188" t="s">
        <v>147</v>
      </c>
      <c r="B36" t="s">
        <v>253</v>
      </c>
      <c r="E36" s="100"/>
      <c r="F36" s="100"/>
      <c r="G36" s="100"/>
      <c r="H36" s="100"/>
      <c r="I36" s="100"/>
      <c r="J36" s="100"/>
      <c r="K36" s="100"/>
    </row>
    <row r="39" spans="1:11" x14ac:dyDescent="0.2">
      <c r="A39" s="16" t="s">
        <v>398</v>
      </c>
    </row>
    <row r="40" spans="1:11" ht="13.5" thickBot="1" x14ac:dyDescent="0.25"/>
    <row r="41" spans="1:11" ht="51.75" thickBot="1" x14ac:dyDescent="0.25">
      <c r="C41" s="606" t="s">
        <v>1037</v>
      </c>
      <c r="D41" s="601" t="str">
        <f>H13</f>
        <v>2012 Bridge Year</v>
      </c>
      <c r="E41" s="769" t="str">
        <f>J13</f>
        <v>2013 Test Year</v>
      </c>
      <c r="F41" s="967" t="s">
        <v>874</v>
      </c>
      <c r="G41" s="773"/>
    </row>
    <row r="42" spans="1:11" x14ac:dyDescent="0.2">
      <c r="A42" s="526">
        <v>4</v>
      </c>
      <c r="B42" s="529" t="s">
        <v>245</v>
      </c>
      <c r="C42" s="776"/>
      <c r="D42" s="527">
        <f>H18</f>
        <v>0</v>
      </c>
      <c r="E42" s="770">
        <f>J18</f>
        <v>0</v>
      </c>
      <c r="F42" s="11">
        <f>E42+D42</f>
        <v>0</v>
      </c>
      <c r="G42" s="3"/>
    </row>
    <row r="43" spans="1:11" x14ac:dyDescent="0.2">
      <c r="A43" s="184">
        <v>6</v>
      </c>
      <c r="B43" s="530" t="s">
        <v>247</v>
      </c>
      <c r="C43" s="777">
        <v>132372.51</v>
      </c>
      <c r="D43" s="528">
        <f>30000+5000+53000</f>
        <v>88000</v>
      </c>
      <c r="E43" s="771">
        <v>42000</v>
      </c>
      <c r="F43" s="11">
        <f t="shared" ref="F43:F49" si="2">E43+D43</f>
        <v>130000</v>
      </c>
      <c r="G43" s="3"/>
    </row>
    <row r="44" spans="1:11" x14ac:dyDescent="0.2">
      <c r="A44" s="184"/>
      <c r="B44" s="530" t="s">
        <v>872</v>
      </c>
      <c r="C44" s="777">
        <v>141817.23000000001</v>
      </c>
      <c r="D44" s="528">
        <f>60000+20000</f>
        <v>80000</v>
      </c>
      <c r="E44" s="771">
        <v>64000</v>
      </c>
      <c r="F44" s="11">
        <f t="shared" si="2"/>
        <v>144000</v>
      </c>
      <c r="G44" s="3"/>
    </row>
    <row r="45" spans="1:11" ht="25.5" x14ac:dyDescent="0.2">
      <c r="A45" s="184">
        <v>7</v>
      </c>
      <c r="B45" s="530" t="s">
        <v>248</v>
      </c>
      <c r="C45" s="777"/>
      <c r="D45" s="528">
        <v>0</v>
      </c>
      <c r="E45" s="771">
        <v>0</v>
      </c>
      <c r="F45" s="11">
        <f t="shared" si="2"/>
        <v>0</v>
      </c>
      <c r="G45" s="3"/>
    </row>
    <row r="46" spans="1:11" ht="27" x14ac:dyDescent="0.2">
      <c r="A46" s="184">
        <v>8</v>
      </c>
      <c r="B46" s="530" t="s">
        <v>141</v>
      </c>
      <c r="C46" s="777">
        <v>13023.49</v>
      </c>
      <c r="D46" s="528">
        <f>3000+1800</f>
        <v>4800</v>
      </c>
      <c r="E46" s="771">
        <v>10000</v>
      </c>
      <c r="F46" s="11">
        <f t="shared" si="2"/>
        <v>14800</v>
      </c>
      <c r="G46" s="3"/>
    </row>
    <row r="47" spans="1:11" x14ac:dyDescent="0.2">
      <c r="A47" s="766"/>
      <c r="B47" s="767" t="s">
        <v>873</v>
      </c>
      <c r="C47" s="778">
        <v>11506.39</v>
      </c>
      <c r="D47" s="768"/>
      <c r="E47" s="772">
        <v>12000</v>
      </c>
      <c r="F47" s="11">
        <f t="shared" si="2"/>
        <v>12000</v>
      </c>
      <c r="G47" s="3"/>
    </row>
    <row r="48" spans="1:11" x14ac:dyDescent="0.2">
      <c r="A48" s="766">
        <v>11</v>
      </c>
      <c r="B48" s="767" t="s">
        <v>251</v>
      </c>
      <c r="C48" s="778">
        <v>94494.61</v>
      </c>
      <c r="D48" s="768">
        <f>H27</f>
        <v>0</v>
      </c>
      <c r="E48" s="772">
        <v>100000</v>
      </c>
      <c r="F48" s="11">
        <f t="shared" si="2"/>
        <v>100000</v>
      </c>
      <c r="G48" s="3"/>
    </row>
    <row r="49" spans="1:7" x14ac:dyDescent="0.2">
      <c r="A49" s="2"/>
      <c r="B49" s="775" t="s">
        <v>439</v>
      </c>
      <c r="C49" s="779">
        <f>SUM(C42:C48)</f>
        <v>393214.23</v>
      </c>
      <c r="D49" s="14">
        <f>SUM(D42:D48)</f>
        <v>172800</v>
      </c>
      <c r="E49" s="14">
        <f>SUM(E42:E48)</f>
        <v>228000</v>
      </c>
      <c r="F49" s="14">
        <f t="shared" si="2"/>
        <v>400800</v>
      </c>
      <c r="G49" s="774"/>
    </row>
  </sheetData>
  <mergeCells count="4">
    <mergeCell ref="A13:B13"/>
    <mergeCell ref="A14:B14"/>
    <mergeCell ref="A9:K9"/>
    <mergeCell ref="A10:K10"/>
  </mergeCells>
  <phoneticPr fontId="17" type="noConversion"/>
  <dataValidations count="2">
    <dataValidation type="list" allowBlank="1" showInputMessage="1" showErrorMessage="1" prompt="Please identify costs as One-time or ongoing by selecting from the drop-down list." sqref="E15:E27">
      <formula1>"On-Time, On-Going"</formula1>
    </dataValidation>
    <dataValidation allowBlank="1" showInputMessage="1" showErrorMessage="1" promptTitle="Date Format" prompt="E.g:  &quot;August 1, 2011&quot;" sqref="K7"/>
  </dataValidations>
  <pageMargins left="0.75" right="0.75" top="1" bottom="1" header="0.5" footer="0.5"/>
  <pageSetup scale="5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topLeftCell="A15" zoomScaleNormal="100" workbookViewId="0">
      <selection sqref="A1:XFD1048576"/>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7.28515625" style="946" customWidth="1"/>
    <col min="8"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v>2013</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7" ht="17.25" customHeight="1" x14ac:dyDescent="0.2">
      <c r="A17" s="1443" t="s">
        <v>1193</v>
      </c>
      <c r="B17" s="1445" t="s">
        <v>1192</v>
      </c>
      <c r="C17" s="1451"/>
      <c r="D17" s="1451"/>
      <c r="E17" s="1461"/>
      <c r="F17" s="1463"/>
      <c r="G17" s="1442"/>
    </row>
    <row r="18" spans="1:7" x14ac:dyDescent="0.2">
      <c r="A18" s="1444"/>
      <c r="B18" s="1446"/>
      <c r="C18" s="1459"/>
      <c r="D18" s="1459"/>
      <c r="E18" s="1094" t="s">
        <v>290</v>
      </c>
      <c r="F18" s="1093" t="s">
        <v>290</v>
      </c>
      <c r="G18" s="1113"/>
    </row>
    <row r="19" spans="1:7" x14ac:dyDescent="0.2">
      <c r="A19" s="1089" t="s">
        <v>1188</v>
      </c>
      <c r="B19" s="1088" t="s">
        <v>1190</v>
      </c>
      <c r="C19" s="1086" t="s">
        <v>1219</v>
      </c>
      <c r="D19" s="1087" t="s">
        <v>1206</v>
      </c>
      <c r="E19" s="1168">
        <f>804+8599-1+1360+3153</f>
        <v>13915</v>
      </c>
      <c r="F19" s="1169">
        <f>804+8599-1+1360+3153</f>
        <v>13915</v>
      </c>
    </row>
    <row r="20" spans="1:7" x14ac:dyDescent="0.2">
      <c r="A20" s="1089" t="s">
        <v>1188</v>
      </c>
      <c r="B20" s="1088" t="s">
        <v>1189</v>
      </c>
      <c r="C20" s="1086" t="s">
        <v>1219</v>
      </c>
      <c r="D20" s="1087" t="s">
        <v>1206</v>
      </c>
      <c r="E20" s="1168">
        <f>12399+27186+51740+14146+3153</f>
        <v>108624</v>
      </c>
      <c r="F20" s="1169">
        <f>12399+27186+51740+14146+3153</f>
        <v>108624</v>
      </c>
    </row>
    <row r="21" spans="1:7" x14ac:dyDescent="0.2">
      <c r="A21" s="1089" t="s">
        <v>1188</v>
      </c>
      <c r="B21" s="1088" t="s">
        <v>1191</v>
      </c>
      <c r="C21" s="1086" t="s">
        <v>1219</v>
      </c>
      <c r="D21" s="1087" t="s">
        <v>1206</v>
      </c>
      <c r="E21" s="1168">
        <f>1026+1360</f>
        <v>2386</v>
      </c>
      <c r="F21" s="1169">
        <f>1026+1360</f>
        <v>2386</v>
      </c>
    </row>
    <row r="22" spans="1:7" x14ac:dyDescent="0.2">
      <c r="A22" s="1089" t="s">
        <v>1188</v>
      </c>
      <c r="B22" s="1088" t="s">
        <v>1187</v>
      </c>
      <c r="C22" s="1086" t="s">
        <v>1219</v>
      </c>
      <c r="D22" s="1087" t="s">
        <v>1206</v>
      </c>
      <c r="E22" s="1168">
        <f>10576+18190+21995+7467+3784</f>
        <v>62012</v>
      </c>
      <c r="F22" s="1169">
        <f>10576+18190+21995+7467+3784</f>
        <v>62012</v>
      </c>
    </row>
    <row r="23" spans="1:7" x14ac:dyDescent="0.2">
      <c r="A23" s="1112" t="s">
        <v>1191</v>
      </c>
      <c r="B23" s="1111" t="s">
        <v>1188</v>
      </c>
      <c r="C23" s="1086" t="s">
        <v>1219</v>
      </c>
      <c r="D23" s="1087" t="s">
        <v>1206</v>
      </c>
      <c r="E23" s="1086"/>
      <c r="F23" s="1170"/>
    </row>
    <row r="24" spans="1:7" s="255" customFormat="1" x14ac:dyDescent="0.2">
      <c r="A24" s="1104"/>
      <c r="B24" s="1103"/>
      <c r="C24" s="1102"/>
      <c r="D24" s="1101" t="s">
        <v>1200</v>
      </c>
      <c r="E24" s="1171">
        <f>SUM(E19:E23)</f>
        <v>186937</v>
      </c>
      <c r="F24" s="1172">
        <f>SUM(F19:F23)</f>
        <v>186937</v>
      </c>
    </row>
    <row r="25" spans="1:7" x14ac:dyDescent="0.2">
      <c r="A25" s="1110" t="s">
        <v>1188</v>
      </c>
      <c r="B25" s="1109" t="s">
        <v>1191</v>
      </c>
      <c r="C25" s="1108" t="s">
        <v>1205</v>
      </c>
      <c r="D25" s="1087" t="s">
        <v>1201</v>
      </c>
      <c r="E25" s="1108"/>
      <c r="F25" s="1173"/>
    </row>
    <row r="26" spans="1:7" x14ac:dyDescent="0.2">
      <c r="A26" s="1089" t="s">
        <v>1188</v>
      </c>
      <c r="B26" s="1088" t="s">
        <v>1190</v>
      </c>
      <c r="C26" s="1086" t="s">
        <v>1205</v>
      </c>
      <c r="D26" s="1087" t="s">
        <v>1201</v>
      </c>
      <c r="E26" s="1086"/>
      <c r="F26" s="1170"/>
    </row>
    <row r="27" spans="1:7" x14ac:dyDescent="0.2">
      <c r="A27" s="1089" t="s">
        <v>1188</v>
      </c>
      <c r="B27" s="1088" t="s">
        <v>1189</v>
      </c>
      <c r="C27" s="1086" t="s">
        <v>1205</v>
      </c>
      <c r="D27" s="1087" t="s">
        <v>1201</v>
      </c>
      <c r="E27" s="1174">
        <f>3550+7500+3350+2400+400</f>
        <v>17200</v>
      </c>
      <c r="F27" s="1170">
        <f>3550+7500+3350+2400+400</f>
        <v>17200</v>
      </c>
    </row>
    <row r="28" spans="1:7" s="255" customFormat="1" x14ac:dyDescent="0.2">
      <c r="A28" s="1104"/>
      <c r="B28" s="1103"/>
      <c r="C28" s="1102"/>
      <c r="D28" s="1101" t="s">
        <v>1200</v>
      </c>
      <c r="E28" s="1171">
        <f>SUM(E25:E27)</f>
        <v>17200</v>
      </c>
      <c r="F28" s="1172">
        <f>SUM(F25:F27)</f>
        <v>17200</v>
      </c>
    </row>
    <row r="29" spans="1:7" x14ac:dyDescent="0.2">
      <c r="A29" s="1089" t="s">
        <v>1188</v>
      </c>
      <c r="B29" s="1088" t="s">
        <v>1189</v>
      </c>
      <c r="C29" s="1086" t="s">
        <v>1218</v>
      </c>
      <c r="D29" s="1087" t="s">
        <v>1201</v>
      </c>
      <c r="E29" s="1174">
        <v>50176</v>
      </c>
      <c r="F29" s="1170">
        <v>50176</v>
      </c>
    </row>
    <row r="30" spans="1:7" x14ac:dyDescent="0.2">
      <c r="A30" s="1089" t="s">
        <v>1188</v>
      </c>
      <c r="B30" s="1088" t="s">
        <v>1187</v>
      </c>
      <c r="C30" s="1086" t="s">
        <v>1218</v>
      </c>
      <c r="D30" s="1087" t="s">
        <v>1201</v>
      </c>
      <c r="E30" s="1174"/>
      <c r="F30" s="1170"/>
    </row>
    <row r="31" spans="1:7" s="255" customFormat="1" ht="12" customHeight="1" x14ac:dyDescent="0.2">
      <c r="A31" s="1104"/>
      <c r="B31" s="1103"/>
      <c r="C31" s="1102"/>
      <c r="D31" s="1101" t="s">
        <v>1200</v>
      </c>
      <c r="E31" s="1171">
        <f>SUM(E29:E30)</f>
        <v>50176</v>
      </c>
      <c r="F31" s="1172">
        <f>SUM(F29:F30)</f>
        <v>50176</v>
      </c>
    </row>
    <row r="32" spans="1:7" x14ac:dyDescent="0.2">
      <c r="A32" s="1089" t="s">
        <v>1188</v>
      </c>
      <c r="B32" s="1088" t="s">
        <v>1191</v>
      </c>
      <c r="C32" s="1086" t="s">
        <v>1217</v>
      </c>
      <c r="D32" s="1087" t="s">
        <v>1201</v>
      </c>
      <c r="E32" s="1168">
        <v>0</v>
      </c>
      <c r="F32" s="1169"/>
    </row>
    <row r="33" spans="1:6" x14ac:dyDescent="0.2">
      <c r="A33" s="1089" t="s">
        <v>1188</v>
      </c>
      <c r="B33" s="1088" t="s">
        <v>1190</v>
      </c>
      <c r="C33" s="1086" t="s">
        <v>1217</v>
      </c>
      <c r="D33" s="1087" t="s">
        <v>1201</v>
      </c>
      <c r="E33" s="1168">
        <v>0</v>
      </c>
      <c r="F33" s="1169"/>
    </row>
    <row r="34" spans="1:6" x14ac:dyDescent="0.2">
      <c r="A34" s="1089" t="s">
        <v>1188</v>
      </c>
      <c r="B34" s="1088" t="s">
        <v>1189</v>
      </c>
      <c r="C34" s="1086" t="s">
        <v>1217</v>
      </c>
      <c r="D34" s="1087" t="s">
        <v>1201</v>
      </c>
      <c r="E34" s="1168">
        <v>0</v>
      </c>
      <c r="F34" s="1169"/>
    </row>
    <row r="35" spans="1:6" s="255" customFormat="1" x14ac:dyDescent="0.2">
      <c r="A35" s="1104"/>
      <c r="B35" s="1103"/>
      <c r="C35" s="1102"/>
      <c r="D35" s="1101" t="s">
        <v>1200</v>
      </c>
      <c r="E35" s="1171">
        <f>SUM(E32:E34)</f>
        <v>0</v>
      </c>
      <c r="F35" s="1172">
        <f>SUM(F32:F34)</f>
        <v>0</v>
      </c>
    </row>
    <row r="36" spans="1:6" x14ac:dyDescent="0.2">
      <c r="A36" s="1089" t="s">
        <v>1188</v>
      </c>
      <c r="B36" s="1088" t="s">
        <v>1189</v>
      </c>
      <c r="C36" s="1087" t="s">
        <v>1216</v>
      </c>
      <c r="D36" s="1087" t="s">
        <v>1206</v>
      </c>
      <c r="E36" s="1168">
        <v>55402</v>
      </c>
      <c r="F36" s="1169">
        <v>55402</v>
      </c>
    </row>
    <row r="37" spans="1:6" x14ac:dyDescent="0.2">
      <c r="A37" s="1089" t="s">
        <v>1188</v>
      </c>
      <c r="B37" s="1088" t="s">
        <v>1189</v>
      </c>
      <c r="C37" s="1087" t="s">
        <v>1215</v>
      </c>
      <c r="D37" s="1087" t="s">
        <v>1206</v>
      </c>
      <c r="E37" s="1168">
        <v>123885</v>
      </c>
      <c r="F37" s="1169">
        <v>123885</v>
      </c>
    </row>
    <row r="38" spans="1:6" s="255" customFormat="1" ht="12" customHeight="1" x14ac:dyDescent="0.2">
      <c r="A38" s="1104"/>
      <c r="B38" s="1103"/>
      <c r="C38" s="1102"/>
      <c r="D38" s="1101" t="s">
        <v>1200</v>
      </c>
      <c r="E38" s="1171">
        <f>SUM(E36:E37)</f>
        <v>179287</v>
      </c>
      <c r="F38" s="1171">
        <f>SUM(F36:F37)</f>
        <v>179287</v>
      </c>
    </row>
    <row r="39" spans="1:6" x14ac:dyDescent="0.2">
      <c r="A39" s="1089" t="s">
        <v>1188</v>
      </c>
      <c r="B39" s="1088" t="s">
        <v>1189</v>
      </c>
      <c r="C39" s="1087" t="s">
        <v>1214</v>
      </c>
      <c r="D39" s="1087" t="s">
        <v>1206</v>
      </c>
      <c r="E39" s="1168"/>
      <c r="F39" s="1169"/>
    </row>
    <row r="40" spans="1:6" x14ac:dyDescent="0.2">
      <c r="A40" s="1089" t="s">
        <v>1188</v>
      </c>
      <c r="B40" s="1088" t="s">
        <v>1190</v>
      </c>
      <c r="C40" s="1087" t="s">
        <v>1214</v>
      </c>
      <c r="D40" s="1087" t="s">
        <v>1206</v>
      </c>
      <c r="E40" s="1168"/>
      <c r="F40" s="1169"/>
    </row>
    <row r="41" spans="1:6" s="255" customFormat="1" ht="12" customHeight="1" x14ac:dyDescent="0.2">
      <c r="A41" s="1104"/>
      <c r="B41" s="1103"/>
      <c r="C41" s="1102"/>
      <c r="D41" s="1101" t="s">
        <v>1200</v>
      </c>
      <c r="E41" s="1171">
        <f>SUM(E39:E40)</f>
        <v>0</v>
      </c>
      <c r="F41" s="1172">
        <f>SUM(F39:F40)</f>
        <v>0</v>
      </c>
    </row>
    <row r="42" spans="1:6" x14ac:dyDescent="0.2">
      <c r="A42" s="1089" t="s">
        <v>1188</v>
      </c>
      <c r="B42" s="1088" t="s">
        <v>1189</v>
      </c>
      <c r="C42" s="1087" t="s">
        <v>1203</v>
      </c>
      <c r="D42" s="1087" t="s">
        <v>1206</v>
      </c>
      <c r="E42" s="1168"/>
      <c r="F42" s="1169"/>
    </row>
    <row r="43" spans="1:6" x14ac:dyDescent="0.2">
      <c r="A43" s="1089" t="s">
        <v>1188</v>
      </c>
      <c r="B43" s="1088" t="s">
        <v>1187</v>
      </c>
      <c r="C43" s="1087" t="s">
        <v>1203</v>
      </c>
      <c r="D43" s="1087" t="s">
        <v>1206</v>
      </c>
      <c r="E43" s="1168"/>
      <c r="F43" s="1169"/>
    </row>
    <row r="44" spans="1:6" s="255" customFormat="1" ht="12" customHeight="1" x14ac:dyDescent="0.2">
      <c r="A44" s="1104"/>
      <c r="B44" s="1103"/>
      <c r="C44" s="1102"/>
      <c r="D44" s="1101" t="s">
        <v>1200</v>
      </c>
      <c r="E44" s="1171">
        <f>SUM(E42:E43)</f>
        <v>0</v>
      </c>
      <c r="F44" s="1172">
        <f>SUM(F42:F43)</f>
        <v>0</v>
      </c>
    </row>
    <row r="45" spans="1:6" x14ac:dyDescent="0.2">
      <c r="A45" s="1089" t="s">
        <v>1188</v>
      </c>
      <c r="B45" s="1088" t="s">
        <v>1189</v>
      </c>
      <c r="C45" s="1087" t="s">
        <v>1202</v>
      </c>
      <c r="D45" s="1087" t="s">
        <v>1206</v>
      </c>
      <c r="E45" s="1168"/>
      <c r="F45" s="1169"/>
    </row>
    <row r="46" spans="1:6" x14ac:dyDescent="0.2">
      <c r="A46" s="1089" t="s">
        <v>1188</v>
      </c>
      <c r="B46" s="1088" t="s">
        <v>1187</v>
      </c>
      <c r="C46" s="1087" t="s">
        <v>1202</v>
      </c>
      <c r="D46" s="1087" t="s">
        <v>1206</v>
      </c>
      <c r="E46" s="1168"/>
      <c r="F46" s="1169"/>
    </row>
    <row r="47" spans="1:6" x14ac:dyDescent="0.2">
      <c r="A47" s="1089" t="s">
        <v>1188</v>
      </c>
      <c r="B47" s="1088" t="s">
        <v>1191</v>
      </c>
      <c r="C47" s="1087" t="s">
        <v>1202</v>
      </c>
      <c r="D47" s="1087" t="s">
        <v>1206</v>
      </c>
      <c r="E47" s="1168"/>
      <c r="F47" s="1169"/>
    </row>
    <row r="48" spans="1:6" s="255" customFormat="1" ht="12" customHeight="1" x14ac:dyDescent="0.2">
      <c r="A48" s="1104"/>
      <c r="B48" s="1103"/>
      <c r="C48" s="1102"/>
      <c r="D48" s="1101" t="s">
        <v>1200</v>
      </c>
      <c r="E48" s="1171">
        <f>SUM(E45:E47)</f>
        <v>0</v>
      </c>
      <c r="F48" s="1172">
        <f>SUM(F45:F47)</f>
        <v>0</v>
      </c>
    </row>
    <row r="49" spans="1:6" x14ac:dyDescent="0.2">
      <c r="A49" s="1089" t="s">
        <v>1188</v>
      </c>
      <c r="B49" s="1088" t="s">
        <v>1189</v>
      </c>
      <c r="C49" s="1087" t="s">
        <v>1213</v>
      </c>
      <c r="D49" s="1087" t="s">
        <v>1201</v>
      </c>
      <c r="E49" s="1168">
        <v>0</v>
      </c>
      <c r="F49" s="1169">
        <v>0</v>
      </c>
    </row>
    <row r="50" spans="1:6" x14ac:dyDescent="0.2">
      <c r="A50" s="1089"/>
      <c r="B50" s="1088"/>
      <c r="C50" s="1087"/>
      <c r="D50" s="1087"/>
      <c r="E50" s="1168"/>
      <c r="F50" s="1169"/>
    </row>
    <row r="51" spans="1:6" x14ac:dyDescent="0.2">
      <c r="A51" s="1089" t="s">
        <v>1188</v>
      </c>
      <c r="B51" s="1088" t="s">
        <v>1189</v>
      </c>
      <c r="C51" s="1087" t="s">
        <v>1207</v>
      </c>
      <c r="D51" s="1087" t="s">
        <v>1206</v>
      </c>
      <c r="E51" s="1168">
        <f>63540+13276</f>
        <v>76816</v>
      </c>
      <c r="F51" s="1168">
        <f>63540+13276</f>
        <v>76816</v>
      </c>
    </row>
    <row r="52" spans="1:6" x14ac:dyDescent="0.2">
      <c r="A52" s="1089" t="s">
        <v>1188</v>
      </c>
      <c r="B52" s="1088" t="s">
        <v>1187</v>
      </c>
      <c r="C52" s="1087" t="s">
        <v>1207</v>
      </c>
      <c r="D52" s="1087" t="s">
        <v>1206</v>
      </c>
      <c r="E52" s="1168">
        <f>5106</f>
        <v>5106</v>
      </c>
      <c r="F52" s="1168">
        <f>5106</f>
        <v>5106</v>
      </c>
    </row>
    <row r="53" spans="1:6" x14ac:dyDescent="0.2">
      <c r="A53" s="1089" t="s">
        <v>1188</v>
      </c>
      <c r="B53" s="1088" t="s">
        <v>1190</v>
      </c>
      <c r="C53" s="1087" t="s">
        <v>1207</v>
      </c>
      <c r="D53" s="1087" t="s">
        <v>1206</v>
      </c>
      <c r="E53" s="1168">
        <f>2798+31770</f>
        <v>34568</v>
      </c>
      <c r="F53" s="1168">
        <f>2798+31770</f>
        <v>34568</v>
      </c>
    </row>
    <row r="54" spans="1:6" x14ac:dyDescent="0.2">
      <c r="A54" s="1089" t="s">
        <v>1188</v>
      </c>
      <c r="B54" s="1088" t="s">
        <v>1191</v>
      </c>
      <c r="C54" s="1087" t="s">
        <v>1207</v>
      </c>
      <c r="D54" s="1087" t="s">
        <v>1206</v>
      </c>
      <c r="E54" s="1168">
        <v>0</v>
      </c>
      <c r="F54" s="1168">
        <v>0</v>
      </c>
    </row>
    <row r="55" spans="1:6" s="255" customFormat="1" ht="12" customHeight="1" x14ac:dyDescent="0.2">
      <c r="A55" s="1104"/>
      <c r="B55" s="1103"/>
      <c r="C55" s="1102"/>
      <c r="D55" s="1101" t="s">
        <v>1200</v>
      </c>
      <c r="E55" s="1171">
        <f>SUM(E51:E54)</f>
        <v>116490</v>
      </c>
      <c r="F55" s="1172">
        <f>SUM(F51:F54)</f>
        <v>116490</v>
      </c>
    </row>
    <row r="56" spans="1:6" x14ac:dyDescent="0.2">
      <c r="A56" s="1107" t="s">
        <v>439</v>
      </c>
      <c r="B56" s="1106"/>
      <c r="C56" s="1105"/>
      <c r="D56" s="1105"/>
      <c r="E56" s="1175">
        <f>+E55+E49+E48+E44+E38+E41+E35+E31+E28+E24</f>
        <v>550090</v>
      </c>
      <c r="F56" s="1175">
        <f>+F55+F49+F48+F44+F38+F41+F35+F31+F28+F24</f>
        <v>550090</v>
      </c>
    </row>
    <row r="57" spans="1:6" x14ac:dyDescent="0.2">
      <c r="A57" s="1100" t="s">
        <v>1189</v>
      </c>
      <c r="B57" s="1087" t="s">
        <v>1188</v>
      </c>
      <c r="C57" s="1087" t="s">
        <v>1204</v>
      </c>
      <c r="D57" s="1087" t="s">
        <v>1201</v>
      </c>
      <c r="E57" s="1168">
        <v>200000</v>
      </c>
      <c r="F57" s="1169">
        <v>200000</v>
      </c>
    </row>
    <row r="58" spans="1:6" x14ac:dyDescent="0.2">
      <c r="A58" s="1100" t="s">
        <v>1189</v>
      </c>
      <c r="B58" s="1087" t="s">
        <v>1188</v>
      </c>
      <c r="C58" s="1087" t="s">
        <v>1203</v>
      </c>
      <c r="D58" s="1087" t="s">
        <v>1201</v>
      </c>
      <c r="E58" s="1168">
        <v>90000</v>
      </c>
      <c r="F58" s="1169">
        <v>90000</v>
      </c>
    </row>
    <row r="59" spans="1:6" x14ac:dyDescent="0.2">
      <c r="A59" s="1100" t="s">
        <v>1189</v>
      </c>
      <c r="B59" s="1087" t="s">
        <v>1188</v>
      </c>
      <c r="C59" s="1087" t="s">
        <v>1212</v>
      </c>
      <c r="D59" s="1087" t="s">
        <v>1201</v>
      </c>
      <c r="E59" s="1168"/>
      <c r="F59" s="1169"/>
    </row>
    <row r="60" spans="1:6" x14ac:dyDescent="0.2">
      <c r="A60" s="1100" t="s">
        <v>1189</v>
      </c>
      <c r="B60" s="1087" t="s">
        <v>1188</v>
      </c>
      <c r="C60" s="1087" t="s">
        <v>1211</v>
      </c>
      <c r="D60" s="1087" t="s">
        <v>1201</v>
      </c>
      <c r="E60" s="1168">
        <v>80000</v>
      </c>
      <c r="F60" s="1169">
        <v>80000</v>
      </c>
    </row>
    <row r="61" spans="1:6" x14ac:dyDescent="0.2">
      <c r="A61" s="1100" t="s">
        <v>1189</v>
      </c>
      <c r="B61" s="1087" t="s">
        <v>1210</v>
      </c>
      <c r="C61" s="1087" t="s">
        <v>1209</v>
      </c>
      <c r="D61" s="1087" t="s">
        <v>1201</v>
      </c>
      <c r="E61" s="1168">
        <v>50000</v>
      </c>
      <c r="F61" s="1169">
        <v>50000</v>
      </c>
    </row>
    <row r="62" spans="1:6" x14ac:dyDescent="0.2">
      <c r="A62" s="1100" t="s">
        <v>1189</v>
      </c>
      <c r="B62" s="1087" t="s">
        <v>1188</v>
      </c>
      <c r="C62" s="1087" t="s">
        <v>1202</v>
      </c>
      <c r="D62" s="1087" t="s">
        <v>1201</v>
      </c>
      <c r="E62" s="1168">
        <v>95000</v>
      </c>
      <c r="F62" s="1169">
        <v>95000</v>
      </c>
    </row>
    <row r="63" spans="1:6" x14ac:dyDescent="0.2">
      <c r="A63" s="1100" t="s">
        <v>1189</v>
      </c>
      <c r="B63" s="1087" t="s">
        <v>1188</v>
      </c>
      <c r="C63" s="1087" t="s">
        <v>1208</v>
      </c>
      <c r="D63" s="1087" t="s">
        <v>1206</v>
      </c>
      <c r="E63" s="1168"/>
      <c r="F63" s="1169"/>
    </row>
    <row r="64" spans="1:6" x14ac:dyDescent="0.2">
      <c r="A64" s="1100" t="s">
        <v>1189</v>
      </c>
      <c r="B64" s="1087" t="s">
        <v>1188</v>
      </c>
      <c r="C64" s="1087" t="s">
        <v>1207</v>
      </c>
      <c r="D64" s="1087" t="s">
        <v>1206</v>
      </c>
      <c r="E64" s="1168"/>
      <c r="F64" s="1169"/>
    </row>
    <row r="65" spans="1:6" s="255" customFormat="1" ht="12" customHeight="1" x14ac:dyDescent="0.2">
      <c r="A65" s="1104"/>
      <c r="B65" s="1103"/>
      <c r="C65" s="1102"/>
      <c r="D65" s="1101" t="s">
        <v>1200</v>
      </c>
      <c r="E65" s="1171">
        <f>SUM(E57:E64)</f>
        <v>515000</v>
      </c>
      <c r="F65" s="1172">
        <f>SUM(F57:F64)</f>
        <v>515000</v>
      </c>
    </row>
    <row r="66" spans="1:6" x14ac:dyDescent="0.2">
      <c r="A66" s="1100" t="s">
        <v>1187</v>
      </c>
      <c r="B66" s="1087" t="s">
        <v>1188</v>
      </c>
      <c r="C66" s="1087" t="s">
        <v>1205</v>
      </c>
      <c r="D66" s="1087" t="s">
        <v>1201</v>
      </c>
      <c r="E66" s="1168">
        <v>0</v>
      </c>
      <c r="F66" s="1169">
        <v>0</v>
      </c>
    </row>
    <row r="67" spans="1:6" x14ac:dyDescent="0.2">
      <c r="A67" s="1100" t="s">
        <v>1187</v>
      </c>
      <c r="B67" s="1087" t="s">
        <v>1188</v>
      </c>
      <c r="C67" s="1087" t="s">
        <v>1204</v>
      </c>
      <c r="D67" s="1087" t="s">
        <v>1201</v>
      </c>
      <c r="E67" s="1168">
        <v>30000</v>
      </c>
      <c r="F67" s="1169">
        <v>30000</v>
      </c>
    </row>
    <row r="68" spans="1:6" x14ac:dyDescent="0.2">
      <c r="A68" s="1100" t="s">
        <v>1187</v>
      </c>
      <c r="B68" s="1087" t="s">
        <v>1188</v>
      </c>
      <c r="C68" s="1087" t="s">
        <v>1203</v>
      </c>
      <c r="D68" s="1087" t="s">
        <v>1201</v>
      </c>
      <c r="E68" s="1168">
        <v>25000</v>
      </c>
      <c r="F68" s="1169">
        <v>25000</v>
      </c>
    </row>
    <row r="69" spans="1:6" x14ac:dyDescent="0.2">
      <c r="A69" s="1100" t="s">
        <v>1187</v>
      </c>
      <c r="B69" s="1087" t="s">
        <v>1188</v>
      </c>
      <c r="C69" s="1087" t="s">
        <v>1202</v>
      </c>
      <c r="D69" s="1087" t="s">
        <v>1201</v>
      </c>
      <c r="E69" s="1087"/>
      <c r="F69" s="1169"/>
    </row>
    <row r="70" spans="1:6" s="255" customFormat="1" ht="12" customHeight="1" x14ac:dyDescent="0.2">
      <c r="A70" s="1104"/>
      <c r="B70" s="1103"/>
      <c r="C70" s="1102"/>
      <c r="D70" s="1101" t="s">
        <v>1200</v>
      </c>
      <c r="E70" s="1171">
        <f>SUM(E66:E69)</f>
        <v>55000</v>
      </c>
      <c r="F70" s="1172">
        <f>SUM(F66:F69)</f>
        <v>55000</v>
      </c>
    </row>
    <row r="71" spans="1:6" x14ac:dyDescent="0.2">
      <c r="A71" s="1100"/>
      <c r="B71" s="1087"/>
      <c r="C71" s="1087"/>
      <c r="D71" s="1087"/>
      <c r="E71" s="1087"/>
      <c r="F71" s="1099"/>
    </row>
    <row r="72" spans="1:6" ht="13.5" thickBot="1" x14ac:dyDescent="0.25">
      <c r="A72" s="1085"/>
      <c r="B72" s="1084"/>
      <c r="C72" s="1084"/>
      <c r="D72" s="1084"/>
      <c r="E72" s="1177">
        <f>+E56+E65+E70</f>
        <v>1120090</v>
      </c>
      <c r="F72" s="1178">
        <f>+F56+F65+F70</f>
        <v>1120090</v>
      </c>
    </row>
    <row r="74" spans="1:6" ht="15.75" x14ac:dyDescent="0.25">
      <c r="A74" s="1447" t="s">
        <v>1199</v>
      </c>
      <c r="B74" s="1447"/>
      <c r="C74" s="1447"/>
      <c r="D74" s="1447"/>
      <c r="E74" s="1447"/>
      <c r="F74" s="1447"/>
    </row>
    <row r="75" spans="1:6" ht="13.5" thickBot="1" x14ac:dyDescent="0.25"/>
    <row r="76" spans="1:6" ht="13.5" customHeight="1" x14ac:dyDescent="0.2">
      <c r="A76" s="1448" t="s">
        <v>1198</v>
      </c>
      <c r="B76" s="1449"/>
      <c r="C76" s="1450" t="s">
        <v>1197</v>
      </c>
      <c r="D76" s="1450" t="s">
        <v>1196</v>
      </c>
      <c r="E76" s="1453" t="s">
        <v>1195</v>
      </c>
      <c r="F76" s="1455" t="s">
        <v>1194</v>
      </c>
    </row>
    <row r="77" spans="1:6" ht="17.25" customHeight="1" x14ac:dyDescent="0.2">
      <c r="A77" s="1098" t="s">
        <v>1193</v>
      </c>
      <c r="B77" s="1097" t="s">
        <v>1192</v>
      </c>
      <c r="C77" s="1451"/>
      <c r="D77" s="1451"/>
      <c r="E77" s="1454"/>
      <c r="F77" s="1456"/>
    </row>
    <row r="78" spans="1:6" x14ac:dyDescent="0.2">
      <c r="A78" s="1096"/>
      <c r="B78" s="1095"/>
      <c r="C78" s="1452"/>
      <c r="D78" s="1452"/>
      <c r="E78" s="1094" t="s">
        <v>291</v>
      </c>
      <c r="F78" s="1093" t="s">
        <v>290</v>
      </c>
    </row>
    <row r="79" spans="1:6" x14ac:dyDescent="0.2">
      <c r="A79" s="1089" t="s">
        <v>1188</v>
      </c>
      <c r="B79" s="1088" t="s">
        <v>1191</v>
      </c>
      <c r="C79" s="1086" t="s">
        <v>1186</v>
      </c>
      <c r="D79" s="1087"/>
      <c r="E79" s="1092">
        <f>+F79/88531</f>
        <v>1.1973207125187788E-3</v>
      </c>
      <c r="F79" s="1169">
        <v>106</v>
      </c>
    </row>
    <row r="80" spans="1:6" x14ac:dyDescent="0.2">
      <c r="A80" s="1089" t="s">
        <v>1188</v>
      </c>
      <c r="B80" s="1088" t="s">
        <v>1190</v>
      </c>
      <c r="C80" s="1086" t="s">
        <v>1186</v>
      </c>
      <c r="D80" s="1087"/>
      <c r="E80" s="1092">
        <f>+F80/88531</f>
        <v>4.9801764353729204E-2</v>
      </c>
      <c r="F80" s="1169">
        <v>4409</v>
      </c>
    </row>
    <row r="81" spans="1:7" x14ac:dyDescent="0.2">
      <c r="A81" s="1089" t="s">
        <v>1188</v>
      </c>
      <c r="B81" s="1088" t="s">
        <v>1189</v>
      </c>
      <c r="C81" s="1086" t="s">
        <v>1186</v>
      </c>
      <c r="D81" s="1087"/>
      <c r="E81" s="1092">
        <f>+F81/88531</f>
        <v>2.2997594063096542E-2</v>
      </c>
      <c r="F81" s="1169">
        <v>2036</v>
      </c>
    </row>
    <row r="82" spans="1:7" ht="13.5" thickBot="1" x14ac:dyDescent="0.25">
      <c r="A82" s="1089" t="s">
        <v>1188</v>
      </c>
      <c r="B82" s="1088" t="s">
        <v>1187</v>
      </c>
      <c r="C82" s="1086" t="s">
        <v>1186</v>
      </c>
      <c r="D82" s="1087"/>
      <c r="E82" s="1092">
        <f>+F82/88531</f>
        <v>1.6999695022082661E-2</v>
      </c>
      <c r="F82" s="1179">
        <v>1505</v>
      </c>
    </row>
    <row r="83" spans="1:7" ht="13.5" thickBot="1" x14ac:dyDescent="0.25">
      <c r="A83" s="1089"/>
      <c r="B83" s="1088"/>
      <c r="C83" s="1091"/>
      <c r="D83" s="1091"/>
      <c r="E83" s="1090" t="s">
        <v>439</v>
      </c>
      <c r="F83" s="1180">
        <f>SUM(F79:F82)</f>
        <v>8056</v>
      </c>
    </row>
    <row r="84" spans="1:7" x14ac:dyDescent="0.2">
      <c r="A84" s="1089"/>
      <c r="B84" s="1088"/>
      <c r="C84" s="1086"/>
      <c r="D84" s="1087"/>
      <c r="E84" s="1086"/>
      <c r="F84" s="1181"/>
    </row>
    <row r="85" spans="1:7" ht="13.5" thickBot="1" x14ac:dyDescent="0.25">
      <c r="A85" s="1085"/>
      <c r="B85" s="1084"/>
      <c r="C85" s="1084"/>
      <c r="D85" s="1084"/>
      <c r="E85" s="1084"/>
      <c r="F85" s="1083"/>
    </row>
    <row r="87" spans="1:7" ht="18" customHeight="1" x14ac:dyDescent="0.2">
      <c r="A87" s="1163" t="s">
        <v>1185</v>
      </c>
      <c r="B87" s="1162"/>
      <c r="C87" s="1162"/>
      <c r="D87" s="1162"/>
      <c r="E87" s="1162"/>
      <c r="F87" s="1162"/>
      <c r="G87" s="1162"/>
    </row>
    <row r="88" spans="1:7" x14ac:dyDescent="0.2">
      <c r="A88" s="1163">
        <v>1</v>
      </c>
      <c r="B88" s="1272" t="s">
        <v>1184</v>
      </c>
      <c r="C88" s="1272"/>
      <c r="D88" s="1272"/>
      <c r="E88" s="1272"/>
      <c r="F88" s="1272"/>
      <c r="G88" s="1161"/>
    </row>
    <row r="89" spans="1:7" x14ac:dyDescent="0.2">
      <c r="A89" s="1163"/>
      <c r="B89" s="1272"/>
      <c r="C89" s="1272"/>
      <c r="D89" s="1272"/>
      <c r="E89" s="1272"/>
      <c r="F89" s="1272"/>
      <c r="G89" s="1161"/>
    </row>
    <row r="90" spans="1:7" x14ac:dyDescent="0.2">
      <c r="A90" s="1163"/>
    </row>
    <row r="91" spans="1:7" x14ac:dyDescent="0.2">
      <c r="A91" s="1163">
        <v>2</v>
      </c>
      <c r="B91" s="946" t="s">
        <v>1183</v>
      </c>
    </row>
    <row r="92" spans="1:7" x14ac:dyDescent="0.2">
      <c r="A92" s="1163"/>
      <c r="B92" s="946" t="s">
        <v>1182</v>
      </c>
    </row>
    <row r="93" spans="1:7" x14ac:dyDescent="0.2">
      <c r="A93" s="1163"/>
      <c r="B93" s="946" t="s">
        <v>1181</v>
      </c>
    </row>
    <row r="94" spans="1:7" x14ac:dyDescent="0.2">
      <c r="A94" s="1163"/>
      <c r="B94" s="946" t="s">
        <v>1180</v>
      </c>
    </row>
    <row r="95" spans="1:7" x14ac:dyDescent="0.2">
      <c r="A95" s="1163"/>
      <c r="B95" s="946" t="s">
        <v>1179</v>
      </c>
    </row>
    <row r="96" spans="1:7" x14ac:dyDescent="0.2">
      <c r="A96" s="1163"/>
      <c r="B96" s="946" t="s">
        <v>1178</v>
      </c>
    </row>
    <row r="97" spans="1:1" x14ac:dyDescent="0.2">
      <c r="A97" s="1163"/>
    </row>
    <row r="98" spans="1:1" x14ac:dyDescent="0.2">
      <c r="A98" s="1163"/>
    </row>
    <row r="99" spans="1:1" x14ac:dyDescent="0.2">
      <c r="A99" s="1163"/>
    </row>
    <row r="100" spans="1:1" x14ac:dyDescent="0.2">
      <c r="A100" s="1163"/>
    </row>
    <row r="101" spans="1:1" x14ac:dyDescent="0.2">
      <c r="A101" s="1163"/>
    </row>
    <row r="102" spans="1:1" x14ac:dyDescent="0.2">
      <c r="A102" s="1163"/>
    </row>
    <row r="103" spans="1:1" x14ac:dyDescent="0.2">
      <c r="A103" s="1163"/>
    </row>
    <row r="104" spans="1:1" x14ac:dyDescent="0.2">
      <c r="A104" s="1163"/>
    </row>
    <row r="105" spans="1:1" x14ac:dyDescent="0.2">
      <c r="A105" s="1163"/>
    </row>
    <row r="106" spans="1:1" x14ac:dyDescent="0.2">
      <c r="A106" s="1163"/>
    </row>
    <row r="107" spans="1:1" x14ac:dyDescent="0.2">
      <c r="A107" s="1163"/>
    </row>
    <row r="108" spans="1:1" x14ac:dyDescent="0.2">
      <c r="A108" s="1163"/>
    </row>
    <row r="109" spans="1:1" x14ac:dyDescent="0.2">
      <c r="A109" s="1163"/>
    </row>
    <row r="110" spans="1:1" x14ac:dyDescent="0.2">
      <c r="A110" s="1163"/>
    </row>
    <row r="111" spans="1:1" x14ac:dyDescent="0.2">
      <c r="A111" s="1163"/>
    </row>
    <row r="112" spans="1:1"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sheetData>
  <mergeCells count="18">
    <mergeCell ref="A9:F9"/>
    <mergeCell ref="A10:F10"/>
    <mergeCell ref="A14:F14"/>
    <mergeCell ref="A16:B16"/>
    <mergeCell ref="C16:C18"/>
    <mergeCell ref="D16:D18"/>
    <mergeCell ref="E16:E17"/>
    <mergeCell ref="F16:F17"/>
    <mergeCell ref="B88:F89"/>
    <mergeCell ref="G16:G17"/>
    <mergeCell ref="A17:A18"/>
    <mergeCell ref="B17:B18"/>
    <mergeCell ref="A74:F74"/>
    <mergeCell ref="A76:B76"/>
    <mergeCell ref="C76:C78"/>
    <mergeCell ref="D76:D78"/>
    <mergeCell ref="E76:E77"/>
    <mergeCell ref="F76:F77"/>
  </mergeCells>
  <dataValidations disablePrompts="1" count="1">
    <dataValidation allowBlank="1" showInputMessage="1" showErrorMessage="1" promptTitle="Date Format" prompt="E.g:  &quot;August 1, 2011&quot;" sqref="G7"/>
  </dataValidations>
  <pageMargins left="1" right="0.75" top="0.25" bottom="0.25" header="0.5" footer="0.5"/>
  <pageSetup scale="6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topLeftCell="A33" zoomScaleNormal="100" workbookViewId="0">
      <selection sqref="A1:XFD1048576"/>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7.28515625" style="946" customWidth="1"/>
    <col min="8"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v>2012</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7" ht="17.25" customHeight="1" x14ac:dyDescent="0.2">
      <c r="A17" s="1443" t="s">
        <v>1193</v>
      </c>
      <c r="B17" s="1445" t="s">
        <v>1192</v>
      </c>
      <c r="C17" s="1451"/>
      <c r="D17" s="1451"/>
      <c r="E17" s="1461"/>
      <c r="F17" s="1463"/>
      <c r="G17" s="1442"/>
    </row>
    <row r="18" spans="1:7" x14ac:dyDescent="0.2">
      <c r="A18" s="1444"/>
      <c r="B18" s="1446"/>
      <c r="C18" s="1459"/>
      <c r="D18" s="1459"/>
      <c r="E18" s="1094" t="s">
        <v>290</v>
      </c>
      <c r="F18" s="1093" t="s">
        <v>290</v>
      </c>
      <c r="G18" s="1113"/>
    </row>
    <row r="19" spans="1:7" x14ac:dyDescent="0.2">
      <c r="A19" s="1089" t="s">
        <v>1188</v>
      </c>
      <c r="B19" s="1088" t="s">
        <v>1190</v>
      </c>
      <c r="C19" s="1086" t="s">
        <v>1219</v>
      </c>
      <c r="D19" s="1087" t="s">
        <v>1206</v>
      </c>
      <c r="E19" s="1168">
        <v>3600</v>
      </c>
      <c r="F19" s="1169">
        <v>3600</v>
      </c>
      <c r="G19" s="256"/>
    </row>
    <row r="20" spans="1:7" x14ac:dyDescent="0.2">
      <c r="A20" s="1089" t="s">
        <v>1188</v>
      </c>
      <c r="B20" s="1088" t="s">
        <v>1189</v>
      </c>
      <c r="C20" s="1086" t="s">
        <v>1219</v>
      </c>
      <c r="D20" s="1087" t="s">
        <v>1206</v>
      </c>
      <c r="E20" s="1168">
        <v>59274</v>
      </c>
      <c r="F20" s="1169">
        <v>59274</v>
      </c>
      <c r="G20" s="256"/>
    </row>
    <row r="21" spans="1:7" x14ac:dyDescent="0.2">
      <c r="A21" s="1089" t="s">
        <v>1188</v>
      </c>
      <c r="B21" s="1088" t="s">
        <v>1191</v>
      </c>
      <c r="C21" s="1086" t="s">
        <v>1219</v>
      </c>
      <c r="D21" s="1087" t="s">
        <v>1206</v>
      </c>
      <c r="E21" s="1168"/>
      <c r="F21" s="1169"/>
      <c r="G21" s="256"/>
    </row>
    <row r="22" spans="1:7" x14ac:dyDescent="0.2">
      <c r="A22" s="1089" t="s">
        <v>1188</v>
      </c>
      <c r="B22" s="1088" t="s">
        <v>1187</v>
      </c>
      <c r="C22" s="1086" t="s">
        <v>1219</v>
      </c>
      <c r="D22" s="1087" t="s">
        <v>1206</v>
      </c>
      <c r="E22" s="1168">
        <v>42966</v>
      </c>
      <c r="F22" s="1169">
        <v>42966</v>
      </c>
      <c r="G22" s="256"/>
    </row>
    <row r="23" spans="1:7" x14ac:dyDescent="0.2">
      <c r="A23" s="1112" t="s">
        <v>1191</v>
      </c>
      <c r="B23" s="1111" t="s">
        <v>1188</v>
      </c>
      <c r="C23" s="1086" t="s">
        <v>1219</v>
      </c>
      <c r="D23" s="1087" t="s">
        <v>1206</v>
      </c>
      <c r="E23" s="1174"/>
      <c r="F23" s="1170"/>
      <c r="G23" s="256"/>
    </row>
    <row r="24" spans="1:7" s="255" customFormat="1" x14ac:dyDescent="0.2">
      <c r="A24" s="1104"/>
      <c r="B24" s="1103"/>
      <c r="C24" s="1102"/>
      <c r="D24" s="1101" t="s">
        <v>1200</v>
      </c>
      <c r="E24" s="1171">
        <f>SUM(E19:E23)</f>
        <v>105840</v>
      </c>
      <c r="F24" s="1172">
        <f>SUM(F19:F23)</f>
        <v>105840</v>
      </c>
    </row>
    <row r="25" spans="1:7" x14ac:dyDescent="0.2">
      <c r="A25" s="1110" t="s">
        <v>1188</v>
      </c>
      <c r="B25" s="1109" t="s">
        <v>1191</v>
      </c>
      <c r="C25" s="1108" t="s">
        <v>1205</v>
      </c>
      <c r="D25" s="1087" t="s">
        <v>1201</v>
      </c>
      <c r="E25" s="1182"/>
      <c r="F25" s="1181"/>
    </row>
    <row r="26" spans="1:7" x14ac:dyDescent="0.2">
      <c r="A26" s="1089" t="s">
        <v>1188</v>
      </c>
      <c r="B26" s="1088" t="s">
        <v>1190</v>
      </c>
      <c r="C26" s="1086" t="s">
        <v>1205</v>
      </c>
      <c r="D26" s="1087" t="s">
        <v>1201</v>
      </c>
      <c r="E26" s="1174"/>
      <c r="F26" s="1169"/>
    </row>
    <row r="27" spans="1:7" x14ac:dyDescent="0.2">
      <c r="A27" s="1089" t="s">
        <v>1188</v>
      </c>
      <c r="B27" s="1088" t="s">
        <v>1189</v>
      </c>
      <c r="C27" s="1086" t="s">
        <v>1205</v>
      </c>
      <c r="D27" s="1087" t="s">
        <v>1201</v>
      </c>
      <c r="E27" s="1174">
        <v>22800</v>
      </c>
      <c r="F27" s="1169">
        <f>12000+2400+2400+1200+1200+3600</f>
        <v>22800</v>
      </c>
    </row>
    <row r="28" spans="1:7" s="255" customFormat="1" x14ac:dyDescent="0.2">
      <c r="A28" s="1104"/>
      <c r="B28" s="1103"/>
      <c r="C28" s="1102"/>
      <c r="D28" s="1101" t="s">
        <v>1200</v>
      </c>
      <c r="E28" s="1171">
        <f>SUM(E25:E27)</f>
        <v>22800</v>
      </c>
      <c r="F28" s="1172">
        <f>SUM(F25:F27)</f>
        <v>22800</v>
      </c>
    </row>
    <row r="29" spans="1:7" x14ac:dyDescent="0.2">
      <c r="A29" s="1089" t="s">
        <v>1188</v>
      </c>
      <c r="B29" s="1088" t="s">
        <v>1189</v>
      </c>
      <c r="C29" s="1086" t="s">
        <v>1218</v>
      </c>
      <c r="D29" s="1087" t="s">
        <v>1201</v>
      </c>
      <c r="E29" s="1174">
        <v>48500</v>
      </c>
      <c r="F29" s="1169">
        <v>48500</v>
      </c>
    </row>
    <row r="30" spans="1:7" x14ac:dyDescent="0.2">
      <c r="A30" s="1089" t="s">
        <v>1188</v>
      </c>
      <c r="B30" s="1088" t="s">
        <v>1187</v>
      </c>
      <c r="C30" s="1086" t="s">
        <v>1218</v>
      </c>
      <c r="D30" s="1087" t="s">
        <v>1201</v>
      </c>
      <c r="E30" s="1174"/>
      <c r="F30" s="1169"/>
    </row>
    <row r="31" spans="1:7" s="255" customFormat="1" ht="12" customHeight="1" x14ac:dyDescent="0.2">
      <c r="A31" s="1104"/>
      <c r="B31" s="1103"/>
      <c r="C31" s="1102"/>
      <c r="D31" s="1101" t="s">
        <v>1200</v>
      </c>
      <c r="E31" s="1171">
        <f>SUM(E29:E30)</f>
        <v>48500</v>
      </c>
      <c r="F31" s="1172">
        <f>SUM(F29:F30)</f>
        <v>48500</v>
      </c>
    </row>
    <row r="32" spans="1:7" x14ac:dyDescent="0.2">
      <c r="A32" s="1089" t="s">
        <v>1188</v>
      </c>
      <c r="B32" s="1088" t="s">
        <v>1191</v>
      </c>
      <c r="C32" s="1086" t="s">
        <v>1217</v>
      </c>
      <c r="D32" s="1087" t="s">
        <v>1201</v>
      </c>
      <c r="E32" s="1168">
        <v>0</v>
      </c>
      <c r="F32" s="1169"/>
    </row>
    <row r="33" spans="1:6" x14ac:dyDescent="0.2">
      <c r="A33" s="1089" t="s">
        <v>1188</v>
      </c>
      <c r="B33" s="1088" t="s">
        <v>1190</v>
      </c>
      <c r="C33" s="1086" t="s">
        <v>1217</v>
      </c>
      <c r="D33" s="1087" t="s">
        <v>1201</v>
      </c>
      <c r="E33" s="1168">
        <v>0</v>
      </c>
      <c r="F33" s="1169"/>
    </row>
    <row r="34" spans="1:6" x14ac:dyDescent="0.2">
      <c r="A34" s="1089" t="s">
        <v>1188</v>
      </c>
      <c r="B34" s="1088" t="s">
        <v>1189</v>
      </c>
      <c r="C34" s="1086" t="s">
        <v>1217</v>
      </c>
      <c r="D34" s="1087" t="s">
        <v>1201</v>
      </c>
      <c r="E34" s="1168">
        <v>0</v>
      </c>
      <c r="F34" s="1169"/>
    </row>
    <row r="35" spans="1:6" s="255" customFormat="1" x14ac:dyDescent="0.2">
      <c r="A35" s="1104"/>
      <c r="B35" s="1103"/>
      <c r="C35" s="1102"/>
      <c r="D35" s="1101" t="s">
        <v>1200</v>
      </c>
      <c r="E35" s="1171">
        <f>SUM(E32:E34)</f>
        <v>0</v>
      </c>
      <c r="F35" s="1172">
        <f>SUM(F32:F34)</f>
        <v>0</v>
      </c>
    </row>
    <row r="36" spans="1:6" x14ac:dyDescent="0.2">
      <c r="A36" s="1089" t="s">
        <v>1188</v>
      </c>
      <c r="B36" s="1088" t="s">
        <v>1189</v>
      </c>
      <c r="C36" s="1087" t="s">
        <v>1216</v>
      </c>
      <c r="D36" s="1087" t="s">
        <v>1206</v>
      </c>
      <c r="E36" s="1168">
        <v>56077</v>
      </c>
      <c r="F36" s="1169">
        <v>56077</v>
      </c>
    </row>
    <row r="37" spans="1:6" x14ac:dyDescent="0.2">
      <c r="A37" s="1089" t="s">
        <v>1188</v>
      </c>
      <c r="B37" s="1088" t="s">
        <v>1189</v>
      </c>
      <c r="C37" s="1087" t="s">
        <v>1215</v>
      </c>
      <c r="D37" s="1087" t="s">
        <v>1206</v>
      </c>
      <c r="E37" s="1168">
        <v>166192</v>
      </c>
      <c r="F37" s="1169">
        <v>166192</v>
      </c>
    </row>
    <row r="38" spans="1:6" s="255" customFormat="1" ht="12" customHeight="1" x14ac:dyDescent="0.2">
      <c r="A38" s="1104"/>
      <c r="B38" s="1103"/>
      <c r="C38" s="1102"/>
      <c r="D38" s="1101" t="s">
        <v>1200</v>
      </c>
      <c r="E38" s="1171">
        <f>SUM(E36:E37)</f>
        <v>222269</v>
      </c>
      <c r="F38" s="1171">
        <f>SUM(F36:F37)</f>
        <v>222269</v>
      </c>
    </row>
    <row r="39" spans="1:6" x14ac:dyDescent="0.2">
      <c r="A39" s="1089" t="s">
        <v>1188</v>
      </c>
      <c r="B39" s="1088" t="s">
        <v>1189</v>
      </c>
      <c r="C39" s="1087" t="s">
        <v>1214</v>
      </c>
      <c r="D39" s="1087" t="s">
        <v>1206</v>
      </c>
      <c r="E39" s="1168"/>
      <c r="F39" s="1169"/>
    </row>
    <row r="40" spans="1:6" x14ac:dyDescent="0.2">
      <c r="A40" s="1089" t="s">
        <v>1188</v>
      </c>
      <c r="B40" s="1088" t="s">
        <v>1190</v>
      </c>
      <c r="C40" s="1087" t="s">
        <v>1214</v>
      </c>
      <c r="D40" s="1087" t="s">
        <v>1206</v>
      </c>
      <c r="E40" s="1168"/>
      <c r="F40" s="1169"/>
    </row>
    <row r="41" spans="1:6" s="255" customFormat="1" ht="12" customHeight="1" x14ac:dyDescent="0.2">
      <c r="A41" s="1104"/>
      <c r="B41" s="1103"/>
      <c r="C41" s="1102"/>
      <c r="D41" s="1101" t="s">
        <v>1200</v>
      </c>
      <c r="E41" s="1171">
        <f>SUM(E39:E40)</f>
        <v>0</v>
      </c>
      <c r="F41" s="1172">
        <f>SUM(F39:F40)</f>
        <v>0</v>
      </c>
    </row>
    <row r="42" spans="1:6" x14ac:dyDescent="0.2">
      <c r="A42" s="1089" t="s">
        <v>1188</v>
      </c>
      <c r="B42" s="1088" t="s">
        <v>1189</v>
      </c>
      <c r="C42" s="1087" t="s">
        <v>1203</v>
      </c>
      <c r="D42" s="1087" t="s">
        <v>1206</v>
      </c>
      <c r="E42" s="1168">
        <v>0</v>
      </c>
      <c r="F42" s="1169"/>
    </row>
    <row r="43" spans="1:6" x14ac:dyDescent="0.2">
      <c r="A43" s="1089" t="s">
        <v>1188</v>
      </c>
      <c r="B43" s="1088" t="s">
        <v>1187</v>
      </c>
      <c r="C43" s="1087" t="s">
        <v>1203</v>
      </c>
      <c r="D43" s="1087" t="s">
        <v>1206</v>
      </c>
      <c r="E43" s="1168"/>
      <c r="F43" s="1169"/>
    </row>
    <row r="44" spans="1:6" s="255" customFormat="1" ht="12" customHeight="1" x14ac:dyDescent="0.2">
      <c r="A44" s="1104"/>
      <c r="B44" s="1103"/>
      <c r="C44" s="1102"/>
      <c r="D44" s="1101" t="s">
        <v>1200</v>
      </c>
      <c r="E44" s="1171">
        <f>SUM(E42:E43)</f>
        <v>0</v>
      </c>
      <c r="F44" s="1172">
        <f>SUM(F42:F43)</f>
        <v>0</v>
      </c>
    </row>
    <row r="45" spans="1:6" x14ac:dyDescent="0.2">
      <c r="A45" s="1089" t="s">
        <v>1188</v>
      </c>
      <c r="B45" s="1088" t="s">
        <v>1189</v>
      </c>
      <c r="C45" s="1087" t="s">
        <v>1202</v>
      </c>
      <c r="D45" s="1087" t="s">
        <v>1206</v>
      </c>
      <c r="E45" s="1168"/>
      <c r="F45" s="1169"/>
    </row>
    <row r="46" spans="1:6" x14ac:dyDescent="0.2">
      <c r="A46" s="1089" t="s">
        <v>1188</v>
      </c>
      <c r="B46" s="1088" t="s">
        <v>1187</v>
      </c>
      <c r="C46" s="1087" t="s">
        <v>1202</v>
      </c>
      <c r="D46" s="1087" t="s">
        <v>1206</v>
      </c>
      <c r="E46" s="1168"/>
      <c r="F46" s="1169"/>
    </row>
    <row r="47" spans="1:6" x14ac:dyDescent="0.2">
      <c r="A47" s="1089" t="s">
        <v>1188</v>
      </c>
      <c r="B47" s="1088" t="s">
        <v>1191</v>
      </c>
      <c r="C47" s="1087" t="s">
        <v>1202</v>
      </c>
      <c r="D47" s="1087" t="s">
        <v>1206</v>
      </c>
      <c r="E47" s="1168"/>
      <c r="F47" s="1169"/>
    </row>
    <row r="48" spans="1:6" s="255" customFormat="1" ht="12" customHeight="1" x14ac:dyDescent="0.2">
      <c r="A48" s="1104"/>
      <c r="B48" s="1103"/>
      <c r="C48" s="1102"/>
      <c r="D48" s="1101" t="s">
        <v>1200</v>
      </c>
      <c r="E48" s="1171">
        <f>SUM(E45:E47)</f>
        <v>0</v>
      </c>
      <c r="F48" s="1172">
        <f>SUM(F45:F47)</f>
        <v>0</v>
      </c>
    </row>
    <row r="49" spans="1:6" x14ac:dyDescent="0.2">
      <c r="A49" s="1089" t="s">
        <v>1188</v>
      </c>
      <c r="B49" s="1088" t="s">
        <v>1189</v>
      </c>
      <c r="C49" s="1087" t="s">
        <v>1213</v>
      </c>
      <c r="D49" s="1087" t="s">
        <v>1201</v>
      </c>
      <c r="E49" s="1168">
        <v>0</v>
      </c>
      <c r="F49" s="1169">
        <v>0</v>
      </c>
    </row>
    <row r="50" spans="1:6" x14ac:dyDescent="0.2">
      <c r="A50" s="1089"/>
      <c r="B50" s="1088"/>
      <c r="C50" s="1087"/>
      <c r="D50" s="1087"/>
      <c r="E50" s="1168"/>
      <c r="F50" s="1183"/>
    </row>
    <row r="51" spans="1:6" x14ac:dyDescent="0.2">
      <c r="A51" s="1089" t="s">
        <v>1188</v>
      </c>
      <c r="B51" s="1088" t="s">
        <v>1189</v>
      </c>
      <c r="C51" s="1087" t="s">
        <v>1207</v>
      </c>
      <c r="D51" s="1087" t="s">
        <v>1206</v>
      </c>
      <c r="E51" s="1168">
        <f>97923+6804</f>
        <v>104727</v>
      </c>
      <c r="F51" s="1183">
        <v>104727</v>
      </c>
    </row>
    <row r="52" spans="1:6" x14ac:dyDescent="0.2">
      <c r="A52" s="1089" t="s">
        <v>1188</v>
      </c>
      <c r="B52" s="1088" t="s">
        <v>1187</v>
      </c>
      <c r="C52" s="1087" t="s">
        <v>1207</v>
      </c>
      <c r="D52" s="1087" t="s">
        <v>1206</v>
      </c>
      <c r="E52" s="1168">
        <v>3284</v>
      </c>
      <c r="F52" s="1169">
        <v>3284</v>
      </c>
    </row>
    <row r="53" spans="1:6" x14ac:dyDescent="0.2">
      <c r="A53" s="1089" t="s">
        <v>1188</v>
      </c>
      <c r="B53" s="1088" t="s">
        <v>1190</v>
      </c>
      <c r="C53" s="1087" t="s">
        <v>1207</v>
      </c>
      <c r="D53" s="1087" t="s">
        <v>1206</v>
      </c>
      <c r="E53" s="1168">
        <v>43443</v>
      </c>
      <c r="F53" s="1169">
        <v>43443</v>
      </c>
    </row>
    <row r="54" spans="1:6" x14ac:dyDescent="0.2">
      <c r="A54" s="1089" t="s">
        <v>1188</v>
      </c>
      <c r="B54" s="1088" t="s">
        <v>1191</v>
      </c>
      <c r="C54" s="1087" t="s">
        <v>1202</v>
      </c>
      <c r="D54" s="1087" t="s">
        <v>1206</v>
      </c>
      <c r="E54" s="1168"/>
      <c r="F54" s="1169"/>
    </row>
    <row r="55" spans="1:6" s="255" customFormat="1" ht="12" customHeight="1" x14ac:dyDescent="0.2">
      <c r="A55" s="1104"/>
      <c r="B55" s="1103"/>
      <c r="C55" s="1102"/>
      <c r="D55" s="1101" t="s">
        <v>1200</v>
      </c>
      <c r="E55" s="1171">
        <f>SUM(E51:E54)</f>
        <v>151454</v>
      </c>
      <c r="F55" s="1172">
        <f>SUM(F51:F54)</f>
        <v>151454</v>
      </c>
    </row>
    <row r="56" spans="1:6" s="254" customFormat="1" x14ac:dyDescent="0.2">
      <c r="A56" s="1119" t="s">
        <v>439</v>
      </c>
      <c r="B56" s="1118"/>
      <c r="C56" s="1117"/>
      <c r="D56" s="1105"/>
      <c r="E56" s="1176">
        <f>+E55+E49+E48+E44+E38+E41+E35+E31+E28+E24</f>
        <v>550863</v>
      </c>
      <c r="F56" s="1176">
        <f>+F55+F49+F48+F44+F38+F41+F35+F31+F28+F24</f>
        <v>550863</v>
      </c>
    </row>
    <row r="57" spans="1:6" x14ac:dyDescent="0.2">
      <c r="A57" s="1100" t="s">
        <v>1189</v>
      </c>
      <c r="B57" s="1087" t="s">
        <v>1188</v>
      </c>
      <c r="C57" s="1087" t="s">
        <v>1204</v>
      </c>
      <c r="D57" s="1087" t="s">
        <v>1201</v>
      </c>
      <c r="E57" s="1168">
        <f>286500+25000</f>
        <v>311500</v>
      </c>
      <c r="F57" s="1169">
        <v>311500</v>
      </c>
    </row>
    <row r="58" spans="1:6" x14ac:dyDescent="0.2">
      <c r="A58" s="1100" t="s">
        <v>1189</v>
      </c>
      <c r="B58" s="1087" t="s">
        <v>1188</v>
      </c>
      <c r="C58" s="1087" t="s">
        <v>1203</v>
      </c>
      <c r="D58" s="1087" t="s">
        <v>1201</v>
      </c>
      <c r="E58" s="1168">
        <v>95000</v>
      </c>
      <c r="F58" s="1169">
        <v>95000</v>
      </c>
    </row>
    <row r="59" spans="1:6" x14ac:dyDescent="0.2">
      <c r="A59" s="1100" t="s">
        <v>1189</v>
      </c>
      <c r="B59" s="1087" t="s">
        <v>1188</v>
      </c>
      <c r="C59" s="1087" t="s">
        <v>1212</v>
      </c>
      <c r="D59" s="1087" t="s">
        <v>1201</v>
      </c>
      <c r="E59" s="1168">
        <v>105000</v>
      </c>
      <c r="F59" s="1169">
        <v>105000</v>
      </c>
    </row>
    <row r="60" spans="1:6" x14ac:dyDescent="0.2">
      <c r="A60" s="1100" t="s">
        <v>1189</v>
      </c>
      <c r="B60" s="1087" t="s">
        <v>1188</v>
      </c>
      <c r="C60" s="1087" t="s">
        <v>1211</v>
      </c>
      <c r="D60" s="1087" t="s">
        <v>1201</v>
      </c>
      <c r="E60" s="1168">
        <v>90000</v>
      </c>
      <c r="F60" s="1169">
        <v>90000</v>
      </c>
    </row>
    <row r="61" spans="1:6" x14ac:dyDescent="0.2">
      <c r="A61" s="1100" t="s">
        <v>1189</v>
      </c>
      <c r="B61" s="1087" t="s">
        <v>1210</v>
      </c>
      <c r="C61" s="1087" t="s">
        <v>1209</v>
      </c>
      <c r="D61" s="1087" t="s">
        <v>1201</v>
      </c>
      <c r="E61" s="1168"/>
      <c r="F61" s="1169"/>
    </row>
    <row r="62" spans="1:6" x14ac:dyDescent="0.2">
      <c r="A62" s="1100" t="s">
        <v>1189</v>
      </c>
      <c r="B62" s="1087" t="s">
        <v>1188</v>
      </c>
      <c r="C62" s="1087" t="s">
        <v>1202</v>
      </c>
      <c r="D62" s="1087" t="s">
        <v>1201</v>
      </c>
      <c r="E62" s="1168"/>
      <c r="F62" s="1169"/>
    </row>
    <row r="63" spans="1:6" x14ac:dyDescent="0.2">
      <c r="A63" s="1100" t="s">
        <v>1189</v>
      </c>
      <c r="B63" s="1087" t="s">
        <v>1188</v>
      </c>
      <c r="C63" s="1087" t="s">
        <v>1208</v>
      </c>
      <c r="D63" s="1087" t="s">
        <v>1206</v>
      </c>
      <c r="E63" s="1168"/>
      <c r="F63" s="1169"/>
    </row>
    <row r="64" spans="1:6" x14ac:dyDescent="0.2">
      <c r="A64" s="1100" t="s">
        <v>1189</v>
      </c>
      <c r="B64" s="1087" t="s">
        <v>1188</v>
      </c>
      <c r="C64" s="1087" t="s">
        <v>1207</v>
      </c>
      <c r="D64" s="1087" t="s">
        <v>1206</v>
      </c>
      <c r="E64" s="1168"/>
      <c r="F64" s="1169"/>
    </row>
    <row r="65" spans="1:7" s="255" customFormat="1" ht="12" customHeight="1" x14ac:dyDescent="0.2">
      <c r="A65" s="1104"/>
      <c r="B65" s="1103"/>
      <c r="C65" s="1102"/>
      <c r="D65" s="1101" t="s">
        <v>1200</v>
      </c>
      <c r="E65" s="1171">
        <f>SUM(E57:E64)</f>
        <v>601500</v>
      </c>
      <c r="F65" s="1172">
        <f>SUM(F57:F64)</f>
        <v>601500</v>
      </c>
    </row>
    <row r="66" spans="1:7" x14ac:dyDescent="0.2">
      <c r="A66" s="1100" t="s">
        <v>1187</v>
      </c>
      <c r="B66" s="1087" t="s">
        <v>1188</v>
      </c>
      <c r="C66" s="1087" t="s">
        <v>1205</v>
      </c>
      <c r="D66" s="1087" t="s">
        <v>1201</v>
      </c>
      <c r="E66" s="1168">
        <v>0</v>
      </c>
      <c r="F66" s="1169">
        <v>0</v>
      </c>
    </row>
    <row r="67" spans="1:7" x14ac:dyDescent="0.2">
      <c r="A67" s="1100" t="s">
        <v>1187</v>
      </c>
      <c r="B67" s="1087" t="s">
        <v>1188</v>
      </c>
      <c r="C67" s="1087" t="s">
        <v>1204</v>
      </c>
      <c r="D67" s="1087" t="s">
        <v>1201</v>
      </c>
      <c r="E67" s="1168"/>
      <c r="F67" s="1169"/>
    </row>
    <row r="68" spans="1:7" x14ac:dyDescent="0.2">
      <c r="A68" s="1100" t="s">
        <v>1187</v>
      </c>
      <c r="B68" s="1087" t="s">
        <v>1188</v>
      </c>
      <c r="C68" s="1087" t="s">
        <v>1203</v>
      </c>
      <c r="D68" s="1087" t="s">
        <v>1201</v>
      </c>
      <c r="E68" s="1168"/>
      <c r="F68" s="1169"/>
    </row>
    <row r="69" spans="1:7" x14ac:dyDescent="0.2">
      <c r="A69" s="1100" t="s">
        <v>1187</v>
      </c>
      <c r="B69" s="1087" t="s">
        <v>1188</v>
      </c>
      <c r="C69" s="1087" t="s">
        <v>1202</v>
      </c>
      <c r="D69" s="1087" t="s">
        <v>1201</v>
      </c>
      <c r="E69" s="1087"/>
      <c r="F69" s="1169"/>
    </row>
    <row r="70" spans="1:7" s="255" customFormat="1" ht="12" customHeight="1" x14ac:dyDescent="0.2">
      <c r="A70" s="1104"/>
      <c r="B70" s="1103"/>
      <c r="C70" s="1102"/>
      <c r="D70" s="1101" t="s">
        <v>1200</v>
      </c>
      <c r="E70" s="1171">
        <f>SUM(E66:E69)</f>
        <v>0</v>
      </c>
      <c r="F70" s="1172">
        <f>SUM(F66:F69)</f>
        <v>0</v>
      </c>
    </row>
    <row r="71" spans="1:7" x14ac:dyDescent="0.2">
      <c r="A71" s="1100"/>
      <c r="B71" s="1087"/>
      <c r="C71" s="1087"/>
      <c r="D71" s="1087"/>
      <c r="E71" s="1087"/>
      <c r="F71" s="1099"/>
    </row>
    <row r="72" spans="1:7" ht="13.5" thickBot="1" x14ac:dyDescent="0.25">
      <c r="A72" s="1085"/>
      <c r="B72" s="1084"/>
      <c r="C72" s="1084"/>
      <c r="D72" s="1084"/>
      <c r="E72" s="1177">
        <f>+E56+E65+E70</f>
        <v>1152363</v>
      </c>
      <c r="F72" s="1178">
        <f>+F56+F65+F70</f>
        <v>1152363</v>
      </c>
    </row>
    <row r="74" spans="1:7" ht="15.75" x14ac:dyDescent="0.25">
      <c r="A74" s="1447" t="s">
        <v>1199</v>
      </c>
      <c r="B74" s="1447"/>
      <c r="C74" s="1447"/>
      <c r="D74" s="1447"/>
      <c r="E74" s="1447"/>
      <c r="F74" s="1447"/>
    </row>
    <row r="75" spans="1:7" ht="13.5" thickBot="1" x14ac:dyDescent="0.25"/>
    <row r="76" spans="1:7" ht="13.5" customHeight="1" x14ac:dyDescent="0.2">
      <c r="A76" s="1457" t="s">
        <v>1198</v>
      </c>
      <c r="B76" s="1458"/>
      <c r="C76" s="1464" t="s">
        <v>1197</v>
      </c>
      <c r="D76" s="1464" t="s">
        <v>1196</v>
      </c>
      <c r="E76" s="1460" t="s">
        <v>1195</v>
      </c>
      <c r="F76" s="1462" t="s">
        <v>1194</v>
      </c>
    </row>
    <row r="77" spans="1:7" ht="17.25" customHeight="1" x14ac:dyDescent="0.2">
      <c r="A77" s="1098" t="s">
        <v>1193</v>
      </c>
      <c r="B77" s="1097" t="s">
        <v>1192</v>
      </c>
      <c r="C77" s="1465"/>
      <c r="D77" s="1465"/>
      <c r="E77" s="1461"/>
      <c r="F77" s="1463"/>
    </row>
    <row r="78" spans="1:7" x14ac:dyDescent="0.2">
      <c r="A78" s="1165"/>
      <c r="B78" s="1167"/>
      <c r="C78" s="1466"/>
      <c r="D78" s="1466"/>
      <c r="E78" s="1094" t="s">
        <v>291</v>
      </c>
      <c r="F78" s="1093" t="s">
        <v>290</v>
      </c>
    </row>
    <row r="79" spans="1:7" x14ac:dyDescent="0.2">
      <c r="A79" s="1089" t="s">
        <v>1188</v>
      </c>
      <c r="B79" s="1088" t="s">
        <v>1191</v>
      </c>
      <c r="C79" s="1086" t="s">
        <v>1186</v>
      </c>
      <c r="D79" s="1087"/>
      <c r="E79" s="1086"/>
      <c r="F79" s="1169">
        <v>0</v>
      </c>
    </row>
    <row r="80" spans="1:7" x14ac:dyDescent="0.2">
      <c r="A80" s="1089" t="s">
        <v>1188</v>
      </c>
      <c r="B80" s="1088" t="s">
        <v>1190</v>
      </c>
      <c r="C80" s="1086" t="s">
        <v>1186</v>
      </c>
      <c r="D80" s="1087"/>
      <c r="E80" s="1086"/>
      <c r="F80" s="1169">
        <v>0</v>
      </c>
      <c r="G80" s="256"/>
    </row>
    <row r="81" spans="1:7" x14ac:dyDescent="0.2">
      <c r="A81" s="1089" t="s">
        <v>1188</v>
      </c>
      <c r="B81" s="1088" t="s">
        <v>1189</v>
      </c>
      <c r="C81" s="1086" t="s">
        <v>1186</v>
      </c>
      <c r="D81" s="1087"/>
      <c r="E81" s="1086"/>
      <c r="F81" s="1169">
        <v>0</v>
      </c>
      <c r="G81" s="256"/>
    </row>
    <row r="82" spans="1:7" ht="13.5" thickBot="1" x14ac:dyDescent="0.25">
      <c r="A82" s="1089" t="s">
        <v>1188</v>
      </c>
      <c r="B82" s="1088" t="s">
        <v>1187</v>
      </c>
      <c r="C82" s="1086" t="s">
        <v>1186</v>
      </c>
      <c r="D82" s="1087"/>
      <c r="E82" s="1086"/>
      <c r="F82" s="1179">
        <v>0</v>
      </c>
      <c r="G82" s="256"/>
    </row>
    <row r="83" spans="1:7" ht="13.5" thickBot="1" x14ac:dyDescent="0.25">
      <c r="A83" s="1089"/>
      <c r="B83" s="1088"/>
      <c r="C83" s="1091"/>
      <c r="D83" s="1091"/>
      <c r="E83" s="1090" t="s">
        <v>439</v>
      </c>
      <c r="F83" s="1180">
        <f>SUM(F79:F82)</f>
        <v>0</v>
      </c>
    </row>
    <row r="84" spans="1:7" x14ac:dyDescent="0.2">
      <c r="A84" s="1089"/>
      <c r="B84" s="1088"/>
      <c r="C84" s="1086"/>
      <c r="D84" s="1086"/>
      <c r="E84" s="1086"/>
      <c r="F84" s="1181"/>
      <c r="G84" s="256"/>
    </row>
    <row r="85" spans="1:7" ht="13.5" thickBot="1" x14ac:dyDescent="0.25">
      <c r="A85" s="1085"/>
      <c r="B85" s="1084"/>
      <c r="C85" s="1084"/>
      <c r="D85" s="1084"/>
      <c r="E85" s="1084"/>
      <c r="F85" s="1083"/>
      <c r="G85" s="256"/>
    </row>
    <row r="86" spans="1:7" x14ac:dyDescent="0.2">
      <c r="G86" s="256"/>
    </row>
    <row r="87" spans="1:7" ht="18" customHeight="1" x14ac:dyDescent="0.2">
      <c r="A87" s="1163" t="s">
        <v>1185</v>
      </c>
      <c r="B87" s="1162"/>
      <c r="C87" s="1162"/>
      <c r="D87" s="1162"/>
      <c r="E87" s="1162"/>
      <c r="F87" s="1162"/>
      <c r="G87" s="1162"/>
    </row>
    <row r="88" spans="1:7" x14ac:dyDescent="0.2">
      <c r="A88" s="1163">
        <v>1</v>
      </c>
      <c r="B88" s="1272" t="s">
        <v>1184</v>
      </c>
      <c r="C88" s="1272"/>
      <c r="D88" s="1272"/>
      <c r="E88" s="1272"/>
      <c r="F88" s="1272"/>
      <c r="G88" s="1161"/>
    </row>
    <row r="89" spans="1:7" x14ac:dyDescent="0.2">
      <c r="A89" s="1163"/>
      <c r="B89" s="1272"/>
      <c r="C89" s="1272"/>
      <c r="D89" s="1272"/>
      <c r="E89" s="1272"/>
      <c r="F89" s="1272"/>
      <c r="G89" s="1161"/>
    </row>
    <row r="90" spans="1:7" x14ac:dyDescent="0.2">
      <c r="A90" s="1163"/>
    </row>
    <row r="91" spans="1:7" x14ac:dyDescent="0.2">
      <c r="A91" s="1163">
        <v>2</v>
      </c>
      <c r="B91" s="946" t="s">
        <v>1183</v>
      </c>
    </row>
    <row r="92" spans="1:7" x14ac:dyDescent="0.2">
      <c r="A92" s="1163"/>
      <c r="B92" s="946" t="s">
        <v>1182</v>
      </c>
    </row>
    <row r="93" spans="1:7" x14ac:dyDescent="0.2">
      <c r="A93" s="1163"/>
      <c r="B93" s="946" t="s">
        <v>1181</v>
      </c>
    </row>
    <row r="94" spans="1:7" x14ac:dyDescent="0.2">
      <c r="A94" s="1163"/>
      <c r="B94" s="946" t="s">
        <v>1180</v>
      </c>
    </row>
    <row r="95" spans="1:7" x14ac:dyDescent="0.2">
      <c r="A95" s="1163"/>
      <c r="B95" s="946" t="s">
        <v>1179</v>
      </c>
    </row>
    <row r="96" spans="1:7" x14ac:dyDescent="0.2">
      <c r="A96" s="1163"/>
      <c r="B96" s="946" t="s">
        <v>1178</v>
      </c>
    </row>
    <row r="97" spans="1:1" x14ac:dyDescent="0.2">
      <c r="A97" s="1163"/>
    </row>
    <row r="98" spans="1:1" x14ac:dyDescent="0.2">
      <c r="A98" s="1163"/>
    </row>
    <row r="99" spans="1:1" x14ac:dyDescent="0.2">
      <c r="A99" s="1163"/>
    </row>
    <row r="100" spans="1:1" x14ac:dyDescent="0.2">
      <c r="A100" s="1163"/>
    </row>
    <row r="101" spans="1:1" x14ac:dyDescent="0.2">
      <c r="A101" s="1163"/>
    </row>
    <row r="102" spans="1:1" x14ac:dyDescent="0.2">
      <c r="A102" s="1163"/>
    </row>
    <row r="103" spans="1:1" x14ac:dyDescent="0.2">
      <c r="A103" s="1163"/>
    </row>
    <row r="104" spans="1:1" x14ac:dyDescent="0.2">
      <c r="A104" s="1163"/>
    </row>
    <row r="105" spans="1:1" x14ac:dyDescent="0.2">
      <c r="A105" s="1163"/>
    </row>
    <row r="106" spans="1:1" x14ac:dyDescent="0.2">
      <c r="A106" s="1163"/>
    </row>
    <row r="107" spans="1:1" x14ac:dyDescent="0.2">
      <c r="A107" s="1163"/>
    </row>
    <row r="108" spans="1:1" x14ac:dyDescent="0.2">
      <c r="A108" s="1163"/>
    </row>
    <row r="109" spans="1:1" x14ac:dyDescent="0.2">
      <c r="A109" s="1163"/>
    </row>
    <row r="110" spans="1:1" x14ac:dyDescent="0.2">
      <c r="A110" s="1163"/>
    </row>
    <row r="111" spans="1:1" x14ac:dyDescent="0.2">
      <c r="A111" s="1163"/>
    </row>
    <row r="112" spans="1:1"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sheetData>
  <mergeCells count="18">
    <mergeCell ref="A9:F9"/>
    <mergeCell ref="A10:F10"/>
    <mergeCell ref="A14:F14"/>
    <mergeCell ref="A16:B16"/>
    <mergeCell ref="C16:C18"/>
    <mergeCell ref="D16:D18"/>
    <mergeCell ref="E16:E17"/>
    <mergeCell ref="F16:F17"/>
    <mergeCell ref="B88:F89"/>
    <mergeCell ref="G16:G17"/>
    <mergeCell ref="A17:A18"/>
    <mergeCell ref="B17:B18"/>
    <mergeCell ref="A74:F74"/>
    <mergeCell ref="A76:B76"/>
    <mergeCell ref="C76:C78"/>
    <mergeCell ref="D76:D78"/>
    <mergeCell ref="E76:E77"/>
    <mergeCell ref="F76:F77"/>
  </mergeCells>
  <dataValidations count="1">
    <dataValidation allowBlank="1" showInputMessage="1" showErrorMessage="1" promptTitle="Date Format" prompt="E.g:  &quot;August 1, 2011&quot;" sqref="G7"/>
  </dataValidations>
  <pageMargins left="1" right="0.75" top="0.25" bottom="0.25" header="0.5" footer="0.5"/>
  <pageSetup scale="6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2"/>
  <sheetViews>
    <sheetView showGridLines="0" topLeftCell="A21" zoomScaleNormal="100" workbookViewId="0">
      <selection sqref="A1:XFD1048576"/>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7.28515625" style="946" customWidth="1"/>
    <col min="8"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v>2011</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7" ht="17.25" customHeight="1" x14ac:dyDescent="0.2">
      <c r="A17" s="1443" t="s">
        <v>1193</v>
      </c>
      <c r="B17" s="1445" t="s">
        <v>1192</v>
      </c>
      <c r="C17" s="1451"/>
      <c r="D17" s="1451"/>
      <c r="E17" s="1461"/>
      <c r="F17" s="1463"/>
      <c r="G17" s="1442"/>
    </row>
    <row r="18" spans="1:7" x14ac:dyDescent="0.2">
      <c r="A18" s="1444"/>
      <c r="B18" s="1446"/>
      <c r="C18" s="1459"/>
      <c r="D18" s="1459"/>
      <c r="E18" s="1094" t="s">
        <v>290</v>
      </c>
      <c r="F18" s="1093" t="s">
        <v>290</v>
      </c>
      <c r="G18" s="1113"/>
    </row>
    <row r="19" spans="1:7" x14ac:dyDescent="0.2">
      <c r="A19" s="1089" t="s">
        <v>1188</v>
      </c>
      <c r="B19" s="1088" t="s">
        <v>1190</v>
      </c>
      <c r="C19" s="1087" t="s">
        <v>1219</v>
      </c>
      <c r="D19" s="1087" t="s">
        <v>1206</v>
      </c>
      <c r="E19" s="1168">
        <v>3600</v>
      </c>
      <c r="F19" s="1169">
        <v>3600</v>
      </c>
      <c r="G19" s="256"/>
    </row>
    <row r="20" spans="1:7" x14ac:dyDescent="0.2">
      <c r="A20" s="1089" t="s">
        <v>1188</v>
      </c>
      <c r="B20" s="1088" t="s">
        <v>1189</v>
      </c>
      <c r="C20" s="1086" t="s">
        <v>1219</v>
      </c>
      <c r="D20" s="1087" t="s">
        <v>1206</v>
      </c>
      <c r="E20" s="1168">
        <v>54001</v>
      </c>
      <c r="F20" s="1169">
        <v>54001</v>
      </c>
      <c r="G20" s="1122"/>
    </row>
    <row r="21" spans="1:7" x14ac:dyDescent="0.2">
      <c r="A21" s="1089" t="s">
        <v>1188</v>
      </c>
      <c r="B21" s="1088" t="s">
        <v>1191</v>
      </c>
      <c r="C21" s="1086" t="s">
        <v>1219</v>
      </c>
      <c r="D21" s="1087" t="s">
        <v>1206</v>
      </c>
      <c r="E21" s="1168">
        <v>9888</v>
      </c>
      <c r="F21" s="1169">
        <v>9888</v>
      </c>
      <c r="G21" s="256"/>
    </row>
    <row r="22" spans="1:7" x14ac:dyDescent="0.2">
      <c r="A22" s="1089" t="s">
        <v>1188</v>
      </c>
      <c r="B22" s="1088" t="s">
        <v>1187</v>
      </c>
      <c r="C22" s="1087" t="s">
        <v>1219</v>
      </c>
      <c r="D22" s="1087" t="s">
        <v>1206</v>
      </c>
      <c r="E22" s="1168">
        <v>41715</v>
      </c>
      <c r="F22" s="1169">
        <v>41715</v>
      </c>
      <c r="G22" s="256"/>
    </row>
    <row r="23" spans="1:7" x14ac:dyDescent="0.2">
      <c r="A23" s="1112" t="s">
        <v>1188</v>
      </c>
      <c r="B23" s="1124" t="s">
        <v>1191</v>
      </c>
      <c r="C23" s="1086" t="s">
        <v>1205</v>
      </c>
      <c r="D23" s="1087" t="s">
        <v>1206</v>
      </c>
      <c r="E23" s="1174">
        <v>0</v>
      </c>
      <c r="F23" s="1170">
        <v>0</v>
      </c>
      <c r="G23" s="1122"/>
    </row>
    <row r="24" spans="1:7" s="255" customFormat="1" x14ac:dyDescent="0.2">
      <c r="A24" s="1104"/>
      <c r="B24" s="1103"/>
      <c r="C24" s="1102"/>
      <c r="D24" s="1101" t="s">
        <v>1200</v>
      </c>
      <c r="E24" s="1171">
        <f>SUM(E19:E23)</f>
        <v>109204</v>
      </c>
      <c r="F24" s="1172">
        <f>SUM(F19:F23)</f>
        <v>109204</v>
      </c>
    </row>
    <row r="25" spans="1:7" x14ac:dyDescent="0.2">
      <c r="A25" s="1110" t="s">
        <v>1188</v>
      </c>
      <c r="B25" s="1109" t="s">
        <v>1191</v>
      </c>
      <c r="C25" s="1108" t="s">
        <v>1205</v>
      </c>
      <c r="D25" s="1087" t="s">
        <v>1201</v>
      </c>
      <c r="E25" s="1182"/>
      <c r="F25" s="1181"/>
      <c r="G25" s="1122"/>
    </row>
    <row r="26" spans="1:7" x14ac:dyDescent="0.2">
      <c r="A26" s="1089" t="s">
        <v>1188</v>
      </c>
      <c r="B26" s="1088" t="s">
        <v>1190</v>
      </c>
      <c r="C26" s="1086" t="s">
        <v>1205</v>
      </c>
      <c r="D26" s="1087" t="s">
        <v>1201</v>
      </c>
      <c r="E26" s="1174"/>
      <c r="F26" s="1169"/>
      <c r="G26" s="1122"/>
    </row>
    <row r="27" spans="1:7" x14ac:dyDescent="0.2">
      <c r="A27" s="1089" t="s">
        <v>1188</v>
      </c>
      <c r="B27" s="1088" t="s">
        <v>1189</v>
      </c>
      <c r="C27" s="1087" t="s">
        <v>1205</v>
      </c>
      <c r="D27" s="1087" t="s">
        <v>1201</v>
      </c>
      <c r="E27" s="1174">
        <f>21900+19200-19200</f>
        <v>21900</v>
      </c>
      <c r="F27" s="1169">
        <f>+E27</f>
        <v>21900</v>
      </c>
    </row>
    <row r="28" spans="1:7" s="255" customFormat="1" x14ac:dyDescent="0.2">
      <c r="A28" s="1104"/>
      <c r="B28" s="1103"/>
      <c r="C28" s="1102"/>
      <c r="D28" s="1101" t="s">
        <v>1200</v>
      </c>
      <c r="E28" s="1171">
        <f>SUM(E25:E27)</f>
        <v>21900</v>
      </c>
      <c r="F28" s="1172">
        <f>SUM(F25:F27)</f>
        <v>21900</v>
      </c>
    </row>
    <row r="29" spans="1:7" x14ac:dyDescent="0.2">
      <c r="A29" s="1089" t="s">
        <v>1188</v>
      </c>
      <c r="B29" s="1088" t="s">
        <v>1189</v>
      </c>
      <c r="C29" s="1086" t="s">
        <v>1218</v>
      </c>
      <c r="D29" s="1087" t="s">
        <v>1201</v>
      </c>
      <c r="E29" s="1174">
        <v>46642</v>
      </c>
      <c r="F29" s="1169">
        <v>46642</v>
      </c>
    </row>
    <row r="30" spans="1:7" x14ac:dyDescent="0.2">
      <c r="A30" s="1089" t="s">
        <v>1188</v>
      </c>
      <c r="B30" s="1088" t="s">
        <v>1187</v>
      </c>
      <c r="C30" s="1086" t="s">
        <v>1218</v>
      </c>
      <c r="D30" s="1087" t="s">
        <v>1201</v>
      </c>
      <c r="E30" s="1174">
        <v>0</v>
      </c>
      <c r="F30" s="1169">
        <v>0</v>
      </c>
      <c r="G30" s="1122"/>
    </row>
    <row r="31" spans="1:7" s="255" customFormat="1" ht="12" customHeight="1" x14ac:dyDescent="0.2">
      <c r="A31" s="1104"/>
      <c r="B31" s="1103"/>
      <c r="C31" s="1102"/>
      <c r="D31" s="1101" t="s">
        <v>1200</v>
      </c>
      <c r="E31" s="1171">
        <f>SUM(E29:E30)</f>
        <v>46642</v>
      </c>
      <c r="F31" s="1172">
        <f>SUM(F29:F30)</f>
        <v>46642</v>
      </c>
    </row>
    <row r="32" spans="1:7" x14ac:dyDescent="0.2">
      <c r="A32" s="1089" t="s">
        <v>1188</v>
      </c>
      <c r="B32" s="1088" t="s">
        <v>1191</v>
      </c>
      <c r="C32" s="1086" t="s">
        <v>1217</v>
      </c>
      <c r="D32" s="1087" t="s">
        <v>1201</v>
      </c>
      <c r="E32" s="1168">
        <v>2631</v>
      </c>
      <c r="F32" s="1169">
        <f>+E32</f>
        <v>2631</v>
      </c>
      <c r="G32" s="1122"/>
    </row>
    <row r="33" spans="1:7" x14ac:dyDescent="0.2">
      <c r="A33" s="1089" t="s">
        <v>1188</v>
      </c>
      <c r="B33" s="1088" t="s">
        <v>1190</v>
      </c>
      <c r="C33" s="1086" t="s">
        <v>1217</v>
      </c>
      <c r="D33" s="1087" t="s">
        <v>1201</v>
      </c>
      <c r="E33" s="1168">
        <v>2930</v>
      </c>
      <c r="F33" s="1169">
        <f>+E33</f>
        <v>2930</v>
      </c>
      <c r="G33" s="1122"/>
    </row>
    <row r="34" spans="1:7" x14ac:dyDescent="0.2">
      <c r="A34" s="1089" t="s">
        <v>1188</v>
      </c>
      <c r="B34" s="1088" t="s">
        <v>1189</v>
      </c>
      <c r="C34" s="1086" t="s">
        <v>1217</v>
      </c>
      <c r="D34" s="1087" t="s">
        <v>1201</v>
      </c>
      <c r="E34" s="1168">
        <v>6808</v>
      </c>
      <c r="F34" s="1169">
        <f>+E34</f>
        <v>6808</v>
      </c>
      <c r="G34" s="1122"/>
    </row>
    <row r="35" spans="1:7" s="255" customFormat="1" x14ac:dyDescent="0.2">
      <c r="A35" s="1104"/>
      <c r="B35" s="1103"/>
      <c r="C35" s="1102"/>
      <c r="D35" s="1101" t="s">
        <v>1200</v>
      </c>
      <c r="E35" s="1171">
        <f>SUM(E32:E34)</f>
        <v>12369</v>
      </c>
      <c r="F35" s="1123">
        <f>SUM(F32:F34)</f>
        <v>12369</v>
      </c>
    </row>
    <row r="36" spans="1:7" x14ac:dyDescent="0.2">
      <c r="A36" s="1089" t="s">
        <v>1188</v>
      </c>
      <c r="B36" s="1088" t="s">
        <v>1189</v>
      </c>
      <c r="C36" s="1087" t="s">
        <v>1216</v>
      </c>
      <c r="D36" s="1087" t="s">
        <v>1206</v>
      </c>
      <c r="E36" s="1168">
        <v>43092</v>
      </c>
      <c r="F36" s="1169">
        <v>43092</v>
      </c>
      <c r="G36" s="1120"/>
    </row>
    <row r="37" spans="1:7" x14ac:dyDescent="0.2">
      <c r="A37" s="1089" t="s">
        <v>1188</v>
      </c>
      <c r="B37" s="1088" t="s">
        <v>1189</v>
      </c>
      <c r="C37" s="1087" t="s">
        <v>1215</v>
      </c>
      <c r="D37" s="1087" t="s">
        <v>1206</v>
      </c>
      <c r="E37" s="1168">
        <f>222565</f>
        <v>222565</v>
      </c>
      <c r="F37" s="1168">
        <f>222565</f>
        <v>222565</v>
      </c>
      <c r="G37" s="1120"/>
    </row>
    <row r="38" spans="1:7" x14ac:dyDescent="0.2">
      <c r="A38" s="1089" t="s">
        <v>1188</v>
      </c>
      <c r="B38" s="1088" t="s">
        <v>1236</v>
      </c>
      <c r="C38" s="1087" t="s">
        <v>1215</v>
      </c>
      <c r="D38" s="1087" t="s">
        <v>1201</v>
      </c>
      <c r="E38" s="1168">
        <v>171218</v>
      </c>
      <c r="F38" s="1168">
        <v>121998</v>
      </c>
      <c r="G38" s="1120"/>
    </row>
    <row r="39" spans="1:7" s="255" customFormat="1" ht="12" customHeight="1" x14ac:dyDescent="0.2">
      <c r="A39" s="1104"/>
      <c r="B39" s="1103"/>
      <c r="C39" s="1102"/>
      <c r="D39" s="1101" t="s">
        <v>1200</v>
      </c>
      <c r="E39" s="1171">
        <f>SUM(E36:E38)</f>
        <v>436875</v>
      </c>
      <c r="F39" s="1171">
        <f>SUM(F36:F38)</f>
        <v>387655</v>
      </c>
    </row>
    <row r="40" spans="1:7" x14ac:dyDescent="0.2">
      <c r="A40" s="1089" t="s">
        <v>1188</v>
      </c>
      <c r="B40" s="1088" t="s">
        <v>1189</v>
      </c>
      <c r="C40" s="1087" t="s">
        <v>1214</v>
      </c>
      <c r="D40" s="1087" t="s">
        <v>1206</v>
      </c>
      <c r="E40" s="1168">
        <v>0</v>
      </c>
      <c r="F40" s="1169"/>
      <c r="G40" s="1120"/>
    </row>
    <row r="41" spans="1:7" x14ac:dyDescent="0.2">
      <c r="A41" s="1089" t="s">
        <v>1188</v>
      </c>
      <c r="B41" s="1088" t="s">
        <v>1190</v>
      </c>
      <c r="C41" s="1087" t="s">
        <v>1214</v>
      </c>
      <c r="D41" s="1087" t="s">
        <v>1206</v>
      </c>
      <c r="E41" s="1168">
        <v>0</v>
      </c>
      <c r="F41" s="1169">
        <v>0</v>
      </c>
      <c r="G41" s="1122"/>
    </row>
    <row r="42" spans="1:7" s="255" customFormat="1" ht="12" customHeight="1" x14ac:dyDescent="0.2">
      <c r="A42" s="1104"/>
      <c r="B42" s="1103"/>
      <c r="C42" s="1102"/>
      <c r="D42" s="1101" t="s">
        <v>1200</v>
      </c>
      <c r="E42" s="1171">
        <f>SUM(E40:E41)</f>
        <v>0</v>
      </c>
      <c r="F42" s="1123">
        <f>SUM(F40:F41)</f>
        <v>0</v>
      </c>
    </row>
    <row r="43" spans="1:7" x14ac:dyDescent="0.2">
      <c r="A43" s="1089" t="s">
        <v>1188</v>
      </c>
      <c r="B43" s="1088" t="s">
        <v>1189</v>
      </c>
      <c r="C43" s="1087" t="s">
        <v>1203</v>
      </c>
      <c r="D43" s="1087" t="s">
        <v>1206</v>
      </c>
      <c r="E43" s="1168">
        <v>0</v>
      </c>
      <c r="F43" s="1169"/>
      <c r="G43" s="1120"/>
    </row>
    <row r="44" spans="1:7" x14ac:dyDescent="0.2">
      <c r="A44" s="1089" t="s">
        <v>1188</v>
      </c>
      <c r="B44" s="1088" t="s">
        <v>1187</v>
      </c>
      <c r="C44" s="1087" t="s">
        <v>1203</v>
      </c>
      <c r="D44" s="1087" t="s">
        <v>1206</v>
      </c>
      <c r="E44" s="1168">
        <v>0</v>
      </c>
      <c r="F44" s="1169">
        <v>0</v>
      </c>
      <c r="G44" s="1120"/>
    </row>
    <row r="45" spans="1:7" s="255" customFormat="1" ht="12" customHeight="1" x14ac:dyDescent="0.2">
      <c r="A45" s="1104"/>
      <c r="B45" s="1103"/>
      <c r="C45" s="1102"/>
      <c r="D45" s="1101" t="s">
        <v>1200</v>
      </c>
      <c r="E45" s="1171">
        <f>SUM(E43:E44)</f>
        <v>0</v>
      </c>
      <c r="F45" s="1172">
        <f>SUM(F43:F44)</f>
        <v>0</v>
      </c>
    </row>
    <row r="46" spans="1:7" x14ac:dyDescent="0.2">
      <c r="A46" s="1089" t="s">
        <v>1188</v>
      </c>
      <c r="B46" s="1088" t="s">
        <v>1189</v>
      </c>
      <c r="C46" s="1087" t="s">
        <v>1202</v>
      </c>
      <c r="D46" s="1087" t="s">
        <v>1206</v>
      </c>
      <c r="E46" s="1168">
        <f>10979+1735+3868</f>
        <v>16582</v>
      </c>
      <c r="F46" s="1169">
        <v>16582</v>
      </c>
      <c r="G46" s="1120"/>
    </row>
    <row r="47" spans="1:7" x14ac:dyDescent="0.2">
      <c r="A47" s="1089" t="s">
        <v>1188</v>
      </c>
      <c r="B47" s="1088" t="s">
        <v>1187</v>
      </c>
      <c r="C47" s="1087" t="s">
        <v>1202</v>
      </c>
      <c r="D47" s="1087" t="s">
        <v>1206</v>
      </c>
      <c r="E47" s="1168">
        <f>1433+3044</f>
        <v>4477</v>
      </c>
      <c r="F47" s="1169">
        <v>4477</v>
      </c>
      <c r="G47" s="1120"/>
    </row>
    <row r="48" spans="1:7" x14ac:dyDescent="0.2">
      <c r="A48" s="1089" t="s">
        <v>1188</v>
      </c>
      <c r="B48" s="1088" t="s">
        <v>1191</v>
      </c>
      <c r="C48" s="1087" t="s">
        <v>1202</v>
      </c>
      <c r="D48" s="1087" t="s">
        <v>1206</v>
      </c>
      <c r="E48" s="1168">
        <v>2299</v>
      </c>
      <c r="F48" s="1169">
        <v>2299</v>
      </c>
      <c r="G48" s="1120"/>
    </row>
    <row r="49" spans="1:7" s="255" customFormat="1" ht="12" customHeight="1" x14ac:dyDescent="0.2">
      <c r="A49" s="1104"/>
      <c r="B49" s="1103"/>
      <c r="C49" s="1102"/>
      <c r="D49" s="1101" t="s">
        <v>1200</v>
      </c>
      <c r="E49" s="1171">
        <f>SUM(E46:E48)</f>
        <v>23358</v>
      </c>
      <c r="F49" s="1172">
        <f>SUM(F46:F48)</f>
        <v>23358</v>
      </c>
    </row>
    <row r="50" spans="1:7" x14ac:dyDescent="0.2">
      <c r="A50" s="1089" t="s">
        <v>1188</v>
      </c>
      <c r="B50" s="1088" t="s">
        <v>1189</v>
      </c>
      <c r="C50" s="1087" t="s">
        <v>1213</v>
      </c>
      <c r="D50" s="1087" t="s">
        <v>1201</v>
      </c>
      <c r="E50" s="1168">
        <v>47405</v>
      </c>
      <c r="F50" s="1168">
        <v>47405</v>
      </c>
      <c r="G50" s="1120"/>
    </row>
    <row r="51" spans="1:7" x14ac:dyDescent="0.2">
      <c r="A51" s="1089"/>
      <c r="B51" s="1088"/>
      <c r="C51" s="1087"/>
      <c r="D51" s="1087"/>
      <c r="E51" s="1168"/>
      <c r="F51" s="1169"/>
      <c r="G51" s="1120"/>
    </row>
    <row r="52" spans="1:7" x14ac:dyDescent="0.2">
      <c r="A52" s="1089" t="s">
        <v>1188</v>
      </c>
      <c r="B52" s="1088" t="s">
        <v>1189</v>
      </c>
      <c r="C52" s="1087" t="s">
        <v>1207</v>
      </c>
      <c r="D52" s="1087" t="s">
        <v>1206</v>
      </c>
      <c r="E52" s="1168">
        <f>117084+5512</f>
        <v>122596</v>
      </c>
      <c r="F52" s="1169">
        <v>122596</v>
      </c>
      <c r="G52" s="1120"/>
    </row>
    <row r="53" spans="1:7" x14ac:dyDescent="0.2">
      <c r="A53" s="1089" t="s">
        <v>1188</v>
      </c>
      <c r="B53" s="1088" t="s">
        <v>1187</v>
      </c>
      <c r="C53" s="1087" t="s">
        <v>1207</v>
      </c>
      <c r="D53" s="1087" t="s">
        <v>1206</v>
      </c>
      <c r="E53" s="1168">
        <f>2260+15619</f>
        <v>17879</v>
      </c>
      <c r="F53" s="1169">
        <v>17879</v>
      </c>
    </row>
    <row r="54" spans="1:7" x14ac:dyDescent="0.2">
      <c r="A54" s="1089" t="s">
        <v>1188</v>
      </c>
      <c r="B54" s="1088" t="s">
        <v>1190</v>
      </c>
      <c r="C54" s="1087" t="s">
        <v>1207</v>
      </c>
      <c r="D54" s="1087" t="s">
        <v>1206</v>
      </c>
      <c r="E54" s="1168">
        <v>46126</v>
      </c>
      <c r="F54" s="1169">
        <v>46126</v>
      </c>
      <c r="G54" s="1122"/>
    </row>
    <row r="55" spans="1:7" x14ac:dyDescent="0.2">
      <c r="A55" s="1089" t="s">
        <v>1188</v>
      </c>
      <c r="B55" s="1088" t="s">
        <v>1191</v>
      </c>
      <c r="C55" s="1087" t="s">
        <v>1207</v>
      </c>
      <c r="D55" s="1087" t="s">
        <v>1206</v>
      </c>
      <c r="E55" s="1168"/>
      <c r="F55" s="1169"/>
      <c r="G55" s="1122"/>
    </row>
    <row r="56" spans="1:7" s="255" customFormat="1" ht="12" customHeight="1" x14ac:dyDescent="0.2">
      <c r="A56" s="1104"/>
      <c r="B56" s="1103"/>
      <c r="C56" s="1102"/>
      <c r="D56" s="1101" t="s">
        <v>1200</v>
      </c>
      <c r="E56" s="1171">
        <f>SUM(E52:E55)</f>
        <v>186601</v>
      </c>
      <c r="F56" s="1172">
        <f>SUM(F52:F55)</f>
        <v>186601</v>
      </c>
    </row>
    <row r="57" spans="1:7" s="254" customFormat="1" x14ac:dyDescent="0.2">
      <c r="A57" s="1119" t="s">
        <v>439</v>
      </c>
      <c r="B57" s="1118"/>
      <c r="C57" s="1117"/>
      <c r="D57" s="1117"/>
      <c r="E57" s="1176">
        <f>+E56+E50+E49+E45+E39+E42+E35+E31+E28+E24</f>
        <v>884354</v>
      </c>
      <c r="F57" s="1176">
        <f>+F56+F50+F49+F45+F39+F42+F35+F31+F28+F24</f>
        <v>835134</v>
      </c>
      <c r="G57" s="950"/>
    </row>
    <row r="58" spans="1:7" x14ac:dyDescent="0.2">
      <c r="A58" s="1100" t="s">
        <v>1189</v>
      </c>
      <c r="B58" s="1087" t="s">
        <v>1188</v>
      </c>
      <c r="C58" s="1087" t="s">
        <v>1204</v>
      </c>
      <c r="D58" s="1087" t="s">
        <v>1201</v>
      </c>
      <c r="E58" s="1168">
        <f>50414+388607</f>
        <v>439021</v>
      </c>
      <c r="F58" s="1169">
        <v>439021</v>
      </c>
      <c r="G58" s="1120"/>
    </row>
    <row r="59" spans="1:7" x14ac:dyDescent="0.2">
      <c r="A59" s="1100" t="s">
        <v>1189</v>
      </c>
      <c r="B59" s="1087" t="s">
        <v>1188</v>
      </c>
      <c r="C59" s="1087" t="s">
        <v>1203</v>
      </c>
      <c r="D59" s="1087" t="s">
        <v>1201</v>
      </c>
      <c r="E59" s="1168">
        <f>13389+103207</f>
        <v>116596</v>
      </c>
      <c r="F59" s="1169">
        <v>116596</v>
      </c>
      <c r="G59" s="1120"/>
    </row>
    <row r="60" spans="1:7" x14ac:dyDescent="0.2">
      <c r="A60" s="1100" t="s">
        <v>1189</v>
      </c>
      <c r="B60" s="1087" t="s">
        <v>1188</v>
      </c>
      <c r="C60" s="1087" t="s">
        <v>1212</v>
      </c>
      <c r="D60" s="1087" t="s">
        <v>1201</v>
      </c>
      <c r="E60" s="1168"/>
      <c r="F60" s="1169"/>
      <c r="G60" s="1120"/>
    </row>
    <row r="61" spans="1:7" x14ac:dyDescent="0.2">
      <c r="A61" s="1100" t="s">
        <v>1189</v>
      </c>
      <c r="B61" s="1087" t="s">
        <v>1188</v>
      </c>
      <c r="C61" s="1087" t="s">
        <v>1211</v>
      </c>
      <c r="D61" s="1087" t="s">
        <v>1201</v>
      </c>
      <c r="E61" s="1168">
        <f>11612+89508</f>
        <v>101120</v>
      </c>
      <c r="F61" s="1169">
        <v>101120</v>
      </c>
      <c r="G61" s="1120"/>
    </row>
    <row r="62" spans="1:7" x14ac:dyDescent="0.2">
      <c r="A62" s="1100" t="s">
        <v>1189</v>
      </c>
      <c r="B62" s="1087" t="s">
        <v>1210</v>
      </c>
      <c r="C62" s="1087" t="s">
        <v>1209</v>
      </c>
      <c r="D62" s="1087" t="s">
        <v>1201</v>
      </c>
      <c r="E62" s="1168">
        <f>7101+54740</f>
        <v>61841</v>
      </c>
      <c r="F62" s="1169">
        <v>61841</v>
      </c>
      <c r="G62" s="1120"/>
    </row>
    <row r="63" spans="1:7" x14ac:dyDescent="0.2">
      <c r="A63" s="1100" t="s">
        <v>1189</v>
      </c>
      <c r="B63" s="1087" t="s">
        <v>1188</v>
      </c>
      <c r="C63" s="1087" t="s">
        <v>1202</v>
      </c>
      <c r="D63" s="1087" t="s">
        <v>1201</v>
      </c>
      <c r="E63" s="1168">
        <f>18081+139375</f>
        <v>157456</v>
      </c>
      <c r="F63" s="1169">
        <v>157456</v>
      </c>
      <c r="G63" s="1120"/>
    </row>
    <row r="64" spans="1:7" x14ac:dyDescent="0.2">
      <c r="A64" s="1100" t="s">
        <v>1189</v>
      </c>
      <c r="B64" s="1087" t="s">
        <v>1188</v>
      </c>
      <c r="C64" s="1087" t="s">
        <v>1208</v>
      </c>
      <c r="D64" s="1087" t="s">
        <v>1206</v>
      </c>
      <c r="E64" s="1168"/>
      <c r="F64" s="1169"/>
      <c r="G64" s="1120"/>
    </row>
    <row r="65" spans="1:7" x14ac:dyDescent="0.2">
      <c r="A65" s="1100" t="s">
        <v>1189</v>
      </c>
      <c r="B65" s="1087" t="s">
        <v>1188</v>
      </c>
      <c r="C65" s="1087" t="s">
        <v>1207</v>
      </c>
      <c r="D65" s="1087" t="s">
        <v>1206</v>
      </c>
      <c r="E65" s="1168"/>
      <c r="F65" s="1169"/>
      <c r="G65" s="1120"/>
    </row>
    <row r="66" spans="1:7" s="255" customFormat="1" ht="12" customHeight="1" x14ac:dyDescent="0.2">
      <c r="A66" s="1104"/>
      <c r="B66" s="1103"/>
      <c r="C66" s="1102"/>
      <c r="D66" s="1101" t="s">
        <v>1200</v>
      </c>
      <c r="E66" s="1171">
        <f>SUM(E58:E65)</f>
        <v>876034</v>
      </c>
      <c r="F66" s="1172">
        <f>SUM(F58:F65)</f>
        <v>876034</v>
      </c>
    </row>
    <row r="67" spans="1:7" x14ac:dyDescent="0.2">
      <c r="A67" s="1100" t="s">
        <v>1187</v>
      </c>
      <c r="B67" s="1087" t="s">
        <v>1188</v>
      </c>
      <c r="C67" s="1087" t="s">
        <v>1205</v>
      </c>
      <c r="D67" s="1087" t="s">
        <v>1201</v>
      </c>
      <c r="E67" s="1168">
        <v>2375</v>
      </c>
      <c r="F67" s="1169">
        <v>2375</v>
      </c>
      <c r="G67" s="1120"/>
    </row>
    <row r="68" spans="1:7" x14ac:dyDescent="0.2">
      <c r="A68" s="1100" t="s">
        <v>1187</v>
      </c>
      <c r="B68" s="1087" t="s">
        <v>1188</v>
      </c>
      <c r="C68" s="1087" t="s">
        <v>1204</v>
      </c>
      <c r="D68" s="1087" t="s">
        <v>1201</v>
      </c>
      <c r="E68" s="1168">
        <f>13484+113936+1</f>
        <v>127421</v>
      </c>
      <c r="F68" s="1169">
        <v>127421</v>
      </c>
      <c r="G68" s="1120"/>
    </row>
    <row r="69" spans="1:7" x14ac:dyDescent="0.2">
      <c r="A69" s="1100" t="s">
        <v>1187</v>
      </c>
      <c r="B69" s="1087" t="s">
        <v>1188</v>
      </c>
      <c r="C69" s="1087" t="s">
        <v>1203</v>
      </c>
      <c r="D69" s="1087" t="s">
        <v>1201</v>
      </c>
      <c r="E69" s="1168">
        <f>9035+76329</f>
        <v>85364</v>
      </c>
      <c r="F69" s="1169">
        <v>85364</v>
      </c>
      <c r="G69" s="1120"/>
    </row>
    <row r="70" spans="1:7" x14ac:dyDescent="0.2">
      <c r="A70" s="1100" t="s">
        <v>1187</v>
      </c>
      <c r="B70" s="1087" t="s">
        <v>1188</v>
      </c>
      <c r="C70" s="1087" t="s">
        <v>1202</v>
      </c>
      <c r="D70" s="1087" t="s">
        <v>1201</v>
      </c>
      <c r="E70" s="1168">
        <f>490+4141</f>
        <v>4631</v>
      </c>
      <c r="F70" s="1169">
        <v>4631</v>
      </c>
      <c r="G70" s="1120"/>
    </row>
    <row r="71" spans="1:7" s="255" customFormat="1" ht="12" customHeight="1" x14ac:dyDescent="0.2">
      <c r="A71" s="1104"/>
      <c r="B71" s="1103"/>
      <c r="C71" s="1102"/>
      <c r="D71" s="1101" t="s">
        <v>1200</v>
      </c>
      <c r="E71" s="1171">
        <f>SUM(E67:E70)</f>
        <v>219791</v>
      </c>
      <c r="F71" s="1172">
        <f>SUM(F67:F70)</f>
        <v>219791</v>
      </c>
    </row>
    <row r="72" spans="1:7" x14ac:dyDescent="0.2">
      <c r="A72" s="1121"/>
      <c r="B72" s="1086"/>
      <c r="C72" s="1086"/>
      <c r="D72" s="1086"/>
      <c r="E72" s="1087"/>
      <c r="F72" s="1170"/>
      <c r="G72" s="1120"/>
    </row>
    <row r="73" spans="1:7" ht="13.5" thickBot="1" x14ac:dyDescent="0.25">
      <c r="A73" s="1085"/>
      <c r="B73" s="1084"/>
      <c r="C73" s="1084"/>
      <c r="D73" s="1084"/>
      <c r="E73" s="1177">
        <f>+E57+E66+E71</f>
        <v>1980179</v>
      </c>
      <c r="F73" s="1178">
        <f>+F57+F66+F71</f>
        <v>1930959</v>
      </c>
      <c r="G73" s="1120"/>
    </row>
    <row r="75" spans="1:7" ht="15.75" x14ac:dyDescent="0.25">
      <c r="A75" s="1447" t="s">
        <v>1199</v>
      </c>
      <c r="B75" s="1447"/>
      <c r="C75" s="1447"/>
      <c r="D75" s="1447"/>
      <c r="E75" s="1447"/>
      <c r="F75" s="1447"/>
    </row>
    <row r="76" spans="1:7" ht="13.5" thickBot="1" x14ac:dyDescent="0.25"/>
    <row r="77" spans="1:7" ht="13.5" customHeight="1" x14ac:dyDescent="0.2">
      <c r="A77" s="1457" t="s">
        <v>1198</v>
      </c>
      <c r="B77" s="1458"/>
      <c r="C77" s="1464" t="s">
        <v>1197</v>
      </c>
      <c r="D77" s="1464" t="s">
        <v>1196</v>
      </c>
      <c r="E77" s="1460" t="s">
        <v>1195</v>
      </c>
      <c r="F77" s="1462" t="s">
        <v>1194</v>
      </c>
    </row>
    <row r="78" spans="1:7" ht="17.25" customHeight="1" x14ac:dyDescent="0.2">
      <c r="A78" s="1164" t="s">
        <v>1193</v>
      </c>
      <c r="B78" s="1166" t="s">
        <v>1192</v>
      </c>
      <c r="C78" s="1465"/>
      <c r="D78" s="1465"/>
      <c r="E78" s="1461"/>
      <c r="F78" s="1463"/>
    </row>
    <row r="79" spans="1:7" x14ac:dyDescent="0.2">
      <c r="A79" s="1165"/>
      <c r="B79" s="1167"/>
      <c r="C79" s="1466"/>
      <c r="D79" s="1466"/>
      <c r="E79" s="1094" t="s">
        <v>291</v>
      </c>
      <c r="F79" s="1093" t="s">
        <v>290</v>
      </c>
    </row>
    <row r="80" spans="1:7" x14ac:dyDescent="0.2">
      <c r="A80" s="1089" t="s">
        <v>1188</v>
      </c>
      <c r="B80" s="1088" t="s">
        <v>1191</v>
      </c>
      <c r="C80" s="1086" t="s">
        <v>1186</v>
      </c>
      <c r="D80" s="1087"/>
      <c r="E80" s="1086"/>
      <c r="F80" s="1169"/>
    </row>
    <row r="81" spans="1:7" x14ac:dyDescent="0.2">
      <c r="A81" s="1089" t="s">
        <v>1188</v>
      </c>
      <c r="B81" s="1088" t="s">
        <v>1190</v>
      </c>
      <c r="C81" s="1086" t="s">
        <v>1186</v>
      </c>
      <c r="D81" s="1087"/>
      <c r="E81" s="1086"/>
      <c r="F81" s="1169"/>
    </row>
    <row r="82" spans="1:7" x14ac:dyDescent="0.2">
      <c r="A82" s="1089" t="s">
        <v>1188</v>
      </c>
      <c r="B82" s="1088" t="s">
        <v>1189</v>
      </c>
      <c r="C82" s="1086" t="s">
        <v>1186</v>
      </c>
      <c r="D82" s="1087"/>
      <c r="E82" s="1086"/>
      <c r="F82" s="1169"/>
    </row>
    <row r="83" spans="1:7" ht="13.5" thickBot="1" x14ac:dyDescent="0.25">
      <c r="A83" s="1089" t="s">
        <v>1188</v>
      </c>
      <c r="B83" s="1088" t="s">
        <v>1187</v>
      </c>
      <c r="C83" s="1086" t="s">
        <v>1186</v>
      </c>
      <c r="D83" s="1087"/>
      <c r="E83" s="1086"/>
      <c r="F83" s="1179"/>
    </row>
    <row r="84" spans="1:7" ht="13.5" thickBot="1" x14ac:dyDescent="0.25">
      <c r="A84" s="1089"/>
      <c r="B84" s="1088"/>
      <c r="C84" s="1091"/>
      <c r="D84" s="1091"/>
      <c r="E84" s="1090" t="s">
        <v>439</v>
      </c>
      <c r="F84" s="1180">
        <f>SUM(F80:F83)</f>
        <v>0</v>
      </c>
    </row>
    <row r="85" spans="1:7" x14ac:dyDescent="0.2">
      <c r="A85" s="1112"/>
      <c r="B85" s="1088"/>
      <c r="C85" s="1086"/>
      <c r="D85" s="1086"/>
      <c r="E85" s="1086"/>
      <c r="F85" s="1181"/>
    </row>
    <row r="86" spans="1:7" ht="13.5" thickBot="1" x14ac:dyDescent="0.25">
      <c r="A86" s="1085"/>
      <c r="B86" s="1084"/>
      <c r="C86" s="1084"/>
      <c r="D86" s="1084"/>
      <c r="E86" s="1084"/>
      <c r="F86" s="1083"/>
    </row>
    <row r="88" spans="1:7" ht="18" customHeight="1" x14ac:dyDescent="0.2">
      <c r="A88" s="1163" t="s">
        <v>1185</v>
      </c>
      <c r="B88" s="1162"/>
      <c r="C88" s="1162"/>
      <c r="D88" s="1162"/>
      <c r="E88" s="1162"/>
      <c r="F88" s="1162"/>
      <c r="G88" s="1162"/>
    </row>
    <row r="89" spans="1:7" x14ac:dyDescent="0.2">
      <c r="A89" s="1163">
        <v>1</v>
      </c>
      <c r="B89" s="1272" t="s">
        <v>1184</v>
      </c>
      <c r="C89" s="1272"/>
      <c r="D89" s="1272"/>
      <c r="E89" s="1272"/>
      <c r="F89" s="1272"/>
      <c r="G89" s="1161"/>
    </row>
    <row r="90" spans="1:7" x14ac:dyDescent="0.2">
      <c r="A90" s="1163"/>
      <c r="B90" s="1272"/>
      <c r="C90" s="1272"/>
      <c r="D90" s="1272"/>
      <c r="E90" s="1272"/>
      <c r="F90" s="1272"/>
      <c r="G90" s="1161"/>
    </row>
    <row r="91" spans="1:7" x14ac:dyDescent="0.2">
      <c r="A91" s="1163"/>
    </row>
    <row r="92" spans="1:7" x14ac:dyDescent="0.2">
      <c r="A92" s="1163">
        <v>2</v>
      </c>
      <c r="B92" s="946" t="s">
        <v>1183</v>
      </c>
    </row>
    <row r="93" spans="1:7" x14ac:dyDescent="0.2">
      <c r="A93" s="1163"/>
      <c r="B93" s="946" t="s">
        <v>1182</v>
      </c>
    </row>
    <row r="94" spans="1:7" x14ac:dyDescent="0.2">
      <c r="A94" s="1163"/>
      <c r="B94" s="946" t="s">
        <v>1181</v>
      </c>
    </row>
    <row r="95" spans="1:7" x14ac:dyDescent="0.2">
      <c r="A95" s="1163"/>
      <c r="B95" s="946" t="s">
        <v>1180</v>
      </c>
    </row>
    <row r="96" spans="1:7" x14ac:dyDescent="0.2">
      <c r="A96" s="1163"/>
      <c r="B96" s="946" t="s">
        <v>1179</v>
      </c>
    </row>
    <row r="97" spans="1:2" x14ac:dyDescent="0.2">
      <c r="A97" s="1163"/>
      <c r="B97" s="946" t="s">
        <v>1178</v>
      </c>
    </row>
    <row r="98" spans="1:2" x14ac:dyDescent="0.2">
      <c r="A98" s="1163"/>
    </row>
    <row r="99" spans="1:2" x14ac:dyDescent="0.2">
      <c r="A99" s="1163"/>
    </row>
    <row r="100" spans="1:2" x14ac:dyDescent="0.2">
      <c r="A100" s="1163"/>
    </row>
    <row r="101" spans="1:2" x14ac:dyDescent="0.2">
      <c r="A101" s="1163"/>
    </row>
    <row r="102" spans="1:2" x14ac:dyDescent="0.2">
      <c r="A102" s="1163"/>
    </row>
    <row r="103" spans="1:2" x14ac:dyDescent="0.2">
      <c r="A103" s="1163"/>
    </row>
    <row r="104" spans="1:2" x14ac:dyDescent="0.2">
      <c r="A104" s="1163"/>
    </row>
    <row r="105" spans="1:2" x14ac:dyDescent="0.2">
      <c r="A105" s="1163"/>
    </row>
    <row r="106" spans="1:2" x14ac:dyDescent="0.2">
      <c r="A106" s="1163"/>
    </row>
    <row r="107" spans="1:2" x14ac:dyDescent="0.2">
      <c r="A107" s="1163"/>
    </row>
    <row r="108" spans="1:2" x14ac:dyDescent="0.2">
      <c r="A108" s="1163"/>
    </row>
    <row r="109" spans="1:2" x14ac:dyDescent="0.2">
      <c r="A109" s="1163"/>
    </row>
    <row r="110" spans="1:2" x14ac:dyDescent="0.2">
      <c r="A110" s="1163"/>
    </row>
    <row r="111" spans="1:2" x14ac:dyDescent="0.2">
      <c r="A111" s="1163"/>
    </row>
    <row r="112" spans="1:2"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row r="142" spans="1:1" x14ac:dyDescent="0.2">
      <c r="A142" s="1163"/>
    </row>
  </sheetData>
  <mergeCells count="18">
    <mergeCell ref="A9:F9"/>
    <mergeCell ref="A10:F10"/>
    <mergeCell ref="A14:F14"/>
    <mergeCell ref="A16:B16"/>
    <mergeCell ref="C16:C18"/>
    <mergeCell ref="D16:D18"/>
    <mergeCell ref="E16:E17"/>
    <mergeCell ref="F16:F17"/>
    <mergeCell ref="B89:F90"/>
    <mergeCell ref="G16:G17"/>
    <mergeCell ref="A17:A18"/>
    <mergeCell ref="B17:B18"/>
    <mergeCell ref="A75:F75"/>
    <mergeCell ref="A77:B77"/>
    <mergeCell ref="C77:C79"/>
    <mergeCell ref="D77:D79"/>
    <mergeCell ref="E77:E78"/>
    <mergeCell ref="F77:F78"/>
  </mergeCells>
  <dataValidations count="1">
    <dataValidation allowBlank="1" showInputMessage="1" showErrorMessage="1" promptTitle="Date Format" prompt="E.g:  &quot;August 1, 2011&quot;" sqref="G7"/>
  </dataValidations>
  <pageMargins left="1" right="0.75" top="0.25" bottom="0.25" header="0.5" footer="0.5"/>
  <pageSetup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zoomScaleNormal="100" workbookViewId="0">
      <selection sqref="A1:XFD1048576"/>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7.28515625" style="946" customWidth="1"/>
    <col min="8"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v>2010</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7" ht="17.25" customHeight="1" x14ac:dyDescent="0.2">
      <c r="A17" s="1443" t="s">
        <v>1193</v>
      </c>
      <c r="B17" s="1445" t="s">
        <v>1192</v>
      </c>
      <c r="C17" s="1451"/>
      <c r="D17" s="1451"/>
      <c r="E17" s="1461"/>
      <c r="F17" s="1463"/>
      <c r="G17" s="1442"/>
    </row>
    <row r="18" spans="1:7" x14ac:dyDescent="0.2">
      <c r="A18" s="1444"/>
      <c r="B18" s="1446"/>
      <c r="C18" s="1459"/>
      <c r="D18" s="1459"/>
      <c r="E18" s="1094" t="s">
        <v>290</v>
      </c>
      <c r="F18" s="1093" t="s">
        <v>290</v>
      </c>
      <c r="G18" s="1113"/>
    </row>
    <row r="19" spans="1:7" x14ac:dyDescent="0.2">
      <c r="A19" s="1089" t="s">
        <v>1188</v>
      </c>
      <c r="B19" s="1088" t="s">
        <v>1190</v>
      </c>
      <c r="C19" s="1086" t="s">
        <v>1219</v>
      </c>
      <c r="D19" s="1087" t="s">
        <v>1206</v>
      </c>
      <c r="E19" s="1168">
        <v>7200</v>
      </c>
      <c r="F19" s="1169">
        <v>7200</v>
      </c>
      <c r="G19" s="1122"/>
    </row>
    <row r="20" spans="1:7" x14ac:dyDescent="0.2">
      <c r="A20" s="1089" t="s">
        <v>1188</v>
      </c>
      <c r="B20" s="1088" t="s">
        <v>1189</v>
      </c>
      <c r="C20" s="1086" t="s">
        <v>1219</v>
      </c>
      <c r="D20" s="1087" t="s">
        <v>1206</v>
      </c>
      <c r="E20" s="1168">
        <v>55872</v>
      </c>
      <c r="F20" s="1169">
        <v>55872</v>
      </c>
      <c r="G20" s="256"/>
    </row>
    <row r="21" spans="1:7" x14ac:dyDescent="0.2">
      <c r="A21" s="1089" t="s">
        <v>1188</v>
      </c>
      <c r="B21" s="1088" t="s">
        <v>1191</v>
      </c>
      <c r="C21" s="1086" t="s">
        <v>1219</v>
      </c>
      <c r="D21" s="1087" t="s">
        <v>1206</v>
      </c>
      <c r="E21" s="1168">
        <v>9600</v>
      </c>
      <c r="F21" s="1169">
        <v>9600</v>
      </c>
      <c r="G21" s="1122"/>
    </row>
    <row r="22" spans="1:7" x14ac:dyDescent="0.2">
      <c r="A22" s="1089" t="s">
        <v>1188</v>
      </c>
      <c r="B22" s="1088" t="s">
        <v>1187</v>
      </c>
      <c r="C22" s="1086" t="s">
        <v>1219</v>
      </c>
      <c r="D22" s="1087" t="s">
        <v>1206</v>
      </c>
      <c r="E22" s="1168">
        <v>40500</v>
      </c>
      <c r="F22" s="1169">
        <v>40500</v>
      </c>
      <c r="G22" s="256"/>
    </row>
    <row r="23" spans="1:7" x14ac:dyDescent="0.2">
      <c r="A23" s="1112" t="s">
        <v>1191</v>
      </c>
      <c r="B23" s="1111" t="s">
        <v>1188</v>
      </c>
      <c r="C23" s="1086" t="s">
        <v>1219</v>
      </c>
      <c r="D23" s="1087" t="s">
        <v>1206</v>
      </c>
      <c r="E23" s="1174">
        <v>15000</v>
      </c>
      <c r="F23" s="1170">
        <v>15000</v>
      </c>
    </row>
    <row r="24" spans="1:7" s="255" customFormat="1" x14ac:dyDescent="0.2">
      <c r="A24" s="1104"/>
      <c r="B24" s="1103"/>
      <c r="C24" s="1102"/>
      <c r="D24" s="1101" t="s">
        <v>1200</v>
      </c>
      <c r="E24" s="1171">
        <f>SUM(E19:E23)</f>
        <v>128172</v>
      </c>
      <c r="F24" s="1172">
        <f>SUM(F19:F23)</f>
        <v>128172</v>
      </c>
    </row>
    <row r="25" spans="1:7" x14ac:dyDescent="0.2">
      <c r="A25" s="1126" t="s">
        <v>1188</v>
      </c>
      <c r="B25" s="1109" t="s">
        <v>1191</v>
      </c>
      <c r="C25" s="1125" t="s">
        <v>1205</v>
      </c>
      <c r="D25" s="1087" t="s">
        <v>1201</v>
      </c>
      <c r="E25" s="1182">
        <v>3600</v>
      </c>
      <c r="F25" s="1181">
        <v>3600</v>
      </c>
    </row>
    <row r="26" spans="1:7" x14ac:dyDescent="0.2">
      <c r="A26" s="1089" t="s">
        <v>1188</v>
      </c>
      <c r="B26" s="1088" t="s">
        <v>1190</v>
      </c>
      <c r="C26" s="1086" t="s">
        <v>1205</v>
      </c>
      <c r="D26" s="1087" t="s">
        <v>1201</v>
      </c>
      <c r="E26" s="1174"/>
      <c r="F26" s="1169"/>
      <c r="G26" s="1122"/>
    </row>
    <row r="27" spans="1:7" x14ac:dyDescent="0.2">
      <c r="A27" s="1089" t="s">
        <v>1188</v>
      </c>
      <c r="B27" s="1088" t="s">
        <v>1189</v>
      </c>
      <c r="C27" s="1087" t="s">
        <v>1205</v>
      </c>
      <c r="D27" s="1087" t="s">
        <v>1201</v>
      </c>
      <c r="E27" s="1174">
        <f>19200+4800</f>
        <v>24000</v>
      </c>
      <c r="F27" s="1169">
        <f>19200+4800</f>
        <v>24000</v>
      </c>
    </row>
    <row r="28" spans="1:7" s="255" customFormat="1" x14ac:dyDescent="0.2">
      <c r="A28" s="1104"/>
      <c r="B28" s="1103"/>
      <c r="C28" s="1102"/>
      <c r="D28" s="1101" t="s">
        <v>1200</v>
      </c>
      <c r="E28" s="1171">
        <f>SUM(E25:E27)</f>
        <v>27600</v>
      </c>
      <c r="F28" s="1172">
        <f>SUM(F25:F27)</f>
        <v>27600</v>
      </c>
    </row>
    <row r="29" spans="1:7" x14ac:dyDescent="0.2">
      <c r="A29" s="1089" t="s">
        <v>1188</v>
      </c>
      <c r="B29" s="1088" t="s">
        <v>1189</v>
      </c>
      <c r="C29" s="1086" t="s">
        <v>1218</v>
      </c>
      <c r="D29" s="1087" t="s">
        <v>1201</v>
      </c>
      <c r="E29" s="1174">
        <v>85454</v>
      </c>
      <c r="F29" s="1169">
        <v>85454</v>
      </c>
    </row>
    <row r="30" spans="1:7" x14ac:dyDescent="0.2">
      <c r="A30" s="1089" t="s">
        <v>1188</v>
      </c>
      <c r="B30" s="1088" t="s">
        <v>1187</v>
      </c>
      <c r="C30" s="1086" t="s">
        <v>1218</v>
      </c>
      <c r="D30" s="1087" t="s">
        <v>1201</v>
      </c>
      <c r="E30" s="1174">
        <v>2750</v>
      </c>
      <c r="F30" s="1169">
        <v>2750</v>
      </c>
      <c r="G30" s="1122"/>
    </row>
    <row r="31" spans="1:7" s="255" customFormat="1" ht="12" customHeight="1" x14ac:dyDescent="0.2">
      <c r="A31" s="1104"/>
      <c r="B31" s="1103"/>
      <c r="C31" s="1102"/>
      <c r="D31" s="1101" t="s">
        <v>1200</v>
      </c>
      <c r="E31" s="1171">
        <f>SUM(E29:E30)</f>
        <v>88204</v>
      </c>
      <c r="F31" s="1172">
        <f>SUM(F29:F30)</f>
        <v>88204</v>
      </c>
    </row>
    <row r="32" spans="1:7" x14ac:dyDescent="0.2">
      <c r="A32" s="1089" t="s">
        <v>1188</v>
      </c>
      <c r="B32" s="1088" t="s">
        <v>1191</v>
      </c>
      <c r="C32" s="1086" t="s">
        <v>1217</v>
      </c>
      <c r="D32" s="1087" t="s">
        <v>1201</v>
      </c>
      <c r="E32" s="1168">
        <v>3968</v>
      </c>
      <c r="F32" s="1169">
        <v>3968</v>
      </c>
      <c r="G32" s="1122"/>
    </row>
    <row r="33" spans="1:7" x14ac:dyDescent="0.2">
      <c r="A33" s="1089" t="s">
        <v>1188</v>
      </c>
      <c r="B33" s="1088" t="s">
        <v>1190</v>
      </c>
      <c r="C33" s="1086" t="s">
        <v>1217</v>
      </c>
      <c r="D33" s="1087" t="s">
        <v>1201</v>
      </c>
      <c r="E33" s="1168">
        <v>9932</v>
      </c>
      <c r="F33" s="1169">
        <v>9932</v>
      </c>
      <c r="G33" s="1122"/>
    </row>
    <row r="34" spans="1:7" x14ac:dyDescent="0.2">
      <c r="A34" s="1089" t="s">
        <v>1188</v>
      </c>
      <c r="B34" s="1088" t="s">
        <v>1189</v>
      </c>
      <c r="C34" s="1086" t="s">
        <v>1217</v>
      </c>
      <c r="D34" s="1087" t="s">
        <v>1201</v>
      </c>
      <c r="E34" s="1168">
        <v>8654</v>
      </c>
      <c r="F34" s="1169">
        <v>8654</v>
      </c>
      <c r="G34" s="1122"/>
    </row>
    <row r="35" spans="1:7" s="255" customFormat="1" x14ac:dyDescent="0.2">
      <c r="A35" s="1104"/>
      <c r="B35" s="1103"/>
      <c r="C35" s="1102"/>
      <c r="D35" s="1101" t="s">
        <v>1200</v>
      </c>
      <c r="E35" s="1171">
        <f>SUM(E32:E34)</f>
        <v>22554</v>
      </c>
      <c r="F35" s="1123">
        <f>SUM(F32:F34)</f>
        <v>22554</v>
      </c>
    </row>
    <row r="36" spans="1:7" x14ac:dyDescent="0.2">
      <c r="A36" s="1089" t="s">
        <v>1188</v>
      </c>
      <c r="B36" s="1088" t="s">
        <v>1189</v>
      </c>
      <c r="C36" s="1087" t="s">
        <v>1216</v>
      </c>
      <c r="D36" s="1087" t="s">
        <v>1206</v>
      </c>
      <c r="E36" s="1168"/>
      <c r="F36" s="1169"/>
      <c r="G36" s="1120"/>
    </row>
    <row r="37" spans="1:7" x14ac:dyDescent="0.2">
      <c r="A37" s="1089" t="s">
        <v>1188</v>
      </c>
      <c r="B37" s="1088" t="s">
        <v>1236</v>
      </c>
      <c r="C37" s="1087" t="s">
        <v>1215</v>
      </c>
      <c r="D37" s="1087" t="s">
        <v>1201</v>
      </c>
      <c r="E37" s="1168">
        <v>667557</v>
      </c>
      <c r="F37" s="1168">
        <v>473778</v>
      </c>
      <c r="G37" s="1120"/>
    </row>
    <row r="38" spans="1:7" s="255" customFormat="1" ht="12" customHeight="1" x14ac:dyDescent="0.2">
      <c r="A38" s="1104"/>
      <c r="B38" s="1103"/>
      <c r="C38" s="1102"/>
      <c r="D38" s="1101" t="s">
        <v>1200</v>
      </c>
      <c r="E38" s="1171">
        <f>SUM(E36:E37)</f>
        <v>667557</v>
      </c>
      <c r="F38" s="1171">
        <f>SUM(F36:F37)</f>
        <v>473778</v>
      </c>
    </row>
    <row r="39" spans="1:7" x14ac:dyDescent="0.2">
      <c r="A39" s="1089" t="s">
        <v>1188</v>
      </c>
      <c r="B39" s="1088" t="s">
        <v>1189</v>
      </c>
      <c r="C39" s="1087" t="s">
        <v>1214</v>
      </c>
      <c r="D39" s="1087" t="s">
        <v>1206</v>
      </c>
      <c r="E39" s="1168">
        <f>3659+1</f>
        <v>3660</v>
      </c>
      <c r="F39" s="1169">
        <v>3660</v>
      </c>
      <c r="G39" s="1120"/>
    </row>
    <row r="40" spans="1:7" x14ac:dyDescent="0.2">
      <c r="A40" s="1089" t="s">
        <v>1188</v>
      </c>
      <c r="B40" s="1088" t="s">
        <v>1190</v>
      </c>
      <c r="C40" s="1087" t="s">
        <v>1214</v>
      </c>
      <c r="D40" s="1087" t="s">
        <v>1206</v>
      </c>
      <c r="E40" s="1168">
        <v>0</v>
      </c>
      <c r="F40" s="1169">
        <v>0</v>
      </c>
      <c r="G40" s="1122"/>
    </row>
    <row r="41" spans="1:7" s="255" customFormat="1" ht="12" customHeight="1" x14ac:dyDescent="0.2">
      <c r="A41" s="1104"/>
      <c r="B41" s="1103"/>
      <c r="C41" s="1102"/>
      <c r="D41" s="1101" t="s">
        <v>1200</v>
      </c>
      <c r="E41" s="1171">
        <f>SUM(E39:E40)</f>
        <v>3660</v>
      </c>
      <c r="F41" s="1123">
        <f>SUM(F39:F40)</f>
        <v>3660</v>
      </c>
    </row>
    <row r="42" spans="1:7" x14ac:dyDescent="0.2">
      <c r="A42" s="1089" t="s">
        <v>1188</v>
      </c>
      <c r="B42" s="1088" t="s">
        <v>1189</v>
      </c>
      <c r="C42" s="1087" t="s">
        <v>1203</v>
      </c>
      <c r="D42" s="1087" t="s">
        <v>1206</v>
      </c>
      <c r="E42" s="1168">
        <v>0</v>
      </c>
      <c r="F42" s="1169">
        <v>0</v>
      </c>
      <c r="G42" s="1120"/>
    </row>
    <row r="43" spans="1:7" x14ac:dyDescent="0.2">
      <c r="A43" s="1089" t="s">
        <v>1188</v>
      </c>
      <c r="B43" s="1088" t="s">
        <v>1187</v>
      </c>
      <c r="C43" s="1087" t="s">
        <v>1203</v>
      </c>
      <c r="D43" s="1087" t="s">
        <v>1206</v>
      </c>
      <c r="E43" s="1168">
        <v>0</v>
      </c>
      <c r="F43" s="1169">
        <v>0</v>
      </c>
      <c r="G43" s="1120"/>
    </row>
    <row r="44" spans="1:7" s="255" customFormat="1" ht="12" customHeight="1" x14ac:dyDescent="0.2">
      <c r="A44" s="1104"/>
      <c r="B44" s="1103"/>
      <c r="C44" s="1102"/>
      <c r="D44" s="1101" t="s">
        <v>1200</v>
      </c>
      <c r="E44" s="1171">
        <f>SUM(E42:E43)</f>
        <v>0</v>
      </c>
      <c r="F44" s="1172">
        <f>SUM(F42:F43)</f>
        <v>0</v>
      </c>
    </row>
    <row r="45" spans="1:7" x14ac:dyDescent="0.2">
      <c r="A45" s="1089" t="s">
        <v>1188</v>
      </c>
      <c r="B45" s="1088" t="s">
        <v>1189</v>
      </c>
      <c r="C45" s="1087" t="s">
        <v>1202</v>
      </c>
      <c r="D45" s="1087" t="s">
        <v>1206</v>
      </c>
      <c r="E45" s="1168"/>
      <c r="F45" s="1169"/>
      <c r="G45" s="1120"/>
    </row>
    <row r="46" spans="1:7" x14ac:dyDescent="0.2">
      <c r="A46" s="1089" t="s">
        <v>1188</v>
      </c>
      <c r="B46" s="1088" t="s">
        <v>1187</v>
      </c>
      <c r="C46" s="1087" t="s">
        <v>1202</v>
      </c>
      <c r="D46" s="1087" t="s">
        <v>1206</v>
      </c>
      <c r="E46" s="1168">
        <v>0</v>
      </c>
      <c r="F46" s="1169">
        <v>0</v>
      </c>
      <c r="G46" s="1120"/>
    </row>
    <row r="47" spans="1:7" x14ac:dyDescent="0.2">
      <c r="A47" s="1089" t="s">
        <v>1188</v>
      </c>
      <c r="B47" s="1088" t="s">
        <v>1191</v>
      </c>
      <c r="C47" s="1087" t="s">
        <v>1202</v>
      </c>
      <c r="D47" s="1087" t="s">
        <v>1206</v>
      </c>
      <c r="E47" s="1168">
        <v>2598</v>
      </c>
      <c r="F47" s="1169">
        <v>2598</v>
      </c>
      <c r="G47" s="1120"/>
    </row>
    <row r="48" spans="1:7" s="255" customFormat="1" ht="12" customHeight="1" x14ac:dyDescent="0.2">
      <c r="A48" s="1104"/>
      <c r="B48" s="1103"/>
      <c r="C48" s="1102"/>
      <c r="D48" s="1101" t="s">
        <v>1200</v>
      </c>
      <c r="E48" s="1171">
        <f>SUM(E45:E47)</f>
        <v>2598</v>
      </c>
      <c r="F48" s="1172">
        <f>SUM(F45:F47)</f>
        <v>2598</v>
      </c>
    </row>
    <row r="49" spans="1:7" x14ac:dyDescent="0.2">
      <c r="A49" s="1089" t="s">
        <v>1188</v>
      </c>
      <c r="B49" s="1088" t="s">
        <v>1189</v>
      </c>
      <c r="C49" s="1087" t="s">
        <v>1213</v>
      </c>
      <c r="D49" s="1087" t="s">
        <v>1201</v>
      </c>
      <c r="E49" s="1168">
        <v>66934</v>
      </c>
      <c r="F49" s="1168">
        <v>66934</v>
      </c>
      <c r="G49" s="1120"/>
    </row>
    <row r="50" spans="1:7" x14ac:dyDescent="0.2">
      <c r="A50" s="1089"/>
      <c r="B50" s="1088"/>
      <c r="C50" s="1087"/>
      <c r="D50" s="1087"/>
      <c r="E50" s="1168"/>
      <c r="F50" s="1169"/>
      <c r="G50" s="1120"/>
    </row>
    <row r="51" spans="1:7" x14ac:dyDescent="0.2">
      <c r="A51" s="1089" t="s">
        <v>1188</v>
      </c>
      <c r="B51" s="1088" t="s">
        <v>1189</v>
      </c>
      <c r="C51" s="1087" t="s">
        <v>1207</v>
      </c>
      <c r="D51" s="1087" t="s">
        <v>1206</v>
      </c>
      <c r="E51" s="1168">
        <f>167323+6615</f>
        <v>173938</v>
      </c>
      <c r="F51" s="1169">
        <v>173938</v>
      </c>
      <c r="G51" s="1120"/>
    </row>
    <row r="52" spans="1:7" x14ac:dyDescent="0.2">
      <c r="A52" s="1089" t="s">
        <v>1188</v>
      </c>
      <c r="B52" s="1088" t="s">
        <v>1187</v>
      </c>
      <c r="C52" s="1087" t="s">
        <v>1207</v>
      </c>
      <c r="D52" s="1087" t="s">
        <v>1206</v>
      </c>
      <c r="E52" s="1168">
        <f>9445+8300+1579+715</f>
        <v>20039</v>
      </c>
      <c r="F52" s="1169">
        <v>20039</v>
      </c>
    </row>
    <row r="53" spans="1:7" x14ac:dyDescent="0.2">
      <c r="A53" s="1089" t="s">
        <v>1188</v>
      </c>
      <c r="B53" s="1088" t="s">
        <v>1190</v>
      </c>
      <c r="C53" s="1087" t="s">
        <v>1207</v>
      </c>
      <c r="D53" s="1087" t="s">
        <v>1206</v>
      </c>
      <c r="E53" s="1168"/>
      <c r="F53" s="1169"/>
      <c r="G53" s="1122"/>
    </row>
    <row r="54" spans="1:7" x14ac:dyDescent="0.2">
      <c r="A54" s="1089" t="s">
        <v>1188</v>
      </c>
      <c r="B54" s="1088" t="s">
        <v>1191</v>
      </c>
      <c r="C54" s="1087" t="s">
        <v>1207</v>
      </c>
      <c r="D54" s="1087" t="s">
        <v>1206</v>
      </c>
      <c r="E54" s="1168"/>
      <c r="F54" s="1169"/>
      <c r="G54" s="1122"/>
    </row>
    <row r="55" spans="1:7" s="255" customFormat="1" ht="12" customHeight="1" x14ac:dyDescent="0.2">
      <c r="A55" s="1104"/>
      <c r="B55" s="1103"/>
      <c r="C55" s="1102"/>
      <c r="D55" s="1101" t="s">
        <v>1200</v>
      </c>
      <c r="E55" s="1171">
        <f>SUM(E51:E54)</f>
        <v>193977</v>
      </c>
      <c r="F55" s="1172">
        <f>SUM(F51:F54)</f>
        <v>193977</v>
      </c>
    </row>
    <row r="56" spans="1:7" s="254" customFormat="1" x14ac:dyDescent="0.2">
      <c r="A56" s="1119" t="s">
        <v>439</v>
      </c>
      <c r="B56" s="1118"/>
      <c r="C56" s="1117"/>
      <c r="D56" s="1105"/>
      <c r="E56" s="1176">
        <f>+E55+E49+E48+E44+E38+E41+E35+E31+E28+E24</f>
        <v>1201256</v>
      </c>
      <c r="F56" s="1176">
        <f>+F55+F49+F48+F44+F38+F41+F35+F31+F28+F24</f>
        <v>1007477</v>
      </c>
      <c r="G56" s="950"/>
    </row>
    <row r="57" spans="1:7" x14ac:dyDescent="0.2">
      <c r="A57" s="1100" t="s">
        <v>1189</v>
      </c>
      <c r="B57" s="1087" t="s">
        <v>1188</v>
      </c>
      <c r="C57" s="1087" t="s">
        <v>1204</v>
      </c>
      <c r="D57" s="1087" t="s">
        <v>1201</v>
      </c>
      <c r="E57" s="1168">
        <f>24211+239499</f>
        <v>263710</v>
      </c>
      <c r="F57" s="1169">
        <v>263710</v>
      </c>
      <c r="G57" s="1120"/>
    </row>
    <row r="58" spans="1:7" x14ac:dyDescent="0.2">
      <c r="A58" s="1100" t="s">
        <v>1189</v>
      </c>
      <c r="B58" s="1087" t="s">
        <v>1188</v>
      </c>
      <c r="C58" s="1087" t="s">
        <v>1203</v>
      </c>
      <c r="D58" s="1087" t="s">
        <v>1201</v>
      </c>
      <c r="E58" s="1168">
        <f>13549+134029</f>
        <v>147578</v>
      </c>
      <c r="F58" s="1169">
        <v>147578</v>
      </c>
      <c r="G58" s="1120"/>
    </row>
    <row r="59" spans="1:7" x14ac:dyDescent="0.2">
      <c r="A59" s="1100" t="s">
        <v>1189</v>
      </c>
      <c r="B59" s="1087" t="s">
        <v>1188</v>
      </c>
      <c r="C59" s="1087" t="s">
        <v>1212</v>
      </c>
      <c r="D59" s="1087" t="s">
        <v>1201</v>
      </c>
      <c r="E59" s="1168"/>
      <c r="F59" s="1169"/>
      <c r="G59" s="1120"/>
    </row>
    <row r="60" spans="1:7" x14ac:dyDescent="0.2">
      <c r="A60" s="1100" t="s">
        <v>1189</v>
      </c>
      <c r="B60" s="1087" t="s">
        <v>1188</v>
      </c>
      <c r="C60" s="1087" t="s">
        <v>1211</v>
      </c>
      <c r="D60" s="1087" t="s">
        <v>1201</v>
      </c>
      <c r="E60" s="1168">
        <f>17496+173075</f>
        <v>190571</v>
      </c>
      <c r="F60" s="1169">
        <v>190571</v>
      </c>
      <c r="G60" s="1120"/>
    </row>
    <row r="61" spans="1:7" x14ac:dyDescent="0.2">
      <c r="A61" s="1100" t="s">
        <v>1189</v>
      </c>
      <c r="B61" s="1087" t="s">
        <v>1210</v>
      </c>
      <c r="C61" s="1087" t="s">
        <v>1209</v>
      </c>
      <c r="D61" s="1087" t="s">
        <v>1201</v>
      </c>
      <c r="E61" s="1168">
        <f>11483+113590</f>
        <v>125073</v>
      </c>
      <c r="F61" s="1169">
        <v>125073</v>
      </c>
      <c r="G61" s="1120"/>
    </row>
    <row r="62" spans="1:7" x14ac:dyDescent="0.2">
      <c r="A62" s="1100" t="s">
        <v>1189</v>
      </c>
      <c r="B62" s="1087" t="s">
        <v>1188</v>
      </c>
      <c r="C62" s="1087" t="s">
        <v>1202</v>
      </c>
      <c r="D62" s="1087" t="s">
        <v>1201</v>
      </c>
      <c r="E62" s="1168">
        <f>23349+230969+1</f>
        <v>254319</v>
      </c>
      <c r="F62" s="1169">
        <v>254319</v>
      </c>
      <c r="G62" s="1120"/>
    </row>
    <row r="63" spans="1:7" x14ac:dyDescent="0.2">
      <c r="A63" s="1100" t="s">
        <v>1189</v>
      </c>
      <c r="B63" s="1087" t="s">
        <v>1188</v>
      </c>
      <c r="C63" s="1087" t="s">
        <v>1208</v>
      </c>
      <c r="D63" s="1087" t="s">
        <v>1206</v>
      </c>
      <c r="E63" s="1168">
        <v>7721</v>
      </c>
      <c r="F63" s="1169">
        <v>7721</v>
      </c>
      <c r="G63" s="1120"/>
    </row>
    <row r="64" spans="1:7" x14ac:dyDescent="0.2">
      <c r="A64" s="1100" t="s">
        <v>1189</v>
      </c>
      <c r="B64" s="1087" t="s">
        <v>1188</v>
      </c>
      <c r="C64" s="1087" t="s">
        <v>1207</v>
      </c>
      <c r="D64" s="1087" t="s">
        <v>1206</v>
      </c>
      <c r="E64" s="1168"/>
      <c r="F64" s="1169"/>
      <c r="G64" s="1120"/>
    </row>
    <row r="65" spans="1:7" s="255" customFormat="1" ht="12" customHeight="1" x14ac:dyDescent="0.2">
      <c r="A65" s="1104"/>
      <c r="B65" s="1103"/>
      <c r="C65" s="1102"/>
      <c r="D65" s="1101" t="s">
        <v>1200</v>
      </c>
      <c r="E65" s="1171">
        <f>SUM(E57:E64)</f>
        <v>988972</v>
      </c>
      <c r="F65" s="1172">
        <f>SUM(F57:F64)</f>
        <v>988972</v>
      </c>
    </row>
    <row r="66" spans="1:7" x14ac:dyDescent="0.2">
      <c r="A66" s="1100" t="s">
        <v>1187</v>
      </c>
      <c r="B66" s="1087" t="s">
        <v>1188</v>
      </c>
      <c r="C66" s="1087" t="s">
        <v>1205</v>
      </c>
      <c r="D66" s="1087" t="s">
        <v>1201</v>
      </c>
      <c r="E66" s="1168"/>
      <c r="F66" s="1169"/>
      <c r="G66" s="1120"/>
    </row>
    <row r="67" spans="1:7" x14ac:dyDescent="0.2">
      <c r="A67" s="1100" t="s">
        <v>1187</v>
      </c>
      <c r="B67" s="1087" t="s">
        <v>1188</v>
      </c>
      <c r="C67" s="1087" t="s">
        <v>1204</v>
      </c>
      <c r="D67" s="1087" t="s">
        <v>1201</v>
      </c>
      <c r="E67" s="1168">
        <f>46432+5092</f>
        <v>51524</v>
      </c>
      <c r="F67" s="1169">
        <v>51524</v>
      </c>
      <c r="G67" s="1120"/>
    </row>
    <row r="68" spans="1:7" x14ac:dyDescent="0.2">
      <c r="A68" s="1100" t="s">
        <v>1187</v>
      </c>
      <c r="B68" s="1087" t="s">
        <v>1188</v>
      </c>
      <c r="C68" s="1087" t="s">
        <v>1203</v>
      </c>
      <c r="D68" s="1087" t="s">
        <v>1201</v>
      </c>
      <c r="E68" s="1168">
        <f>116614+12926+1250</f>
        <v>130790</v>
      </c>
      <c r="F68" s="1169">
        <v>130790</v>
      </c>
      <c r="G68" s="1120"/>
    </row>
    <row r="69" spans="1:7" x14ac:dyDescent="0.2">
      <c r="A69" s="1100" t="s">
        <v>1187</v>
      </c>
      <c r="B69" s="1087" t="s">
        <v>1188</v>
      </c>
      <c r="C69" s="1087" t="s">
        <v>1202</v>
      </c>
      <c r="D69" s="1087" t="s">
        <v>1201</v>
      </c>
      <c r="E69" s="1087"/>
      <c r="F69" s="1169"/>
      <c r="G69" s="1120"/>
    </row>
    <row r="70" spans="1:7" s="255" customFormat="1" ht="12" customHeight="1" x14ac:dyDescent="0.2">
      <c r="A70" s="1104"/>
      <c r="B70" s="1103"/>
      <c r="C70" s="1102"/>
      <c r="D70" s="1101" t="s">
        <v>1200</v>
      </c>
      <c r="E70" s="1171">
        <f>SUM(E66:E69)</f>
        <v>182314</v>
      </c>
      <c r="F70" s="1172">
        <f>SUM(F66:F69)</f>
        <v>182314</v>
      </c>
    </row>
    <row r="71" spans="1:7" x14ac:dyDescent="0.2">
      <c r="A71" s="1100"/>
      <c r="B71" s="1087"/>
      <c r="C71" s="1087"/>
      <c r="D71" s="1087"/>
      <c r="E71" s="1087"/>
      <c r="F71" s="1169"/>
      <c r="G71" s="1120"/>
    </row>
    <row r="72" spans="1:7" ht="13.5" thickBot="1" x14ac:dyDescent="0.25">
      <c r="A72" s="1085"/>
      <c r="B72" s="1084"/>
      <c r="C72" s="1084"/>
      <c r="D72" s="1084"/>
      <c r="E72" s="1177">
        <f>+E56+E65+E70</f>
        <v>2372542</v>
      </c>
      <c r="F72" s="1178">
        <f>+F56+F65+F70</f>
        <v>2178763</v>
      </c>
      <c r="G72" s="1120"/>
    </row>
    <row r="74" spans="1:7" ht="15.75" x14ac:dyDescent="0.25">
      <c r="A74" s="1447" t="s">
        <v>1199</v>
      </c>
      <c r="B74" s="1447"/>
      <c r="C74" s="1447"/>
      <c r="D74" s="1447"/>
      <c r="E74" s="1447"/>
      <c r="F74" s="1447"/>
    </row>
    <row r="75" spans="1:7" ht="13.5" thickBot="1" x14ac:dyDescent="0.25"/>
    <row r="76" spans="1:7" ht="13.5" customHeight="1" x14ac:dyDescent="0.2">
      <c r="A76" s="1457" t="s">
        <v>1198</v>
      </c>
      <c r="B76" s="1458"/>
      <c r="C76" s="1464" t="s">
        <v>1197</v>
      </c>
      <c r="D76" s="1464" t="s">
        <v>1196</v>
      </c>
      <c r="E76" s="1460" t="s">
        <v>1195</v>
      </c>
      <c r="F76" s="1462" t="s">
        <v>1194</v>
      </c>
    </row>
    <row r="77" spans="1:7" ht="17.25" customHeight="1" x14ac:dyDescent="0.2">
      <c r="A77" s="1098" t="s">
        <v>1193</v>
      </c>
      <c r="B77" s="1097" t="s">
        <v>1192</v>
      </c>
      <c r="C77" s="1465"/>
      <c r="D77" s="1465"/>
      <c r="E77" s="1461"/>
      <c r="F77" s="1463"/>
    </row>
    <row r="78" spans="1:7" x14ac:dyDescent="0.2">
      <c r="A78" s="1165"/>
      <c r="B78" s="1167"/>
      <c r="C78" s="1466"/>
      <c r="D78" s="1466"/>
      <c r="E78" s="1094" t="s">
        <v>291</v>
      </c>
      <c r="F78" s="1093" t="s">
        <v>290</v>
      </c>
    </row>
    <row r="79" spans="1:7" x14ac:dyDescent="0.2">
      <c r="A79" s="1089" t="s">
        <v>1188</v>
      </c>
      <c r="B79" s="1088" t="s">
        <v>1191</v>
      </c>
      <c r="C79" s="1086" t="s">
        <v>1186</v>
      </c>
      <c r="D79" s="1087"/>
      <c r="E79" s="1086"/>
      <c r="F79" s="1169"/>
    </row>
    <row r="80" spans="1:7" x14ac:dyDescent="0.2">
      <c r="A80" s="1089" t="s">
        <v>1188</v>
      </c>
      <c r="B80" s="1088" t="s">
        <v>1190</v>
      </c>
      <c r="C80" s="1086" t="s">
        <v>1186</v>
      </c>
      <c r="D80" s="1087"/>
      <c r="E80" s="1086"/>
      <c r="F80" s="1169"/>
    </row>
    <row r="81" spans="1:7" x14ac:dyDescent="0.2">
      <c r="A81" s="1089" t="s">
        <v>1188</v>
      </c>
      <c r="B81" s="1088" t="s">
        <v>1189</v>
      </c>
      <c r="C81" s="1086" t="s">
        <v>1186</v>
      </c>
      <c r="D81" s="1087"/>
      <c r="E81" s="1086"/>
      <c r="F81" s="1169"/>
    </row>
    <row r="82" spans="1:7" ht="13.5" thickBot="1" x14ac:dyDescent="0.25">
      <c r="A82" s="1089" t="s">
        <v>1188</v>
      </c>
      <c r="B82" s="1088" t="s">
        <v>1187</v>
      </c>
      <c r="C82" s="1086" t="s">
        <v>1186</v>
      </c>
      <c r="D82" s="1087"/>
      <c r="E82" s="1086"/>
      <c r="F82" s="1179"/>
    </row>
    <row r="83" spans="1:7" ht="13.5" thickBot="1" x14ac:dyDescent="0.25">
      <c r="A83" s="1089"/>
      <c r="B83" s="1088"/>
      <c r="C83" s="1091"/>
      <c r="D83" s="1091"/>
      <c r="E83" s="1090" t="s">
        <v>439</v>
      </c>
      <c r="F83" s="1180">
        <f>SUM(F79:F82)</f>
        <v>0</v>
      </c>
    </row>
    <row r="84" spans="1:7" x14ac:dyDescent="0.2">
      <c r="A84" s="1112"/>
      <c r="B84" s="1088"/>
      <c r="C84" s="1086"/>
      <c r="D84" s="1086"/>
      <c r="E84" s="1086"/>
      <c r="F84" s="1181"/>
    </row>
    <row r="85" spans="1:7" ht="13.5" thickBot="1" x14ac:dyDescent="0.25">
      <c r="A85" s="1085"/>
      <c r="B85" s="1084"/>
      <c r="C85" s="1084"/>
      <c r="D85" s="1084"/>
      <c r="E85" s="1084"/>
      <c r="F85" s="1083"/>
    </row>
    <row r="87" spans="1:7" ht="18" customHeight="1" x14ac:dyDescent="0.2">
      <c r="A87" s="1163" t="s">
        <v>1185</v>
      </c>
      <c r="B87" s="1162"/>
      <c r="C87" s="1162"/>
      <c r="D87" s="1162"/>
      <c r="E87" s="1162"/>
      <c r="F87" s="1162"/>
      <c r="G87" s="1162"/>
    </row>
    <row r="88" spans="1:7" x14ac:dyDescent="0.2">
      <c r="A88" s="1163">
        <v>1</v>
      </c>
      <c r="B88" s="1272" t="s">
        <v>1184</v>
      </c>
      <c r="C88" s="1272"/>
      <c r="D88" s="1272"/>
      <c r="E88" s="1272"/>
      <c r="F88" s="1272"/>
      <c r="G88" s="1161"/>
    </row>
    <row r="89" spans="1:7" x14ac:dyDescent="0.2">
      <c r="A89" s="1163"/>
      <c r="B89" s="1272"/>
      <c r="C89" s="1272"/>
      <c r="D89" s="1272"/>
      <c r="E89" s="1272"/>
      <c r="F89" s="1272"/>
      <c r="G89" s="1161"/>
    </row>
    <row r="90" spans="1:7" x14ac:dyDescent="0.2">
      <c r="A90" s="1163"/>
    </row>
    <row r="91" spans="1:7" x14ac:dyDescent="0.2">
      <c r="A91" s="1163">
        <v>2</v>
      </c>
      <c r="B91" s="946" t="s">
        <v>1183</v>
      </c>
    </row>
    <row r="92" spans="1:7" x14ac:dyDescent="0.2">
      <c r="A92" s="1163"/>
      <c r="B92" s="946" t="s">
        <v>1182</v>
      </c>
    </row>
    <row r="93" spans="1:7" x14ac:dyDescent="0.2">
      <c r="A93" s="1163"/>
      <c r="B93" s="946" t="s">
        <v>1181</v>
      </c>
    </row>
    <row r="94" spans="1:7" x14ac:dyDescent="0.2">
      <c r="A94" s="1163"/>
      <c r="B94" s="946" t="s">
        <v>1180</v>
      </c>
    </row>
    <row r="95" spans="1:7" x14ac:dyDescent="0.2">
      <c r="A95" s="1163"/>
      <c r="B95" s="946" t="s">
        <v>1179</v>
      </c>
    </row>
    <row r="96" spans="1:7" x14ac:dyDescent="0.2">
      <c r="A96" s="1163"/>
      <c r="B96" s="946" t="s">
        <v>1178</v>
      </c>
    </row>
    <row r="97" spans="1:1" x14ac:dyDescent="0.2">
      <c r="A97" s="1163"/>
    </row>
    <row r="98" spans="1:1" x14ac:dyDescent="0.2">
      <c r="A98" s="1163"/>
    </row>
    <row r="99" spans="1:1" x14ac:dyDescent="0.2">
      <c r="A99" s="1163"/>
    </row>
    <row r="100" spans="1:1" x14ac:dyDescent="0.2">
      <c r="A100" s="1163"/>
    </row>
    <row r="101" spans="1:1" x14ac:dyDescent="0.2">
      <c r="A101" s="1163"/>
    </row>
    <row r="102" spans="1:1" x14ac:dyDescent="0.2">
      <c r="A102" s="1163"/>
    </row>
    <row r="103" spans="1:1" x14ac:dyDescent="0.2">
      <c r="A103" s="1163"/>
    </row>
    <row r="104" spans="1:1" x14ac:dyDescent="0.2">
      <c r="A104" s="1163"/>
    </row>
    <row r="105" spans="1:1" x14ac:dyDescent="0.2">
      <c r="A105" s="1163"/>
    </row>
    <row r="106" spans="1:1" x14ac:dyDescent="0.2">
      <c r="A106" s="1163"/>
    </row>
    <row r="107" spans="1:1" x14ac:dyDescent="0.2">
      <c r="A107" s="1163"/>
    </row>
    <row r="108" spans="1:1" x14ac:dyDescent="0.2">
      <c r="A108" s="1163"/>
    </row>
    <row r="109" spans="1:1" x14ac:dyDescent="0.2">
      <c r="A109" s="1163"/>
    </row>
    <row r="110" spans="1:1" x14ac:dyDescent="0.2">
      <c r="A110" s="1163"/>
    </row>
    <row r="111" spans="1:1" x14ac:dyDescent="0.2">
      <c r="A111" s="1163"/>
    </row>
    <row r="112" spans="1:1"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sheetData>
  <mergeCells count="18">
    <mergeCell ref="A9:F9"/>
    <mergeCell ref="A10:F10"/>
    <mergeCell ref="A14:F14"/>
    <mergeCell ref="A16:B16"/>
    <mergeCell ref="C16:C18"/>
    <mergeCell ref="D16:D18"/>
    <mergeCell ref="E16:E17"/>
    <mergeCell ref="F16:F17"/>
    <mergeCell ref="B88:F89"/>
    <mergeCell ref="G16:G17"/>
    <mergeCell ref="A17:A18"/>
    <mergeCell ref="B17:B18"/>
    <mergeCell ref="A74:F74"/>
    <mergeCell ref="A76:B76"/>
    <mergeCell ref="C76:C78"/>
    <mergeCell ref="D76:D78"/>
    <mergeCell ref="E76:E77"/>
    <mergeCell ref="F76:F77"/>
  </mergeCells>
  <dataValidations count="1">
    <dataValidation allowBlank="1" showInputMessage="1" showErrorMessage="1" promptTitle="Date Format" prompt="E.g:  &quot;August 1, 2011&quot;" sqref="G7"/>
  </dataValidations>
  <pageMargins left="1" right="0.75" top="0.25" bottom="0.25" header="0.5" footer="0.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6"/>
  <sheetViews>
    <sheetView showGridLines="0" topLeftCell="J1" zoomScaleNormal="100" workbookViewId="0">
      <selection activeCell="J298" sqref="J298:J300"/>
    </sheetView>
  </sheetViews>
  <sheetFormatPr defaultRowHeight="12.75" x14ac:dyDescent="0.2"/>
  <cols>
    <col min="1" max="1" width="26.7109375" style="946" hidden="1" customWidth="1"/>
    <col min="2" max="2" width="10.5703125" style="946" hidden="1" customWidth="1"/>
    <col min="3" max="7" width="12.7109375" style="946" hidden="1" customWidth="1"/>
    <col min="8" max="8" width="11.85546875" style="946" hidden="1" customWidth="1"/>
    <col min="9" max="9" width="9.140625" style="946" hidden="1" customWidth="1"/>
    <col min="10" max="10" width="61.28515625" style="946" bestFit="1" customWidth="1"/>
    <col min="11" max="15" width="10.5703125" style="946" bestFit="1" customWidth="1"/>
    <col min="16" max="16" width="11.5703125" style="946" bestFit="1" customWidth="1"/>
    <col min="17" max="17" width="10.5703125" style="946" bestFit="1" customWidth="1"/>
    <col min="18" max="16384" width="9.140625" style="946"/>
  </cols>
  <sheetData>
    <row r="1" spans="1:17" x14ac:dyDescent="0.2">
      <c r="P1" s="254" t="s">
        <v>444</v>
      </c>
      <c r="Q1" s="947" t="str">
        <f>'[9]LDC Info'!$E$18</f>
        <v>EB-2012-0107</v>
      </c>
    </row>
    <row r="2" spans="1:17" x14ac:dyDescent="0.2">
      <c r="P2" s="254" t="s">
        <v>445</v>
      </c>
      <c r="Q2" s="948">
        <v>2</v>
      </c>
    </row>
    <row r="3" spans="1:17" x14ac:dyDescent="0.2">
      <c r="P3" s="254" t="s">
        <v>446</v>
      </c>
      <c r="Q3" s="948">
        <v>4</v>
      </c>
    </row>
    <row r="4" spans="1:17" x14ac:dyDescent="0.2">
      <c r="P4" s="254" t="s">
        <v>447</v>
      </c>
      <c r="Q4" s="948">
        <v>3</v>
      </c>
    </row>
    <row r="5" spans="1:17" x14ac:dyDescent="0.2">
      <c r="P5" s="254" t="s">
        <v>1035</v>
      </c>
      <c r="Q5" s="949">
        <v>4</v>
      </c>
    </row>
    <row r="6" spans="1:17" x14ac:dyDescent="0.2">
      <c r="P6" s="254"/>
      <c r="Q6" s="947"/>
    </row>
    <row r="7" spans="1:17" x14ac:dyDescent="0.2">
      <c r="P7" s="254" t="s">
        <v>449</v>
      </c>
      <c r="Q7" s="933"/>
    </row>
    <row r="9" spans="1:17" ht="18" x14ac:dyDescent="0.25">
      <c r="I9" s="968"/>
      <c r="J9" s="1259" t="s">
        <v>53</v>
      </c>
      <c r="K9" s="1259"/>
      <c r="L9" s="1259"/>
      <c r="M9" s="1259"/>
      <c r="N9" s="1259"/>
      <c r="O9" s="1259"/>
      <c r="P9" s="1259"/>
      <c r="Q9" s="1259"/>
    </row>
    <row r="10" spans="1:17" ht="18" x14ac:dyDescent="0.25">
      <c r="I10" s="968"/>
      <c r="J10" s="1259" t="s">
        <v>52</v>
      </c>
      <c r="K10" s="1259"/>
      <c r="L10" s="1259"/>
      <c r="M10" s="1259"/>
      <c r="N10" s="1259"/>
      <c r="O10" s="1259"/>
      <c r="P10" s="1259"/>
      <c r="Q10" s="1259"/>
    </row>
    <row r="12" spans="1:17" ht="13.5" thickBot="1" x14ac:dyDescent="0.25">
      <c r="A12" s="1260"/>
      <c r="B12" s="1260"/>
      <c r="C12" s="1260"/>
      <c r="D12" s="1260"/>
      <c r="E12" s="1260"/>
      <c r="F12" s="1260"/>
      <c r="G12" s="1260"/>
      <c r="H12" s="1260"/>
    </row>
    <row r="13" spans="1:17" ht="25.5" x14ac:dyDescent="0.2">
      <c r="J13" s="969" t="s">
        <v>338</v>
      </c>
      <c r="K13" s="966">
        <f>IF(ISBLANK('[9]LDC Info'!E26), "Year 1", '[9]LDC Info'!E26-5)</f>
        <v>2007</v>
      </c>
      <c r="L13" s="966">
        <f>IF(ISBLANK('[9]LDC Info'!E26), "Year 2", '[9]LDC Info'!E26-4)</f>
        <v>2008</v>
      </c>
      <c r="M13" s="966">
        <f>IF(ISBLANK('[9]LDC Info'!E26), "Year 3", '[9]LDC Info'!E26-3)</f>
        <v>2009</v>
      </c>
      <c r="N13" s="966">
        <f>IF(ISBLANK('[9]LDC Info'!E26), "Year 4", '[9]LDC Info'!E26-2)</f>
        <v>2010</v>
      </c>
      <c r="O13" s="966">
        <f>IF(ISBLANK('[9]LDC Info'!E26), "Year 5", '[9]LDC Info'!E26-1)</f>
        <v>2011</v>
      </c>
      <c r="P13" s="966" t="str">
        <f>'[9]LDC Info'!E26 &amp; " Bridge Year"</f>
        <v>2012 Bridge Year</v>
      </c>
      <c r="Q13" s="970" t="str">
        <f>'[9]LDC Info'!E28 &amp; " Test Year"</f>
        <v>2013 Test Year</v>
      </c>
    </row>
    <row r="14" spans="1:17" x14ac:dyDescent="0.2">
      <c r="J14" s="971" t="s">
        <v>174</v>
      </c>
      <c r="K14" s="972" t="s">
        <v>175</v>
      </c>
      <c r="L14" s="972" t="s">
        <v>175</v>
      </c>
      <c r="M14" s="972" t="s">
        <v>175</v>
      </c>
      <c r="N14" s="972" t="s">
        <v>175</v>
      </c>
      <c r="O14" s="972" t="s">
        <v>175</v>
      </c>
      <c r="P14" s="972" t="s">
        <v>175</v>
      </c>
      <c r="Q14" s="973" t="s">
        <v>176</v>
      </c>
    </row>
    <row r="15" spans="1:17" ht="15" x14ac:dyDescent="0.25">
      <c r="J15" s="974" t="s">
        <v>1038</v>
      </c>
      <c r="K15" s="975">
        <v>1086466.6200000001</v>
      </c>
      <c r="L15" s="975">
        <v>1080104.3999999999</v>
      </c>
      <c r="M15" s="975">
        <v>1441893.8099999998</v>
      </c>
      <c r="N15" s="975">
        <v>1020770.15</v>
      </c>
      <c r="O15" s="975">
        <v>1147502.2616000001</v>
      </c>
      <c r="P15" s="975">
        <v>972710.32000000007</v>
      </c>
      <c r="Q15" s="976">
        <v>1100000</v>
      </c>
    </row>
    <row r="16" spans="1:17" x14ac:dyDescent="0.2">
      <c r="J16" s="977" t="s">
        <v>1039</v>
      </c>
      <c r="K16" s="978"/>
      <c r="L16" s="978"/>
      <c r="M16" s="978"/>
      <c r="N16" s="978"/>
      <c r="O16" s="978">
        <v>4499.99</v>
      </c>
      <c r="P16" s="978"/>
      <c r="Q16" s="979"/>
    </row>
    <row r="17" spans="1:17" x14ac:dyDescent="0.2">
      <c r="J17" s="977" t="s">
        <v>1040</v>
      </c>
      <c r="K17" s="978">
        <v>29075.4</v>
      </c>
      <c r="L17" s="978">
        <v>30796.14</v>
      </c>
      <c r="M17" s="978">
        <v>90166.51999999999</v>
      </c>
      <c r="N17" s="978">
        <v>39071.469999999994</v>
      </c>
      <c r="O17" s="978">
        <v>39460.28</v>
      </c>
      <c r="P17" s="978"/>
      <c r="Q17" s="979"/>
    </row>
    <row r="18" spans="1:17" x14ac:dyDescent="0.2">
      <c r="J18" s="977" t="s">
        <v>1041</v>
      </c>
      <c r="K18" s="978">
        <v>69321.279999999999</v>
      </c>
      <c r="L18" s="978">
        <v>86264.63</v>
      </c>
      <c r="M18" s="978">
        <v>227464.53999999998</v>
      </c>
      <c r="N18" s="978">
        <v>5709.5399999999991</v>
      </c>
      <c r="O18" s="978">
        <v>28962.5</v>
      </c>
      <c r="P18" s="978"/>
      <c r="Q18" s="979"/>
    </row>
    <row r="19" spans="1:17" x14ac:dyDescent="0.2">
      <c r="J19" s="977" t="s">
        <v>1042</v>
      </c>
      <c r="K19" s="978">
        <v>60658.280000000006</v>
      </c>
      <c r="L19" s="978">
        <v>211705.09000000003</v>
      </c>
      <c r="M19" s="978">
        <v>277779.50999999995</v>
      </c>
      <c r="N19" s="978">
        <v>88489.07</v>
      </c>
      <c r="O19" s="978">
        <v>60860.17</v>
      </c>
      <c r="P19" s="978">
        <v>48635.519999999997</v>
      </c>
      <c r="Q19" s="979">
        <v>55000</v>
      </c>
    </row>
    <row r="20" spans="1:17" x14ac:dyDescent="0.2">
      <c r="J20" s="977" t="s">
        <v>1043</v>
      </c>
      <c r="K20" s="978">
        <v>479559.38000000006</v>
      </c>
      <c r="L20" s="978">
        <v>268445.69999999995</v>
      </c>
      <c r="M20" s="978">
        <v>511224.18000000005</v>
      </c>
      <c r="N20" s="978">
        <v>234837.28</v>
      </c>
      <c r="O20" s="978">
        <v>438218.76999999996</v>
      </c>
      <c r="P20" s="978">
        <v>729532.73</v>
      </c>
      <c r="Q20" s="979">
        <v>825000</v>
      </c>
    </row>
    <row r="21" spans="1:17" x14ac:dyDescent="0.2">
      <c r="J21" s="977" t="s">
        <v>1044</v>
      </c>
      <c r="K21" s="978">
        <v>242417.66999999998</v>
      </c>
      <c r="L21" s="978">
        <v>318205.63999999996</v>
      </c>
      <c r="M21" s="978">
        <v>242230.91999999998</v>
      </c>
      <c r="N21" s="978">
        <v>503635.14</v>
      </c>
      <c r="O21" s="978">
        <v>447850.80160000006</v>
      </c>
      <c r="P21" s="978">
        <v>145906.54999999999</v>
      </c>
      <c r="Q21" s="979">
        <v>165000</v>
      </c>
    </row>
    <row r="22" spans="1:17" x14ac:dyDescent="0.2">
      <c r="J22" s="977" t="s">
        <v>1045</v>
      </c>
      <c r="K22" s="978">
        <v>143664.62</v>
      </c>
      <c r="L22" s="978">
        <v>115238.27999999997</v>
      </c>
      <c r="M22" s="978">
        <v>65119.64</v>
      </c>
      <c r="N22" s="978">
        <v>103984.17</v>
      </c>
      <c r="O22" s="978">
        <v>122781.44000000002</v>
      </c>
      <c r="P22" s="978">
        <v>48635.519999999997</v>
      </c>
      <c r="Q22" s="979">
        <v>55000</v>
      </c>
    </row>
    <row r="23" spans="1:17" x14ac:dyDescent="0.2">
      <c r="J23" s="977" t="s">
        <v>1046</v>
      </c>
      <c r="K23" s="978">
        <v>61769.99000000002</v>
      </c>
      <c r="L23" s="978">
        <v>49448.92</v>
      </c>
      <c r="M23" s="978">
        <v>27908.5</v>
      </c>
      <c r="N23" s="978">
        <v>45043.48</v>
      </c>
      <c r="O23" s="978">
        <v>4868.3099999999986</v>
      </c>
      <c r="P23" s="978"/>
      <c r="Q23" s="979"/>
    </row>
    <row r="24" spans="1:17" ht="15" x14ac:dyDescent="0.25">
      <c r="A24" s="980"/>
      <c r="B24" s="981"/>
      <c r="C24" s="982"/>
      <c r="D24" s="982"/>
      <c r="E24" s="982"/>
      <c r="F24" s="982"/>
      <c r="G24" s="982"/>
      <c r="H24" s="982"/>
      <c r="J24" s="974" t="s">
        <v>1047</v>
      </c>
      <c r="K24" s="975">
        <v>28153.64</v>
      </c>
      <c r="L24" s="975">
        <v>217081.96</v>
      </c>
      <c r="M24" s="975">
        <v>21234.23</v>
      </c>
      <c r="N24" s="975">
        <v>713410.22</v>
      </c>
      <c r="O24" s="975"/>
      <c r="P24" s="975">
        <v>2128629</v>
      </c>
      <c r="Q24" s="976"/>
    </row>
    <row r="25" spans="1:17" x14ac:dyDescent="0.2">
      <c r="A25" s="980"/>
      <c r="B25" s="981"/>
      <c r="C25" s="982"/>
      <c r="D25" s="982"/>
      <c r="E25" s="982"/>
      <c r="F25" s="982"/>
      <c r="G25" s="982"/>
      <c r="H25" s="982"/>
      <c r="J25" s="977" t="s">
        <v>1048</v>
      </c>
      <c r="K25" s="978">
        <v>28153.64</v>
      </c>
      <c r="L25" s="978">
        <v>217081.96</v>
      </c>
      <c r="M25" s="978">
        <v>21234.23</v>
      </c>
      <c r="N25" s="978">
        <v>713410.22</v>
      </c>
      <c r="O25" s="978"/>
      <c r="P25" s="978">
        <v>2022197.5499999998</v>
      </c>
      <c r="Q25" s="979"/>
    </row>
    <row r="26" spans="1:17" x14ac:dyDescent="0.2">
      <c r="A26" s="980"/>
      <c r="B26" s="981"/>
      <c r="C26" s="982"/>
      <c r="D26" s="982"/>
      <c r="E26" s="982"/>
      <c r="F26" s="982"/>
      <c r="G26" s="982"/>
      <c r="H26" s="982"/>
      <c r="J26" s="977" t="s">
        <v>1049</v>
      </c>
      <c r="K26" s="978"/>
      <c r="L26" s="978"/>
      <c r="M26" s="978"/>
      <c r="N26" s="978"/>
      <c r="O26" s="978"/>
      <c r="P26" s="978">
        <v>106431.45</v>
      </c>
      <c r="Q26" s="979"/>
    </row>
    <row r="27" spans="1:17" ht="15" x14ac:dyDescent="0.25">
      <c r="A27" s="980"/>
      <c r="B27" s="981"/>
      <c r="C27" s="982"/>
      <c r="D27" s="982"/>
      <c r="E27" s="982"/>
      <c r="F27" s="982"/>
      <c r="G27" s="982"/>
      <c r="H27" s="982"/>
      <c r="J27" s="974" t="s">
        <v>1050</v>
      </c>
      <c r="K27" s="975">
        <v>261890.71</v>
      </c>
      <c r="L27" s="975">
        <v>451897.51</v>
      </c>
      <c r="M27" s="975">
        <v>81492.150000000009</v>
      </c>
      <c r="N27" s="975">
        <v>910628.05</v>
      </c>
      <c r="O27" s="975">
        <v>293419.31</v>
      </c>
      <c r="P27" s="975">
        <v>563920.16</v>
      </c>
      <c r="Q27" s="976">
        <v>450000</v>
      </c>
    </row>
    <row r="28" spans="1:17" x14ac:dyDescent="0.2">
      <c r="A28" s="950"/>
      <c r="B28" s="983"/>
      <c r="C28" s="983"/>
      <c r="D28" s="983"/>
      <c r="E28" s="983"/>
      <c r="F28" s="983"/>
      <c r="G28" s="983"/>
      <c r="H28" s="983"/>
      <c r="J28" s="977" t="s">
        <v>1051</v>
      </c>
      <c r="K28" s="978">
        <v>261890.71</v>
      </c>
      <c r="L28" s="978">
        <v>451897.51</v>
      </c>
      <c r="M28" s="978">
        <v>81492.150000000009</v>
      </c>
      <c r="N28" s="978">
        <v>910628.05</v>
      </c>
      <c r="O28" s="978">
        <v>293419.31</v>
      </c>
      <c r="P28" s="978">
        <v>563920.16</v>
      </c>
      <c r="Q28" s="979">
        <v>450000</v>
      </c>
    </row>
    <row r="29" spans="1:17" ht="15" x14ac:dyDescent="0.25">
      <c r="A29" s="984"/>
      <c r="B29" s="983"/>
      <c r="C29" s="985"/>
      <c r="D29" s="985"/>
      <c r="E29" s="985"/>
      <c r="F29" s="985"/>
      <c r="G29" s="985"/>
      <c r="H29" s="985"/>
      <c r="J29" s="974" t="s">
        <v>1052</v>
      </c>
      <c r="K29" s="975">
        <v>1478.25</v>
      </c>
      <c r="L29" s="975"/>
      <c r="M29" s="975">
        <v>375293.52</v>
      </c>
      <c r="N29" s="975">
        <v>2141779.9</v>
      </c>
      <c r="O29" s="975">
        <v>162189.94</v>
      </c>
      <c r="P29" s="975"/>
      <c r="Q29" s="976"/>
    </row>
    <row r="30" spans="1:17" x14ac:dyDescent="0.2">
      <c r="A30" s="980"/>
      <c r="B30" s="981"/>
      <c r="C30" s="982"/>
      <c r="D30" s="982"/>
      <c r="E30" s="982"/>
      <c r="F30" s="982"/>
      <c r="G30" s="982"/>
      <c r="H30" s="982"/>
      <c r="J30" s="977" t="s">
        <v>1053</v>
      </c>
      <c r="K30" s="978"/>
      <c r="L30" s="978"/>
      <c r="M30" s="978">
        <v>207900</v>
      </c>
      <c r="N30" s="978"/>
      <c r="O30" s="978"/>
      <c r="P30" s="978"/>
      <c r="Q30" s="979"/>
    </row>
    <row r="31" spans="1:17" x14ac:dyDescent="0.2">
      <c r="A31" s="980"/>
      <c r="B31" s="981"/>
      <c r="C31" s="982"/>
      <c r="D31" s="982"/>
      <c r="E31" s="982"/>
      <c r="F31" s="982"/>
      <c r="G31" s="982"/>
      <c r="H31" s="982"/>
      <c r="J31" s="977" t="s">
        <v>1127</v>
      </c>
      <c r="K31" s="978">
        <v>1478.25</v>
      </c>
      <c r="L31" s="978"/>
      <c r="M31" s="978">
        <v>167393.51999999999</v>
      </c>
      <c r="N31" s="978">
        <v>2141779.9</v>
      </c>
      <c r="O31" s="978">
        <v>162189.94</v>
      </c>
      <c r="P31" s="978"/>
      <c r="Q31" s="979"/>
    </row>
    <row r="32" spans="1:17" ht="15" x14ac:dyDescent="0.25">
      <c r="A32" s="980"/>
      <c r="B32" s="981"/>
      <c r="C32" s="982"/>
      <c r="D32" s="982"/>
      <c r="E32" s="982"/>
      <c r="F32" s="982"/>
      <c r="G32" s="982"/>
      <c r="H32" s="982"/>
      <c r="J32" s="974" t="s">
        <v>1055</v>
      </c>
      <c r="K32" s="975">
        <v>76112.81</v>
      </c>
      <c r="L32" s="975">
        <v>51749.47</v>
      </c>
      <c r="M32" s="975">
        <v>195171.08</v>
      </c>
      <c r="N32" s="975">
        <v>411078.84</v>
      </c>
      <c r="O32" s="975">
        <v>428404.47</v>
      </c>
      <c r="P32" s="975">
        <v>426939.48</v>
      </c>
      <c r="Q32" s="976">
        <v>255585</v>
      </c>
    </row>
    <row r="33" spans="1:17" x14ac:dyDescent="0.2">
      <c r="A33" s="980"/>
      <c r="B33" s="981"/>
      <c r="C33" s="982"/>
      <c r="D33" s="982"/>
      <c r="E33" s="982"/>
      <c r="F33" s="982"/>
      <c r="G33" s="982"/>
      <c r="H33" s="982"/>
      <c r="J33" s="977" t="s">
        <v>1127</v>
      </c>
      <c r="K33" s="978">
        <v>76112.81</v>
      </c>
      <c r="L33" s="978">
        <v>51749.47</v>
      </c>
      <c r="M33" s="978">
        <v>195171.08</v>
      </c>
      <c r="N33" s="978">
        <v>411078.84</v>
      </c>
      <c r="O33" s="978">
        <v>428404.47</v>
      </c>
      <c r="P33" s="978">
        <v>426939.48</v>
      </c>
      <c r="Q33" s="979">
        <v>255585</v>
      </c>
    </row>
    <row r="34" spans="1:17" ht="15" x14ac:dyDescent="0.25">
      <c r="A34" s="980"/>
      <c r="B34" s="981"/>
      <c r="C34" s="982"/>
      <c r="D34" s="982"/>
      <c r="E34" s="982"/>
      <c r="F34" s="982"/>
      <c r="G34" s="982"/>
      <c r="H34" s="982"/>
      <c r="J34" s="974" t="s">
        <v>1056</v>
      </c>
      <c r="K34" s="975">
        <v>212937.71</v>
      </c>
      <c r="L34" s="975">
        <v>218597.27000000002</v>
      </c>
      <c r="M34" s="975">
        <v>257729.08000000002</v>
      </c>
      <c r="N34" s="975">
        <v>179707.74</v>
      </c>
      <c r="O34" s="975">
        <v>249478.23999999996</v>
      </c>
      <c r="P34" s="975">
        <v>306005.92</v>
      </c>
      <c r="Q34" s="976">
        <v>301898</v>
      </c>
    </row>
    <row r="35" spans="1:17" x14ac:dyDescent="0.2">
      <c r="A35" s="950"/>
      <c r="B35" s="983"/>
      <c r="C35" s="983"/>
      <c r="D35" s="983"/>
      <c r="E35" s="983"/>
      <c r="F35" s="983"/>
      <c r="G35" s="983"/>
      <c r="H35" s="983"/>
      <c r="J35" s="977" t="s">
        <v>1048</v>
      </c>
      <c r="K35" s="978"/>
      <c r="L35" s="978">
        <v>2956.61</v>
      </c>
      <c r="M35" s="978"/>
      <c r="N35" s="978"/>
      <c r="O35" s="978"/>
      <c r="P35" s="978"/>
      <c r="Q35" s="979"/>
    </row>
    <row r="36" spans="1:17" x14ac:dyDescent="0.2">
      <c r="A36" s="984"/>
      <c r="B36" s="983"/>
      <c r="C36" s="985"/>
      <c r="D36" s="985"/>
      <c r="E36" s="985"/>
      <c r="F36" s="985"/>
      <c r="G36" s="985"/>
      <c r="H36" s="985"/>
      <c r="J36" s="977" t="s">
        <v>1049</v>
      </c>
      <c r="K36" s="978">
        <v>8829.2099999999991</v>
      </c>
      <c r="L36" s="978">
        <v>17860.28</v>
      </c>
      <c r="M36" s="978">
        <v>21721.79</v>
      </c>
      <c r="N36" s="978"/>
      <c r="O36" s="978"/>
      <c r="P36" s="978"/>
      <c r="Q36" s="979"/>
    </row>
    <row r="37" spans="1:17" x14ac:dyDescent="0.2">
      <c r="A37" s="980"/>
      <c r="B37" s="981"/>
      <c r="C37" s="982"/>
      <c r="D37" s="982"/>
      <c r="E37" s="982"/>
      <c r="F37" s="982"/>
      <c r="G37" s="982"/>
      <c r="H37" s="982"/>
      <c r="J37" s="977" t="s">
        <v>1053</v>
      </c>
      <c r="K37" s="978">
        <v>185050.55</v>
      </c>
      <c r="L37" s="978">
        <v>174386.68000000002</v>
      </c>
      <c r="M37" s="978">
        <v>236007.29</v>
      </c>
      <c r="N37" s="978">
        <v>179707.74</v>
      </c>
      <c r="O37" s="978">
        <v>242081.82999999996</v>
      </c>
      <c r="P37" s="978">
        <v>306005.92</v>
      </c>
      <c r="Q37" s="979">
        <v>301898</v>
      </c>
    </row>
    <row r="38" spans="1:17" x14ac:dyDescent="0.2">
      <c r="A38" s="980"/>
      <c r="B38" s="981"/>
      <c r="C38" s="982"/>
      <c r="D38" s="982"/>
      <c r="E38" s="982"/>
      <c r="F38" s="982"/>
      <c r="G38" s="982"/>
      <c r="H38" s="982"/>
      <c r="J38" s="977" t="s">
        <v>1127</v>
      </c>
      <c r="K38" s="978">
        <v>11821.949999999999</v>
      </c>
      <c r="L38" s="978">
        <v>23393.7</v>
      </c>
      <c r="M38" s="978"/>
      <c r="N38" s="978"/>
      <c r="O38" s="978">
        <v>7396.41</v>
      </c>
      <c r="P38" s="978"/>
      <c r="Q38" s="979"/>
    </row>
    <row r="39" spans="1:17" x14ac:dyDescent="0.2">
      <c r="A39" s="980"/>
      <c r="B39" s="981"/>
      <c r="C39" s="982"/>
      <c r="D39" s="982"/>
      <c r="E39" s="982"/>
      <c r="F39" s="982"/>
      <c r="G39" s="982"/>
      <c r="H39" s="982"/>
      <c r="J39" s="977" t="s">
        <v>1057</v>
      </c>
      <c r="K39" s="978">
        <v>7236</v>
      </c>
      <c r="L39" s="978"/>
      <c r="M39" s="978"/>
      <c r="N39" s="978"/>
      <c r="O39" s="978"/>
      <c r="P39" s="978"/>
      <c r="Q39" s="979"/>
    </row>
    <row r="40" spans="1:17" ht="15" x14ac:dyDescent="0.25">
      <c r="A40" s="980"/>
      <c r="B40" s="981"/>
      <c r="C40" s="982"/>
      <c r="D40" s="982"/>
      <c r="E40" s="982"/>
      <c r="F40" s="982"/>
      <c r="G40" s="982"/>
      <c r="H40" s="982"/>
      <c r="J40" s="974" t="s">
        <v>1058</v>
      </c>
      <c r="K40" s="975">
        <v>115647.87</v>
      </c>
      <c r="L40" s="975">
        <v>52956.08</v>
      </c>
      <c r="M40" s="975">
        <v>154166.97</v>
      </c>
      <c r="N40" s="975">
        <v>199545.61000000004</v>
      </c>
      <c r="O40" s="975">
        <v>269614.06199999998</v>
      </c>
      <c r="P40" s="975">
        <v>401708.83</v>
      </c>
      <c r="Q40" s="976">
        <v>250000</v>
      </c>
    </row>
    <row r="41" spans="1:17" x14ac:dyDescent="0.2">
      <c r="A41" s="980"/>
      <c r="B41" s="981"/>
      <c r="C41" s="982"/>
      <c r="D41" s="982"/>
      <c r="E41" s="982"/>
      <c r="F41" s="982"/>
      <c r="G41" s="982"/>
      <c r="H41" s="982"/>
      <c r="J41" s="977" t="s">
        <v>1040</v>
      </c>
      <c r="K41" s="978">
        <v>115647.87</v>
      </c>
      <c r="L41" s="978">
        <v>46348.560000000005</v>
      </c>
      <c r="M41" s="978">
        <v>149108.13</v>
      </c>
      <c r="N41" s="978">
        <v>175181.43000000002</v>
      </c>
      <c r="O41" s="978">
        <v>261253</v>
      </c>
      <c r="P41" s="978">
        <v>401708.83</v>
      </c>
      <c r="Q41" s="979">
        <v>250000</v>
      </c>
    </row>
    <row r="42" spans="1:17" x14ac:dyDescent="0.2">
      <c r="A42" s="950"/>
      <c r="B42" s="983"/>
      <c r="C42" s="983"/>
      <c r="D42" s="983"/>
      <c r="E42" s="983"/>
      <c r="F42" s="983"/>
      <c r="G42" s="983"/>
      <c r="H42" s="983"/>
      <c r="J42" s="977" t="s">
        <v>1041</v>
      </c>
      <c r="K42" s="978"/>
      <c r="L42" s="978">
        <v>6607.52</v>
      </c>
      <c r="M42" s="978">
        <v>2527.3200000000002</v>
      </c>
      <c r="N42" s="978">
        <v>24364.180000000008</v>
      </c>
      <c r="O42" s="978">
        <v>4863.1900000000005</v>
      </c>
      <c r="P42" s="978"/>
      <c r="Q42" s="979"/>
    </row>
    <row r="43" spans="1:17" x14ac:dyDescent="0.2">
      <c r="A43" s="984"/>
      <c r="B43" s="981"/>
      <c r="C43" s="982"/>
      <c r="D43" s="982"/>
      <c r="E43" s="982"/>
      <c r="F43" s="982"/>
      <c r="G43" s="982"/>
      <c r="H43" s="982"/>
      <c r="J43" s="977" t="s">
        <v>1044</v>
      </c>
      <c r="K43" s="978"/>
      <c r="L43" s="978"/>
      <c r="M43" s="978">
        <v>2531.52</v>
      </c>
      <c r="N43" s="978"/>
      <c r="O43" s="978">
        <v>3497.8719999999998</v>
      </c>
      <c r="P43" s="978"/>
      <c r="Q43" s="979"/>
    </row>
    <row r="44" spans="1:17" ht="15" x14ac:dyDescent="0.25">
      <c r="A44" s="950"/>
      <c r="B44" s="986"/>
      <c r="C44" s="986"/>
      <c r="D44" s="986"/>
      <c r="E44" s="986"/>
      <c r="F44" s="986"/>
      <c r="G44" s="986"/>
      <c r="H44" s="986"/>
      <c r="J44" s="974" t="s">
        <v>1059</v>
      </c>
      <c r="K44" s="975">
        <v>194899.09999999998</v>
      </c>
      <c r="L44" s="975">
        <v>230738.56</v>
      </c>
      <c r="M44" s="975">
        <v>162102.03</v>
      </c>
      <c r="N44" s="975">
        <v>207742.82000000004</v>
      </c>
      <c r="O44" s="975">
        <v>187048.25999999998</v>
      </c>
      <c r="P44" s="975">
        <v>238055.56</v>
      </c>
      <c r="Q44" s="976">
        <v>210000</v>
      </c>
    </row>
    <row r="45" spans="1:17" x14ac:dyDescent="0.2">
      <c r="A45" s="951"/>
      <c r="B45" s="951"/>
      <c r="C45" s="951"/>
      <c r="D45" s="951"/>
      <c r="E45" s="951"/>
      <c r="F45" s="951"/>
      <c r="G45" s="951"/>
      <c r="H45" s="951"/>
      <c r="J45" s="977" t="s">
        <v>1060</v>
      </c>
      <c r="K45" s="978"/>
      <c r="L45" s="978"/>
      <c r="M45" s="978"/>
      <c r="N45" s="978"/>
      <c r="O45" s="978">
        <v>7672</v>
      </c>
      <c r="P45" s="978"/>
      <c r="Q45" s="979"/>
    </row>
    <row r="46" spans="1:17" x14ac:dyDescent="0.2">
      <c r="A46" s="951"/>
      <c r="B46" s="951"/>
      <c r="C46" s="951"/>
      <c r="D46" s="951"/>
      <c r="E46" s="951"/>
      <c r="F46" s="951"/>
      <c r="G46" s="951"/>
      <c r="H46" s="951"/>
      <c r="J46" s="977" t="s">
        <v>1039</v>
      </c>
      <c r="K46" s="978">
        <v>35894.479999999996</v>
      </c>
      <c r="L46" s="978"/>
      <c r="M46" s="978"/>
      <c r="N46" s="978"/>
      <c r="O46" s="978">
        <v>20371.13</v>
      </c>
      <c r="P46" s="978"/>
      <c r="Q46" s="979"/>
    </row>
    <row r="47" spans="1:17" x14ac:dyDescent="0.2">
      <c r="A47" s="951"/>
      <c r="B47" s="951"/>
      <c r="C47" s="951"/>
      <c r="D47" s="951"/>
      <c r="E47" s="951"/>
      <c r="F47" s="951"/>
      <c r="G47" s="951"/>
      <c r="H47" s="951"/>
      <c r="J47" s="977" t="s">
        <v>1040</v>
      </c>
      <c r="K47" s="978">
        <v>2277.17</v>
      </c>
      <c r="L47" s="978"/>
      <c r="M47" s="978"/>
      <c r="N47" s="978">
        <v>3403.0099999999998</v>
      </c>
      <c r="O47" s="978">
        <v>16391.509999999998</v>
      </c>
      <c r="P47" s="978"/>
      <c r="Q47" s="979"/>
    </row>
    <row r="48" spans="1:17" x14ac:dyDescent="0.2">
      <c r="A48" s="951"/>
      <c r="B48" s="951"/>
      <c r="C48" s="951"/>
      <c r="D48" s="951"/>
      <c r="E48" s="951"/>
      <c r="F48" s="951"/>
      <c r="G48" s="951"/>
      <c r="H48" s="951"/>
      <c r="J48" s="977" t="s">
        <v>1041</v>
      </c>
      <c r="K48" s="978">
        <v>14303.470000000001</v>
      </c>
      <c r="L48" s="978"/>
      <c r="M48" s="978">
        <v>24625.97</v>
      </c>
      <c r="N48" s="978">
        <v>1100</v>
      </c>
      <c r="O48" s="978">
        <v>7823.96</v>
      </c>
      <c r="P48" s="978"/>
      <c r="Q48" s="979"/>
    </row>
    <row r="49" spans="1:17" x14ac:dyDescent="0.2">
      <c r="A49" s="951"/>
      <c r="B49" s="951"/>
      <c r="C49" s="951"/>
      <c r="D49" s="951"/>
      <c r="E49" s="951"/>
      <c r="F49" s="951"/>
      <c r="G49" s="951"/>
      <c r="H49" s="951"/>
      <c r="J49" s="977" t="s">
        <v>1043</v>
      </c>
      <c r="K49" s="978">
        <v>10758.329999999998</v>
      </c>
      <c r="L49" s="978"/>
      <c r="M49" s="978"/>
      <c r="N49" s="978"/>
      <c r="O49" s="978">
        <v>78939.87999999999</v>
      </c>
      <c r="P49" s="978">
        <v>119027.78</v>
      </c>
      <c r="Q49" s="979">
        <v>105000</v>
      </c>
    </row>
    <row r="50" spans="1:17" x14ac:dyDescent="0.2">
      <c r="J50" s="977" t="s">
        <v>1044</v>
      </c>
      <c r="K50" s="978">
        <v>19238.04</v>
      </c>
      <c r="L50" s="978"/>
      <c r="M50" s="978"/>
      <c r="N50" s="978"/>
      <c r="O50" s="978">
        <v>22219.35</v>
      </c>
      <c r="P50" s="978"/>
      <c r="Q50" s="979"/>
    </row>
    <row r="51" spans="1:17" x14ac:dyDescent="0.2">
      <c r="J51" s="977" t="s">
        <v>1045</v>
      </c>
      <c r="K51" s="978"/>
      <c r="L51" s="978">
        <v>3313.45</v>
      </c>
      <c r="M51" s="978"/>
      <c r="N51" s="978"/>
      <c r="O51" s="978"/>
      <c r="P51" s="978"/>
      <c r="Q51" s="979"/>
    </row>
    <row r="52" spans="1:17" x14ac:dyDescent="0.2">
      <c r="J52" s="977" t="s">
        <v>1048</v>
      </c>
      <c r="K52" s="978">
        <v>36106.490000000005</v>
      </c>
      <c r="L52" s="978">
        <v>72932.290000000008</v>
      </c>
      <c r="M52" s="978">
        <v>37628.959999999999</v>
      </c>
      <c r="N52" s="978">
        <v>24783.640000000003</v>
      </c>
      <c r="O52" s="978">
        <v>3334.9900000000002</v>
      </c>
      <c r="P52" s="978">
        <v>59513.89</v>
      </c>
      <c r="Q52" s="979">
        <v>52500</v>
      </c>
    </row>
    <row r="53" spans="1:17" ht="12.75" customHeight="1" x14ac:dyDescent="0.2">
      <c r="A53" s="1261" t="s">
        <v>976</v>
      </c>
      <c r="B53" s="1261"/>
      <c r="C53" s="1261"/>
      <c r="D53" s="1261"/>
      <c r="E53" s="1261"/>
      <c r="F53" s="1261"/>
      <c r="G53" s="1261"/>
      <c r="H53" s="1261"/>
      <c r="I53" s="1261"/>
      <c r="J53" s="977" t="s">
        <v>1049</v>
      </c>
      <c r="K53" s="978">
        <v>3342.93</v>
      </c>
      <c r="L53" s="978">
        <v>65685.279999999999</v>
      </c>
      <c r="M53" s="978"/>
      <c r="N53" s="978">
        <v>1076.8900000000001</v>
      </c>
      <c r="O53" s="978">
        <v>7320.5199999999995</v>
      </c>
      <c r="P53" s="978"/>
      <c r="Q53" s="979"/>
    </row>
    <row r="54" spans="1:17" x14ac:dyDescent="0.2">
      <c r="A54" s="1261"/>
      <c r="B54" s="1261"/>
      <c r="C54" s="1261"/>
      <c r="D54" s="1261"/>
      <c r="E54" s="1261"/>
      <c r="F54" s="1261"/>
      <c r="G54" s="1261"/>
      <c r="H54" s="1261"/>
      <c r="I54" s="1261"/>
      <c r="J54" s="977" t="s">
        <v>1053</v>
      </c>
      <c r="K54" s="978">
        <v>9940.32</v>
      </c>
      <c r="L54" s="978"/>
      <c r="M54" s="978">
        <v>49757</v>
      </c>
      <c r="N54" s="978"/>
      <c r="O54" s="978"/>
      <c r="P54" s="978"/>
      <c r="Q54" s="979"/>
    </row>
    <row r="55" spans="1:17" x14ac:dyDescent="0.2">
      <c r="J55" s="977" t="s">
        <v>1127</v>
      </c>
      <c r="K55" s="978">
        <v>28503.66</v>
      </c>
      <c r="L55" s="978">
        <v>4001.43</v>
      </c>
      <c r="M55" s="978">
        <v>18550</v>
      </c>
      <c r="N55" s="978">
        <v>120679.59</v>
      </c>
      <c r="O55" s="978"/>
      <c r="P55" s="978"/>
      <c r="Q55" s="979"/>
    </row>
    <row r="56" spans="1:17" x14ac:dyDescent="0.2">
      <c r="A56" s="254"/>
      <c r="J56" s="977" t="s">
        <v>1051</v>
      </c>
      <c r="K56" s="978">
        <v>31067.41</v>
      </c>
      <c r="L56" s="978">
        <v>64640.31</v>
      </c>
      <c r="M56" s="978">
        <v>31540.1</v>
      </c>
      <c r="N56" s="978">
        <v>26204.14</v>
      </c>
      <c r="O56" s="978">
        <v>21465.920000000002</v>
      </c>
      <c r="P56" s="978">
        <v>59513.89</v>
      </c>
      <c r="Q56" s="979">
        <v>52500</v>
      </c>
    </row>
    <row r="57" spans="1:17" x14ac:dyDescent="0.2">
      <c r="J57" s="977" t="s">
        <v>1061</v>
      </c>
      <c r="K57" s="978">
        <v>3466.8</v>
      </c>
      <c r="L57" s="978">
        <v>18103.690000000002</v>
      </c>
      <c r="M57" s="978"/>
      <c r="N57" s="978">
        <v>12288.349999999999</v>
      </c>
      <c r="O57" s="978"/>
      <c r="P57" s="978"/>
      <c r="Q57" s="979"/>
    </row>
    <row r="58" spans="1:17" x14ac:dyDescent="0.2">
      <c r="J58" s="977" t="s">
        <v>1062</v>
      </c>
      <c r="K58" s="978"/>
      <c r="L58" s="978"/>
      <c r="M58" s="978"/>
      <c r="N58" s="978">
        <v>17482.61</v>
      </c>
      <c r="O58" s="978"/>
      <c r="P58" s="978"/>
      <c r="Q58" s="979"/>
    </row>
    <row r="59" spans="1:17" x14ac:dyDescent="0.2">
      <c r="J59" s="977" t="s">
        <v>1063</v>
      </c>
      <c r="K59" s="978"/>
      <c r="L59" s="978">
        <v>2062.11</v>
      </c>
      <c r="M59" s="978"/>
      <c r="N59" s="978">
        <v>724.59</v>
      </c>
      <c r="O59" s="978">
        <v>1509</v>
      </c>
      <c r="P59" s="978"/>
      <c r="Q59" s="979"/>
    </row>
    <row r="60" spans="1:17" ht="15" x14ac:dyDescent="0.25">
      <c r="J60" s="974" t="s">
        <v>1064</v>
      </c>
      <c r="K60" s="975">
        <v>67593.930000000008</v>
      </c>
      <c r="L60" s="975">
        <v>96455.93</v>
      </c>
      <c r="M60" s="975">
        <v>268983.83</v>
      </c>
      <c r="N60" s="975">
        <v>90217.67</v>
      </c>
      <c r="O60" s="975">
        <v>179199.47520000002</v>
      </c>
      <c r="P60" s="975">
        <v>170700</v>
      </c>
      <c r="Q60" s="976">
        <v>180000</v>
      </c>
    </row>
    <row r="61" spans="1:17" x14ac:dyDescent="0.2">
      <c r="J61" s="977" t="s">
        <v>1039</v>
      </c>
      <c r="K61" s="978"/>
      <c r="L61" s="978"/>
      <c r="M61" s="978">
        <v>2572.4</v>
      </c>
      <c r="N61" s="978"/>
      <c r="O61" s="978">
        <v>19230.760000000002</v>
      </c>
      <c r="P61" s="978"/>
      <c r="Q61" s="979"/>
    </row>
    <row r="62" spans="1:17" x14ac:dyDescent="0.2">
      <c r="J62" s="977" t="s">
        <v>1040</v>
      </c>
      <c r="K62" s="978"/>
      <c r="L62" s="978">
        <v>11944.46</v>
      </c>
      <c r="M62" s="978">
        <v>808.5</v>
      </c>
      <c r="N62" s="978">
        <v>11753.73</v>
      </c>
      <c r="O62" s="978"/>
      <c r="P62" s="978">
        <v>93885</v>
      </c>
      <c r="Q62" s="979">
        <v>99000</v>
      </c>
    </row>
    <row r="63" spans="1:17" x14ac:dyDescent="0.2">
      <c r="J63" s="977" t="s">
        <v>1041</v>
      </c>
      <c r="K63" s="978">
        <v>55919.15</v>
      </c>
      <c r="L63" s="978">
        <v>65626.53</v>
      </c>
      <c r="M63" s="978">
        <v>258322.07</v>
      </c>
      <c r="N63" s="978">
        <v>75543.600000000006</v>
      </c>
      <c r="O63" s="978">
        <v>137260.76</v>
      </c>
      <c r="P63" s="978"/>
      <c r="Q63" s="979"/>
    </row>
    <row r="64" spans="1:17" x14ac:dyDescent="0.2">
      <c r="J64" s="977" t="s">
        <v>1043</v>
      </c>
      <c r="K64" s="978"/>
      <c r="L64" s="978"/>
      <c r="M64" s="978">
        <v>220.28</v>
      </c>
      <c r="N64" s="978">
        <v>2810.3399999999997</v>
      </c>
      <c r="O64" s="978"/>
      <c r="P64" s="978"/>
      <c r="Q64" s="979"/>
    </row>
    <row r="65" spans="10:17" x14ac:dyDescent="0.2">
      <c r="J65" s="977" t="s">
        <v>1044</v>
      </c>
      <c r="K65" s="978">
        <v>11674.78</v>
      </c>
      <c r="L65" s="978">
        <v>18884.940000000002</v>
      </c>
      <c r="M65" s="978">
        <v>7060.58</v>
      </c>
      <c r="N65" s="978">
        <v>110</v>
      </c>
      <c r="O65" s="978">
        <v>22165.035199999998</v>
      </c>
      <c r="P65" s="978">
        <v>76815</v>
      </c>
      <c r="Q65" s="979">
        <v>81000</v>
      </c>
    </row>
    <row r="66" spans="10:17" x14ac:dyDescent="0.2">
      <c r="J66" s="977" t="s">
        <v>1045</v>
      </c>
      <c r="K66" s="978"/>
      <c r="L66" s="978"/>
      <c r="M66" s="978"/>
      <c r="N66" s="978"/>
      <c r="O66" s="978">
        <v>542.91999999999996</v>
      </c>
      <c r="P66" s="978"/>
      <c r="Q66" s="979"/>
    </row>
    <row r="67" spans="10:17" ht="15" x14ac:dyDescent="0.25">
      <c r="J67" s="974" t="s">
        <v>1065</v>
      </c>
      <c r="K67" s="975">
        <v>232685.74999999994</v>
      </c>
      <c r="L67" s="975">
        <v>-168901.19000000012</v>
      </c>
      <c r="M67" s="975">
        <v>188058.62</v>
      </c>
      <c r="N67" s="975">
        <v>283794.8899999999</v>
      </c>
      <c r="O67" s="975">
        <v>63942.302400000022</v>
      </c>
      <c r="P67" s="975">
        <v>170700</v>
      </c>
      <c r="Q67" s="976">
        <v>150000</v>
      </c>
    </row>
    <row r="68" spans="10:17" x14ac:dyDescent="0.2">
      <c r="J68" s="977" t="s">
        <v>1044</v>
      </c>
      <c r="K68" s="978">
        <v>232685.74999999994</v>
      </c>
      <c r="L68" s="978">
        <v>-168901.19000000012</v>
      </c>
      <c r="M68" s="978">
        <v>188058.62</v>
      </c>
      <c r="N68" s="978">
        <v>283794.8899999999</v>
      </c>
      <c r="O68" s="978">
        <v>63942.302400000022</v>
      </c>
      <c r="P68" s="978">
        <v>170700</v>
      </c>
      <c r="Q68" s="979">
        <v>150000</v>
      </c>
    </row>
    <row r="69" spans="10:17" ht="15" x14ac:dyDescent="0.25">
      <c r="J69" s="974" t="s">
        <v>1066</v>
      </c>
      <c r="K69" s="975">
        <v>74171.759999999995</v>
      </c>
      <c r="L69" s="975">
        <v>68304.009999999995</v>
      </c>
      <c r="M69" s="975">
        <v>100971.71</v>
      </c>
      <c r="N69" s="975">
        <v>92327.889999999985</v>
      </c>
      <c r="O69" s="975">
        <v>180277.73</v>
      </c>
      <c r="P69" s="975">
        <v>134526.39000000001</v>
      </c>
      <c r="Q69" s="976">
        <v>141494</v>
      </c>
    </row>
    <row r="70" spans="10:17" x14ac:dyDescent="0.2">
      <c r="J70" s="977" t="s">
        <v>1054</v>
      </c>
      <c r="K70" s="978">
        <v>74171.759999999995</v>
      </c>
      <c r="L70" s="978">
        <v>68304.009999999995</v>
      </c>
      <c r="M70" s="978">
        <v>100971.71</v>
      </c>
      <c r="N70" s="978">
        <v>92327.889999999985</v>
      </c>
      <c r="O70" s="978">
        <v>180277.73</v>
      </c>
      <c r="P70" s="978">
        <v>134526.39000000001</v>
      </c>
      <c r="Q70" s="979">
        <v>141494</v>
      </c>
    </row>
    <row r="71" spans="10:17" ht="15" x14ac:dyDescent="0.25">
      <c r="J71" s="974" t="s">
        <v>1067</v>
      </c>
      <c r="K71" s="975">
        <v>58741.47</v>
      </c>
      <c r="L71" s="975">
        <v>64923.599999999991</v>
      </c>
      <c r="M71" s="975">
        <v>99404.479999999996</v>
      </c>
      <c r="N71" s="975">
        <v>131403.1</v>
      </c>
      <c r="O71" s="975">
        <v>97714.080000000031</v>
      </c>
      <c r="P71" s="975">
        <v>159136.78</v>
      </c>
      <c r="Q71" s="976">
        <v>146857</v>
      </c>
    </row>
    <row r="72" spans="10:17" x14ac:dyDescent="0.2">
      <c r="J72" s="977" t="s">
        <v>1053</v>
      </c>
      <c r="K72" s="978">
        <v>57256.130000000005</v>
      </c>
      <c r="L72" s="978">
        <v>63215.399999999994</v>
      </c>
      <c r="M72" s="978">
        <v>96501.209999999992</v>
      </c>
      <c r="N72" s="978">
        <v>131403.1</v>
      </c>
      <c r="O72" s="978">
        <v>97714.080000000031</v>
      </c>
      <c r="P72" s="978">
        <v>159136.78</v>
      </c>
      <c r="Q72" s="979">
        <v>146857</v>
      </c>
    </row>
    <row r="73" spans="10:17" x14ac:dyDescent="0.2">
      <c r="J73" s="977" t="s">
        <v>1127</v>
      </c>
      <c r="K73" s="978">
        <v>1485.34</v>
      </c>
      <c r="L73" s="978">
        <v>1708.2</v>
      </c>
      <c r="M73" s="978">
        <v>2903.27</v>
      </c>
      <c r="N73" s="978"/>
      <c r="O73" s="978"/>
      <c r="P73" s="978"/>
      <c r="Q73" s="979"/>
    </row>
    <row r="74" spans="10:17" ht="15" x14ac:dyDescent="0.25">
      <c r="J74" s="974" t="s">
        <v>1068</v>
      </c>
      <c r="K74" s="975">
        <v>125228.35</v>
      </c>
      <c r="L74" s="975">
        <v>152690.17000000001</v>
      </c>
      <c r="M74" s="975">
        <v>65619.899999999994</v>
      </c>
      <c r="N74" s="975">
        <v>80501.349999999991</v>
      </c>
      <c r="O74" s="975">
        <v>88097.599999999991</v>
      </c>
      <c r="P74" s="975">
        <v>104945.22</v>
      </c>
      <c r="Q74" s="976">
        <v>98043</v>
      </c>
    </row>
    <row r="75" spans="10:17" x14ac:dyDescent="0.2">
      <c r="J75" s="977" t="s">
        <v>1053</v>
      </c>
      <c r="K75" s="978">
        <v>45649.86</v>
      </c>
      <c r="L75" s="978">
        <v>57800.46</v>
      </c>
      <c r="M75" s="978">
        <v>28485.730000000003</v>
      </c>
      <c r="N75" s="978">
        <v>20125.32</v>
      </c>
      <c r="O75" s="978">
        <v>19821.88</v>
      </c>
      <c r="P75" s="978">
        <v>41978.09</v>
      </c>
      <c r="Q75" s="979">
        <v>39217.199999999997</v>
      </c>
    </row>
    <row r="76" spans="10:17" x14ac:dyDescent="0.2">
      <c r="J76" s="977" t="s">
        <v>1127</v>
      </c>
      <c r="K76" s="978">
        <v>79578.490000000005</v>
      </c>
      <c r="L76" s="978">
        <v>94889.71</v>
      </c>
      <c r="M76" s="978">
        <v>37134.17</v>
      </c>
      <c r="N76" s="978">
        <v>60376.029999999992</v>
      </c>
      <c r="O76" s="978">
        <v>68275.719999999987</v>
      </c>
      <c r="P76" s="978">
        <v>62967.13</v>
      </c>
      <c r="Q76" s="979">
        <v>58825.8</v>
      </c>
    </row>
    <row r="77" spans="10:17" ht="15" x14ac:dyDescent="0.25">
      <c r="J77" s="974" t="s">
        <v>1069</v>
      </c>
      <c r="K77" s="975"/>
      <c r="L77" s="975">
        <v>148438.39999999999</v>
      </c>
      <c r="M77" s="975">
        <v>16963.349999999999</v>
      </c>
      <c r="N77" s="975">
        <v>16021.65</v>
      </c>
      <c r="O77" s="975">
        <v>143368.9964</v>
      </c>
      <c r="P77" s="975">
        <v>223677.14</v>
      </c>
      <c r="Q77" s="976">
        <v>150000</v>
      </c>
    </row>
    <row r="78" spans="10:17" x14ac:dyDescent="0.2">
      <c r="J78" s="977" t="s">
        <v>1040</v>
      </c>
      <c r="K78" s="978"/>
      <c r="L78" s="978">
        <v>58091</v>
      </c>
      <c r="M78" s="978"/>
      <c r="N78" s="978"/>
      <c r="O78" s="978">
        <v>25878.66</v>
      </c>
      <c r="P78" s="978">
        <v>145390.14000000001</v>
      </c>
      <c r="Q78" s="979">
        <v>97500</v>
      </c>
    </row>
    <row r="79" spans="10:17" x14ac:dyDescent="0.2">
      <c r="J79" s="977" t="s">
        <v>1041</v>
      </c>
      <c r="K79" s="978"/>
      <c r="L79" s="978">
        <v>89212.18</v>
      </c>
      <c r="M79" s="978">
        <v>1371.29</v>
      </c>
      <c r="N79" s="978"/>
      <c r="O79" s="978">
        <v>77635.830000000016</v>
      </c>
      <c r="P79" s="978">
        <v>55919.29</v>
      </c>
      <c r="Q79" s="979">
        <v>37500</v>
      </c>
    </row>
    <row r="80" spans="10:17" x14ac:dyDescent="0.2">
      <c r="J80" s="977" t="s">
        <v>1042</v>
      </c>
      <c r="K80" s="978"/>
      <c r="L80" s="978"/>
      <c r="M80" s="978">
        <v>3210.58</v>
      </c>
      <c r="N80" s="978">
        <v>192.97</v>
      </c>
      <c r="O80" s="978"/>
      <c r="P80" s="978"/>
      <c r="Q80" s="979"/>
    </row>
    <row r="81" spans="10:17" x14ac:dyDescent="0.2">
      <c r="J81" s="977" t="s">
        <v>1043</v>
      </c>
      <c r="K81" s="978"/>
      <c r="L81" s="978">
        <v>1135.22</v>
      </c>
      <c r="M81" s="978"/>
      <c r="N81" s="978">
        <v>8303.84</v>
      </c>
      <c r="O81" s="978"/>
      <c r="P81" s="978"/>
      <c r="Q81" s="979"/>
    </row>
    <row r="82" spans="10:17" x14ac:dyDescent="0.2">
      <c r="J82" s="977" t="s">
        <v>1044</v>
      </c>
      <c r="K82" s="978"/>
      <c r="L82" s="978"/>
      <c r="M82" s="978">
        <v>12381.48</v>
      </c>
      <c r="N82" s="978">
        <v>7524.84</v>
      </c>
      <c r="O82" s="978">
        <v>39854.506399999998</v>
      </c>
      <c r="P82" s="978">
        <v>22367.71</v>
      </c>
      <c r="Q82" s="979">
        <v>15000</v>
      </c>
    </row>
    <row r="83" spans="10:17" ht="15" x14ac:dyDescent="0.25">
      <c r="J83" s="974" t="s">
        <v>1070</v>
      </c>
      <c r="K83" s="975">
        <v>87111.57</v>
      </c>
      <c r="L83" s="975">
        <v>98854.9</v>
      </c>
      <c r="M83" s="975">
        <v>87470.44</v>
      </c>
      <c r="N83" s="975">
        <v>82004.479999999996</v>
      </c>
      <c r="O83" s="975">
        <v>81232.229999999981</v>
      </c>
      <c r="P83" s="975">
        <v>96730</v>
      </c>
      <c r="Q83" s="976">
        <v>160000</v>
      </c>
    </row>
    <row r="84" spans="10:17" x14ac:dyDescent="0.2">
      <c r="J84" s="977" t="s">
        <v>1048</v>
      </c>
      <c r="K84" s="978">
        <v>84590.24</v>
      </c>
      <c r="L84" s="978">
        <v>98854.9</v>
      </c>
      <c r="M84" s="978">
        <v>87470.44</v>
      </c>
      <c r="N84" s="978">
        <v>81647.06</v>
      </c>
      <c r="O84" s="978">
        <v>81232.229999999981</v>
      </c>
      <c r="P84" s="978">
        <v>96730</v>
      </c>
      <c r="Q84" s="979">
        <v>160000</v>
      </c>
    </row>
    <row r="85" spans="10:17" x14ac:dyDescent="0.2">
      <c r="J85" s="977" t="s">
        <v>1049</v>
      </c>
      <c r="K85" s="978"/>
      <c r="L85" s="978"/>
      <c r="M85" s="978"/>
      <c r="N85" s="978">
        <v>357.42</v>
      </c>
      <c r="O85" s="978"/>
      <c r="P85" s="978"/>
      <c r="Q85" s="979"/>
    </row>
    <row r="86" spans="10:17" x14ac:dyDescent="0.2">
      <c r="J86" s="977" t="s">
        <v>1061</v>
      </c>
      <c r="K86" s="978">
        <v>2521.33</v>
      </c>
      <c r="L86" s="978"/>
      <c r="M86" s="978"/>
      <c r="N86" s="978"/>
      <c r="O86" s="978"/>
      <c r="P86" s="978"/>
      <c r="Q86" s="979"/>
    </row>
    <row r="87" spans="10:17" ht="15" x14ac:dyDescent="0.25">
      <c r="J87" s="974" t="s">
        <v>1071</v>
      </c>
      <c r="K87" s="975"/>
      <c r="L87" s="975"/>
      <c r="M87" s="975"/>
      <c r="N87" s="975"/>
      <c r="O87" s="975"/>
      <c r="P87" s="975">
        <v>649877</v>
      </c>
      <c r="Q87" s="976"/>
    </row>
    <row r="88" spans="10:17" x14ac:dyDescent="0.2">
      <c r="J88" s="977" t="s">
        <v>1053</v>
      </c>
      <c r="K88" s="978"/>
      <c r="L88" s="978"/>
      <c r="M88" s="978"/>
      <c r="N88" s="978"/>
      <c r="O88" s="978"/>
      <c r="P88" s="978">
        <v>139431</v>
      </c>
      <c r="Q88" s="979"/>
    </row>
    <row r="89" spans="10:17" x14ac:dyDescent="0.2">
      <c r="J89" s="977" t="s">
        <v>1127</v>
      </c>
      <c r="K89" s="978"/>
      <c r="L89" s="978"/>
      <c r="M89" s="978"/>
      <c r="N89" s="978"/>
      <c r="O89" s="978"/>
      <c r="P89" s="978">
        <v>510446</v>
      </c>
      <c r="Q89" s="979"/>
    </row>
    <row r="90" spans="10:17" ht="15" x14ac:dyDescent="0.25">
      <c r="J90" s="974" t="s">
        <v>1072</v>
      </c>
      <c r="K90" s="975"/>
      <c r="L90" s="975"/>
      <c r="M90" s="975"/>
      <c r="N90" s="975">
        <v>127706.31999999999</v>
      </c>
      <c r="O90" s="975">
        <v>174397.43</v>
      </c>
      <c r="P90" s="975">
        <v>188526.9</v>
      </c>
      <c r="Q90" s="976">
        <v>150000</v>
      </c>
    </row>
    <row r="91" spans="10:17" x14ac:dyDescent="0.2">
      <c r="J91" s="977" t="s">
        <v>1041</v>
      </c>
      <c r="K91" s="978"/>
      <c r="L91" s="978"/>
      <c r="M91" s="978"/>
      <c r="N91" s="978"/>
      <c r="O91" s="978">
        <v>4367.1000000000004</v>
      </c>
      <c r="P91" s="978"/>
      <c r="Q91" s="979"/>
    </row>
    <row r="92" spans="10:17" x14ac:dyDescent="0.2">
      <c r="J92" s="977" t="s">
        <v>1042</v>
      </c>
      <c r="K92" s="978"/>
      <c r="L92" s="978"/>
      <c r="M92" s="978"/>
      <c r="N92" s="978">
        <v>106413.90999999999</v>
      </c>
      <c r="O92" s="978">
        <v>98082.47</v>
      </c>
      <c r="P92" s="978">
        <v>94263.45</v>
      </c>
      <c r="Q92" s="979">
        <v>75000</v>
      </c>
    </row>
    <row r="93" spans="10:17" x14ac:dyDescent="0.2">
      <c r="J93" s="977" t="s">
        <v>1043</v>
      </c>
      <c r="K93" s="978"/>
      <c r="L93" s="978"/>
      <c r="M93" s="978"/>
      <c r="N93" s="978">
        <v>21292.410000000003</v>
      </c>
      <c r="O93" s="978">
        <v>71947.86</v>
      </c>
      <c r="P93" s="978">
        <v>94263.45</v>
      </c>
      <c r="Q93" s="979">
        <v>75000</v>
      </c>
    </row>
    <row r="94" spans="10:17" ht="15" x14ac:dyDescent="0.25">
      <c r="J94" s="974" t="s">
        <v>1073</v>
      </c>
      <c r="K94" s="975"/>
      <c r="L94" s="975"/>
      <c r="M94" s="975"/>
      <c r="N94" s="975"/>
      <c r="O94" s="975"/>
      <c r="P94" s="975">
        <v>618942.59</v>
      </c>
      <c r="Q94" s="976"/>
    </row>
    <row r="95" spans="10:17" x14ac:dyDescent="0.2">
      <c r="J95" s="977" t="s">
        <v>1127</v>
      </c>
      <c r="K95" s="978"/>
      <c r="L95" s="978"/>
      <c r="M95" s="978"/>
      <c r="N95" s="978"/>
      <c r="O95" s="978"/>
      <c r="P95" s="978">
        <v>618942.59</v>
      </c>
      <c r="Q95" s="979"/>
    </row>
    <row r="96" spans="10:17" ht="15" x14ac:dyDescent="0.25">
      <c r="J96" s="974" t="s">
        <v>1074</v>
      </c>
      <c r="K96" s="975">
        <v>32622.699999999997</v>
      </c>
      <c r="L96" s="975">
        <v>99430.079999999987</v>
      </c>
      <c r="M96" s="975">
        <v>61997.039999999994</v>
      </c>
      <c r="N96" s="975">
        <v>132193.60999999999</v>
      </c>
      <c r="O96" s="975">
        <v>17208.95</v>
      </c>
      <c r="P96" s="975">
        <v>150106.16</v>
      </c>
      <c r="Q96" s="976">
        <v>125000</v>
      </c>
    </row>
    <row r="97" spans="10:17" x14ac:dyDescent="0.2">
      <c r="J97" s="977" t="s">
        <v>1039</v>
      </c>
      <c r="K97" s="978"/>
      <c r="L97" s="978"/>
      <c r="M97" s="978">
        <v>2255.75</v>
      </c>
      <c r="N97" s="978"/>
      <c r="O97" s="978"/>
      <c r="P97" s="978"/>
      <c r="Q97" s="979"/>
    </row>
    <row r="98" spans="10:17" x14ac:dyDescent="0.2">
      <c r="J98" s="977" t="s">
        <v>1040</v>
      </c>
      <c r="K98" s="978">
        <v>4893.42</v>
      </c>
      <c r="L98" s="978">
        <v>6714.32</v>
      </c>
      <c r="M98" s="978"/>
      <c r="N98" s="978">
        <v>27798.14</v>
      </c>
      <c r="O98" s="978"/>
      <c r="P98" s="978">
        <v>37526.54</v>
      </c>
      <c r="Q98" s="979">
        <v>31250</v>
      </c>
    </row>
    <row r="99" spans="10:17" x14ac:dyDescent="0.2">
      <c r="J99" s="977" t="s">
        <v>1041</v>
      </c>
      <c r="K99" s="978">
        <v>27729.279999999999</v>
      </c>
      <c r="L99" s="978">
        <v>52643.92</v>
      </c>
      <c r="M99" s="978">
        <v>2773.29</v>
      </c>
      <c r="N99" s="978">
        <v>41397.649999999987</v>
      </c>
      <c r="O99" s="978">
        <v>10823.03</v>
      </c>
      <c r="P99" s="978">
        <v>37526.54</v>
      </c>
      <c r="Q99" s="979">
        <v>31250</v>
      </c>
    </row>
    <row r="100" spans="10:17" x14ac:dyDescent="0.2">
      <c r="J100" s="977" t="s">
        <v>1042</v>
      </c>
      <c r="K100" s="978"/>
      <c r="L100" s="978"/>
      <c r="M100" s="978">
        <v>2805.91</v>
      </c>
      <c r="N100" s="978"/>
      <c r="O100" s="978"/>
      <c r="P100" s="978"/>
      <c r="Q100" s="979"/>
    </row>
    <row r="101" spans="10:17" x14ac:dyDescent="0.2">
      <c r="J101" s="977" t="s">
        <v>1043</v>
      </c>
      <c r="K101" s="978"/>
      <c r="L101" s="978">
        <v>6642</v>
      </c>
      <c r="M101" s="978">
        <v>25835.19</v>
      </c>
      <c r="N101" s="978"/>
      <c r="O101" s="978"/>
      <c r="P101" s="978"/>
      <c r="Q101" s="979"/>
    </row>
    <row r="102" spans="10:17" x14ac:dyDescent="0.2">
      <c r="J102" s="977" t="s">
        <v>1044</v>
      </c>
      <c r="K102" s="978"/>
      <c r="L102" s="978">
        <v>33429.840000000004</v>
      </c>
      <c r="M102" s="978">
        <v>28326.899999999998</v>
      </c>
      <c r="N102" s="978">
        <v>62997.820000000007</v>
      </c>
      <c r="O102" s="978">
        <v>6385.92</v>
      </c>
      <c r="P102" s="978">
        <v>75053.08</v>
      </c>
      <c r="Q102" s="979">
        <v>62500</v>
      </c>
    </row>
    <row r="103" spans="10:17" ht="15" x14ac:dyDescent="0.25">
      <c r="J103" s="974" t="s">
        <v>1075</v>
      </c>
      <c r="K103" s="975">
        <v>72047.150000000009</v>
      </c>
      <c r="L103" s="975">
        <v>39062.480000000003</v>
      </c>
      <c r="M103" s="975">
        <v>33310.979999999996</v>
      </c>
      <c r="N103" s="975">
        <v>156462.59</v>
      </c>
      <c r="O103" s="975">
        <v>43532.530000000006</v>
      </c>
      <c r="P103" s="975">
        <v>151900.32</v>
      </c>
      <c r="Q103" s="976">
        <v>120000</v>
      </c>
    </row>
    <row r="104" spans="10:17" x14ac:dyDescent="0.2">
      <c r="J104" s="977" t="s">
        <v>1040</v>
      </c>
      <c r="K104" s="978">
        <v>56950.060000000005</v>
      </c>
      <c r="L104" s="978">
        <v>2197.48</v>
      </c>
      <c r="M104" s="978">
        <v>19986.59</v>
      </c>
      <c r="N104" s="978">
        <v>62584.46</v>
      </c>
      <c r="O104" s="978">
        <v>43532.530000000006</v>
      </c>
      <c r="P104" s="978">
        <v>75950.16</v>
      </c>
      <c r="Q104" s="979">
        <v>60000</v>
      </c>
    </row>
    <row r="105" spans="10:17" x14ac:dyDescent="0.2">
      <c r="J105" s="977" t="s">
        <v>1041</v>
      </c>
      <c r="K105" s="978">
        <v>15097.09</v>
      </c>
      <c r="L105" s="978">
        <v>36865</v>
      </c>
      <c r="M105" s="978">
        <v>13324.39</v>
      </c>
      <c r="N105" s="978">
        <v>93878.13</v>
      </c>
      <c r="O105" s="978"/>
      <c r="P105" s="978">
        <v>75950.16</v>
      </c>
      <c r="Q105" s="979">
        <v>60000</v>
      </c>
    </row>
    <row r="106" spans="10:17" ht="15" x14ac:dyDescent="0.25">
      <c r="J106" s="974" t="s">
        <v>1076</v>
      </c>
      <c r="K106" s="975">
        <v>91860.96</v>
      </c>
      <c r="L106" s="975">
        <v>76317.23</v>
      </c>
      <c r="M106" s="975">
        <v>50862.3</v>
      </c>
      <c r="N106" s="975">
        <v>95729.06</v>
      </c>
      <c r="O106" s="975">
        <v>46175.813999999991</v>
      </c>
      <c r="P106" s="975">
        <v>127434.23000000001</v>
      </c>
      <c r="Q106" s="976">
        <v>100000</v>
      </c>
    </row>
    <row r="107" spans="10:17" x14ac:dyDescent="0.2">
      <c r="J107" s="977" t="s">
        <v>1040</v>
      </c>
      <c r="K107" s="978">
        <v>2844</v>
      </c>
      <c r="L107" s="978">
        <v>43389.58</v>
      </c>
      <c r="M107" s="978">
        <v>2607.7000000000003</v>
      </c>
      <c r="N107" s="978">
        <v>9410.1899999999987</v>
      </c>
      <c r="O107" s="978">
        <v>250.65</v>
      </c>
      <c r="P107" s="978">
        <v>31858.560000000001</v>
      </c>
      <c r="Q107" s="979">
        <v>25000</v>
      </c>
    </row>
    <row r="108" spans="10:17" x14ac:dyDescent="0.2">
      <c r="J108" s="977" t="s">
        <v>1041</v>
      </c>
      <c r="K108" s="978">
        <v>12332.51</v>
      </c>
      <c r="L108" s="978">
        <v>8800.67</v>
      </c>
      <c r="M108" s="978">
        <v>31493.320000000003</v>
      </c>
      <c r="N108" s="978">
        <v>12840.92</v>
      </c>
      <c r="O108" s="978">
        <v>3276.12</v>
      </c>
      <c r="P108" s="978">
        <v>6371.71</v>
      </c>
      <c r="Q108" s="979">
        <v>5000</v>
      </c>
    </row>
    <row r="109" spans="10:17" x14ac:dyDescent="0.2">
      <c r="J109" s="977" t="s">
        <v>1044</v>
      </c>
      <c r="K109" s="978">
        <v>76684.450000000012</v>
      </c>
      <c r="L109" s="978">
        <v>24126.98</v>
      </c>
      <c r="M109" s="978">
        <v>16761.28</v>
      </c>
      <c r="N109" s="978">
        <v>73477.95</v>
      </c>
      <c r="O109" s="978">
        <v>42649.043999999994</v>
      </c>
      <c r="P109" s="978">
        <v>89203.96</v>
      </c>
      <c r="Q109" s="979">
        <v>70000</v>
      </c>
    </row>
    <row r="110" spans="10:17" ht="15" x14ac:dyDescent="0.25">
      <c r="J110" s="974" t="s">
        <v>1077</v>
      </c>
      <c r="K110" s="975">
        <v>24512.34</v>
      </c>
      <c r="L110" s="975">
        <v>27388.97</v>
      </c>
      <c r="M110" s="975"/>
      <c r="N110" s="975">
        <v>64305.85</v>
      </c>
      <c r="O110" s="975">
        <v>31861.79</v>
      </c>
      <c r="P110" s="975">
        <v>194198.65</v>
      </c>
      <c r="Q110" s="976">
        <v>150000</v>
      </c>
    </row>
    <row r="111" spans="10:17" x14ac:dyDescent="0.2">
      <c r="J111" s="977" t="s">
        <v>1040</v>
      </c>
      <c r="K111" s="978"/>
      <c r="L111" s="978"/>
      <c r="M111" s="978"/>
      <c r="N111" s="978">
        <v>3736.3999999999996</v>
      </c>
      <c r="O111" s="978">
        <v>6372.35</v>
      </c>
      <c r="P111" s="978"/>
      <c r="Q111" s="979"/>
    </row>
    <row r="112" spans="10:17" x14ac:dyDescent="0.2">
      <c r="J112" s="977" t="s">
        <v>1041</v>
      </c>
      <c r="K112" s="978">
        <v>13594.94</v>
      </c>
      <c r="L112" s="978">
        <v>22454.45</v>
      </c>
      <c r="M112" s="978"/>
      <c r="N112" s="978">
        <v>60569.45</v>
      </c>
      <c r="O112" s="978">
        <v>25489.440000000002</v>
      </c>
      <c r="P112" s="978">
        <v>194198.65</v>
      </c>
      <c r="Q112" s="979">
        <v>150000</v>
      </c>
    </row>
    <row r="113" spans="10:17" x14ac:dyDescent="0.2">
      <c r="J113" s="977" t="s">
        <v>1044</v>
      </c>
      <c r="K113" s="978">
        <v>10917.4</v>
      </c>
      <c r="L113" s="978">
        <v>4934.5200000000004</v>
      </c>
      <c r="M113" s="978"/>
      <c r="N113" s="978"/>
      <c r="O113" s="978"/>
      <c r="P113" s="978"/>
      <c r="Q113" s="979"/>
    </row>
    <row r="114" spans="10:17" ht="15" x14ac:dyDescent="0.25">
      <c r="J114" s="974" t="s">
        <v>1078</v>
      </c>
      <c r="K114" s="975">
        <v>37068.54</v>
      </c>
      <c r="L114" s="975">
        <v>34844.479999999996</v>
      </c>
      <c r="M114" s="975">
        <v>40220.58</v>
      </c>
      <c r="N114" s="975">
        <v>71368.649999999994</v>
      </c>
      <c r="O114" s="975">
        <v>34372.720000000001</v>
      </c>
      <c r="P114" s="975">
        <v>146636.14000000001</v>
      </c>
      <c r="Q114" s="976">
        <v>123449</v>
      </c>
    </row>
    <row r="115" spans="10:17" x14ac:dyDescent="0.2">
      <c r="J115" s="977" t="s">
        <v>1053</v>
      </c>
      <c r="K115" s="978">
        <v>32523.79</v>
      </c>
      <c r="L115" s="978">
        <v>21363.66</v>
      </c>
      <c r="M115" s="978">
        <v>8738.6200000000008</v>
      </c>
      <c r="N115" s="978">
        <v>31317.690000000002</v>
      </c>
      <c r="O115" s="978">
        <v>1630.4</v>
      </c>
      <c r="P115" s="978">
        <v>43990.84</v>
      </c>
      <c r="Q115" s="979">
        <v>37034.699999999997</v>
      </c>
    </row>
    <row r="116" spans="10:17" x14ac:dyDescent="0.2">
      <c r="J116" s="977" t="s">
        <v>1127</v>
      </c>
      <c r="K116" s="978">
        <v>4544.75</v>
      </c>
      <c r="L116" s="978">
        <v>13480.82</v>
      </c>
      <c r="M116" s="978">
        <v>31481.96</v>
      </c>
      <c r="N116" s="978">
        <v>40050.959999999999</v>
      </c>
      <c r="O116" s="978">
        <v>32742.32</v>
      </c>
      <c r="P116" s="978">
        <v>102645.3</v>
      </c>
      <c r="Q116" s="979">
        <v>86414.3</v>
      </c>
    </row>
    <row r="117" spans="10:17" ht="15" x14ac:dyDescent="0.25">
      <c r="J117" s="974" t="s">
        <v>1079</v>
      </c>
      <c r="K117" s="975">
        <v>37732.350000000006</v>
      </c>
      <c r="L117" s="975">
        <v>59932.880000000005</v>
      </c>
      <c r="M117" s="975">
        <v>32658.92</v>
      </c>
      <c r="N117" s="975">
        <v>61927.3</v>
      </c>
      <c r="O117" s="975">
        <v>79447.610000000015</v>
      </c>
      <c r="P117" s="975">
        <v>117214</v>
      </c>
      <c r="Q117" s="976">
        <v>90000</v>
      </c>
    </row>
    <row r="118" spans="10:17" x14ac:dyDescent="0.2">
      <c r="J118" s="977" t="s">
        <v>1039</v>
      </c>
      <c r="K118" s="978">
        <v>604.79999999999995</v>
      </c>
      <c r="L118" s="978">
        <v>12971.76</v>
      </c>
      <c r="M118" s="978"/>
      <c r="N118" s="978">
        <v>15852.470000000001</v>
      </c>
      <c r="O118" s="978">
        <v>79447.610000000015</v>
      </c>
      <c r="P118" s="978">
        <v>117214</v>
      </c>
      <c r="Q118" s="979">
        <v>90000</v>
      </c>
    </row>
    <row r="119" spans="10:17" x14ac:dyDescent="0.2">
      <c r="J119" s="977" t="s">
        <v>1048</v>
      </c>
      <c r="K119" s="978">
        <v>37127.550000000003</v>
      </c>
      <c r="L119" s="978">
        <v>46961.120000000003</v>
      </c>
      <c r="M119" s="978">
        <v>32658.92</v>
      </c>
      <c r="N119" s="978">
        <v>46074.83</v>
      </c>
      <c r="O119" s="978"/>
      <c r="P119" s="978"/>
      <c r="Q119" s="979"/>
    </row>
    <row r="120" spans="10:17" ht="15" x14ac:dyDescent="0.25">
      <c r="J120" s="974" t="s">
        <v>1080</v>
      </c>
      <c r="K120" s="975">
        <v>32139.67</v>
      </c>
      <c r="L120" s="975">
        <v>45052.57</v>
      </c>
      <c r="M120" s="975">
        <v>51613.68</v>
      </c>
      <c r="N120" s="975">
        <v>30786.43</v>
      </c>
      <c r="O120" s="975">
        <v>96448.844799999992</v>
      </c>
      <c r="P120" s="975">
        <v>113800</v>
      </c>
      <c r="Q120" s="976">
        <v>100000</v>
      </c>
    </row>
    <row r="121" spans="10:17" x14ac:dyDescent="0.2">
      <c r="J121" s="977" t="s">
        <v>1040</v>
      </c>
      <c r="K121" s="978">
        <v>656.05</v>
      </c>
      <c r="L121" s="978">
        <v>4240.2299999999996</v>
      </c>
      <c r="M121" s="978">
        <v>3041.65</v>
      </c>
      <c r="N121" s="978">
        <v>30786.43</v>
      </c>
      <c r="O121" s="978">
        <v>63642.79</v>
      </c>
      <c r="P121" s="978">
        <v>73970</v>
      </c>
      <c r="Q121" s="979">
        <v>65000</v>
      </c>
    </row>
    <row r="122" spans="10:17" x14ac:dyDescent="0.2">
      <c r="J122" s="977" t="s">
        <v>1041</v>
      </c>
      <c r="K122" s="978">
        <v>11895.13</v>
      </c>
      <c r="L122" s="978">
        <v>4240.2</v>
      </c>
      <c r="M122" s="978">
        <v>16856.509999999998</v>
      </c>
      <c r="N122" s="978"/>
      <c r="O122" s="978">
        <v>9389.33</v>
      </c>
      <c r="P122" s="978">
        <v>28450</v>
      </c>
      <c r="Q122" s="979">
        <v>25000</v>
      </c>
    </row>
    <row r="123" spans="10:17" x14ac:dyDescent="0.2">
      <c r="J123" s="977" t="s">
        <v>1044</v>
      </c>
      <c r="K123" s="978">
        <v>19588.489999999998</v>
      </c>
      <c r="L123" s="978">
        <v>36572.14</v>
      </c>
      <c r="M123" s="978">
        <v>31715.52</v>
      </c>
      <c r="N123" s="978"/>
      <c r="O123" s="978">
        <v>23416.7248</v>
      </c>
      <c r="P123" s="978">
        <v>11380</v>
      </c>
      <c r="Q123" s="979">
        <v>10000</v>
      </c>
    </row>
    <row r="124" spans="10:17" ht="15" x14ac:dyDescent="0.25">
      <c r="J124" s="974" t="s">
        <v>1081</v>
      </c>
      <c r="K124" s="975"/>
      <c r="L124" s="975"/>
      <c r="M124" s="975">
        <v>168473.55000000002</v>
      </c>
      <c r="N124" s="975">
        <v>292569.53999999998</v>
      </c>
      <c r="O124" s="975">
        <v>3146.49</v>
      </c>
      <c r="P124" s="975"/>
      <c r="Q124" s="976"/>
    </row>
    <row r="125" spans="10:17" x14ac:dyDescent="0.2">
      <c r="J125" s="977" t="s">
        <v>1039</v>
      </c>
      <c r="K125" s="978"/>
      <c r="L125" s="978"/>
      <c r="M125" s="978"/>
      <c r="N125" s="978">
        <v>14552.13</v>
      </c>
      <c r="O125" s="978">
        <v>157.32999999999998</v>
      </c>
      <c r="P125" s="978"/>
      <c r="Q125" s="979"/>
    </row>
    <row r="126" spans="10:17" x14ac:dyDescent="0.2">
      <c r="J126" s="977" t="s">
        <v>1040</v>
      </c>
      <c r="K126" s="978"/>
      <c r="L126" s="978"/>
      <c r="M126" s="978"/>
      <c r="N126" s="978">
        <v>116416.85</v>
      </c>
      <c r="O126" s="978">
        <v>1258.5999999999999</v>
      </c>
      <c r="P126" s="978"/>
      <c r="Q126" s="979"/>
    </row>
    <row r="127" spans="10:17" x14ac:dyDescent="0.2">
      <c r="J127" s="977" t="s">
        <v>1041</v>
      </c>
      <c r="K127" s="978"/>
      <c r="L127" s="978"/>
      <c r="M127" s="978"/>
      <c r="N127" s="978">
        <v>116416.85</v>
      </c>
      <c r="O127" s="978">
        <v>1258.5999999999999</v>
      </c>
      <c r="P127" s="978"/>
      <c r="Q127" s="979"/>
    </row>
    <row r="128" spans="10:17" x14ac:dyDescent="0.2">
      <c r="J128" s="977" t="s">
        <v>1043</v>
      </c>
      <c r="K128" s="978"/>
      <c r="L128" s="978"/>
      <c r="M128" s="978"/>
      <c r="N128" s="978">
        <v>43656.3</v>
      </c>
      <c r="O128" s="978">
        <v>471.96</v>
      </c>
      <c r="P128" s="978"/>
      <c r="Q128" s="979"/>
    </row>
    <row r="129" spans="10:17" x14ac:dyDescent="0.2">
      <c r="J129" s="977" t="s">
        <v>1044</v>
      </c>
      <c r="K129" s="978"/>
      <c r="L129" s="978"/>
      <c r="M129" s="978">
        <v>2491.54</v>
      </c>
      <c r="N129" s="978">
        <v>1527.4099999999999</v>
      </c>
      <c r="O129" s="978"/>
      <c r="P129" s="978"/>
      <c r="Q129" s="979"/>
    </row>
    <row r="130" spans="10:17" x14ac:dyDescent="0.2">
      <c r="J130" s="977" t="s">
        <v>1046</v>
      </c>
      <c r="K130" s="978"/>
      <c r="L130" s="978"/>
      <c r="M130" s="978">
        <v>165982.01</v>
      </c>
      <c r="N130" s="978"/>
      <c r="O130" s="978"/>
      <c r="P130" s="978"/>
      <c r="Q130" s="979"/>
    </row>
    <row r="131" spans="10:17" ht="15" x14ac:dyDescent="0.25">
      <c r="J131" s="974" t="s">
        <v>1082</v>
      </c>
      <c r="K131" s="975">
        <v>31357.440000000002</v>
      </c>
      <c r="L131" s="975">
        <v>5700.73</v>
      </c>
      <c r="M131" s="975">
        <v>36582.69</v>
      </c>
      <c r="N131" s="975">
        <v>73703.59</v>
      </c>
      <c r="O131" s="975">
        <v>158920.26999999999</v>
      </c>
      <c r="P131" s="975">
        <v>91040</v>
      </c>
      <c r="Q131" s="976">
        <v>40000</v>
      </c>
    </row>
    <row r="132" spans="10:17" x14ac:dyDescent="0.2">
      <c r="J132" s="977" t="s">
        <v>1039</v>
      </c>
      <c r="K132" s="978"/>
      <c r="L132" s="978"/>
      <c r="M132" s="978">
        <v>34513.33</v>
      </c>
      <c r="N132" s="978">
        <v>61878.409999999996</v>
      </c>
      <c r="O132" s="978">
        <v>158920.26999999999</v>
      </c>
      <c r="P132" s="978">
        <v>91040</v>
      </c>
      <c r="Q132" s="979"/>
    </row>
    <row r="133" spans="10:17" x14ac:dyDescent="0.2">
      <c r="J133" s="977" t="s">
        <v>1040</v>
      </c>
      <c r="K133" s="978">
        <v>16919.510000000002</v>
      </c>
      <c r="L133" s="978">
        <v>2850.38</v>
      </c>
      <c r="M133" s="978">
        <v>791.63</v>
      </c>
      <c r="N133" s="978">
        <v>5912.6200000000008</v>
      </c>
      <c r="O133" s="978"/>
      <c r="P133" s="978"/>
      <c r="Q133" s="979">
        <v>24000</v>
      </c>
    </row>
    <row r="134" spans="10:17" x14ac:dyDescent="0.2">
      <c r="J134" s="977" t="s">
        <v>1041</v>
      </c>
      <c r="K134" s="978">
        <v>14237.93</v>
      </c>
      <c r="L134" s="978">
        <v>2850.35</v>
      </c>
      <c r="M134" s="978"/>
      <c r="N134" s="978">
        <v>5912.56</v>
      </c>
      <c r="O134" s="978"/>
      <c r="P134" s="978"/>
      <c r="Q134" s="979">
        <v>16000</v>
      </c>
    </row>
    <row r="135" spans="10:17" x14ac:dyDescent="0.2">
      <c r="J135" s="977" t="s">
        <v>1042</v>
      </c>
      <c r="K135" s="978"/>
      <c r="L135" s="978"/>
      <c r="M135" s="978">
        <v>1277.73</v>
      </c>
      <c r="N135" s="978"/>
      <c r="O135" s="978"/>
      <c r="P135" s="978"/>
      <c r="Q135" s="979"/>
    </row>
    <row r="136" spans="10:17" x14ac:dyDescent="0.2">
      <c r="J136" s="977" t="s">
        <v>1044</v>
      </c>
      <c r="K136" s="978">
        <v>200</v>
      </c>
      <c r="L136" s="978"/>
      <c r="M136" s="978"/>
      <c r="N136" s="978"/>
      <c r="O136" s="978"/>
      <c r="P136" s="978"/>
      <c r="Q136" s="979"/>
    </row>
    <row r="137" spans="10:17" ht="15" x14ac:dyDescent="0.25">
      <c r="J137" s="974" t="s">
        <v>1083</v>
      </c>
      <c r="K137" s="975">
        <v>66534.899999999994</v>
      </c>
      <c r="L137" s="975">
        <v>47448.31</v>
      </c>
      <c r="M137" s="975">
        <v>87031.42</v>
      </c>
      <c r="N137" s="975">
        <v>39447.669999999991</v>
      </c>
      <c r="O137" s="975">
        <v>46566.439999999988</v>
      </c>
      <c r="P137" s="975">
        <v>68280</v>
      </c>
      <c r="Q137" s="976">
        <v>60000</v>
      </c>
    </row>
    <row r="138" spans="10:17" x14ac:dyDescent="0.2">
      <c r="J138" s="977" t="s">
        <v>1043</v>
      </c>
      <c r="K138" s="978"/>
      <c r="L138" s="978"/>
      <c r="M138" s="978"/>
      <c r="N138" s="978"/>
      <c r="O138" s="978"/>
      <c r="P138" s="978">
        <v>68280</v>
      </c>
      <c r="Q138" s="979">
        <v>60000</v>
      </c>
    </row>
    <row r="139" spans="10:17" x14ac:dyDescent="0.2">
      <c r="J139" s="977" t="s">
        <v>1046</v>
      </c>
      <c r="K139" s="978">
        <v>65724.899999999994</v>
      </c>
      <c r="L139" s="978">
        <v>47448.31</v>
      </c>
      <c r="M139" s="978">
        <v>87031.42</v>
      </c>
      <c r="N139" s="978">
        <v>39447.669999999991</v>
      </c>
      <c r="O139" s="978">
        <v>46566.439999999988</v>
      </c>
      <c r="P139" s="978"/>
      <c r="Q139" s="979"/>
    </row>
    <row r="140" spans="10:17" x14ac:dyDescent="0.2">
      <c r="J140" s="977" t="s">
        <v>1061</v>
      </c>
      <c r="K140" s="978">
        <v>810</v>
      </c>
      <c r="L140" s="978"/>
      <c r="M140" s="978"/>
      <c r="N140" s="978"/>
      <c r="O140" s="978"/>
      <c r="P140" s="978"/>
      <c r="Q140" s="979"/>
    </row>
    <row r="141" spans="10:17" ht="15" x14ac:dyDescent="0.25">
      <c r="J141" s="974" t="s">
        <v>1084</v>
      </c>
      <c r="K141" s="975"/>
      <c r="L141" s="975"/>
      <c r="M141" s="975">
        <v>81510.92</v>
      </c>
      <c r="N141" s="975">
        <v>68323.959999999992</v>
      </c>
      <c r="O141" s="975">
        <v>32376.999999999996</v>
      </c>
      <c r="P141" s="975">
        <v>119617.86</v>
      </c>
      <c r="Q141" s="976">
        <v>100000</v>
      </c>
    </row>
    <row r="142" spans="10:17" x14ac:dyDescent="0.2">
      <c r="J142" s="977" t="s">
        <v>1039</v>
      </c>
      <c r="K142" s="978"/>
      <c r="L142" s="978"/>
      <c r="M142" s="978"/>
      <c r="N142" s="978"/>
      <c r="O142" s="978">
        <v>24266.829999999998</v>
      </c>
      <c r="P142" s="978"/>
      <c r="Q142" s="979"/>
    </row>
    <row r="143" spans="10:17" x14ac:dyDescent="0.2">
      <c r="J143" s="977" t="s">
        <v>1040</v>
      </c>
      <c r="K143" s="978"/>
      <c r="L143" s="978"/>
      <c r="M143" s="978"/>
      <c r="N143" s="978"/>
      <c r="O143" s="978">
        <v>4055.0699999999997</v>
      </c>
      <c r="P143" s="978"/>
      <c r="Q143" s="979"/>
    </row>
    <row r="144" spans="10:17" x14ac:dyDescent="0.2">
      <c r="J144" s="977" t="s">
        <v>1041</v>
      </c>
      <c r="K144" s="978"/>
      <c r="L144" s="978"/>
      <c r="M144" s="978">
        <v>50716.829999999994</v>
      </c>
      <c r="N144" s="978">
        <v>68323.959999999992</v>
      </c>
      <c r="O144" s="978">
        <v>4055.1</v>
      </c>
      <c r="P144" s="978">
        <v>119617.86</v>
      </c>
      <c r="Q144" s="979">
        <v>100000</v>
      </c>
    </row>
    <row r="145" spans="10:17" x14ac:dyDescent="0.2">
      <c r="J145" s="977" t="s">
        <v>1042</v>
      </c>
      <c r="K145" s="978"/>
      <c r="L145" s="978"/>
      <c r="M145" s="978">
        <v>30794.09</v>
      </c>
      <c r="N145" s="978"/>
      <c r="O145" s="978"/>
      <c r="P145" s="978"/>
      <c r="Q145" s="979"/>
    </row>
    <row r="146" spans="10:17" ht="15" x14ac:dyDescent="0.25">
      <c r="J146" s="974" t="s">
        <v>1085</v>
      </c>
      <c r="K146" s="975">
        <v>102828.43</v>
      </c>
      <c r="L146" s="975">
        <v>21199.379999999997</v>
      </c>
      <c r="M146" s="975">
        <v>14463.35</v>
      </c>
      <c r="N146" s="975">
        <v>66289.090000000011</v>
      </c>
      <c r="O146" s="975">
        <v>32345.149999999998</v>
      </c>
      <c r="P146" s="975"/>
      <c r="Q146" s="976">
        <v>150000</v>
      </c>
    </row>
    <row r="147" spans="10:17" x14ac:dyDescent="0.2">
      <c r="J147" s="977" t="s">
        <v>1039</v>
      </c>
      <c r="K147" s="978"/>
      <c r="L147" s="978"/>
      <c r="M147" s="978">
        <v>4628.26</v>
      </c>
      <c r="N147" s="978"/>
      <c r="O147" s="978"/>
      <c r="P147" s="978"/>
      <c r="Q147" s="979"/>
    </row>
    <row r="148" spans="10:17" x14ac:dyDescent="0.2">
      <c r="J148" s="977" t="s">
        <v>1040</v>
      </c>
      <c r="K148" s="978">
        <v>57493.700000000004</v>
      </c>
      <c r="L148" s="978">
        <v>1333.43</v>
      </c>
      <c r="M148" s="978">
        <v>3900.41</v>
      </c>
      <c r="N148" s="978">
        <v>33137.46</v>
      </c>
      <c r="O148" s="978">
        <v>7188.4199999999992</v>
      </c>
      <c r="P148" s="978"/>
      <c r="Q148" s="979">
        <v>60000</v>
      </c>
    </row>
    <row r="149" spans="10:17" x14ac:dyDescent="0.2">
      <c r="J149" s="977" t="s">
        <v>1041</v>
      </c>
      <c r="K149" s="978">
        <v>34305.58</v>
      </c>
      <c r="L149" s="978">
        <v>19865.949999999997</v>
      </c>
      <c r="M149" s="978">
        <v>5434.68</v>
      </c>
      <c r="N149" s="978">
        <v>26383.640000000003</v>
      </c>
      <c r="O149" s="978">
        <v>25156.73</v>
      </c>
      <c r="P149" s="978"/>
      <c r="Q149" s="979">
        <v>90000</v>
      </c>
    </row>
    <row r="150" spans="10:17" x14ac:dyDescent="0.2">
      <c r="J150" s="977" t="s">
        <v>1044</v>
      </c>
      <c r="K150" s="978">
        <v>11029.15</v>
      </c>
      <c r="L150" s="978"/>
      <c r="M150" s="978">
        <v>500</v>
      </c>
      <c r="N150" s="978">
        <v>6767.99</v>
      </c>
      <c r="O150" s="978"/>
      <c r="P150" s="978"/>
      <c r="Q150" s="979"/>
    </row>
    <row r="151" spans="10:17" ht="15" x14ac:dyDescent="0.25">
      <c r="J151" s="974" t="s">
        <v>1086</v>
      </c>
      <c r="K151" s="975"/>
      <c r="L151" s="975"/>
      <c r="M151" s="975"/>
      <c r="N151" s="975"/>
      <c r="O151" s="975"/>
      <c r="P151" s="975">
        <v>234783.06</v>
      </c>
      <c r="Q151" s="976">
        <v>148709</v>
      </c>
    </row>
    <row r="152" spans="10:17" x14ac:dyDescent="0.2">
      <c r="J152" s="977" t="s">
        <v>1127</v>
      </c>
      <c r="K152" s="978"/>
      <c r="L152" s="978"/>
      <c r="M152" s="978"/>
      <c r="N152" s="978"/>
      <c r="O152" s="978"/>
      <c r="P152" s="978">
        <v>234783.06</v>
      </c>
      <c r="Q152" s="979">
        <v>148709</v>
      </c>
    </row>
    <row r="153" spans="10:17" ht="15" x14ac:dyDescent="0.25">
      <c r="J153" s="974" t="s">
        <v>1087</v>
      </c>
      <c r="K153" s="975"/>
      <c r="L153" s="975"/>
      <c r="M153" s="975">
        <v>54447.14</v>
      </c>
      <c r="N153" s="975">
        <v>123077.48</v>
      </c>
      <c r="O153" s="975">
        <v>39720.1</v>
      </c>
      <c r="P153" s="975"/>
      <c r="Q153" s="976">
        <v>165000</v>
      </c>
    </row>
    <row r="154" spans="10:17" x14ac:dyDescent="0.2">
      <c r="J154" s="977" t="s">
        <v>1039</v>
      </c>
      <c r="K154" s="978"/>
      <c r="L154" s="978"/>
      <c r="M154" s="978"/>
      <c r="N154" s="978">
        <v>123077.48</v>
      </c>
      <c r="O154" s="978">
        <v>37856.61</v>
      </c>
      <c r="P154" s="978"/>
      <c r="Q154" s="979">
        <v>165000</v>
      </c>
    </row>
    <row r="155" spans="10:17" x14ac:dyDescent="0.2">
      <c r="J155" s="977" t="s">
        <v>1044</v>
      </c>
      <c r="K155" s="978"/>
      <c r="L155" s="978"/>
      <c r="M155" s="978">
        <v>54447.14</v>
      </c>
      <c r="N155" s="978"/>
      <c r="O155" s="978"/>
      <c r="P155" s="978"/>
      <c r="Q155" s="979"/>
    </row>
    <row r="156" spans="10:17" x14ac:dyDescent="0.2">
      <c r="J156" s="977" t="s">
        <v>1053</v>
      </c>
      <c r="K156" s="978"/>
      <c r="L156" s="978"/>
      <c r="M156" s="978"/>
      <c r="N156" s="978"/>
      <c r="O156" s="978">
        <v>1863.49</v>
      </c>
      <c r="P156" s="978"/>
      <c r="Q156" s="979"/>
    </row>
    <row r="157" spans="10:17" ht="15" x14ac:dyDescent="0.25">
      <c r="J157" s="974" t="s">
        <v>1088</v>
      </c>
      <c r="K157" s="975">
        <v>20699.59</v>
      </c>
      <c r="L157" s="975">
        <v>243754.58000000002</v>
      </c>
      <c r="M157" s="975">
        <v>83672.26999999999</v>
      </c>
      <c r="N157" s="975"/>
      <c r="O157" s="975">
        <v>25910.760000000002</v>
      </c>
      <c r="P157" s="975"/>
      <c r="Q157" s="976"/>
    </row>
    <row r="158" spans="10:17" x14ac:dyDescent="0.2">
      <c r="J158" s="977" t="s">
        <v>1042</v>
      </c>
      <c r="K158" s="978">
        <v>10556.54</v>
      </c>
      <c r="L158" s="978">
        <v>102072.69</v>
      </c>
      <c r="M158" s="978">
        <v>46572.39</v>
      </c>
      <c r="N158" s="978"/>
      <c r="O158" s="978">
        <v>25910.760000000002</v>
      </c>
      <c r="P158" s="978"/>
      <c r="Q158" s="979"/>
    </row>
    <row r="159" spans="10:17" x14ac:dyDescent="0.2">
      <c r="J159" s="977" t="s">
        <v>1043</v>
      </c>
      <c r="K159" s="978">
        <v>10143.049999999999</v>
      </c>
      <c r="L159" s="978">
        <v>141681.89000000001</v>
      </c>
      <c r="M159" s="978">
        <v>37099.879999999997</v>
      </c>
      <c r="N159" s="978"/>
      <c r="O159" s="978"/>
      <c r="P159" s="978"/>
      <c r="Q159" s="979"/>
    </row>
    <row r="160" spans="10:17" ht="15" x14ac:dyDescent="0.25">
      <c r="J160" s="974" t="s">
        <v>1089</v>
      </c>
      <c r="K160" s="975"/>
      <c r="L160" s="975"/>
      <c r="M160" s="975"/>
      <c r="N160" s="975"/>
      <c r="O160" s="975">
        <v>24760.608</v>
      </c>
      <c r="P160" s="975">
        <v>170700</v>
      </c>
      <c r="Q160" s="976">
        <v>150000</v>
      </c>
    </row>
    <row r="161" spans="10:17" x14ac:dyDescent="0.2">
      <c r="J161" s="977" t="s">
        <v>1042</v>
      </c>
      <c r="K161" s="978"/>
      <c r="L161" s="978"/>
      <c r="M161" s="978"/>
      <c r="N161" s="978"/>
      <c r="O161" s="978">
        <v>6918.98</v>
      </c>
      <c r="P161" s="978"/>
      <c r="Q161" s="979"/>
    </row>
    <row r="162" spans="10:17" x14ac:dyDescent="0.2">
      <c r="J162" s="977" t="s">
        <v>1043</v>
      </c>
      <c r="K162" s="978"/>
      <c r="L162" s="978"/>
      <c r="M162" s="978"/>
      <c r="N162" s="978"/>
      <c r="O162" s="978">
        <v>1383.79</v>
      </c>
      <c r="P162" s="978"/>
      <c r="Q162" s="979"/>
    </row>
    <row r="163" spans="10:17" x14ac:dyDescent="0.2">
      <c r="J163" s="977" t="s">
        <v>1044</v>
      </c>
      <c r="K163" s="978"/>
      <c r="L163" s="978"/>
      <c r="M163" s="978"/>
      <c r="N163" s="978"/>
      <c r="O163" s="978">
        <v>16457.838</v>
      </c>
      <c r="P163" s="978">
        <v>170700</v>
      </c>
      <c r="Q163" s="979">
        <v>150000</v>
      </c>
    </row>
    <row r="164" spans="10:17" ht="15" x14ac:dyDescent="0.25">
      <c r="J164" s="974" t="s">
        <v>1090</v>
      </c>
      <c r="K164" s="975">
        <v>114558</v>
      </c>
      <c r="L164" s="975">
        <v>81145.179999999993</v>
      </c>
      <c r="M164" s="975">
        <v>11804.71</v>
      </c>
      <c r="N164" s="975">
        <v>74283.150000000009</v>
      </c>
      <c r="O164" s="975">
        <v>16319.52</v>
      </c>
      <c r="P164" s="975">
        <v>22760</v>
      </c>
      <c r="Q164" s="976">
        <v>20000</v>
      </c>
    </row>
    <row r="165" spans="10:17" x14ac:dyDescent="0.2">
      <c r="J165" s="977" t="s">
        <v>1043</v>
      </c>
      <c r="K165" s="978"/>
      <c r="L165" s="978"/>
      <c r="M165" s="978"/>
      <c r="N165" s="978"/>
      <c r="O165" s="978"/>
      <c r="P165" s="978">
        <v>22760</v>
      </c>
      <c r="Q165" s="979">
        <v>20000</v>
      </c>
    </row>
    <row r="166" spans="10:17" x14ac:dyDescent="0.2">
      <c r="J166" s="977" t="s">
        <v>1046</v>
      </c>
      <c r="K166" s="978">
        <v>114558</v>
      </c>
      <c r="L166" s="978">
        <v>81145.179999999993</v>
      </c>
      <c r="M166" s="978">
        <v>11804.71</v>
      </c>
      <c r="N166" s="978">
        <v>74283.150000000009</v>
      </c>
      <c r="O166" s="978">
        <v>16319.52</v>
      </c>
      <c r="P166" s="978"/>
      <c r="Q166" s="979"/>
    </row>
    <row r="167" spans="10:17" ht="15" x14ac:dyDescent="0.25">
      <c r="J167" s="974" t="s">
        <v>1091</v>
      </c>
      <c r="K167" s="975"/>
      <c r="L167" s="975"/>
      <c r="M167" s="975"/>
      <c r="N167" s="975"/>
      <c r="O167" s="975">
        <v>324157.24</v>
      </c>
      <c r="P167" s="975"/>
      <c r="Q167" s="976"/>
    </row>
    <row r="168" spans="10:17" x14ac:dyDescent="0.2">
      <c r="J168" s="977" t="s">
        <v>1046</v>
      </c>
      <c r="K168" s="978"/>
      <c r="L168" s="978"/>
      <c r="M168" s="978"/>
      <c r="N168" s="978"/>
      <c r="O168" s="978">
        <v>324157.24</v>
      </c>
      <c r="P168" s="978"/>
      <c r="Q168" s="979"/>
    </row>
    <row r="169" spans="10:17" ht="15" x14ac:dyDescent="0.25">
      <c r="J169" s="974" t="s">
        <v>1092</v>
      </c>
      <c r="K169" s="975"/>
      <c r="L169" s="975"/>
      <c r="M169" s="975"/>
      <c r="N169" s="975"/>
      <c r="O169" s="975"/>
      <c r="P169" s="975">
        <v>149528.64000000001</v>
      </c>
      <c r="Q169" s="976">
        <v>174105</v>
      </c>
    </row>
    <row r="170" spans="10:17" x14ac:dyDescent="0.2">
      <c r="J170" s="977" t="s">
        <v>1053</v>
      </c>
      <c r="K170" s="978"/>
      <c r="L170" s="978"/>
      <c r="M170" s="978"/>
      <c r="N170" s="978"/>
      <c r="O170" s="978"/>
      <c r="P170" s="978">
        <v>104670.05</v>
      </c>
      <c r="Q170" s="979">
        <v>121873.5</v>
      </c>
    </row>
    <row r="171" spans="10:17" x14ac:dyDescent="0.2">
      <c r="J171" s="977" t="s">
        <v>1127</v>
      </c>
      <c r="K171" s="978"/>
      <c r="L171" s="978"/>
      <c r="M171" s="978"/>
      <c r="N171" s="978"/>
      <c r="O171" s="978"/>
      <c r="P171" s="978">
        <v>44858.59</v>
      </c>
      <c r="Q171" s="979">
        <v>52231.5</v>
      </c>
    </row>
    <row r="172" spans="10:17" ht="15" x14ac:dyDescent="0.25">
      <c r="J172" s="974" t="s">
        <v>1093</v>
      </c>
      <c r="K172" s="975">
        <v>313812.84999999998</v>
      </c>
      <c r="L172" s="975"/>
      <c r="M172" s="975"/>
      <c r="N172" s="975"/>
      <c r="O172" s="975"/>
      <c r="P172" s="975"/>
      <c r="Q172" s="976"/>
    </row>
    <row r="173" spans="10:17" x14ac:dyDescent="0.2">
      <c r="J173" s="977" t="s">
        <v>1040</v>
      </c>
      <c r="K173" s="978">
        <v>13986.52</v>
      </c>
      <c r="L173" s="978"/>
      <c r="M173" s="978"/>
      <c r="N173" s="978"/>
      <c r="O173" s="978"/>
      <c r="P173" s="978"/>
      <c r="Q173" s="979"/>
    </row>
    <row r="174" spans="10:17" x14ac:dyDescent="0.2">
      <c r="J174" s="977" t="s">
        <v>1041</v>
      </c>
      <c r="K174" s="978">
        <v>17145.759999999998</v>
      </c>
      <c r="L174" s="978"/>
      <c r="M174" s="978"/>
      <c r="N174" s="978"/>
      <c r="O174" s="978"/>
      <c r="P174" s="978"/>
      <c r="Q174" s="979"/>
    </row>
    <row r="175" spans="10:17" x14ac:dyDescent="0.2">
      <c r="J175" s="977" t="s">
        <v>1043</v>
      </c>
      <c r="K175" s="978">
        <v>18238.53</v>
      </c>
      <c r="L175" s="978"/>
      <c r="M175" s="978"/>
      <c r="N175" s="978"/>
      <c r="O175" s="978"/>
      <c r="P175" s="978"/>
      <c r="Q175" s="979"/>
    </row>
    <row r="176" spans="10:17" x14ac:dyDescent="0.2">
      <c r="J176" s="977" t="s">
        <v>1044</v>
      </c>
      <c r="K176" s="978">
        <v>1104.97</v>
      </c>
      <c r="L176" s="978"/>
      <c r="M176" s="978"/>
      <c r="N176" s="978"/>
      <c r="O176" s="978"/>
      <c r="P176" s="978"/>
      <c r="Q176" s="979"/>
    </row>
    <row r="177" spans="10:17" x14ac:dyDescent="0.2">
      <c r="J177" s="977" t="s">
        <v>1046</v>
      </c>
      <c r="K177" s="978">
        <v>263337.07</v>
      </c>
      <c r="L177" s="978"/>
      <c r="M177" s="978"/>
      <c r="N177" s="978"/>
      <c r="O177" s="978"/>
      <c r="P177" s="978"/>
      <c r="Q177" s="979"/>
    </row>
    <row r="178" spans="10:17" ht="15" x14ac:dyDescent="0.25">
      <c r="J178" s="974" t="s">
        <v>1094</v>
      </c>
      <c r="K178" s="975"/>
      <c r="L178" s="975"/>
      <c r="M178" s="975"/>
      <c r="N178" s="975"/>
      <c r="O178" s="975"/>
      <c r="P178" s="975">
        <v>278506.38</v>
      </c>
      <c r="Q178" s="976">
        <v>25000</v>
      </c>
    </row>
    <row r="179" spans="10:17" x14ac:dyDescent="0.2">
      <c r="J179" s="977" t="s">
        <v>1053</v>
      </c>
      <c r="K179" s="978"/>
      <c r="L179" s="978"/>
      <c r="M179" s="978"/>
      <c r="N179" s="978"/>
      <c r="O179" s="978"/>
      <c r="P179" s="978">
        <v>278506.38</v>
      </c>
      <c r="Q179" s="979"/>
    </row>
    <row r="180" spans="10:17" x14ac:dyDescent="0.2">
      <c r="J180" s="977" t="s">
        <v>1127</v>
      </c>
      <c r="K180" s="978"/>
      <c r="L180" s="978"/>
      <c r="M180" s="978"/>
      <c r="N180" s="978"/>
      <c r="O180" s="978"/>
      <c r="P180" s="978"/>
      <c r="Q180" s="979">
        <v>25000</v>
      </c>
    </row>
    <row r="181" spans="10:17" ht="15" x14ac:dyDescent="0.25">
      <c r="J181" s="974" t="s">
        <v>1095</v>
      </c>
      <c r="K181" s="975">
        <v>59179.78</v>
      </c>
      <c r="L181" s="975">
        <v>50814.64</v>
      </c>
      <c r="M181" s="975">
        <v>42168.51</v>
      </c>
      <c r="N181" s="975">
        <v>29557.95</v>
      </c>
      <c r="O181" s="975">
        <v>49117.030000000006</v>
      </c>
      <c r="P181" s="975">
        <v>68280</v>
      </c>
      <c r="Q181" s="976"/>
    </row>
    <row r="182" spans="10:17" x14ac:dyDescent="0.2">
      <c r="J182" s="977" t="s">
        <v>1040</v>
      </c>
      <c r="K182" s="978"/>
      <c r="L182" s="978"/>
      <c r="M182" s="978">
        <v>14323.58</v>
      </c>
      <c r="N182" s="978">
        <v>2955.7899999999995</v>
      </c>
      <c r="O182" s="978">
        <v>2696.05</v>
      </c>
      <c r="P182" s="978"/>
      <c r="Q182" s="979"/>
    </row>
    <row r="183" spans="10:17" x14ac:dyDescent="0.2">
      <c r="J183" s="977" t="s">
        <v>1041</v>
      </c>
      <c r="K183" s="978">
        <v>59179.78</v>
      </c>
      <c r="L183" s="978">
        <v>50814.64</v>
      </c>
      <c r="M183" s="978">
        <v>27844.93</v>
      </c>
      <c r="N183" s="978">
        <v>26602.16</v>
      </c>
      <c r="O183" s="978">
        <v>46420.98</v>
      </c>
      <c r="P183" s="978">
        <v>68280</v>
      </c>
      <c r="Q183" s="979"/>
    </row>
    <row r="184" spans="10:17" ht="15" x14ac:dyDescent="0.25">
      <c r="J184" s="974" t="s">
        <v>1096</v>
      </c>
      <c r="K184" s="975">
        <v>52354.34</v>
      </c>
      <c r="L184" s="975">
        <v>88276.489999999991</v>
      </c>
      <c r="M184" s="975">
        <v>72723.47</v>
      </c>
      <c r="N184" s="975">
        <v>73171.039999999979</v>
      </c>
      <c r="O184" s="975">
        <v>278.88</v>
      </c>
      <c r="P184" s="975"/>
      <c r="Q184" s="976"/>
    </row>
    <row r="185" spans="10:17" x14ac:dyDescent="0.2">
      <c r="J185" s="977" t="s">
        <v>1039</v>
      </c>
      <c r="K185" s="978">
        <v>52354.34</v>
      </c>
      <c r="L185" s="978">
        <v>88276.489999999991</v>
      </c>
      <c r="M185" s="978">
        <v>72723.47</v>
      </c>
      <c r="N185" s="978">
        <v>73171.039999999979</v>
      </c>
      <c r="O185" s="978">
        <v>278.88</v>
      </c>
      <c r="P185" s="978"/>
      <c r="Q185" s="979"/>
    </row>
    <row r="186" spans="10:17" ht="15" x14ac:dyDescent="0.25">
      <c r="J186" s="974" t="s">
        <v>1097</v>
      </c>
      <c r="K186" s="975"/>
      <c r="L186" s="975"/>
      <c r="M186" s="975">
        <v>4504.46</v>
      </c>
      <c r="N186" s="975">
        <v>52907.389999999992</v>
      </c>
      <c r="O186" s="975"/>
      <c r="P186" s="975">
        <v>146176.42000000001</v>
      </c>
      <c r="Q186" s="976">
        <v>75000</v>
      </c>
    </row>
    <row r="187" spans="10:17" x14ac:dyDescent="0.2">
      <c r="J187" s="977" t="s">
        <v>1039</v>
      </c>
      <c r="K187" s="978"/>
      <c r="L187" s="978"/>
      <c r="M187" s="978"/>
      <c r="N187" s="978">
        <v>5325.92</v>
      </c>
      <c r="O187" s="978"/>
      <c r="P187" s="978"/>
      <c r="Q187" s="979"/>
    </row>
    <row r="188" spans="10:17" x14ac:dyDescent="0.2">
      <c r="J188" s="977" t="s">
        <v>1040</v>
      </c>
      <c r="K188" s="978"/>
      <c r="L188" s="978"/>
      <c r="M188" s="978"/>
      <c r="N188" s="978">
        <v>2219.1499999999996</v>
      </c>
      <c r="O188" s="978"/>
      <c r="P188" s="978">
        <v>73088.210000000006</v>
      </c>
      <c r="Q188" s="979">
        <v>37500</v>
      </c>
    </row>
    <row r="189" spans="10:17" x14ac:dyDescent="0.2">
      <c r="J189" s="977" t="s">
        <v>1041</v>
      </c>
      <c r="K189" s="978"/>
      <c r="L189" s="978"/>
      <c r="M189" s="978"/>
      <c r="N189" s="978">
        <v>13314.880000000001</v>
      </c>
      <c r="O189" s="978"/>
      <c r="P189" s="978">
        <v>73088.210000000006</v>
      </c>
      <c r="Q189" s="979">
        <v>37500</v>
      </c>
    </row>
    <row r="190" spans="10:17" x14ac:dyDescent="0.2">
      <c r="J190" s="977" t="s">
        <v>1042</v>
      </c>
      <c r="K190" s="978"/>
      <c r="L190" s="978"/>
      <c r="M190" s="978"/>
      <c r="N190" s="978">
        <v>887.66000000000008</v>
      </c>
      <c r="O190" s="978"/>
      <c r="P190" s="978"/>
      <c r="Q190" s="979"/>
    </row>
    <row r="191" spans="10:17" x14ac:dyDescent="0.2">
      <c r="J191" s="977" t="s">
        <v>1043</v>
      </c>
      <c r="K191" s="978"/>
      <c r="L191" s="978"/>
      <c r="M191" s="978"/>
      <c r="N191" s="978">
        <v>10208.06</v>
      </c>
      <c r="O191" s="978"/>
      <c r="P191" s="978"/>
      <c r="Q191" s="979"/>
    </row>
    <row r="192" spans="10:17" x14ac:dyDescent="0.2">
      <c r="J192" s="977" t="s">
        <v>1044</v>
      </c>
      <c r="K192" s="978"/>
      <c r="L192" s="978"/>
      <c r="M192" s="978"/>
      <c r="N192" s="978">
        <v>8432.75</v>
      </c>
      <c r="O192" s="978"/>
      <c r="P192" s="978"/>
      <c r="Q192" s="979"/>
    </row>
    <row r="193" spans="10:17" x14ac:dyDescent="0.2">
      <c r="J193" s="977" t="s">
        <v>1045</v>
      </c>
      <c r="K193" s="978"/>
      <c r="L193" s="978"/>
      <c r="M193" s="978"/>
      <c r="N193" s="978">
        <v>443.85</v>
      </c>
      <c r="O193" s="978"/>
      <c r="P193" s="978"/>
      <c r="Q193" s="979"/>
    </row>
    <row r="194" spans="10:17" x14ac:dyDescent="0.2">
      <c r="J194" s="977" t="s">
        <v>1046</v>
      </c>
      <c r="K194" s="978"/>
      <c r="L194" s="978"/>
      <c r="M194" s="978"/>
      <c r="N194" s="978">
        <v>3550.63</v>
      </c>
      <c r="O194" s="978"/>
      <c r="P194" s="978"/>
      <c r="Q194" s="979"/>
    </row>
    <row r="195" spans="10:17" x14ac:dyDescent="0.2">
      <c r="J195" s="977" t="s">
        <v>1053</v>
      </c>
      <c r="K195" s="978"/>
      <c r="L195" s="978"/>
      <c r="M195" s="978"/>
      <c r="N195" s="978">
        <v>8524.49</v>
      </c>
      <c r="O195" s="978"/>
      <c r="P195" s="978"/>
      <c r="Q195" s="979"/>
    </row>
    <row r="196" spans="10:17" x14ac:dyDescent="0.2">
      <c r="J196" s="977" t="s">
        <v>1127</v>
      </c>
      <c r="K196" s="978"/>
      <c r="L196" s="978"/>
      <c r="M196" s="978">
        <v>4504.46</v>
      </c>
      <c r="N196" s="978"/>
      <c r="O196" s="978"/>
      <c r="P196" s="978"/>
      <c r="Q196" s="979"/>
    </row>
    <row r="197" spans="10:17" ht="15" x14ac:dyDescent="0.25">
      <c r="J197" s="974" t="s">
        <v>1098</v>
      </c>
      <c r="K197" s="975">
        <v>17542.439999999999</v>
      </c>
      <c r="L197" s="975">
        <v>11296.730000000001</v>
      </c>
      <c r="M197" s="975">
        <v>13641.149999999998</v>
      </c>
      <c r="N197" s="975"/>
      <c r="O197" s="975"/>
      <c r="P197" s="975">
        <v>198047.09999999998</v>
      </c>
      <c r="Q197" s="976">
        <v>25000</v>
      </c>
    </row>
    <row r="198" spans="10:17" x14ac:dyDescent="0.2">
      <c r="J198" s="977" t="s">
        <v>1039</v>
      </c>
      <c r="K198" s="978">
        <v>920</v>
      </c>
      <c r="L198" s="978"/>
      <c r="M198" s="978">
        <v>3698.7</v>
      </c>
      <c r="N198" s="978"/>
      <c r="O198" s="978"/>
      <c r="P198" s="978"/>
      <c r="Q198" s="979"/>
    </row>
    <row r="199" spans="10:17" x14ac:dyDescent="0.2">
      <c r="J199" s="977" t="s">
        <v>1040</v>
      </c>
      <c r="K199" s="978"/>
      <c r="L199" s="978"/>
      <c r="M199" s="978">
        <v>320.95999999999998</v>
      </c>
      <c r="N199" s="978"/>
      <c r="O199" s="978"/>
      <c r="P199" s="978">
        <v>79218.84</v>
      </c>
      <c r="Q199" s="979"/>
    </row>
    <row r="200" spans="10:17" x14ac:dyDescent="0.2">
      <c r="J200" s="977" t="s">
        <v>1041</v>
      </c>
      <c r="K200" s="978">
        <v>2160.4299999999998</v>
      </c>
      <c r="L200" s="978">
        <v>11296.730000000001</v>
      </c>
      <c r="M200" s="978">
        <v>320.95999999999998</v>
      </c>
      <c r="N200" s="978"/>
      <c r="O200" s="978"/>
      <c r="P200" s="978">
        <v>118828.26</v>
      </c>
      <c r="Q200" s="979">
        <v>25000</v>
      </c>
    </row>
    <row r="201" spans="10:17" x14ac:dyDescent="0.2">
      <c r="J201" s="977" t="s">
        <v>1044</v>
      </c>
      <c r="K201" s="978">
        <v>14462.01</v>
      </c>
      <c r="L201" s="978"/>
      <c r="M201" s="978">
        <v>9300.5299999999988</v>
      </c>
      <c r="N201" s="978"/>
      <c r="O201" s="978"/>
      <c r="P201" s="978"/>
      <c r="Q201" s="979"/>
    </row>
    <row r="202" spans="10:17" ht="15" x14ac:dyDescent="0.25">
      <c r="J202" s="974" t="s">
        <v>1099</v>
      </c>
      <c r="K202" s="975">
        <v>22416.710000000003</v>
      </c>
      <c r="L202" s="975">
        <v>18649.849999999999</v>
      </c>
      <c r="M202" s="975">
        <v>49592.38</v>
      </c>
      <c r="N202" s="975">
        <v>42905.25</v>
      </c>
      <c r="O202" s="975">
        <v>38440.160000000003</v>
      </c>
      <c r="P202" s="975">
        <v>50982.400000000001</v>
      </c>
      <c r="Q202" s="976">
        <v>40000</v>
      </c>
    </row>
    <row r="203" spans="10:17" x14ac:dyDescent="0.2">
      <c r="J203" s="977" t="s">
        <v>1053</v>
      </c>
      <c r="K203" s="978"/>
      <c r="L203" s="978"/>
      <c r="M203" s="978">
        <v>3817.74</v>
      </c>
      <c r="N203" s="978"/>
      <c r="O203" s="978"/>
      <c r="P203" s="978"/>
      <c r="Q203" s="979"/>
    </row>
    <row r="204" spans="10:17" x14ac:dyDescent="0.2">
      <c r="J204" s="977" t="s">
        <v>1061</v>
      </c>
      <c r="K204" s="978">
        <v>22416.710000000003</v>
      </c>
      <c r="L204" s="978">
        <v>18649.849999999999</v>
      </c>
      <c r="M204" s="978">
        <v>45774.64</v>
      </c>
      <c r="N204" s="978">
        <v>42905.25</v>
      </c>
      <c r="O204" s="978">
        <v>38440.160000000003</v>
      </c>
      <c r="P204" s="978">
        <v>50982.400000000001</v>
      </c>
      <c r="Q204" s="979">
        <v>40000</v>
      </c>
    </row>
    <row r="205" spans="10:17" ht="15" x14ac:dyDescent="0.25">
      <c r="J205" s="974" t="s">
        <v>1100</v>
      </c>
      <c r="K205" s="975"/>
      <c r="L205" s="975"/>
      <c r="M205" s="975"/>
      <c r="N205" s="975"/>
      <c r="O205" s="975"/>
      <c r="P205" s="975"/>
      <c r="Q205" s="976">
        <v>257200</v>
      </c>
    </row>
    <row r="206" spans="10:17" x14ac:dyDescent="0.2">
      <c r="J206" s="977" t="s">
        <v>1128</v>
      </c>
      <c r="K206" s="978"/>
      <c r="L206" s="978"/>
      <c r="M206" s="978"/>
      <c r="N206" s="978"/>
      <c r="O206" s="978"/>
      <c r="P206" s="978"/>
      <c r="Q206" s="979">
        <v>257200</v>
      </c>
    </row>
    <row r="207" spans="10:17" ht="15" x14ac:dyDescent="0.25">
      <c r="J207" s="974" t="s">
        <v>1101</v>
      </c>
      <c r="K207" s="975">
        <v>47610.080000000002</v>
      </c>
      <c r="L207" s="975">
        <v>20943.52</v>
      </c>
      <c r="M207" s="975">
        <v>55914.69</v>
      </c>
      <c r="N207" s="975"/>
      <c r="O207" s="975">
        <v>27070.881999999998</v>
      </c>
      <c r="P207" s="975">
        <v>56900</v>
      </c>
      <c r="Q207" s="976">
        <v>25000</v>
      </c>
    </row>
    <row r="208" spans="10:17" x14ac:dyDescent="0.2">
      <c r="J208" s="977" t="s">
        <v>1040</v>
      </c>
      <c r="K208" s="978"/>
      <c r="L208" s="978"/>
      <c r="M208" s="978">
        <v>2333.89</v>
      </c>
      <c r="N208" s="978"/>
      <c r="O208" s="978">
        <v>3710.43</v>
      </c>
      <c r="P208" s="978">
        <v>28450</v>
      </c>
      <c r="Q208" s="979">
        <v>12500</v>
      </c>
    </row>
    <row r="209" spans="10:17" x14ac:dyDescent="0.2">
      <c r="J209" s="977" t="s">
        <v>1041</v>
      </c>
      <c r="K209" s="978">
        <v>47610.080000000002</v>
      </c>
      <c r="L209" s="978">
        <v>20943.52</v>
      </c>
      <c r="M209" s="978">
        <v>17413.349999999999</v>
      </c>
      <c r="N209" s="978"/>
      <c r="O209" s="978">
        <v>3984.08</v>
      </c>
      <c r="P209" s="978">
        <v>28450</v>
      </c>
      <c r="Q209" s="979">
        <v>12500</v>
      </c>
    </row>
    <row r="210" spans="10:17" x14ac:dyDescent="0.2">
      <c r="J210" s="977" t="s">
        <v>1042</v>
      </c>
      <c r="K210" s="978"/>
      <c r="L210" s="978"/>
      <c r="M210" s="978">
        <v>8862.7000000000007</v>
      </c>
      <c r="N210" s="978"/>
      <c r="O210" s="978"/>
      <c r="P210" s="978"/>
      <c r="Q210" s="979"/>
    </row>
    <row r="211" spans="10:17" x14ac:dyDescent="0.2">
      <c r="J211" s="977" t="s">
        <v>1043</v>
      </c>
      <c r="K211" s="978"/>
      <c r="L211" s="978"/>
      <c r="M211" s="978">
        <v>8862.7199999999993</v>
      </c>
      <c r="N211" s="978"/>
      <c r="O211" s="978">
        <v>4777.22</v>
      </c>
      <c r="P211" s="978"/>
      <c r="Q211" s="979"/>
    </row>
    <row r="212" spans="10:17" x14ac:dyDescent="0.2">
      <c r="J212" s="977" t="s">
        <v>1044</v>
      </c>
      <c r="K212" s="978"/>
      <c r="L212" s="978"/>
      <c r="M212" s="978">
        <v>18442.030000000002</v>
      </c>
      <c r="N212" s="978"/>
      <c r="O212" s="978">
        <v>14599.152</v>
      </c>
      <c r="P212" s="978"/>
      <c r="Q212" s="979"/>
    </row>
    <row r="213" spans="10:17" ht="15" x14ac:dyDescent="0.25">
      <c r="J213" s="974" t="s">
        <v>1102</v>
      </c>
      <c r="K213" s="975"/>
      <c r="L213" s="975"/>
      <c r="M213" s="975"/>
      <c r="N213" s="975">
        <v>224746.48</v>
      </c>
      <c r="O213" s="975"/>
      <c r="P213" s="975"/>
      <c r="Q213" s="976"/>
    </row>
    <row r="214" spans="10:17" x14ac:dyDescent="0.2">
      <c r="J214" s="977" t="s">
        <v>1060</v>
      </c>
      <c r="K214" s="978"/>
      <c r="L214" s="978"/>
      <c r="M214" s="978"/>
      <c r="N214" s="978">
        <v>44000</v>
      </c>
      <c r="O214" s="978"/>
      <c r="P214" s="978"/>
      <c r="Q214" s="979"/>
    </row>
    <row r="215" spans="10:17" x14ac:dyDescent="0.2">
      <c r="J215" s="977" t="s">
        <v>1048</v>
      </c>
      <c r="K215" s="978"/>
      <c r="L215" s="978"/>
      <c r="M215" s="978"/>
      <c r="N215" s="978">
        <v>180746.48</v>
      </c>
      <c r="O215" s="978"/>
      <c r="P215" s="978"/>
      <c r="Q215" s="979"/>
    </row>
    <row r="216" spans="10:17" ht="15" x14ac:dyDescent="0.25">
      <c r="J216" s="974" t="s">
        <v>1103</v>
      </c>
      <c r="K216" s="975"/>
      <c r="L216" s="975"/>
      <c r="M216" s="975"/>
      <c r="N216" s="975"/>
      <c r="O216" s="975"/>
      <c r="P216" s="975">
        <v>96819.9</v>
      </c>
      <c r="Q216" s="976">
        <v>116035</v>
      </c>
    </row>
    <row r="217" spans="10:17" x14ac:dyDescent="0.2">
      <c r="J217" s="977" t="s">
        <v>1053</v>
      </c>
      <c r="K217" s="978"/>
      <c r="L217" s="978"/>
      <c r="M217" s="978"/>
      <c r="N217" s="978"/>
      <c r="O217" s="978"/>
      <c r="P217" s="978">
        <v>48409.95</v>
      </c>
      <c r="Q217" s="979">
        <v>58017.5</v>
      </c>
    </row>
    <row r="218" spans="10:17" x14ac:dyDescent="0.2">
      <c r="J218" s="977" t="s">
        <v>1127</v>
      </c>
      <c r="K218" s="978"/>
      <c r="L218" s="978"/>
      <c r="M218" s="978"/>
      <c r="N218" s="978"/>
      <c r="O218" s="978"/>
      <c r="P218" s="978">
        <v>48409.95</v>
      </c>
      <c r="Q218" s="979">
        <v>58017.5</v>
      </c>
    </row>
    <row r="219" spans="10:17" ht="15" x14ac:dyDescent="0.25">
      <c r="J219" s="974" t="s">
        <v>1104</v>
      </c>
      <c r="K219" s="975">
        <v>62556.170000000013</v>
      </c>
      <c r="L219" s="975">
        <v>16510</v>
      </c>
      <c r="M219" s="975">
        <v>6010.55</v>
      </c>
      <c r="N219" s="975">
        <v>58948.56</v>
      </c>
      <c r="O219" s="975">
        <v>4350.3936000000003</v>
      </c>
      <c r="P219" s="975">
        <v>39425.56</v>
      </c>
      <c r="Q219" s="976">
        <v>25000</v>
      </c>
    </row>
    <row r="220" spans="10:17" x14ac:dyDescent="0.2">
      <c r="J220" s="977" t="s">
        <v>1040</v>
      </c>
      <c r="K220" s="978">
        <v>44953.220000000008</v>
      </c>
      <c r="L220" s="978"/>
      <c r="M220" s="978">
        <v>3029.75</v>
      </c>
      <c r="N220" s="978"/>
      <c r="O220" s="978"/>
      <c r="P220" s="978">
        <v>27597.89</v>
      </c>
      <c r="Q220" s="979">
        <v>17500</v>
      </c>
    </row>
    <row r="221" spans="10:17" x14ac:dyDescent="0.2">
      <c r="J221" s="977" t="s">
        <v>1041</v>
      </c>
      <c r="K221" s="978">
        <v>4538.07</v>
      </c>
      <c r="L221" s="978"/>
      <c r="M221" s="978"/>
      <c r="N221" s="978">
        <v>58948.56</v>
      </c>
      <c r="O221" s="978"/>
      <c r="P221" s="978">
        <v>9856.39</v>
      </c>
      <c r="Q221" s="979">
        <v>6250</v>
      </c>
    </row>
    <row r="222" spans="10:17" x14ac:dyDescent="0.2">
      <c r="J222" s="977" t="s">
        <v>1044</v>
      </c>
      <c r="K222" s="978">
        <v>13064.880000000001</v>
      </c>
      <c r="L222" s="978"/>
      <c r="M222" s="978">
        <v>2980.8</v>
      </c>
      <c r="N222" s="978"/>
      <c r="O222" s="978">
        <v>4350.3936000000003</v>
      </c>
      <c r="P222" s="978">
        <v>1971.28</v>
      </c>
      <c r="Q222" s="979">
        <v>1250</v>
      </c>
    </row>
    <row r="223" spans="10:17" x14ac:dyDescent="0.2">
      <c r="J223" s="977" t="s">
        <v>1048</v>
      </c>
      <c r="K223" s="978"/>
      <c r="L223" s="978">
        <v>16510</v>
      </c>
      <c r="M223" s="978"/>
      <c r="N223" s="978"/>
      <c r="O223" s="978"/>
      <c r="P223" s="978"/>
      <c r="Q223" s="979"/>
    </row>
    <row r="224" spans="10:17" ht="15" x14ac:dyDescent="0.25">
      <c r="J224" s="974" t="s">
        <v>1105</v>
      </c>
      <c r="K224" s="975">
        <v>70482.7</v>
      </c>
      <c r="L224" s="975">
        <v>130518.26999999999</v>
      </c>
      <c r="M224" s="975"/>
      <c r="N224" s="975"/>
      <c r="O224" s="975"/>
      <c r="P224" s="975"/>
      <c r="Q224" s="976"/>
    </row>
    <row r="225" spans="10:17" x14ac:dyDescent="0.2">
      <c r="J225" s="977" t="s">
        <v>1127</v>
      </c>
      <c r="K225" s="978">
        <v>70482.7</v>
      </c>
      <c r="L225" s="978">
        <v>130518.26999999999</v>
      </c>
      <c r="M225" s="978"/>
      <c r="N225" s="978"/>
      <c r="O225" s="978"/>
      <c r="P225" s="978"/>
      <c r="Q225" s="979"/>
    </row>
    <row r="226" spans="10:17" ht="15" x14ac:dyDescent="0.25">
      <c r="J226" s="974" t="s">
        <v>1106</v>
      </c>
      <c r="K226" s="975"/>
      <c r="L226" s="975"/>
      <c r="M226" s="975"/>
      <c r="N226" s="975"/>
      <c r="O226" s="975"/>
      <c r="P226" s="975"/>
      <c r="Q226" s="976">
        <v>192408.25</v>
      </c>
    </row>
    <row r="227" spans="10:17" x14ac:dyDescent="0.2">
      <c r="J227" s="977" t="s">
        <v>1040</v>
      </c>
      <c r="K227" s="978"/>
      <c r="L227" s="978"/>
      <c r="M227" s="978"/>
      <c r="N227" s="978"/>
      <c r="O227" s="978"/>
      <c r="P227" s="978"/>
      <c r="Q227" s="979">
        <v>25000</v>
      </c>
    </row>
    <row r="228" spans="10:17" x14ac:dyDescent="0.2">
      <c r="J228" s="977" t="s">
        <v>1127</v>
      </c>
      <c r="K228" s="978"/>
      <c r="L228" s="978"/>
      <c r="M228" s="978"/>
      <c r="N228" s="978"/>
      <c r="O228" s="978"/>
      <c r="P228" s="978"/>
      <c r="Q228" s="979">
        <v>167408.25</v>
      </c>
    </row>
    <row r="229" spans="10:17" ht="15" x14ac:dyDescent="0.25">
      <c r="J229" s="974" t="s">
        <v>1107</v>
      </c>
      <c r="K229" s="975">
        <v>22421.329999999998</v>
      </c>
      <c r="L229" s="975">
        <v>13469.36</v>
      </c>
      <c r="M229" s="975">
        <v>98379.34</v>
      </c>
      <c r="N229" s="975">
        <v>44199.81</v>
      </c>
      <c r="O229" s="975"/>
      <c r="P229" s="975">
        <v>5690</v>
      </c>
      <c r="Q229" s="976">
        <v>5000</v>
      </c>
    </row>
    <row r="230" spans="10:17" x14ac:dyDescent="0.2">
      <c r="J230" s="977" t="s">
        <v>1039</v>
      </c>
      <c r="K230" s="978"/>
      <c r="L230" s="978"/>
      <c r="M230" s="978">
        <v>62866.2</v>
      </c>
      <c r="N230" s="978">
        <v>44199.81</v>
      </c>
      <c r="O230" s="978"/>
      <c r="P230" s="978"/>
      <c r="Q230" s="979"/>
    </row>
    <row r="231" spans="10:17" x14ac:dyDescent="0.2">
      <c r="J231" s="977" t="s">
        <v>1041</v>
      </c>
      <c r="K231" s="978">
        <v>22421.329999999998</v>
      </c>
      <c r="L231" s="978">
        <v>13469.36</v>
      </c>
      <c r="M231" s="978">
        <v>35513.14</v>
      </c>
      <c r="N231" s="978"/>
      <c r="O231" s="978"/>
      <c r="P231" s="978">
        <v>5690</v>
      </c>
      <c r="Q231" s="979">
        <v>5000</v>
      </c>
    </row>
    <row r="232" spans="10:17" ht="15" x14ac:dyDescent="0.25">
      <c r="J232" s="974" t="s">
        <v>1108</v>
      </c>
      <c r="K232" s="975">
        <v>19321.010000000002</v>
      </c>
      <c r="L232" s="975"/>
      <c r="M232" s="975">
        <v>34956.9</v>
      </c>
      <c r="N232" s="975">
        <v>8140.09</v>
      </c>
      <c r="O232" s="975">
        <v>43041.94</v>
      </c>
      <c r="P232" s="975">
        <v>28450</v>
      </c>
      <c r="Q232" s="976">
        <v>50000</v>
      </c>
    </row>
    <row r="233" spans="10:17" x14ac:dyDescent="0.2">
      <c r="J233" s="977" t="s">
        <v>1046</v>
      </c>
      <c r="K233" s="978">
        <v>19321.010000000002</v>
      </c>
      <c r="L233" s="978"/>
      <c r="M233" s="978">
        <v>34956.9</v>
      </c>
      <c r="N233" s="978">
        <v>8140.09</v>
      </c>
      <c r="O233" s="978">
        <v>43041.94</v>
      </c>
      <c r="P233" s="978">
        <v>28450</v>
      </c>
      <c r="Q233" s="979">
        <v>50000</v>
      </c>
    </row>
    <row r="234" spans="10:17" ht="15" x14ac:dyDescent="0.25">
      <c r="J234" s="974" t="s">
        <v>1109</v>
      </c>
      <c r="K234" s="975"/>
      <c r="L234" s="975">
        <v>47333.97</v>
      </c>
      <c r="M234" s="975"/>
      <c r="N234" s="975"/>
      <c r="O234" s="975">
        <v>136314.65</v>
      </c>
      <c r="P234" s="975"/>
      <c r="Q234" s="976"/>
    </row>
    <row r="235" spans="10:17" x14ac:dyDescent="0.2">
      <c r="J235" s="977" t="s">
        <v>1053</v>
      </c>
      <c r="K235" s="978"/>
      <c r="L235" s="978">
        <v>47333.97</v>
      </c>
      <c r="M235" s="978"/>
      <c r="N235" s="978"/>
      <c r="O235" s="978"/>
      <c r="P235" s="978"/>
      <c r="Q235" s="979"/>
    </row>
    <row r="236" spans="10:17" x14ac:dyDescent="0.2">
      <c r="J236" s="977" t="s">
        <v>1127</v>
      </c>
      <c r="K236" s="978"/>
      <c r="L236" s="978"/>
      <c r="M236" s="978"/>
      <c r="N236" s="978"/>
      <c r="O236" s="978">
        <v>136314.65</v>
      </c>
      <c r="P236" s="978"/>
      <c r="Q236" s="979"/>
    </row>
    <row r="237" spans="10:17" ht="15" x14ac:dyDescent="0.25">
      <c r="J237" s="974" t="s">
        <v>1110</v>
      </c>
      <c r="K237" s="975"/>
      <c r="L237" s="975"/>
      <c r="M237" s="975"/>
      <c r="N237" s="975">
        <v>41691.78</v>
      </c>
      <c r="O237" s="975">
        <v>28398.09</v>
      </c>
      <c r="P237" s="975">
        <v>57038.3</v>
      </c>
      <c r="Q237" s="976">
        <v>50000</v>
      </c>
    </row>
    <row r="238" spans="10:17" x14ac:dyDescent="0.2">
      <c r="J238" s="977" t="s">
        <v>1039</v>
      </c>
      <c r="K238" s="978"/>
      <c r="L238" s="978"/>
      <c r="M238" s="978"/>
      <c r="N238" s="978"/>
      <c r="O238" s="978"/>
      <c r="P238" s="978">
        <v>57038.3</v>
      </c>
      <c r="Q238" s="979">
        <v>50000</v>
      </c>
    </row>
    <row r="239" spans="10:17" x14ac:dyDescent="0.2">
      <c r="J239" s="977" t="s">
        <v>1063</v>
      </c>
      <c r="K239" s="978"/>
      <c r="L239" s="978"/>
      <c r="M239" s="978"/>
      <c r="N239" s="978">
        <v>41691.78</v>
      </c>
      <c r="O239" s="978"/>
      <c r="P239" s="978"/>
      <c r="Q239" s="979"/>
    </row>
    <row r="240" spans="10:17" x14ac:dyDescent="0.2">
      <c r="J240" s="977" t="s">
        <v>1057</v>
      </c>
      <c r="K240" s="978"/>
      <c r="L240" s="978"/>
      <c r="M240" s="978"/>
      <c r="N240" s="978"/>
      <c r="O240" s="978">
        <v>28398.09</v>
      </c>
      <c r="P240" s="978"/>
      <c r="Q240" s="979"/>
    </row>
    <row r="241" spans="10:17" ht="15" x14ac:dyDescent="0.25">
      <c r="J241" s="974" t="s">
        <v>1111</v>
      </c>
      <c r="K241" s="975"/>
      <c r="L241" s="975">
        <v>172485.8</v>
      </c>
      <c r="M241" s="975"/>
      <c r="N241" s="975"/>
      <c r="O241" s="975"/>
      <c r="P241" s="975"/>
      <c r="Q241" s="976"/>
    </row>
    <row r="242" spans="10:17" x14ac:dyDescent="0.2">
      <c r="J242" s="977" t="s">
        <v>1039</v>
      </c>
      <c r="K242" s="978"/>
      <c r="L242" s="978">
        <v>29322.720000000001</v>
      </c>
      <c r="M242" s="978"/>
      <c r="N242" s="978"/>
      <c r="O242" s="978"/>
      <c r="P242" s="978"/>
      <c r="Q242" s="979"/>
    </row>
    <row r="243" spans="10:17" x14ac:dyDescent="0.2">
      <c r="J243" s="977" t="s">
        <v>1040</v>
      </c>
      <c r="K243" s="978"/>
      <c r="L243" s="978">
        <v>22422.6</v>
      </c>
      <c r="M243" s="978"/>
      <c r="N243" s="978"/>
      <c r="O243" s="978"/>
      <c r="P243" s="978"/>
      <c r="Q243" s="979"/>
    </row>
    <row r="244" spans="10:17" x14ac:dyDescent="0.2">
      <c r="J244" s="977" t="s">
        <v>1041</v>
      </c>
      <c r="K244" s="978"/>
      <c r="L244" s="978">
        <v>100041.8</v>
      </c>
      <c r="M244" s="978"/>
      <c r="N244" s="978"/>
      <c r="O244" s="978"/>
      <c r="P244" s="978"/>
      <c r="Q244" s="979"/>
    </row>
    <row r="245" spans="10:17" x14ac:dyDescent="0.2">
      <c r="J245" s="977" t="s">
        <v>1127</v>
      </c>
      <c r="K245" s="978"/>
      <c r="L245" s="978">
        <v>20698.68</v>
      </c>
      <c r="M245" s="978"/>
      <c r="N245" s="978"/>
      <c r="O245" s="978"/>
      <c r="P245" s="978"/>
      <c r="Q245" s="979"/>
    </row>
    <row r="246" spans="10:17" ht="15" x14ac:dyDescent="0.25">
      <c r="J246" s="974" t="s">
        <v>1112</v>
      </c>
      <c r="K246" s="975">
        <v>84636.99</v>
      </c>
      <c r="L246" s="975">
        <v>82225.510000000009</v>
      </c>
      <c r="M246" s="975"/>
      <c r="N246" s="975"/>
      <c r="O246" s="975"/>
      <c r="P246" s="975"/>
      <c r="Q246" s="976"/>
    </row>
    <row r="247" spans="10:17" x14ac:dyDescent="0.2">
      <c r="J247" s="977" t="s">
        <v>1044</v>
      </c>
      <c r="K247" s="978">
        <v>84636.99</v>
      </c>
      <c r="L247" s="978">
        <v>82225.510000000009</v>
      </c>
      <c r="M247" s="978"/>
      <c r="N247" s="978"/>
      <c r="O247" s="978"/>
      <c r="P247" s="978"/>
      <c r="Q247" s="979"/>
    </row>
    <row r="248" spans="10:17" ht="15" x14ac:dyDescent="0.25">
      <c r="J248" s="974" t="s">
        <v>1113</v>
      </c>
      <c r="K248" s="975"/>
      <c r="L248" s="975">
        <v>43106.96</v>
      </c>
      <c r="M248" s="975">
        <v>79.48</v>
      </c>
      <c r="N248" s="975"/>
      <c r="O248" s="975"/>
      <c r="P248" s="975"/>
      <c r="Q248" s="976">
        <v>91759</v>
      </c>
    </row>
    <row r="249" spans="10:17" x14ac:dyDescent="0.2">
      <c r="J249" s="977" t="s">
        <v>1053</v>
      </c>
      <c r="K249" s="978"/>
      <c r="L249" s="978"/>
      <c r="M249" s="978"/>
      <c r="N249" s="978"/>
      <c r="O249" s="978"/>
      <c r="P249" s="978"/>
      <c r="Q249" s="979">
        <v>91759</v>
      </c>
    </row>
    <row r="250" spans="10:17" x14ac:dyDescent="0.2">
      <c r="J250" s="977" t="s">
        <v>1127</v>
      </c>
      <c r="K250" s="978"/>
      <c r="L250" s="978">
        <v>43106.96</v>
      </c>
      <c r="M250" s="978">
        <v>79.48</v>
      </c>
      <c r="N250" s="978"/>
      <c r="O250" s="978"/>
      <c r="P250" s="978"/>
      <c r="Q250" s="979"/>
    </row>
    <row r="251" spans="10:17" ht="15" x14ac:dyDescent="0.25">
      <c r="J251" s="974" t="s">
        <v>1114</v>
      </c>
      <c r="K251" s="975">
        <v>134286.21</v>
      </c>
      <c r="L251" s="975"/>
      <c r="M251" s="975"/>
      <c r="N251" s="975"/>
      <c r="O251" s="975"/>
      <c r="P251" s="975"/>
      <c r="Q251" s="976"/>
    </row>
    <row r="252" spans="10:17" x14ac:dyDescent="0.2">
      <c r="J252" s="977" t="s">
        <v>1041</v>
      </c>
      <c r="K252" s="978">
        <v>134286.21</v>
      </c>
      <c r="L252" s="978"/>
      <c r="M252" s="978"/>
      <c r="N252" s="978"/>
      <c r="O252" s="978"/>
      <c r="P252" s="978"/>
      <c r="Q252" s="979"/>
    </row>
    <row r="253" spans="10:17" ht="15" x14ac:dyDescent="0.25">
      <c r="J253" s="974" t="s">
        <v>1115</v>
      </c>
      <c r="K253" s="975">
        <v>125874.62</v>
      </c>
      <c r="L253" s="975"/>
      <c r="M253" s="975"/>
      <c r="N253" s="975"/>
      <c r="O253" s="975"/>
      <c r="P253" s="975"/>
      <c r="Q253" s="976"/>
    </row>
    <row r="254" spans="10:17" x14ac:dyDescent="0.2">
      <c r="J254" s="977" t="s">
        <v>1049</v>
      </c>
      <c r="K254" s="978">
        <v>3471.92</v>
      </c>
      <c r="L254" s="978"/>
      <c r="M254" s="978"/>
      <c r="N254" s="978"/>
      <c r="O254" s="978"/>
      <c r="P254" s="978"/>
      <c r="Q254" s="979"/>
    </row>
    <row r="255" spans="10:17" x14ac:dyDescent="0.2">
      <c r="J255" s="977" t="s">
        <v>1116</v>
      </c>
      <c r="K255" s="978">
        <v>122402.7</v>
      </c>
      <c r="L255" s="978"/>
      <c r="M255" s="978"/>
      <c r="N255" s="978"/>
      <c r="O255" s="978"/>
      <c r="P255" s="978"/>
      <c r="Q255" s="979"/>
    </row>
    <row r="256" spans="10:17" ht="15" x14ac:dyDescent="0.25">
      <c r="J256" s="974" t="s">
        <v>1117</v>
      </c>
      <c r="K256" s="975">
        <v>48207.5</v>
      </c>
      <c r="L256" s="975">
        <v>61801.85</v>
      </c>
      <c r="M256" s="975">
        <v>9118.42</v>
      </c>
      <c r="N256" s="975"/>
      <c r="O256" s="975"/>
      <c r="P256" s="975"/>
      <c r="Q256" s="976"/>
    </row>
    <row r="257" spans="10:17" x14ac:dyDescent="0.2">
      <c r="J257" s="977" t="s">
        <v>1039</v>
      </c>
      <c r="K257" s="978"/>
      <c r="L257" s="978">
        <v>34517.1</v>
      </c>
      <c r="M257" s="978"/>
      <c r="N257" s="978"/>
      <c r="O257" s="978"/>
      <c r="P257" s="978"/>
      <c r="Q257" s="979"/>
    </row>
    <row r="258" spans="10:17" x14ac:dyDescent="0.2">
      <c r="J258" s="977" t="s">
        <v>1040</v>
      </c>
      <c r="K258" s="978">
        <v>18203.580000000002</v>
      </c>
      <c r="L258" s="978">
        <v>4203.7700000000004</v>
      </c>
      <c r="M258" s="978">
        <v>1367.76</v>
      </c>
      <c r="N258" s="978"/>
      <c r="O258" s="978"/>
      <c r="P258" s="978"/>
      <c r="Q258" s="979"/>
    </row>
    <row r="259" spans="10:17" x14ac:dyDescent="0.2">
      <c r="J259" s="977" t="s">
        <v>1041</v>
      </c>
      <c r="K259" s="978">
        <v>16667.39</v>
      </c>
      <c r="L259" s="978">
        <v>1633.75</v>
      </c>
      <c r="M259" s="978">
        <v>7750.66</v>
      </c>
      <c r="N259" s="978"/>
      <c r="O259" s="978"/>
      <c r="P259" s="978"/>
      <c r="Q259" s="979"/>
    </row>
    <row r="260" spans="10:17" x14ac:dyDescent="0.2">
      <c r="J260" s="977" t="s">
        <v>1044</v>
      </c>
      <c r="K260" s="978">
        <v>13336.53</v>
      </c>
      <c r="L260" s="978">
        <v>21447.230000000003</v>
      </c>
      <c r="M260" s="978"/>
      <c r="N260" s="978"/>
      <c r="O260" s="978"/>
      <c r="P260" s="978"/>
      <c r="Q260" s="979"/>
    </row>
    <row r="261" spans="10:17" ht="15" x14ac:dyDescent="0.25">
      <c r="J261" s="974" t="s">
        <v>1118</v>
      </c>
      <c r="K261" s="975"/>
      <c r="L261" s="975"/>
      <c r="M261" s="975">
        <v>112660.26</v>
      </c>
      <c r="N261" s="975"/>
      <c r="O261" s="975"/>
      <c r="P261" s="975"/>
      <c r="Q261" s="976"/>
    </row>
    <row r="262" spans="10:17" x14ac:dyDescent="0.2">
      <c r="J262" s="977" t="s">
        <v>1053</v>
      </c>
      <c r="K262" s="978"/>
      <c r="L262" s="978"/>
      <c r="M262" s="978">
        <v>112660.26</v>
      </c>
      <c r="N262" s="978"/>
      <c r="O262" s="978"/>
      <c r="P262" s="978"/>
      <c r="Q262" s="979"/>
    </row>
    <row r="263" spans="10:17" ht="15" x14ac:dyDescent="0.25">
      <c r="J263" s="974" t="s">
        <v>1119</v>
      </c>
      <c r="K263" s="975"/>
      <c r="L263" s="975">
        <v>47913.5</v>
      </c>
      <c r="M263" s="975">
        <v>2358.52</v>
      </c>
      <c r="N263" s="975"/>
      <c r="O263" s="975">
        <v>15971.460000000001</v>
      </c>
      <c r="P263" s="975">
        <v>45520</v>
      </c>
      <c r="Q263" s="976"/>
    </row>
    <row r="264" spans="10:17" x14ac:dyDescent="0.2">
      <c r="J264" s="977" t="s">
        <v>1044</v>
      </c>
      <c r="K264" s="978"/>
      <c r="L264" s="978">
        <v>47913.5</v>
      </c>
      <c r="M264" s="978">
        <v>2358.52</v>
      </c>
      <c r="N264" s="978"/>
      <c r="O264" s="978">
        <v>15971.460000000001</v>
      </c>
      <c r="P264" s="978">
        <v>45520</v>
      </c>
      <c r="Q264" s="979"/>
    </row>
    <row r="265" spans="10:17" ht="15" x14ac:dyDescent="0.25">
      <c r="J265" s="974" t="s">
        <v>1120</v>
      </c>
      <c r="K265" s="975">
        <v>12833.35</v>
      </c>
      <c r="L265" s="975">
        <v>18150.86</v>
      </c>
      <c r="M265" s="975">
        <v>20194.870000000003</v>
      </c>
      <c r="N265" s="975">
        <v>17044.78</v>
      </c>
      <c r="O265" s="975"/>
      <c r="P265" s="975">
        <v>22760</v>
      </c>
      <c r="Q265" s="976">
        <v>20000</v>
      </c>
    </row>
    <row r="266" spans="10:17" x14ac:dyDescent="0.2">
      <c r="J266" s="977" t="s">
        <v>1040</v>
      </c>
      <c r="K266" s="978">
        <v>10857.68</v>
      </c>
      <c r="L266" s="978">
        <v>8100.29</v>
      </c>
      <c r="M266" s="978">
        <v>12939.330000000002</v>
      </c>
      <c r="N266" s="978">
        <v>17044.78</v>
      </c>
      <c r="O266" s="978"/>
      <c r="P266" s="978">
        <v>22760</v>
      </c>
      <c r="Q266" s="979">
        <v>20000</v>
      </c>
    </row>
    <row r="267" spans="10:17" x14ac:dyDescent="0.2">
      <c r="J267" s="977" t="s">
        <v>1041</v>
      </c>
      <c r="K267" s="978">
        <v>1975.67</v>
      </c>
      <c r="L267" s="978"/>
      <c r="M267" s="978">
        <v>4038.96</v>
      </c>
      <c r="N267" s="978"/>
      <c r="O267" s="978"/>
      <c r="P267" s="978"/>
      <c r="Q267" s="979"/>
    </row>
    <row r="268" spans="10:17" x14ac:dyDescent="0.2">
      <c r="J268" s="977" t="s">
        <v>1042</v>
      </c>
      <c r="K268" s="978"/>
      <c r="L268" s="978">
        <v>259.11</v>
      </c>
      <c r="M268" s="978"/>
      <c r="N268" s="978"/>
      <c r="O268" s="978"/>
      <c r="P268" s="978"/>
      <c r="Q268" s="979"/>
    </row>
    <row r="269" spans="10:17" x14ac:dyDescent="0.2">
      <c r="J269" s="977" t="s">
        <v>1043</v>
      </c>
      <c r="K269" s="978"/>
      <c r="L269" s="978">
        <v>9791.4599999999991</v>
      </c>
      <c r="M269" s="978"/>
      <c r="N269" s="978"/>
      <c r="O269" s="978"/>
      <c r="P269" s="978"/>
      <c r="Q269" s="979"/>
    </row>
    <row r="270" spans="10:17" x14ac:dyDescent="0.2">
      <c r="J270" s="977" t="s">
        <v>1044</v>
      </c>
      <c r="K270" s="978"/>
      <c r="L270" s="978"/>
      <c r="M270" s="978">
        <v>3216.58</v>
      </c>
      <c r="N270" s="978"/>
      <c r="O270" s="978"/>
      <c r="P270" s="978"/>
      <c r="Q270" s="979"/>
    </row>
    <row r="271" spans="10:17" ht="15" x14ac:dyDescent="0.25">
      <c r="J271" s="974" t="s">
        <v>1121</v>
      </c>
      <c r="K271" s="975"/>
      <c r="L271" s="975"/>
      <c r="M271" s="975"/>
      <c r="N271" s="975"/>
      <c r="O271" s="975"/>
      <c r="P271" s="975">
        <v>56900</v>
      </c>
      <c r="Q271" s="976">
        <v>50000</v>
      </c>
    </row>
    <row r="272" spans="10:17" x14ac:dyDescent="0.2">
      <c r="J272" s="977" t="s">
        <v>1039</v>
      </c>
      <c r="K272" s="978"/>
      <c r="L272" s="978"/>
      <c r="M272" s="978"/>
      <c r="N272" s="978"/>
      <c r="O272" s="978"/>
      <c r="P272" s="978">
        <v>56900</v>
      </c>
      <c r="Q272" s="979">
        <v>50000</v>
      </c>
    </row>
    <row r="273" spans="10:17" ht="15" x14ac:dyDescent="0.25">
      <c r="J273" s="974" t="s">
        <v>1122</v>
      </c>
      <c r="K273" s="975"/>
      <c r="L273" s="975"/>
      <c r="M273" s="975"/>
      <c r="N273" s="975"/>
      <c r="O273" s="975"/>
      <c r="P273" s="975"/>
      <c r="Q273" s="976">
        <v>100000</v>
      </c>
    </row>
    <row r="274" spans="10:17" x14ac:dyDescent="0.2">
      <c r="J274" s="977" t="s">
        <v>1043</v>
      </c>
      <c r="K274" s="978"/>
      <c r="L274" s="978"/>
      <c r="M274" s="978"/>
      <c r="N274" s="978"/>
      <c r="O274" s="978"/>
      <c r="P274" s="978"/>
      <c r="Q274" s="979">
        <v>100000</v>
      </c>
    </row>
    <row r="275" spans="10:17" ht="15" x14ac:dyDescent="0.25">
      <c r="J275" s="974" t="s">
        <v>1123</v>
      </c>
      <c r="K275" s="975">
        <v>367968.83999999991</v>
      </c>
      <c r="L275" s="975">
        <v>190472.59999999998</v>
      </c>
      <c r="M275" s="975">
        <v>97080.389999999985</v>
      </c>
      <c r="N275" s="975">
        <v>121438.84</v>
      </c>
      <c r="O275" s="975">
        <v>116728.99999999999</v>
      </c>
      <c r="P275" s="975">
        <v>299284.17</v>
      </c>
      <c r="Q275" s="976">
        <v>224182.75</v>
      </c>
    </row>
    <row r="276" spans="10:17" x14ac:dyDescent="0.2">
      <c r="J276" s="977" t="s">
        <v>1039</v>
      </c>
      <c r="K276" s="978"/>
      <c r="L276" s="978">
        <v>15216.49</v>
      </c>
      <c r="M276" s="978"/>
      <c r="N276" s="978"/>
      <c r="O276" s="978">
        <v>4466.58</v>
      </c>
      <c r="P276" s="978">
        <v>21337.5</v>
      </c>
      <c r="Q276" s="979"/>
    </row>
    <row r="277" spans="10:17" x14ac:dyDescent="0.2">
      <c r="J277" s="977" t="s">
        <v>1040</v>
      </c>
      <c r="K277" s="978">
        <v>9738.27</v>
      </c>
      <c r="L277" s="978">
        <v>2182.4299999999998</v>
      </c>
      <c r="M277" s="978"/>
      <c r="N277" s="978"/>
      <c r="O277" s="978"/>
      <c r="P277" s="978">
        <v>12802.5</v>
      </c>
      <c r="Q277" s="979">
        <v>10000</v>
      </c>
    </row>
    <row r="278" spans="10:17" x14ac:dyDescent="0.2">
      <c r="J278" s="977" t="s">
        <v>1041</v>
      </c>
      <c r="K278" s="978">
        <v>75797.12999999999</v>
      </c>
      <c r="L278" s="978">
        <v>16963.84</v>
      </c>
      <c r="M278" s="978">
        <v>4437.79</v>
      </c>
      <c r="N278" s="978">
        <v>16166.800000000001</v>
      </c>
      <c r="O278" s="978">
        <v>18489.34</v>
      </c>
      <c r="P278" s="978">
        <v>83643</v>
      </c>
      <c r="Q278" s="979">
        <v>16000</v>
      </c>
    </row>
    <row r="279" spans="10:17" x14ac:dyDescent="0.2">
      <c r="J279" s="977" t="s">
        <v>1042</v>
      </c>
      <c r="K279" s="978"/>
      <c r="L279" s="978"/>
      <c r="M279" s="978"/>
      <c r="N279" s="978">
        <v>6045.65</v>
      </c>
      <c r="O279" s="978"/>
      <c r="P279" s="978"/>
      <c r="Q279" s="979"/>
    </row>
    <row r="280" spans="10:17" x14ac:dyDescent="0.2">
      <c r="J280" s="977" t="s">
        <v>1043</v>
      </c>
      <c r="K280" s="978">
        <v>56345.4</v>
      </c>
      <c r="L280" s="978">
        <v>11333.62</v>
      </c>
      <c r="M280" s="978">
        <v>4063</v>
      </c>
      <c r="N280" s="978">
        <v>9068.44</v>
      </c>
      <c r="O280" s="978"/>
      <c r="P280" s="978"/>
      <c r="Q280" s="979"/>
    </row>
    <row r="281" spans="10:17" x14ac:dyDescent="0.2">
      <c r="J281" s="977" t="s">
        <v>1044</v>
      </c>
      <c r="K281" s="978">
        <v>52581.01</v>
      </c>
      <c r="L281" s="978"/>
      <c r="M281" s="978"/>
      <c r="N281" s="978">
        <v>220</v>
      </c>
      <c r="O281" s="978"/>
      <c r="P281" s="978"/>
      <c r="Q281" s="979"/>
    </row>
    <row r="282" spans="10:17" x14ac:dyDescent="0.2">
      <c r="J282" s="977" t="s">
        <v>1046</v>
      </c>
      <c r="K282" s="978"/>
      <c r="L282" s="978"/>
      <c r="M282" s="978"/>
      <c r="N282" s="978">
        <v>3888.75</v>
      </c>
      <c r="O282" s="978"/>
      <c r="P282" s="978"/>
      <c r="Q282" s="979"/>
    </row>
    <row r="283" spans="10:17" x14ac:dyDescent="0.2">
      <c r="J283" s="977" t="s">
        <v>1048</v>
      </c>
      <c r="K283" s="978">
        <v>3736.06</v>
      </c>
      <c r="L283" s="978">
        <v>4699.63</v>
      </c>
      <c r="M283" s="978"/>
      <c r="N283" s="978"/>
      <c r="O283" s="978"/>
      <c r="P283" s="978"/>
      <c r="Q283" s="979"/>
    </row>
    <row r="284" spans="10:17" x14ac:dyDescent="0.2">
      <c r="J284" s="977" t="s">
        <v>1049</v>
      </c>
      <c r="K284" s="978">
        <v>11607.18</v>
      </c>
      <c r="L284" s="978">
        <v>1467.48</v>
      </c>
      <c r="M284" s="978">
        <v>10159.86</v>
      </c>
      <c r="N284" s="978">
        <v>19428.3</v>
      </c>
      <c r="O284" s="978">
        <v>20150.5</v>
      </c>
      <c r="P284" s="978">
        <v>11380</v>
      </c>
      <c r="Q284" s="979">
        <v>10000</v>
      </c>
    </row>
    <row r="285" spans="10:17" x14ac:dyDescent="0.2">
      <c r="J285" s="977" t="s">
        <v>1053</v>
      </c>
      <c r="K285" s="978">
        <v>22844.03</v>
      </c>
      <c r="L285" s="978">
        <v>2727</v>
      </c>
      <c r="M285" s="978"/>
      <c r="N285" s="978"/>
      <c r="O285" s="978"/>
      <c r="P285" s="978"/>
      <c r="Q285" s="979">
        <v>116182.75</v>
      </c>
    </row>
    <row r="286" spans="10:17" x14ac:dyDescent="0.2">
      <c r="J286" s="977" t="s">
        <v>1127</v>
      </c>
      <c r="K286" s="978">
        <v>102930.63</v>
      </c>
      <c r="L286" s="978">
        <v>123420.53</v>
      </c>
      <c r="M286" s="978">
        <v>78419.739999999991</v>
      </c>
      <c r="N286" s="978">
        <v>6985.1</v>
      </c>
      <c r="O286" s="978">
        <v>4152.3099999999995</v>
      </c>
      <c r="P286" s="978">
        <v>105485.32</v>
      </c>
      <c r="Q286" s="979"/>
    </row>
    <row r="287" spans="10:17" x14ac:dyDescent="0.2">
      <c r="J287" s="977" t="s">
        <v>1124</v>
      </c>
      <c r="K287" s="978"/>
      <c r="L287" s="978">
        <v>534</v>
      </c>
      <c r="M287" s="978"/>
      <c r="N287" s="978"/>
      <c r="O287" s="978"/>
      <c r="P287" s="978"/>
      <c r="Q287" s="979"/>
    </row>
    <row r="288" spans="10:17" x14ac:dyDescent="0.2">
      <c r="J288" s="977" t="s">
        <v>1061</v>
      </c>
      <c r="K288" s="978">
        <v>12181.300000000001</v>
      </c>
      <c r="L288" s="978">
        <v>3036.1399999999994</v>
      </c>
      <c r="M288" s="978"/>
      <c r="N288" s="978">
        <v>16169.6</v>
      </c>
      <c r="O288" s="978">
        <v>146.15</v>
      </c>
      <c r="P288" s="978">
        <v>4552</v>
      </c>
      <c r="Q288" s="979">
        <v>2000</v>
      </c>
    </row>
    <row r="289" spans="10:17" x14ac:dyDescent="0.2">
      <c r="J289" s="977" t="s">
        <v>1062</v>
      </c>
      <c r="K289" s="978"/>
      <c r="L289" s="978"/>
      <c r="M289" s="978"/>
      <c r="N289" s="978"/>
      <c r="O289" s="978">
        <v>66198.759999999995</v>
      </c>
      <c r="P289" s="978">
        <v>60083.85</v>
      </c>
      <c r="Q289" s="979">
        <v>50000</v>
      </c>
    </row>
    <row r="290" spans="10:17" x14ac:dyDescent="0.2">
      <c r="J290" s="977" t="s">
        <v>1063</v>
      </c>
      <c r="K290" s="978"/>
      <c r="L290" s="978"/>
      <c r="M290" s="978"/>
      <c r="N290" s="978">
        <v>43466.200000000004</v>
      </c>
      <c r="O290" s="978">
        <v>3125.36</v>
      </c>
      <c r="P290" s="978"/>
      <c r="Q290" s="979"/>
    </row>
    <row r="291" spans="10:17" x14ac:dyDescent="0.2">
      <c r="J291" s="977" t="s">
        <v>1116</v>
      </c>
      <c r="K291" s="978">
        <v>2253.6</v>
      </c>
      <c r="L291" s="978"/>
      <c r="M291" s="978"/>
      <c r="N291" s="978"/>
      <c r="O291" s="978"/>
      <c r="P291" s="978"/>
      <c r="Q291" s="979"/>
    </row>
    <row r="292" spans="10:17" x14ac:dyDescent="0.2">
      <c r="J292" s="977" t="s">
        <v>1057</v>
      </c>
      <c r="K292" s="978">
        <v>17954.23</v>
      </c>
      <c r="L292" s="978">
        <v>8891.44</v>
      </c>
      <c r="M292" s="978"/>
      <c r="N292" s="978"/>
      <c r="O292" s="978"/>
      <c r="P292" s="978"/>
      <c r="Q292" s="979">
        <v>20000</v>
      </c>
    </row>
    <row r="293" spans="10:17" ht="15" x14ac:dyDescent="0.25">
      <c r="J293" s="974" t="s">
        <v>1125</v>
      </c>
      <c r="K293" s="975">
        <v>110242.43000000063</v>
      </c>
      <c r="L293" s="975">
        <v>414107.01999999955</v>
      </c>
      <c r="M293" s="975">
        <v>424765.08999999985</v>
      </c>
      <c r="N293" s="975">
        <v>-629463.29</v>
      </c>
      <c r="O293" s="975">
        <v>119680.29000000004</v>
      </c>
      <c r="P293" s="975">
        <v>-472125.55000000075</v>
      </c>
      <c r="Q293" s="976"/>
    </row>
    <row r="294" spans="10:17" x14ac:dyDescent="0.2">
      <c r="J294" s="977" t="s">
        <v>1126</v>
      </c>
      <c r="K294" s="978">
        <v>110242.43000000063</v>
      </c>
      <c r="L294" s="978">
        <v>414107.01999999955</v>
      </c>
      <c r="M294" s="978">
        <v>424765.08999999985</v>
      </c>
      <c r="N294" s="978">
        <v>-629463.29</v>
      </c>
      <c r="O294" s="978">
        <v>119680.29000000004</v>
      </c>
      <c r="P294" s="978">
        <v>-472125.55000000075</v>
      </c>
      <c r="Q294" s="979"/>
    </row>
    <row r="295" spans="10:17" ht="15.75" thickBot="1" x14ac:dyDescent="0.3">
      <c r="J295" s="987" t="s">
        <v>917</v>
      </c>
      <c r="K295" s="988">
        <v>4858828.959999999</v>
      </c>
      <c r="L295" s="988">
        <v>4973244.8699999982</v>
      </c>
      <c r="M295" s="988">
        <v>5369353.2299999995</v>
      </c>
      <c r="N295" s="988">
        <v>8124397.3299999973</v>
      </c>
      <c r="O295" s="988">
        <v>5378551</v>
      </c>
      <c r="P295" s="988">
        <v>10392385.029999997</v>
      </c>
      <c r="Q295" s="989">
        <v>6931725</v>
      </c>
    </row>
    <row r="298" spans="10:17" x14ac:dyDescent="0.2">
      <c r="J298" s="920" t="s">
        <v>1246</v>
      </c>
    </row>
    <row r="299" spans="10:17" x14ac:dyDescent="0.2">
      <c r="J299" s="920" t="s">
        <v>1247</v>
      </c>
    </row>
    <row r="300" spans="10:17" x14ac:dyDescent="0.2">
      <c r="J300" s="920" t="s">
        <v>1248</v>
      </c>
    </row>
    <row r="302" spans="10:17" x14ac:dyDescent="0.2">
      <c r="J302" s="990" t="s">
        <v>16</v>
      </c>
    </row>
    <row r="304" spans="10:17" x14ac:dyDescent="0.2">
      <c r="J304" s="1258" t="s">
        <v>546</v>
      </c>
      <c r="K304" s="1258"/>
      <c r="L304" s="1258"/>
      <c r="M304" s="1258"/>
      <c r="N304" s="1258"/>
      <c r="O304" s="1258"/>
      <c r="P304" s="1258"/>
      <c r="Q304" s="1258"/>
    </row>
    <row r="306" spans="10:17" x14ac:dyDescent="0.2">
      <c r="J306" s="1258" t="s">
        <v>547</v>
      </c>
      <c r="K306" s="1258"/>
      <c r="L306" s="1258"/>
      <c r="M306" s="1258"/>
      <c r="N306" s="1258"/>
      <c r="O306" s="1258"/>
      <c r="P306" s="1258"/>
      <c r="Q306" s="1258"/>
    </row>
  </sheetData>
  <mergeCells count="6">
    <mergeCell ref="J306:Q306"/>
    <mergeCell ref="J9:Q9"/>
    <mergeCell ref="J10:Q10"/>
    <mergeCell ref="A12:H12"/>
    <mergeCell ref="A53:I54"/>
    <mergeCell ref="J304:Q304"/>
  </mergeCells>
  <dataValidations count="1">
    <dataValidation type="list" allowBlank="1" showInputMessage="1" showErrorMessage="1" sqref="K14:Q14">
      <formula1>"CGAAP, MIFRS, USGAAP, ASPE"</formula1>
    </dataValidation>
  </dataValidations>
  <pageMargins left="0.75" right="0.75" top="1" bottom="1" header="0.5" footer="0.5"/>
  <pageSetup scale="65" fitToHeight="0" orientation="portrait" r:id="rId1"/>
  <headerFooter alignWithMargins="0"/>
  <rowBreaks count="4" manualBreakCount="4">
    <brk id="73" max="16383" man="1"/>
    <brk id="130" max="16383" man="1"/>
    <brk id="185" max="16383" man="1"/>
    <brk id="24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topLeftCell="A22" zoomScaleNormal="100" workbookViewId="0">
      <selection activeCell="N27" sqref="N27"/>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5.140625" style="946" bestFit="1" customWidth="1"/>
    <col min="8"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v>2009</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7" ht="17.25" customHeight="1" x14ac:dyDescent="0.2">
      <c r="A17" s="1443" t="s">
        <v>1193</v>
      </c>
      <c r="B17" s="1445" t="s">
        <v>1192</v>
      </c>
      <c r="C17" s="1451"/>
      <c r="D17" s="1451"/>
      <c r="E17" s="1461"/>
      <c r="F17" s="1463"/>
      <c r="G17" s="1442"/>
    </row>
    <row r="18" spans="1:7" x14ac:dyDescent="0.2">
      <c r="A18" s="1444"/>
      <c r="B18" s="1446"/>
      <c r="C18" s="1459"/>
      <c r="D18" s="1459"/>
      <c r="E18" s="1094" t="s">
        <v>290</v>
      </c>
      <c r="F18" s="1093" t="s">
        <v>290</v>
      </c>
      <c r="G18" s="1113"/>
    </row>
    <row r="19" spans="1:7" x14ac:dyDescent="0.2">
      <c r="A19" s="1089" t="s">
        <v>1188</v>
      </c>
      <c r="B19" s="1088" t="s">
        <v>1190</v>
      </c>
      <c r="C19" s="1086" t="s">
        <v>1219</v>
      </c>
      <c r="D19" s="1087" t="s">
        <v>1206</v>
      </c>
      <c r="E19" s="1168">
        <v>6000</v>
      </c>
      <c r="F19" s="1169">
        <v>6000</v>
      </c>
      <c r="G19" s="1122"/>
    </row>
    <row r="20" spans="1:7" x14ac:dyDescent="0.2">
      <c r="A20" s="1089" t="s">
        <v>1188</v>
      </c>
      <c r="B20" s="1088" t="s">
        <v>1189</v>
      </c>
      <c r="C20" s="1086" t="s">
        <v>1219</v>
      </c>
      <c r="D20" s="1087" t="s">
        <v>1206</v>
      </c>
      <c r="E20" s="1168">
        <v>51560</v>
      </c>
      <c r="F20" s="1169">
        <v>51560</v>
      </c>
      <c r="G20" s="256"/>
    </row>
    <row r="21" spans="1:7" x14ac:dyDescent="0.2">
      <c r="A21" s="1089" t="s">
        <v>1188</v>
      </c>
      <c r="B21" s="1088" t="s">
        <v>1191</v>
      </c>
      <c r="C21" s="1086" t="s">
        <v>1219</v>
      </c>
      <c r="D21" s="1087" t="s">
        <v>1206</v>
      </c>
      <c r="E21" s="1168">
        <v>8000</v>
      </c>
      <c r="F21" s="1169">
        <v>8000</v>
      </c>
      <c r="G21" s="256"/>
    </row>
    <row r="22" spans="1:7" x14ac:dyDescent="0.2">
      <c r="A22" s="1089" t="s">
        <v>1188</v>
      </c>
      <c r="B22" s="1088" t="s">
        <v>1187</v>
      </c>
      <c r="C22" s="1086" t="s">
        <v>1219</v>
      </c>
      <c r="D22" s="1087" t="s">
        <v>1206</v>
      </c>
      <c r="E22" s="1168">
        <v>52050</v>
      </c>
      <c r="F22" s="1169">
        <v>52050</v>
      </c>
      <c r="G22" s="256"/>
    </row>
    <row r="23" spans="1:7" x14ac:dyDescent="0.2">
      <c r="A23" s="1112" t="s">
        <v>1191</v>
      </c>
      <c r="B23" s="1111" t="s">
        <v>1188</v>
      </c>
      <c r="C23" s="1086" t="s">
        <v>1219</v>
      </c>
      <c r="D23" s="1087" t="s">
        <v>1206</v>
      </c>
      <c r="E23" s="1174"/>
      <c r="F23" s="1170"/>
      <c r="G23" s="256"/>
    </row>
    <row r="24" spans="1:7" s="255" customFormat="1" x14ac:dyDescent="0.2">
      <c r="A24" s="1104"/>
      <c r="B24" s="1103"/>
      <c r="C24" s="1102"/>
      <c r="D24" s="1101" t="s">
        <v>1200</v>
      </c>
      <c r="E24" s="1171">
        <f>SUM(E19:E23)</f>
        <v>117610</v>
      </c>
      <c r="F24" s="1172">
        <f>SUM(F19:F23)</f>
        <v>117610</v>
      </c>
    </row>
    <row r="25" spans="1:7" x14ac:dyDescent="0.2">
      <c r="A25" s="1110" t="s">
        <v>1188</v>
      </c>
      <c r="B25" s="1109" t="s">
        <v>1191</v>
      </c>
      <c r="C25" s="1108" t="s">
        <v>1205</v>
      </c>
      <c r="D25" s="1087" t="s">
        <v>1201</v>
      </c>
      <c r="E25" s="1182">
        <v>5400</v>
      </c>
      <c r="F25" s="1181">
        <v>5400</v>
      </c>
    </row>
    <row r="26" spans="1:7" x14ac:dyDescent="0.2">
      <c r="A26" s="1089" t="s">
        <v>1188</v>
      </c>
      <c r="B26" s="1088" t="s">
        <v>1190</v>
      </c>
      <c r="C26" s="1086" t="s">
        <v>1205</v>
      </c>
      <c r="D26" s="1087" t="s">
        <v>1201</v>
      </c>
      <c r="E26" s="1174"/>
      <c r="F26" s="1169"/>
      <c r="G26" s="1122"/>
    </row>
    <row r="27" spans="1:7" x14ac:dyDescent="0.2">
      <c r="A27" s="1089" t="s">
        <v>1188</v>
      </c>
      <c r="B27" s="1088" t="s">
        <v>1189</v>
      </c>
      <c r="C27" s="1086" t="s">
        <v>1205</v>
      </c>
      <c r="D27" s="1087" t="s">
        <v>1201</v>
      </c>
      <c r="E27" s="1174">
        <f>9600+2400+2000+3000+4584</f>
        <v>21584</v>
      </c>
      <c r="F27" s="1169">
        <v>21584</v>
      </c>
    </row>
    <row r="28" spans="1:7" s="255" customFormat="1" x14ac:dyDescent="0.2">
      <c r="A28" s="1104"/>
      <c r="B28" s="1103"/>
      <c r="C28" s="1102"/>
      <c r="D28" s="1101" t="s">
        <v>1200</v>
      </c>
      <c r="E28" s="1171">
        <f>SUM(E25:E27)</f>
        <v>26984</v>
      </c>
      <c r="F28" s="1172">
        <f>SUM(F25:F27)</f>
        <v>26984</v>
      </c>
    </row>
    <row r="29" spans="1:7" x14ac:dyDescent="0.2">
      <c r="A29" s="1089" t="s">
        <v>1188</v>
      </c>
      <c r="B29" s="1088" t="s">
        <v>1189</v>
      </c>
      <c r="C29" s="1086" t="s">
        <v>1218</v>
      </c>
      <c r="D29" s="1087" t="s">
        <v>1201</v>
      </c>
      <c r="E29" s="1174">
        <v>80916</v>
      </c>
      <c r="F29" s="1169">
        <v>80916</v>
      </c>
    </row>
    <row r="30" spans="1:7" x14ac:dyDescent="0.2">
      <c r="A30" s="1089" t="s">
        <v>1188</v>
      </c>
      <c r="B30" s="1088" t="s">
        <v>1187</v>
      </c>
      <c r="C30" s="1086" t="s">
        <v>1218</v>
      </c>
      <c r="D30" s="1087" t="s">
        <v>1201</v>
      </c>
      <c r="E30" s="1174">
        <v>0</v>
      </c>
      <c r="F30" s="1169">
        <v>0</v>
      </c>
      <c r="G30" s="1122"/>
    </row>
    <row r="31" spans="1:7" s="255" customFormat="1" ht="12" customHeight="1" x14ac:dyDescent="0.2">
      <c r="A31" s="1104"/>
      <c r="B31" s="1103"/>
      <c r="C31" s="1102"/>
      <c r="D31" s="1101" t="s">
        <v>1200</v>
      </c>
      <c r="E31" s="1171">
        <f>SUM(E29:E30)</f>
        <v>80916</v>
      </c>
      <c r="F31" s="1172">
        <f>SUM(F29:F30)</f>
        <v>80916</v>
      </c>
    </row>
    <row r="32" spans="1:7" x14ac:dyDescent="0.2">
      <c r="A32" s="1089" t="s">
        <v>1188</v>
      </c>
      <c r="B32" s="1088" t="s">
        <v>1191</v>
      </c>
      <c r="C32" s="1086" t="s">
        <v>1217</v>
      </c>
      <c r="D32" s="1087" t="s">
        <v>1201</v>
      </c>
      <c r="E32" s="1168">
        <v>2211</v>
      </c>
      <c r="F32" s="1169">
        <v>2211</v>
      </c>
      <c r="G32" s="1122"/>
    </row>
    <row r="33" spans="1:7" x14ac:dyDescent="0.2">
      <c r="A33" s="1089" t="s">
        <v>1188</v>
      </c>
      <c r="B33" s="1088" t="s">
        <v>1190</v>
      </c>
      <c r="C33" s="1086" t="s">
        <v>1217</v>
      </c>
      <c r="D33" s="1087" t="s">
        <v>1201</v>
      </c>
      <c r="E33" s="1168">
        <v>4213</v>
      </c>
      <c r="F33" s="1169">
        <v>4213</v>
      </c>
      <c r="G33" s="1122"/>
    </row>
    <row r="34" spans="1:7" x14ac:dyDescent="0.2">
      <c r="A34" s="1089" t="s">
        <v>1188</v>
      </c>
      <c r="B34" s="1088" t="s">
        <v>1189</v>
      </c>
      <c r="C34" s="1086" t="s">
        <v>1217</v>
      </c>
      <c r="D34" s="1087" t="s">
        <v>1201</v>
      </c>
      <c r="E34" s="1168">
        <v>9238</v>
      </c>
      <c r="F34" s="1169">
        <v>9238</v>
      </c>
      <c r="G34" s="1122"/>
    </row>
    <row r="35" spans="1:7" s="255" customFormat="1" x14ac:dyDescent="0.2">
      <c r="A35" s="1104"/>
      <c r="B35" s="1103"/>
      <c r="C35" s="1102"/>
      <c r="D35" s="1101" t="s">
        <v>1200</v>
      </c>
      <c r="E35" s="1171">
        <f>SUM(E32:E34)</f>
        <v>15662</v>
      </c>
      <c r="F35" s="1123">
        <f>SUM(F32:F34)</f>
        <v>15662</v>
      </c>
    </row>
    <row r="36" spans="1:7" x14ac:dyDescent="0.2">
      <c r="A36" s="1089" t="s">
        <v>1188</v>
      </c>
      <c r="B36" s="1088" t="s">
        <v>1189</v>
      </c>
      <c r="C36" s="1087" t="s">
        <v>1216</v>
      </c>
      <c r="D36" s="1087" t="s">
        <v>1206</v>
      </c>
      <c r="E36" s="1168"/>
      <c r="F36" s="1169"/>
      <c r="G36" s="1120"/>
    </row>
    <row r="37" spans="1:7" x14ac:dyDescent="0.2">
      <c r="A37" s="1089" t="s">
        <v>1188</v>
      </c>
      <c r="B37" s="1088" t="s">
        <v>1236</v>
      </c>
      <c r="C37" s="1087" t="s">
        <v>1215</v>
      </c>
      <c r="D37" s="1087" t="s">
        <v>1201</v>
      </c>
      <c r="E37" s="1168">
        <v>668022</v>
      </c>
      <c r="F37" s="1169">
        <v>459979</v>
      </c>
      <c r="G37" s="1120"/>
    </row>
    <row r="38" spans="1:7" s="255" customFormat="1" ht="12" customHeight="1" x14ac:dyDescent="0.2">
      <c r="A38" s="1104"/>
      <c r="B38" s="1103"/>
      <c r="C38" s="1102"/>
      <c r="D38" s="1101" t="s">
        <v>1200</v>
      </c>
      <c r="E38" s="1171">
        <f>SUM(E36:E37)</f>
        <v>668022</v>
      </c>
      <c r="F38" s="1171">
        <f>SUM(F36:F37)</f>
        <v>459979</v>
      </c>
    </row>
    <row r="39" spans="1:7" x14ac:dyDescent="0.2">
      <c r="A39" s="1089" t="s">
        <v>1188</v>
      </c>
      <c r="B39" s="1088" t="s">
        <v>1189</v>
      </c>
      <c r="C39" s="1087" t="s">
        <v>1214</v>
      </c>
      <c r="D39" s="1087" t="s">
        <v>1206</v>
      </c>
      <c r="E39" s="1168">
        <f>12446+2971</f>
        <v>15417</v>
      </c>
      <c r="F39" s="1169">
        <v>15417</v>
      </c>
      <c r="G39" s="1120"/>
    </row>
    <row r="40" spans="1:7" x14ac:dyDescent="0.2">
      <c r="A40" s="1089" t="s">
        <v>1188</v>
      </c>
      <c r="B40" s="1088" t="s">
        <v>1190</v>
      </c>
      <c r="C40" s="1087" t="s">
        <v>1214</v>
      </c>
      <c r="D40" s="1087" t="s">
        <v>1206</v>
      </c>
      <c r="E40" s="1168">
        <v>21845</v>
      </c>
      <c r="F40" s="1169">
        <v>21845</v>
      </c>
      <c r="G40" s="1120"/>
    </row>
    <row r="41" spans="1:7" s="255" customFormat="1" ht="12" customHeight="1" x14ac:dyDescent="0.2">
      <c r="A41" s="1104"/>
      <c r="B41" s="1103"/>
      <c r="C41" s="1102"/>
      <c r="D41" s="1101" t="s">
        <v>1200</v>
      </c>
      <c r="E41" s="1171">
        <f>SUM(E39:E40)</f>
        <v>37262</v>
      </c>
      <c r="F41" s="1123">
        <f>SUM(F39:F40)</f>
        <v>37262</v>
      </c>
    </row>
    <row r="42" spans="1:7" x14ac:dyDescent="0.2">
      <c r="A42" s="1089" t="s">
        <v>1188</v>
      </c>
      <c r="B42" s="1088" t="s">
        <v>1189</v>
      </c>
      <c r="C42" s="1087" t="s">
        <v>1203</v>
      </c>
      <c r="D42" s="1087" t="s">
        <v>1206</v>
      </c>
      <c r="E42" s="1168">
        <f>33251+7936</f>
        <v>41187</v>
      </c>
      <c r="F42" s="1169">
        <v>41187</v>
      </c>
      <c r="G42" s="1120"/>
    </row>
    <row r="43" spans="1:7" x14ac:dyDescent="0.2">
      <c r="A43" s="1089" t="s">
        <v>1188</v>
      </c>
      <c r="B43" s="1088" t="s">
        <v>1187</v>
      </c>
      <c r="C43" s="1087" t="s">
        <v>1203</v>
      </c>
      <c r="D43" s="1087" t="s">
        <v>1206</v>
      </c>
      <c r="E43" s="1168">
        <v>30830</v>
      </c>
      <c r="F43" s="1169">
        <v>30830</v>
      </c>
      <c r="G43" s="1120"/>
    </row>
    <row r="44" spans="1:7" s="255" customFormat="1" ht="12" customHeight="1" x14ac:dyDescent="0.2">
      <c r="A44" s="1104"/>
      <c r="B44" s="1103"/>
      <c r="C44" s="1102"/>
      <c r="D44" s="1101" t="s">
        <v>1200</v>
      </c>
      <c r="E44" s="1171">
        <f>SUM(E42:E43)</f>
        <v>72017</v>
      </c>
      <c r="F44" s="1172">
        <f>SUM(F42:F43)</f>
        <v>72017</v>
      </c>
    </row>
    <row r="45" spans="1:7" x14ac:dyDescent="0.2">
      <c r="A45" s="1089" t="s">
        <v>1188</v>
      </c>
      <c r="B45" s="1088" t="s">
        <v>1189</v>
      </c>
      <c r="C45" s="1087" t="s">
        <v>1202</v>
      </c>
      <c r="D45" s="1087" t="s">
        <v>1206</v>
      </c>
      <c r="E45" s="1168"/>
      <c r="F45" s="1169"/>
      <c r="G45" s="1120"/>
    </row>
    <row r="46" spans="1:7" x14ac:dyDescent="0.2">
      <c r="A46" s="1089" t="s">
        <v>1188</v>
      </c>
      <c r="B46" s="1088" t="s">
        <v>1187</v>
      </c>
      <c r="C46" s="1087" t="s">
        <v>1202</v>
      </c>
      <c r="D46" s="1087" t="s">
        <v>1206</v>
      </c>
      <c r="E46" s="1168">
        <f>2061+4123-1</f>
        <v>6183</v>
      </c>
      <c r="F46" s="1169">
        <v>6183</v>
      </c>
      <c r="G46" s="1120"/>
    </row>
    <row r="47" spans="1:7" x14ac:dyDescent="0.2">
      <c r="A47" s="1089" t="s">
        <v>1188</v>
      </c>
      <c r="B47" s="1088" t="s">
        <v>1191</v>
      </c>
      <c r="C47" s="1087" t="s">
        <v>1202</v>
      </c>
      <c r="D47" s="1087" t="s">
        <v>1206</v>
      </c>
      <c r="E47" s="1168">
        <v>0</v>
      </c>
      <c r="F47" s="1169">
        <v>0</v>
      </c>
      <c r="G47" s="1120"/>
    </row>
    <row r="48" spans="1:7" s="255" customFormat="1" ht="12" customHeight="1" x14ac:dyDescent="0.2">
      <c r="A48" s="1104"/>
      <c r="B48" s="1103"/>
      <c r="C48" s="1102"/>
      <c r="D48" s="1101" t="s">
        <v>1200</v>
      </c>
      <c r="E48" s="1171">
        <f>SUM(E45:E47)</f>
        <v>6183</v>
      </c>
      <c r="F48" s="1172">
        <f>SUM(F45:F47)</f>
        <v>6183</v>
      </c>
    </row>
    <row r="49" spans="1:7" x14ac:dyDescent="0.2">
      <c r="A49" s="1089" t="s">
        <v>1188</v>
      </c>
      <c r="B49" s="1088" t="s">
        <v>1189</v>
      </c>
      <c r="C49" s="1087" t="s">
        <v>1213</v>
      </c>
      <c r="D49" s="1087" t="s">
        <v>1201</v>
      </c>
      <c r="E49" s="1168">
        <v>0</v>
      </c>
      <c r="F49" s="1169">
        <v>0</v>
      </c>
      <c r="G49" s="1120"/>
    </row>
    <row r="50" spans="1:7" x14ac:dyDescent="0.2">
      <c r="A50" s="1089"/>
      <c r="B50" s="1088"/>
      <c r="C50" s="1087"/>
      <c r="D50" s="1087"/>
      <c r="E50" s="1168"/>
      <c r="F50" s="1169"/>
      <c r="G50" s="1120"/>
    </row>
    <row r="51" spans="1:7" x14ac:dyDescent="0.2">
      <c r="A51" s="1089" t="s">
        <v>1188</v>
      </c>
      <c r="B51" s="1088" t="s">
        <v>1189</v>
      </c>
      <c r="C51" s="1087" t="s">
        <v>1207</v>
      </c>
      <c r="D51" s="1087" t="s">
        <v>1206</v>
      </c>
      <c r="E51" s="1168">
        <v>148819</v>
      </c>
      <c r="F51" s="1169">
        <v>148819</v>
      </c>
      <c r="G51" s="1120"/>
    </row>
    <row r="52" spans="1:7" x14ac:dyDescent="0.2">
      <c r="A52" s="1089" t="s">
        <v>1188</v>
      </c>
      <c r="B52" s="1088" t="s">
        <v>1187</v>
      </c>
      <c r="C52" s="1087" t="s">
        <v>1207</v>
      </c>
      <c r="D52" s="1087" t="s">
        <v>1206</v>
      </c>
      <c r="E52" s="1168">
        <f>13238+10000</f>
        <v>23238</v>
      </c>
      <c r="F52" s="1169">
        <v>23238</v>
      </c>
      <c r="G52" s="1120"/>
    </row>
    <row r="53" spans="1:7" x14ac:dyDescent="0.2">
      <c r="A53" s="1089" t="s">
        <v>1188</v>
      </c>
      <c r="B53" s="1088" t="s">
        <v>1190</v>
      </c>
      <c r="C53" s="1087" t="s">
        <v>1207</v>
      </c>
      <c r="D53" s="1087" t="s">
        <v>1206</v>
      </c>
      <c r="E53" s="1168"/>
      <c r="F53" s="1169"/>
      <c r="G53" s="1120"/>
    </row>
    <row r="54" spans="1:7" x14ac:dyDescent="0.2">
      <c r="A54" s="1089" t="s">
        <v>1188</v>
      </c>
      <c r="B54" s="1088" t="s">
        <v>1191</v>
      </c>
      <c r="C54" s="1087" t="s">
        <v>1207</v>
      </c>
      <c r="D54" s="1087" t="s">
        <v>1206</v>
      </c>
      <c r="E54" s="1168"/>
      <c r="F54" s="1169"/>
      <c r="G54" s="1120"/>
    </row>
    <row r="55" spans="1:7" s="255" customFormat="1" ht="12" customHeight="1" x14ac:dyDescent="0.2">
      <c r="A55" s="1104"/>
      <c r="B55" s="1103"/>
      <c r="C55" s="1102"/>
      <c r="D55" s="1101" t="s">
        <v>1200</v>
      </c>
      <c r="E55" s="1171">
        <f>SUM(E51:E54)</f>
        <v>172057</v>
      </c>
      <c r="F55" s="1172">
        <f>SUM(F51:F54)</f>
        <v>172057</v>
      </c>
    </row>
    <row r="56" spans="1:7" s="254" customFormat="1" x14ac:dyDescent="0.2">
      <c r="A56" s="1119" t="s">
        <v>439</v>
      </c>
      <c r="B56" s="1118"/>
      <c r="C56" s="1117"/>
      <c r="D56" s="1105"/>
      <c r="E56" s="1176">
        <f>+E55+E49+E48+E44+E38+E41+E35+E31+E28+E24</f>
        <v>1196713</v>
      </c>
      <c r="F56" s="1176">
        <f>+F55+F49+F48+F44+F38+F41+F35+F31+F28+F24</f>
        <v>988670</v>
      </c>
      <c r="G56" s="1127"/>
    </row>
    <row r="57" spans="1:7" x14ac:dyDescent="0.2">
      <c r="A57" s="1100" t="s">
        <v>1189</v>
      </c>
      <c r="B57" s="1087" t="s">
        <v>1188</v>
      </c>
      <c r="C57" s="1087" t="s">
        <v>1204</v>
      </c>
      <c r="D57" s="1087" t="s">
        <v>1201</v>
      </c>
      <c r="E57" s="1168">
        <f>31735+232661</f>
        <v>264396</v>
      </c>
      <c r="F57" s="1169">
        <v>264396</v>
      </c>
      <c r="G57" s="1120"/>
    </row>
    <row r="58" spans="1:7" x14ac:dyDescent="0.2">
      <c r="A58" s="1100" t="s">
        <v>1189</v>
      </c>
      <c r="B58" s="1087" t="s">
        <v>1188</v>
      </c>
      <c r="C58" s="1087" t="s">
        <v>1203</v>
      </c>
      <c r="D58" s="1087" t="s">
        <v>1201</v>
      </c>
      <c r="E58" s="1168">
        <f>18059+132398</f>
        <v>150457</v>
      </c>
      <c r="F58" s="1169">
        <v>150457</v>
      </c>
      <c r="G58" s="1120"/>
    </row>
    <row r="59" spans="1:7" x14ac:dyDescent="0.2">
      <c r="A59" s="1100" t="s">
        <v>1189</v>
      </c>
      <c r="B59" s="1087" t="s">
        <v>1188</v>
      </c>
      <c r="C59" s="1087" t="s">
        <v>1212</v>
      </c>
      <c r="D59" s="1087" t="s">
        <v>1201</v>
      </c>
      <c r="E59" s="1168"/>
      <c r="F59" s="1169"/>
      <c r="G59" s="1120"/>
    </row>
    <row r="60" spans="1:7" x14ac:dyDescent="0.2">
      <c r="A60" s="1100" t="s">
        <v>1189</v>
      </c>
      <c r="B60" s="1087" t="s">
        <v>1188</v>
      </c>
      <c r="C60" s="1087" t="s">
        <v>1211</v>
      </c>
      <c r="D60" s="1087" t="s">
        <v>1201</v>
      </c>
      <c r="E60" s="1168">
        <f>9022+66147</f>
        <v>75169</v>
      </c>
      <c r="F60" s="1169">
        <v>75169</v>
      </c>
      <c r="G60" s="1120"/>
    </row>
    <row r="61" spans="1:7" x14ac:dyDescent="0.2">
      <c r="A61" s="1100" t="s">
        <v>1189</v>
      </c>
      <c r="B61" s="1087" t="s">
        <v>1210</v>
      </c>
      <c r="C61" s="1087" t="s">
        <v>1209</v>
      </c>
      <c r="D61" s="1087" t="s">
        <v>1201</v>
      </c>
      <c r="E61" s="1168">
        <v>0</v>
      </c>
      <c r="F61" s="1169">
        <v>0</v>
      </c>
      <c r="G61" s="1120"/>
    </row>
    <row r="62" spans="1:7" x14ac:dyDescent="0.2">
      <c r="A62" s="1100" t="s">
        <v>1189</v>
      </c>
      <c r="B62" s="1087" t="s">
        <v>1188</v>
      </c>
      <c r="C62" s="1087" t="s">
        <v>1202</v>
      </c>
      <c r="D62" s="1087" t="s">
        <v>1201</v>
      </c>
      <c r="E62" s="1168">
        <f>7305+53557</f>
        <v>60862</v>
      </c>
      <c r="F62" s="1169">
        <v>60862</v>
      </c>
      <c r="G62" s="1120"/>
    </row>
    <row r="63" spans="1:7" x14ac:dyDescent="0.2">
      <c r="A63" s="1100" t="s">
        <v>1189</v>
      </c>
      <c r="B63" s="1087" t="s">
        <v>1188</v>
      </c>
      <c r="C63" s="1087" t="s">
        <v>1208</v>
      </c>
      <c r="D63" s="1087" t="s">
        <v>1206</v>
      </c>
      <c r="E63" s="1168"/>
      <c r="F63" s="1169"/>
      <c r="G63" s="1120"/>
    </row>
    <row r="64" spans="1:7" x14ac:dyDescent="0.2">
      <c r="A64" s="1100" t="s">
        <v>1189</v>
      </c>
      <c r="B64" s="1087" t="s">
        <v>1188</v>
      </c>
      <c r="C64" s="1087" t="s">
        <v>1207</v>
      </c>
      <c r="D64" s="1087" t="s">
        <v>1206</v>
      </c>
      <c r="E64" s="1168"/>
      <c r="F64" s="1169"/>
      <c r="G64" s="1120"/>
    </row>
    <row r="65" spans="1:7" s="255" customFormat="1" ht="12" customHeight="1" x14ac:dyDescent="0.2">
      <c r="A65" s="1104"/>
      <c r="B65" s="1103"/>
      <c r="C65" s="1102"/>
      <c r="D65" s="1101" t="s">
        <v>1200</v>
      </c>
      <c r="E65" s="1171">
        <f>SUM(E57:E64)</f>
        <v>550884</v>
      </c>
      <c r="F65" s="1172">
        <f>SUM(F57:F64)</f>
        <v>550884</v>
      </c>
    </row>
    <row r="66" spans="1:7" x14ac:dyDescent="0.2">
      <c r="A66" s="1100" t="s">
        <v>1187</v>
      </c>
      <c r="B66" s="1087" t="s">
        <v>1188</v>
      </c>
      <c r="C66" s="1087" t="s">
        <v>1205</v>
      </c>
      <c r="D66" s="1087" t="s">
        <v>1201</v>
      </c>
      <c r="E66" s="1168"/>
      <c r="F66" s="1169"/>
      <c r="G66" s="1120"/>
    </row>
    <row r="67" spans="1:7" x14ac:dyDescent="0.2">
      <c r="A67" s="1100" t="s">
        <v>1187</v>
      </c>
      <c r="B67" s="1087" t="s">
        <v>1188</v>
      </c>
      <c r="C67" s="1087" t="s">
        <v>1204</v>
      </c>
      <c r="D67" s="1087" t="s">
        <v>1201</v>
      </c>
      <c r="E67" s="1168">
        <f>2843+37686</f>
        <v>40529</v>
      </c>
      <c r="F67" s="1169">
        <v>40529</v>
      </c>
      <c r="G67" s="1120"/>
    </row>
    <row r="68" spans="1:7" x14ac:dyDescent="0.2">
      <c r="A68" s="1100" t="s">
        <v>1187</v>
      </c>
      <c r="B68" s="1087" t="s">
        <v>1188</v>
      </c>
      <c r="C68" s="1087" t="s">
        <v>1203</v>
      </c>
      <c r="D68" s="1087" t="s">
        <v>1201</v>
      </c>
      <c r="E68" s="1168">
        <f>2660+35248</f>
        <v>37908</v>
      </c>
      <c r="F68" s="1169">
        <v>37908</v>
      </c>
      <c r="G68" s="1120"/>
    </row>
    <row r="69" spans="1:7" x14ac:dyDescent="0.2">
      <c r="A69" s="1100" t="s">
        <v>1187</v>
      </c>
      <c r="B69" s="1087" t="s">
        <v>1188</v>
      </c>
      <c r="C69" s="1087" t="s">
        <v>1202</v>
      </c>
      <c r="D69" s="1087" t="s">
        <v>1201</v>
      </c>
      <c r="E69" s="1087"/>
      <c r="F69" s="1169"/>
      <c r="G69" s="1120"/>
    </row>
    <row r="70" spans="1:7" s="255" customFormat="1" ht="12" customHeight="1" x14ac:dyDescent="0.2">
      <c r="A70" s="1104"/>
      <c r="B70" s="1103"/>
      <c r="C70" s="1102"/>
      <c r="D70" s="1101" t="s">
        <v>1200</v>
      </c>
      <c r="E70" s="1171">
        <f>SUM(E66:E69)</f>
        <v>78437</v>
      </c>
      <c r="F70" s="1172">
        <f>SUM(F66:F69)</f>
        <v>78437</v>
      </c>
    </row>
    <row r="71" spans="1:7" x14ac:dyDescent="0.2">
      <c r="A71" s="1100"/>
      <c r="B71" s="1087"/>
      <c r="C71" s="1087"/>
      <c r="D71" s="1087"/>
      <c r="E71" s="1087"/>
      <c r="F71" s="1169"/>
      <c r="G71" s="1120"/>
    </row>
    <row r="72" spans="1:7" ht="13.5" thickBot="1" x14ac:dyDescent="0.25">
      <c r="A72" s="1085"/>
      <c r="B72" s="1084"/>
      <c r="C72" s="1084"/>
      <c r="D72" s="1084"/>
      <c r="E72" s="1177">
        <f>+E56+E65+E70</f>
        <v>1826034</v>
      </c>
      <c r="F72" s="1178">
        <f>+F56+F65+F70</f>
        <v>1617991</v>
      </c>
      <c r="G72" s="1120"/>
    </row>
    <row r="74" spans="1:7" ht="15.75" x14ac:dyDescent="0.25">
      <c r="A74" s="1447" t="s">
        <v>1199</v>
      </c>
      <c r="B74" s="1447"/>
      <c r="C74" s="1447"/>
      <c r="D74" s="1447"/>
      <c r="E74" s="1447"/>
      <c r="F74" s="1447"/>
    </row>
    <row r="75" spans="1:7" ht="13.5" thickBot="1" x14ac:dyDescent="0.25"/>
    <row r="76" spans="1:7" ht="13.5" customHeight="1" x14ac:dyDescent="0.2">
      <c r="A76" s="1457" t="s">
        <v>1198</v>
      </c>
      <c r="B76" s="1458"/>
      <c r="C76" s="1464" t="s">
        <v>1197</v>
      </c>
      <c r="D76" s="1464" t="s">
        <v>1196</v>
      </c>
      <c r="E76" s="1460" t="s">
        <v>1195</v>
      </c>
      <c r="F76" s="1462" t="s">
        <v>1194</v>
      </c>
    </row>
    <row r="77" spans="1:7" ht="17.25" customHeight="1" x14ac:dyDescent="0.2">
      <c r="A77" s="1098" t="s">
        <v>1193</v>
      </c>
      <c r="B77" s="1097" t="s">
        <v>1192</v>
      </c>
      <c r="C77" s="1465"/>
      <c r="D77" s="1465"/>
      <c r="E77" s="1461"/>
      <c r="F77" s="1463"/>
    </row>
    <row r="78" spans="1:7" x14ac:dyDescent="0.2">
      <c r="A78" s="1165"/>
      <c r="B78" s="1167"/>
      <c r="C78" s="1466"/>
      <c r="D78" s="1466"/>
      <c r="E78" s="1094" t="s">
        <v>291</v>
      </c>
      <c r="F78" s="1093" t="s">
        <v>290</v>
      </c>
    </row>
    <row r="79" spans="1:7" x14ac:dyDescent="0.2">
      <c r="A79" s="1089" t="s">
        <v>1188</v>
      </c>
      <c r="B79" s="1088" t="s">
        <v>1191</v>
      </c>
      <c r="C79" s="1086" t="s">
        <v>1186</v>
      </c>
      <c r="D79" s="1087"/>
      <c r="E79" s="1086"/>
      <c r="F79" s="1169"/>
    </row>
    <row r="80" spans="1:7" x14ac:dyDescent="0.2">
      <c r="A80" s="1089" t="s">
        <v>1188</v>
      </c>
      <c r="B80" s="1088" t="s">
        <v>1190</v>
      </c>
      <c r="C80" s="1086" t="s">
        <v>1186</v>
      </c>
      <c r="D80" s="1087"/>
      <c r="E80" s="1086"/>
      <c r="F80" s="1169"/>
    </row>
    <row r="81" spans="1:7" x14ac:dyDescent="0.2">
      <c r="A81" s="1089" t="s">
        <v>1188</v>
      </c>
      <c r="B81" s="1088" t="s">
        <v>1189</v>
      </c>
      <c r="C81" s="1086" t="s">
        <v>1186</v>
      </c>
      <c r="D81" s="1087"/>
      <c r="E81" s="1086"/>
      <c r="F81" s="1169"/>
    </row>
    <row r="82" spans="1:7" ht="13.5" thickBot="1" x14ac:dyDescent="0.25">
      <c r="A82" s="1089" t="s">
        <v>1188</v>
      </c>
      <c r="B82" s="1088" t="s">
        <v>1187</v>
      </c>
      <c r="C82" s="1086" t="s">
        <v>1186</v>
      </c>
      <c r="D82" s="1087"/>
      <c r="E82" s="1086"/>
      <c r="F82" s="1179"/>
    </row>
    <row r="83" spans="1:7" ht="13.5" thickBot="1" x14ac:dyDescent="0.25">
      <c r="A83" s="1089"/>
      <c r="B83" s="1088"/>
      <c r="C83" s="1091"/>
      <c r="D83" s="1091"/>
      <c r="E83" s="1090" t="s">
        <v>439</v>
      </c>
      <c r="F83" s="1180">
        <f>SUM(F79:F82)</f>
        <v>0</v>
      </c>
    </row>
    <row r="84" spans="1:7" x14ac:dyDescent="0.2">
      <c r="A84" s="1112"/>
      <c r="B84" s="1088"/>
      <c r="C84" s="1086"/>
      <c r="D84" s="1086"/>
      <c r="E84" s="1086"/>
      <c r="F84" s="1181"/>
    </row>
    <row r="85" spans="1:7" ht="13.5" thickBot="1" x14ac:dyDescent="0.25">
      <c r="A85" s="1085"/>
      <c r="B85" s="1084"/>
      <c r="C85" s="1084"/>
      <c r="D85" s="1084"/>
      <c r="E85" s="1084"/>
      <c r="F85" s="1083"/>
    </row>
    <row r="87" spans="1:7" ht="18" customHeight="1" x14ac:dyDescent="0.2">
      <c r="A87" s="1163" t="s">
        <v>1185</v>
      </c>
      <c r="B87" s="1162"/>
      <c r="C87" s="1162"/>
      <c r="D87" s="1162"/>
      <c r="E87" s="1162"/>
      <c r="F87" s="1162"/>
      <c r="G87" s="1162"/>
    </row>
    <row r="88" spans="1:7" x14ac:dyDescent="0.2">
      <c r="A88" s="1163">
        <v>1</v>
      </c>
      <c r="B88" s="1272" t="s">
        <v>1184</v>
      </c>
      <c r="C88" s="1272"/>
      <c r="D88" s="1272"/>
      <c r="E88" s="1272"/>
      <c r="F88" s="1272"/>
      <c r="G88" s="1161"/>
    </row>
    <row r="89" spans="1:7" x14ac:dyDescent="0.2">
      <c r="A89" s="1163"/>
      <c r="B89" s="1272"/>
      <c r="C89" s="1272"/>
      <c r="D89" s="1272"/>
      <c r="E89" s="1272"/>
      <c r="F89" s="1272"/>
      <c r="G89" s="1161"/>
    </row>
    <row r="90" spans="1:7" x14ac:dyDescent="0.2">
      <c r="A90" s="1163"/>
    </row>
    <row r="91" spans="1:7" x14ac:dyDescent="0.2">
      <c r="A91" s="1163">
        <v>2</v>
      </c>
      <c r="B91" s="946" t="s">
        <v>1183</v>
      </c>
    </row>
    <row r="92" spans="1:7" x14ac:dyDescent="0.2">
      <c r="A92" s="1163"/>
      <c r="B92" s="946" t="s">
        <v>1182</v>
      </c>
    </row>
    <row r="93" spans="1:7" x14ac:dyDescent="0.2">
      <c r="A93" s="1163"/>
      <c r="B93" s="946" t="s">
        <v>1181</v>
      </c>
    </row>
    <row r="94" spans="1:7" x14ac:dyDescent="0.2">
      <c r="A94" s="1163"/>
      <c r="B94" s="946" t="s">
        <v>1180</v>
      </c>
    </row>
    <row r="95" spans="1:7" x14ac:dyDescent="0.2">
      <c r="A95" s="1163"/>
      <c r="B95" s="946" t="s">
        <v>1179</v>
      </c>
    </row>
    <row r="96" spans="1:7" x14ac:dyDescent="0.2">
      <c r="A96" s="1163"/>
      <c r="B96" s="946" t="s">
        <v>1178</v>
      </c>
    </row>
    <row r="97" spans="1:1" x14ac:dyDescent="0.2">
      <c r="A97" s="1163"/>
    </row>
    <row r="98" spans="1:1" x14ac:dyDescent="0.2">
      <c r="A98" s="1163"/>
    </row>
    <row r="99" spans="1:1" x14ac:dyDescent="0.2">
      <c r="A99" s="1163"/>
    </row>
    <row r="100" spans="1:1" x14ac:dyDescent="0.2">
      <c r="A100" s="1163"/>
    </row>
    <row r="101" spans="1:1" x14ac:dyDescent="0.2">
      <c r="A101" s="1163"/>
    </row>
    <row r="102" spans="1:1" x14ac:dyDescent="0.2">
      <c r="A102" s="1163"/>
    </row>
    <row r="103" spans="1:1" x14ac:dyDescent="0.2">
      <c r="A103" s="1163"/>
    </row>
    <row r="104" spans="1:1" x14ac:dyDescent="0.2">
      <c r="A104" s="1163"/>
    </row>
    <row r="105" spans="1:1" x14ac:dyDescent="0.2">
      <c r="A105" s="1163"/>
    </row>
    <row r="106" spans="1:1" x14ac:dyDescent="0.2">
      <c r="A106" s="1163"/>
    </row>
    <row r="107" spans="1:1" x14ac:dyDescent="0.2">
      <c r="A107" s="1163"/>
    </row>
    <row r="108" spans="1:1" x14ac:dyDescent="0.2">
      <c r="A108" s="1163"/>
    </row>
    <row r="109" spans="1:1" x14ac:dyDescent="0.2">
      <c r="A109" s="1163"/>
    </row>
    <row r="110" spans="1:1" x14ac:dyDescent="0.2">
      <c r="A110" s="1163"/>
    </row>
    <row r="111" spans="1:1" x14ac:dyDescent="0.2">
      <c r="A111" s="1163"/>
    </row>
    <row r="112" spans="1:1"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sheetData>
  <mergeCells count="18">
    <mergeCell ref="A9:F9"/>
    <mergeCell ref="A10:F10"/>
    <mergeCell ref="A14:F14"/>
    <mergeCell ref="A16:B16"/>
    <mergeCell ref="C16:C18"/>
    <mergeCell ref="D16:D18"/>
    <mergeCell ref="E16:E17"/>
    <mergeCell ref="F16:F17"/>
    <mergeCell ref="B88:F89"/>
    <mergeCell ref="G16:G17"/>
    <mergeCell ref="A17:A18"/>
    <mergeCell ref="B17:B18"/>
    <mergeCell ref="A74:F74"/>
    <mergeCell ref="A76:B76"/>
    <mergeCell ref="C76:C78"/>
    <mergeCell ref="D76:D78"/>
    <mergeCell ref="E76:E77"/>
    <mergeCell ref="F76:F77"/>
  </mergeCells>
  <dataValidations count="1">
    <dataValidation allowBlank="1" showInputMessage="1" showErrorMessage="1" promptTitle="Date Format" prompt="E.g:  &quot;August 1, 2011&quot;" sqref="G7"/>
  </dataValidations>
  <pageMargins left="1" right="0.25" top="0.25" bottom="0.25" header="0.3" footer="0.3"/>
  <pageSetup scale="6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1"/>
  <sheetViews>
    <sheetView showGridLines="0" topLeftCell="A22" zoomScaleNormal="100" workbookViewId="0">
      <selection sqref="A1:XFD1048576"/>
    </sheetView>
  </sheetViews>
  <sheetFormatPr defaultRowHeight="12.75" x14ac:dyDescent="0.2"/>
  <cols>
    <col min="1" max="2" width="20.7109375" style="946" customWidth="1"/>
    <col min="3" max="3" width="27.5703125" style="946" customWidth="1"/>
    <col min="4" max="4" width="18.85546875" style="946" bestFit="1" customWidth="1"/>
    <col min="5" max="5" width="14.85546875" style="946" customWidth="1"/>
    <col min="6" max="6" width="13.7109375" style="946" customWidth="1"/>
    <col min="7" max="7" width="15.140625" style="946" bestFit="1" customWidth="1"/>
    <col min="8" max="8" width="0.7109375" style="946" customWidth="1"/>
    <col min="9" max="9" width="8.7109375" style="1122" bestFit="1" customWidth="1"/>
    <col min="10" max="10" width="7.7109375" style="1122" bestFit="1" customWidth="1"/>
    <col min="11" max="11" width="7.7109375" style="946" bestFit="1" customWidth="1"/>
    <col min="12" max="12" width="8.7109375" style="946" bestFit="1" customWidth="1"/>
    <col min="13" max="14" width="7.7109375" style="946" bestFit="1" customWidth="1"/>
    <col min="15" max="15" width="9.28515625" style="946" bestFit="1" customWidth="1"/>
    <col min="16" max="16" width="8.7109375" style="946" bestFit="1" customWidth="1"/>
    <col min="17" max="17" width="7.7109375" style="946" bestFit="1" customWidth="1"/>
    <col min="18" max="18" width="10.28515625" style="946" bestFit="1" customWidth="1"/>
    <col min="19" max="16384" width="9.140625" style="946"/>
  </cols>
  <sheetData>
    <row r="1" spans="1:7" x14ac:dyDescent="0.2">
      <c r="F1" s="912" t="s">
        <v>444</v>
      </c>
      <c r="G1" s="947" t="str">
        <f>'[13]LDC Info'!$E$18</f>
        <v>EB-2012-0107</v>
      </c>
    </row>
    <row r="2" spans="1:7" x14ac:dyDescent="0.2">
      <c r="F2" s="912" t="s">
        <v>445</v>
      </c>
      <c r="G2" s="948">
        <v>4</v>
      </c>
    </row>
    <row r="3" spans="1:7" x14ac:dyDescent="0.2">
      <c r="F3" s="912" t="s">
        <v>446</v>
      </c>
      <c r="G3" s="948">
        <v>5</v>
      </c>
    </row>
    <row r="4" spans="1:7" x14ac:dyDescent="0.2">
      <c r="F4" s="912" t="s">
        <v>447</v>
      </c>
      <c r="G4" s="948">
        <v>1</v>
      </c>
    </row>
    <row r="5" spans="1:7" x14ac:dyDescent="0.2">
      <c r="F5" s="912" t="s">
        <v>1035</v>
      </c>
      <c r="G5" s="949">
        <v>1</v>
      </c>
    </row>
    <row r="6" spans="1:7" x14ac:dyDescent="0.2">
      <c r="F6" s="912"/>
      <c r="G6" s="947"/>
    </row>
    <row r="7" spans="1:7" x14ac:dyDescent="0.2">
      <c r="F7" s="912" t="s">
        <v>449</v>
      </c>
      <c r="G7" s="949"/>
    </row>
    <row r="9" spans="1:7" ht="18" x14ac:dyDescent="0.25">
      <c r="A9" s="1273" t="s">
        <v>1225</v>
      </c>
      <c r="B9" s="1273"/>
      <c r="C9" s="1273"/>
      <c r="D9" s="1273"/>
      <c r="E9" s="1273"/>
      <c r="F9" s="1273"/>
      <c r="G9" s="968"/>
    </row>
    <row r="10" spans="1:7" ht="18" x14ac:dyDescent="0.25">
      <c r="A10" s="1273" t="s">
        <v>1224</v>
      </c>
      <c r="B10" s="1273"/>
      <c r="C10" s="1273"/>
      <c r="D10" s="1273"/>
      <c r="E10" s="1273"/>
      <c r="F10" s="1273"/>
      <c r="G10" s="968"/>
    </row>
    <row r="12" spans="1:7" x14ac:dyDescent="0.2">
      <c r="B12" s="1115" t="s">
        <v>1223</v>
      </c>
      <c r="C12" s="1116" t="s">
        <v>938</v>
      </c>
    </row>
    <row r="13" spans="1:7" x14ac:dyDescent="0.2">
      <c r="C13" s="1115"/>
      <c r="D13" s="1114"/>
    </row>
    <row r="14" spans="1:7" ht="15.75" x14ac:dyDescent="0.25">
      <c r="A14" s="1447" t="s">
        <v>1222</v>
      </c>
      <c r="B14" s="1447"/>
      <c r="C14" s="1447"/>
      <c r="D14" s="1447"/>
      <c r="E14" s="1447"/>
      <c r="F14" s="1447"/>
    </row>
    <row r="15" spans="1:7" ht="13.5" thickBot="1" x14ac:dyDescent="0.25"/>
    <row r="16" spans="1:7" ht="13.5" customHeight="1" x14ac:dyDescent="0.2">
      <c r="A16" s="1457" t="s">
        <v>1198</v>
      </c>
      <c r="B16" s="1458"/>
      <c r="C16" s="1450" t="s">
        <v>1197</v>
      </c>
      <c r="D16" s="1450" t="s">
        <v>1196</v>
      </c>
      <c r="E16" s="1460" t="s">
        <v>1221</v>
      </c>
      <c r="F16" s="1462" t="s">
        <v>1220</v>
      </c>
      <c r="G16" s="1442"/>
    </row>
    <row r="17" spans="1:19" ht="17.25" customHeight="1" x14ac:dyDescent="0.2">
      <c r="A17" s="1443" t="s">
        <v>1193</v>
      </c>
      <c r="B17" s="1445" t="s">
        <v>1192</v>
      </c>
      <c r="C17" s="1451"/>
      <c r="D17" s="1451"/>
      <c r="E17" s="1461"/>
      <c r="F17" s="1463"/>
      <c r="G17" s="1442"/>
    </row>
    <row r="18" spans="1:19" x14ac:dyDescent="0.2">
      <c r="A18" s="1444"/>
      <c r="B18" s="1446"/>
      <c r="C18" s="1459"/>
      <c r="D18" s="1459"/>
      <c r="E18" s="1094" t="s">
        <v>290</v>
      </c>
      <c r="F18" s="1093" t="s">
        <v>290</v>
      </c>
      <c r="G18" s="1113"/>
    </row>
    <row r="19" spans="1:19" x14ac:dyDescent="0.2">
      <c r="A19" s="1089" t="s">
        <v>1188</v>
      </c>
      <c r="B19" s="1088" t="s">
        <v>1190</v>
      </c>
      <c r="C19" s="1086" t="s">
        <v>1219</v>
      </c>
      <c r="D19" s="1087" t="s">
        <v>1206</v>
      </c>
      <c r="E19" s="1168">
        <v>6000</v>
      </c>
      <c r="F19" s="1169">
        <v>6000</v>
      </c>
      <c r="G19" s="1122"/>
      <c r="I19" s="1128"/>
      <c r="S19" s="1130"/>
    </row>
    <row r="20" spans="1:19" x14ac:dyDescent="0.2">
      <c r="A20" s="1089" t="s">
        <v>1188</v>
      </c>
      <c r="B20" s="1088" t="s">
        <v>1189</v>
      </c>
      <c r="C20" s="1086" t="s">
        <v>1219</v>
      </c>
      <c r="D20" s="1087" t="s">
        <v>1206</v>
      </c>
      <c r="E20" s="1168">
        <v>46560</v>
      </c>
      <c r="F20" s="1169">
        <v>46560</v>
      </c>
      <c r="G20" s="256"/>
      <c r="I20" s="1128"/>
      <c r="S20" s="1130"/>
    </row>
    <row r="21" spans="1:19" x14ac:dyDescent="0.2">
      <c r="A21" s="1089" t="s">
        <v>1188</v>
      </c>
      <c r="B21" s="1088" t="s">
        <v>1191</v>
      </c>
      <c r="C21" s="1086" t="s">
        <v>1219</v>
      </c>
      <c r="D21" s="1087" t="s">
        <v>1206</v>
      </c>
      <c r="E21" s="1168">
        <v>8000</v>
      </c>
      <c r="F21" s="1169">
        <v>8000</v>
      </c>
      <c r="G21" s="256"/>
      <c r="I21" s="1128"/>
      <c r="S21" s="1130"/>
    </row>
    <row r="22" spans="1:19" x14ac:dyDescent="0.2">
      <c r="A22" s="1089" t="s">
        <v>1188</v>
      </c>
      <c r="B22" s="1088" t="s">
        <v>1187</v>
      </c>
      <c r="C22" s="1086" t="s">
        <v>1219</v>
      </c>
      <c r="D22" s="1087" t="s">
        <v>1206</v>
      </c>
      <c r="E22" s="1168">
        <v>33750</v>
      </c>
      <c r="F22" s="1169">
        <v>33750</v>
      </c>
      <c r="G22" s="256"/>
      <c r="I22" s="1128"/>
      <c r="S22" s="1130"/>
    </row>
    <row r="23" spans="1:19" x14ac:dyDescent="0.2">
      <c r="A23" s="1112" t="s">
        <v>1191</v>
      </c>
      <c r="B23" s="1111" t="s">
        <v>1188</v>
      </c>
      <c r="C23" s="1086" t="s">
        <v>1219</v>
      </c>
      <c r="D23" s="1087" t="s">
        <v>1206</v>
      </c>
      <c r="E23" s="1174"/>
      <c r="F23" s="1170"/>
      <c r="G23" s="256"/>
      <c r="I23" s="1128"/>
      <c r="S23" s="1130"/>
    </row>
    <row r="24" spans="1:19" s="255" customFormat="1" x14ac:dyDescent="0.2">
      <c r="A24" s="1104"/>
      <c r="B24" s="1103"/>
      <c r="C24" s="1102"/>
      <c r="D24" s="1101" t="s">
        <v>1200</v>
      </c>
      <c r="E24" s="1171">
        <f>SUM(E19:E23)</f>
        <v>94310</v>
      </c>
      <c r="F24" s="1172">
        <f>SUM(F19:F23)</f>
        <v>94310</v>
      </c>
      <c r="I24" s="1129"/>
      <c r="J24" s="950"/>
      <c r="S24" s="1132"/>
    </row>
    <row r="25" spans="1:19" x14ac:dyDescent="0.2">
      <c r="A25" s="1110" t="s">
        <v>1188</v>
      </c>
      <c r="B25" s="1109" t="s">
        <v>1191</v>
      </c>
      <c r="C25" s="1108" t="s">
        <v>1205</v>
      </c>
      <c r="D25" s="1087" t="s">
        <v>1201</v>
      </c>
      <c r="E25" s="1182">
        <v>7200</v>
      </c>
      <c r="F25" s="1181">
        <v>7200</v>
      </c>
      <c r="G25" s="1122"/>
      <c r="I25" s="1128"/>
      <c r="S25" s="1130"/>
    </row>
    <row r="26" spans="1:19" x14ac:dyDescent="0.2">
      <c r="A26" s="1089" t="s">
        <v>1188</v>
      </c>
      <c r="B26" s="1088" t="s">
        <v>1190</v>
      </c>
      <c r="C26" s="1086" t="s">
        <v>1205</v>
      </c>
      <c r="D26" s="1087" t="s">
        <v>1201</v>
      </c>
      <c r="E26" s="1174">
        <v>0</v>
      </c>
      <c r="F26" s="1169">
        <v>0</v>
      </c>
      <c r="G26" s="1122"/>
      <c r="I26" s="1128"/>
      <c r="S26" s="1130"/>
    </row>
    <row r="27" spans="1:19" x14ac:dyDescent="0.2">
      <c r="A27" s="1089" t="s">
        <v>1188</v>
      </c>
      <c r="B27" s="1088" t="s">
        <v>1189</v>
      </c>
      <c r="C27" s="1086" t="s">
        <v>1205</v>
      </c>
      <c r="D27" s="1087" t="s">
        <v>1201</v>
      </c>
      <c r="E27" s="1174">
        <v>12000</v>
      </c>
      <c r="F27" s="1169">
        <v>12000</v>
      </c>
      <c r="G27" s="1122"/>
      <c r="I27" s="1184"/>
      <c r="J27" s="1184"/>
      <c r="S27" s="1130"/>
    </row>
    <row r="28" spans="1:19" s="255" customFormat="1" x14ac:dyDescent="0.2">
      <c r="A28" s="1104"/>
      <c r="B28" s="1103"/>
      <c r="C28" s="1102"/>
      <c r="D28" s="1101" t="s">
        <v>1200</v>
      </c>
      <c r="E28" s="1171">
        <f>SUM(E25:E27)</f>
        <v>19200</v>
      </c>
      <c r="F28" s="1172">
        <f>SUM(F25:F27)</f>
        <v>19200</v>
      </c>
      <c r="I28" s="1129"/>
      <c r="J28" s="950"/>
      <c r="S28" s="1132"/>
    </row>
    <row r="29" spans="1:19" x14ac:dyDescent="0.2">
      <c r="A29" s="1089" t="s">
        <v>1188</v>
      </c>
      <c r="B29" s="1088" t="s">
        <v>1189</v>
      </c>
      <c r="C29" s="1086" t="s">
        <v>1218</v>
      </c>
      <c r="D29" s="1087" t="s">
        <v>1201</v>
      </c>
      <c r="E29" s="1174">
        <v>20800</v>
      </c>
      <c r="F29" s="1169">
        <v>20800</v>
      </c>
      <c r="G29" s="1122"/>
      <c r="I29" s="1128"/>
      <c r="S29" s="1130"/>
    </row>
    <row r="30" spans="1:19" x14ac:dyDescent="0.2">
      <c r="A30" s="1089" t="s">
        <v>1188</v>
      </c>
      <c r="B30" s="1088" t="s">
        <v>1187</v>
      </c>
      <c r="C30" s="1086" t="s">
        <v>1218</v>
      </c>
      <c r="D30" s="1087" t="s">
        <v>1201</v>
      </c>
      <c r="E30" s="1174"/>
      <c r="F30" s="1169"/>
      <c r="G30" s="1122"/>
      <c r="I30" s="1128"/>
      <c r="S30" s="1130"/>
    </row>
    <row r="31" spans="1:19" s="255" customFormat="1" ht="12" customHeight="1" x14ac:dyDescent="0.2">
      <c r="A31" s="1104"/>
      <c r="B31" s="1103"/>
      <c r="C31" s="1102"/>
      <c r="D31" s="1101" t="s">
        <v>1200</v>
      </c>
      <c r="E31" s="1171">
        <f>SUM(E29:E30)</f>
        <v>20800</v>
      </c>
      <c r="F31" s="1172">
        <f>SUM(F29:F30)</f>
        <v>20800</v>
      </c>
      <c r="I31" s="1129"/>
      <c r="J31" s="950"/>
      <c r="S31" s="1132"/>
    </row>
    <row r="32" spans="1:19" x14ac:dyDescent="0.2">
      <c r="A32" s="1089" t="s">
        <v>1188</v>
      </c>
      <c r="B32" s="1088" t="s">
        <v>1191</v>
      </c>
      <c r="C32" s="1086" t="s">
        <v>1217</v>
      </c>
      <c r="D32" s="1087" t="s">
        <v>1201</v>
      </c>
      <c r="E32" s="1168"/>
      <c r="F32" s="1169"/>
      <c r="G32" s="1122"/>
      <c r="I32" s="1128"/>
      <c r="M32" s="1130"/>
      <c r="S32" s="1130"/>
    </row>
    <row r="33" spans="1:19" x14ac:dyDescent="0.2">
      <c r="A33" s="1089" t="s">
        <v>1188</v>
      </c>
      <c r="B33" s="1088" t="s">
        <v>1190</v>
      </c>
      <c r="C33" s="1086" t="s">
        <v>1217</v>
      </c>
      <c r="D33" s="1087" t="s">
        <v>1201</v>
      </c>
      <c r="E33" s="1168"/>
      <c r="F33" s="1169"/>
      <c r="G33" s="1122"/>
      <c r="I33" s="1128"/>
      <c r="M33" s="1130"/>
      <c r="S33" s="1130"/>
    </row>
    <row r="34" spans="1:19" x14ac:dyDescent="0.2">
      <c r="A34" s="1089" t="s">
        <v>1188</v>
      </c>
      <c r="B34" s="1088" t="s">
        <v>1189</v>
      </c>
      <c r="C34" s="1086" t="s">
        <v>1217</v>
      </c>
      <c r="D34" s="1087" t="s">
        <v>1201</v>
      </c>
      <c r="E34" s="1168"/>
      <c r="F34" s="1169"/>
      <c r="G34" s="1122"/>
      <c r="I34" s="1128"/>
      <c r="M34" s="1130"/>
      <c r="S34" s="1130"/>
    </row>
    <row r="35" spans="1:19" s="255" customFormat="1" x14ac:dyDescent="0.2">
      <c r="A35" s="1104"/>
      <c r="B35" s="1103"/>
      <c r="C35" s="1102"/>
      <c r="D35" s="1101" t="s">
        <v>1200</v>
      </c>
      <c r="E35" s="1171">
        <f>SUM(E32:E34)</f>
        <v>0</v>
      </c>
      <c r="F35" s="1123">
        <f>SUM(F32:F34)</f>
        <v>0</v>
      </c>
      <c r="I35" s="1129"/>
      <c r="J35" s="950"/>
      <c r="S35" s="1132"/>
    </row>
    <row r="36" spans="1:19" x14ac:dyDescent="0.2">
      <c r="A36" s="1089" t="s">
        <v>1188</v>
      </c>
      <c r="B36" s="1088" t="s">
        <v>1189</v>
      </c>
      <c r="C36" s="1087" t="s">
        <v>1216</v>
      </c>
      <c r="D36" s="1087" t="s">
        <v>1206</v>
      </c>
      <c r="E36" s="1168"/>
      <c r="F36" s="1169"/>
      <c r="G36" s="1120"/>
      <c r="J36" s="1128"/>
      <c r="K36" s="1122"/>
      <c r="L36" s="1122"/>
      <c r="M36" s="1122"/>
      <c r="N36" s="1122"/>
      <c r="O36" s="1122"/>
      <c r="P36" s="1122"/>
      <c r="Q36" s="1122"/>
      <c r="R36" s="1122"/>
      <c r="S36" s="1128"/>
    </row>
    <row r="37" spans="1:19" x14ac:dyDescent="0.2">
      <c r="A37" s="1089" t="s">
        <v>1188</v>
      </c>
      <c r="B37" s="1088" t="s">
        <v>1236</v>
      </c>
      <c r="C37" s="1087" t="s">
        <v>1215</v>
      </c>
      <c r="D37" s="1087" t="s">
        <v>1201</v>
      </c>
      <c r="E37" s="1168">
        <v>668022</v>
      </c>
      <c r="F37" s="1169">
        <v>459979</v>
      </c>
      <c r="G37" s="1120"/>
      <c r="J37" s="1128"/>
      <c r="K37" s="1122"/>
      <c r="L37" s="1122"/>
      <c r="M37" s="1122"/>
      <c r="N37" s="1122"/>
      <c r="O37" s="1122"/>
      <c r="P37" s="1122"/>
      <c r="Q37" s="1122"/>
      <c r="R37" s="1122"/>
      <c r="S37" s="1128"/>
    </row>
    <row r="38" spans="1:19" s="255" customFormat="1" ht="12" customHeight="1" x14ac:dyDescent="0.2">
      <c r="A38" s="1104"/>
      <c r="B38" s="1103"/>
      <c r="C38" s="1102"/>
      <c r="D38" s="1101" t="s">
        <v>1200</v>
      </c>
      <c r="E38" s="1171">
        <f>SUM(E36:E37)</f>
        <v>668022</v>
      </c>
      <c r="F38" s="1171">
        <f>SUM(F36:F37)</f>
        <v>459979</v>
      </c>
      <c r="I38" s="1129"/>
      <c r="J38" s="950"/>
      <c r="S38" s="1132"/>
    </row>
    <row r="39" spans="1:19" x14ac:dyDescent="0.2">
      <c r="A39" s="1089" t="s">
        <v>1188</v>
      </c>
      <c r="B39" s="1088" t="s">
        <v>1189</v>
      </c>
      <c r="C39" s="1087" t="s">
        <v>1214</v>
      </c>
      <c r="D39" s="1087" t="s">
        <v>1206</v>
      </c>
      <c r="E39" s="1168"/>
      <c r="F39" s="1169"/>
      <c r="G39" s="1120"/>
      <c r="I39" s="1128"/>
      <c r="J39" s="1128"/>
      <c r="S39" s="1130"/>
    </row>
    <row r="40" spans="1:19" x14ac:dyDescent="0.2">
      <c r="A40" s="1089" t="s">
        <v>1188</v>
      </c>
      <c r="B40" s="1088" t="s">
        <v>1190</v>
      </c>
      <c r="C40" s="1087" t="s">
        <v>1214</v>
      </c>
      <c r="D40" s="1087" t="s">
        <v>1206</v>
      </c>
      <c r="E40" s="1168"/>
      <c r="F40" s="1169"/>
      <c r="G40" s="1120"/>
      <c r="K40" s="1128"/>
      <c r="L40" s="1128"/>
      <c r="M40" s="1128"/>
      <c r="N40" s="1122"/>
      <c r="O40" s="1122"/>
      <c r="P40" s="1122"/>
      <c r="Q40" s="1122"/>
      <c r="R40" s="1122"/>
      <c r="S40" s="1128"/>
    </row>
    <row r="41" spans="1:19" s="255" customFormat="1" ht="12" customHeight="1" x14ac:dyDescent="0.2">
      <c r="A41" s="1104"/>
      <c r="B41" s="1103"/>
      <c r="C41" s="1102"/>
      <c r="D41" s="1101" t="s">
        <v>1200</v>
      </c>
      <c r="E41" s="1171">
        <f>SUM(E39:E40)</f>
        <v>0</v>
      </c>
      <c r="F41" s="1123">
        <f>SUM(F39:F40)</f>
        <v>0</v>
      </c>
      <c r="I41" s="1129"/>
      <c r="J41" s="950"/>
      <c r="S41" s="1132"/>
    </row>
    <row r="42" spans="1:19" x14ac:dyDescent="0.2">
      <c r="A42" s="1089" t="s">
        <v>1188</v>
      </c>
      <c r="B42" s="1088" t="s">
        <v>1189</v>
      </c>
      <c r="C42" s="1087" t="s">
        <v>1203</v>
      </c>
      <c r="D42" s="1087" t="s">
        <v>1206</v>
      </c>
      <c r="E42" s="1168"/>
      <c r="F42" s="1169"/>
      <c r="G42" s="1120"/>
      <c r="J42" s="1128"/>
      <c r="S42" s="1130"/>
    </row>
    <row r="43" spans="1:19" x14ac:dyDescent="0.2">
      <c r="A43" s="1089" t="s">
        <v>1188</v>
      </c>
      <c r="B43" s="1088" t="s">
        <v>1187</v>
      </c>
      <c r="C43" s="1087" t="s">
        <v>1203</v>
      </c>
      <c r="D43" s="1087" t="s">
        <v>1206</v>
      </c>
      <c r="E43" s="1168"/>
      <c r="F43" s="1169"/>
      <c r="G43" s="1120"/>
      <c r="K43" s="1128"/>
      <c r="L43" s="1128"/>
      <c r="M43" s="1128"/>
      <c r="N43" s="1122"/>
      <c r="O43" s="1122"/>
      <c r="P43" s="1122"/>
      <c r="Q43" s="1122"/>
      <c r="R43" s="1122"/>
      <c r="S43" s="1128"/>
    </row>
    <row r="44" spans="1:19" s="255" customFormat="1" ht="12" customHeight="1" x14ac:dyDescent="0.2">
      <c r="A44" s="1104"/>
      <c r="B44" s="1103"/>
      <c r="C44" s="1102"/>
      <c r="D44" s="1101" t="s">
        <v>1200</v>
      </c>
      <c r="E44" s="1171">
        <f>SUM(E42:E43)</f>
        <v>0</v>
      </c>
      <c r="F44" s="1172">
        <f>SUM(F42:F43)</f>
        <v>0</v>
      </c>
      <c r="I44" s="1129"/>
      <c r="J44" s="950"/>
      <c r="S44" s="1132"/>
    </row>
    <row r="45" spans="1:19" x14ac:dyDescent="0.2">
      <c r="A45" s="1089" t="s">
        <v>1188</v>
      </c>
      <c r="B45" s="1088" t="s">
        <v>1189</v>
      </c>
      <c r="C45" s="1087" t="s">
        <v>1202</v>
      </c>
      <c r="D45" s="1087" t="s">
        <v>1206</v>
      </c>
      <c r="E45" s="1168"/>
      <c r="F45" s="1169"/>
      <c r="G45" s="1120"/>
      <c r="J45" s="1128"/>
      <c r="K45" s="1122"/>
      <c r="L45" s="1122"/>
      <c r="M45" s="1122"/>
      <c r="N45" s="1122"/>
      <c r="O45" s="1122"/>
      <c r="P45" s="1122"/>
      <c r="Q45" s="1122"/>
      <c r="R45" s="1122"/>
      <c r="S45" s="1128"/>
    </row>
    <row r="46" spans="1:19" x14ac:dyDescent="0.2">
      <c r="A46" s="1089" t="s">
        <v>1188</v>
      </c>
      <c r="B46" s="1088" t="s">
        <v>1187</v>
      </c>
      <c r="C46" s="1087" t="s">
        <v>1202</v>
      </c>
      <c r="D46" s="1087" t="s">
        <v>1206</v>
      </c>
      <c r="E46" s="1168"/>
      <c r="F46" s="1169"/>
      <c r="G46" s="1120"/>
      <c r="K46" s="1128"/>
      <c r="L46" s="1128"/>
      <c r="M46" s="1128"/>
      <c r="N46" s="1122"/>
      <c r="O46" s="1122"/>
      <c r="P46" s="1122"/>
      <c r="Q46" s="1122"/>
      <c r="R46" s="1122"/>
      <c r="S46" s="1128"/>
    </row>
    <row r="47" spans="1:19" x14ac:dyDescent="0.2">
      <c r="A47" s="1089" t="s">
        <v>1188</v>
      </c>
      <c r="B47" s="1088" t="s">
        <v>1191</v>
      </c>
      <c r="C47" s="1087" t="s">
        <v>1202</v>
      </c>
      <c r="D47" s="1087" t="s">
        <v>1206</v>
      </c>
      <c r="E47" s="1168"/>
      <c r="F47" s="1169"/>
      <c r="G47" s="1120"/>
      <c r="K47" s="1128"/>
      <c r="L47" s="1128"/>
      <c r="M47" s="1128"/>
      <c r="N47" s="1122"/>
      <c r="O47" s="1122"/>
      <c r="P47" s="1122"/>
      <c r="Q47" s="1122"/>
      <c r="R47" s="1122"/>
      <c r="S47" s="1128"/>
    </row>
    <row r="48" spans="1:19" s="255" customFormat="1" ht="12" customHeight="1" x14ac:dyDescent="0.2">
      <c r="A48" s="1104"/>
      <c r="B48" s="1103"/>
      <c r="C48" s="1102"/>
      <c r="D48" s="1101" t="s">
        <v>1200</v>
      </c>
      <c r="E48" s="1171">
        <f>SUM(E45:E47)</f>
        <v>0</v>
      </c>
      <c r="F48" s="1172">
        <f>SUM(F45:F47)</f>
        <v>0</v>
      </c>
      <c r="I48" s="1129"/>
      <c r="J48" s="950"/>
      <c r="S48" s="1132"/>
    </row>
    <row r="49" spans="1:19" x14ac:dyDescent="0.2">
      <c r="A49" s="1089" t="s">
        <v>1188</v>
      </c>
      <c r="B49" s="1088" t="s">
        <v>1189</v>
      </c>
      <c r="C49" s="1087" t="s">
        <v>1213</v>
      </c>
      <c r="D49" s="1087" t="s">
        <v>1201</v>
      </c>
      <c r="E49" s="1168">
        <v>0</v>
      </c>
      <c r="F49" s="1169">
        <v>0</v>
      </c>
      <c r="G49" s="1120"/>
      <c r="J49" s="1128"/>
      <c r="K49" s="1122"/>
      <c r="L49" s="1122"/>
      <c r="M49" s="1122"/>
      <c r="N49" s="1122"/>
      <c r="O49" s="1122"/>
      <c r="P49" s="1122"/>
      <c r="Q49" s="1122"/>
      <c r="R49" s="1122"/>
      <c r="S49" s="1128"/>
    </row>
    <row r="50" spans="1:19" x14ac:dyDescent="0.2">
      <c r="A50" s="1089"/>
      <c r="B50" s="1088"/>
      <c r="C50" s="1087"/>
      <c r="D50" s="1087"/>
      <c r="E50" s="1168"/>
      <c r="F50" s="1169"/>
      <c r="G50" s="1120"/>
      <c r="J50" s="1128"/>
      <c r="K50" s="1122"/>
      <c r="L50" s="1122"/>
      <c r="M50" s="1122"/>
      <c r="N50" s="1122"/>
      <c r="O50" s="1122"/>
      <c r="P50" s="1122"/>
      <c r="Q50" s="1122"/>
      <c r="R50" s="1122"/>
      <c r="S50" s="1128"/>
    </row>
    <row r="51" spans="1:19" x14ac:dyDescent="0.2">
      <c r="A51" s="1089" t="s">
        <v>1188</v>
      </c>
      <c r="B51" s="1088" t="s">
        <v>1189</v>
      </c>
      <c r="C51" s="1087" t="s">
        <v>1207</v>
      </c>
      <c r="D51" s="1087" t="s">
        <v>1206</v>
      </c>
      <c r="E51" s="1168"/>
      <c r="F51" s="1169"/>
      <c r="G51" s="1120"/>
      <c r="K51" s="1128"/>
      <c r="L51" s="1128"/>
      <c r="M51" s="1128"/>
      <c r="N51" s="1122"/>
      <c r="O51" s="1128"/>
      <c r="P51" s="1122"/>
      <c r="Q51" s="1122"/>
      <c r="R51" s="1122"/>
      <c r="S51" s="1128"/>
    </row>
    <row r="52" spans="1:19" x14ac:dyDescent="0.2">
      <c r="A52" s="1089" t="s">
        <v>1188</v>
      </c>
      <c r="B52" s="1088" t="s">
        <v>1187</v>
      </c>
      <c r="C52" s="1087" t="s">
        <v>1207</v>
      </c>
      <c r="D52" s="1087" t="s">
        <v>1206</v>
      </c>
      <c r="E52" s="1168"/>
      <c r="F52" s="1169"/>
      <c r="G52" s="1120"/>
      <c r="K52" s="1128"/>
      <c r="L52" s="1128"/>
      <c r="M52" s="1128"/>
      <c r="N52" s="1122"/>
      <c r="O52" s="1122"/>
      <c r="P52" s="1122"/>
      <c r="Q52" s="1122"/>
      <c r="R52" s="1122"/>
      <c r="S52" s="1128"/>
    </row>
    <row r="53" spans="1:19" x14ac:dyDescent="0.2">
      <c r="A53" s="1089" t="s">
        <v>1188</v>
      </c>
      <c r="B53" s="1088" t="s">
        <v>1190</v>
      </c>
      <c r="C53" s="1087" t="s">
        <v>1207</v>
      </c>
      <c r="D53" s="1087" t="s">
        <v>1206</v>
      </c>
      <c r="E53" s="1168"/>
      <c r="F53" s="1169"/>
      <c r="G53" s="1120"/>
      <c r="K53" s="1128"/>
      <c r="L53" s="1128"/>
      <c r="M53" s="1128"/>
      <c r="N53" s="1122"/>
      <c r="O53" s="1122"/>
      <c r="P53" s="1122"/>
      <c r="Q53" s="1122"/>
      <c r="R53" s="1122"/>
      <c r="S53" s="1128"/>
    </row>
    <row r="54" spans="1:19" x14ac:dyDescent="0.2">
      <c r="A54" s="1089" t="s">
        <v>1188</v>
      </c>
      <c r="B54" s="1088" t="s">
        <v>1191</v>
      </c>
      <c r="C54" s="1087" t="s">
        <v>1207</v>
      </c>
      <c r="D54" s="1087" t="s">
        <v>1206</v>
      </c>
      <c r="E54" s="1168"/>
      <c r="F54" s="1169"/>
      <c r="G54" s="1120"/>
      <c r="K54" s="1128"/>
      <c r="L54" s="1128"/>
      <c r="M54" s="1128"/>
      <c r="N54" s="1122"/>
      <c r="O54" s="1122"/>
      <c r="P54" s="1122"/>
      <c r="Q54" s="1122"/>
      <c r="R54" s="1122"/>
      <c r="S54" s="1128"/>
    </row>
    <row r="55" spans="1:19" s="255" customFormat="1" ht="12" customHeight="1" x14ac:dyDescent="0.2">
      <c r="A55" s="1104"/>
      <c r="B55" s="1103"/>
      <c r="C55" s="1102"/>
      <c r="D55" s="1101" t="s">
        <v>1200</v>
      </c>
      <c r="E55" s="1171">
        <f>SUM(E51:E54)</f>
        <v>0</v>
      </c>
      <c r="F55" s="1172">
        <f>SUM(F51:F54)</f>
        <v>0</v>
      </c>
      <c r="I55" s="1129"/>
      <c r="J55" s="950"/>
      <c r="S55" s="1132"/>
    </row>
    <row r="56" spans="1:19" s="254" customFormat="1" x14ac:dyDescent="0.2">
      <c r="A56" s="1119" t="s">
        <v>439</v>
      </c>
      <c r="B56" s="1118"/>
      <c r="C56" s="1117"/>
      <c r="D56" s="1105"/>
      <c r="E56" s="1176">
        <f>+E55+E49+E48+E44+E38+E41+E35+E31+E28+E24</f>
        <v>802332</v>
      </c>
      <c r="F56" s="1176">
        <f>+F55+F49+F48+F44+F38+F41+F35+F31+F28+F24</f>
        <v>594289</v>
      </c>
      <c r="G56" s="1127"/>
      <c r="I56" s="950"/>
      <c r="J56" s="1129"/>
      <c r="K56" s="950"/>
      <c r="L56" s="950"/>
      <c r="M56" s="950"/>
      <c r="N56" s="950"/>
      <c r="O56" s="950"/>
      <c r="P56" s="950"/>
      <c r="Q56" s="950"/>
      <c r="R56" s="950"/>
      <c r="S56" s="1129"/>
    </row>
    <row r="57" spans="1:19" x14ac:dyDescent="0.2">
      <c r="A57" s="1100" t="s">
        <v>1189</v>
      </c>
      <c r="B57" s="1087" t="s">
        <v>1188</v>
      </c>
      <c r="C57" s="1087" t="s">
        <v>1204</v>
      </c>
      <c r="D57" s="1087" t="s">
        <v>1201</v>
      </c>
      <c r="E57" s="1168"/>
      <c r="F57" s="1169"/>
      <c r="G57" s="1120"/>
      <c r="K57" s="1122"/>
      <c r="L57" s="1122"/>
      <c r="M57" s="1122"/>
      <c r="N57" s="1122"/>
      <c r="O57" s="1122"/>
      <c r="P57" s="1128"/>
      <c r="Q57" s="1122"/>
      <c r="R57" s="1122"/>
      <c r="S57" s="1128"/>
    </row>
    <row r="58" spans="1:19" x14ac:dyDescent="0.2">
      <c r="A58" s="1100" t="s">
        <v>1189</v>
      </c>
      <c r="B58" s="1087" t="s">
        <v>1188</v>
      </c>
      <c r="C58" s="1087" t="s">
        <v>1203</v>
      </c>
      <c r="D58" s="1087" t="s">
        <v>1201</v>
      </c>
      <c r="E58" s="1168"/>
      <c r="F58" s="1169"/>
      <c r="G58" s="1120"/>
      <c r="K58" s="1122"/>
      <c r="L58" s="1122"/>
      <c r="M58" s="1122"/>
      <c r="N58" s="1122"/>
      <c r="O58" s="1122"/>
      <c r="P58" s="1128"/>
      <c r="Q58" s="1122"/>
      <c r="R58" s="1122"/>
      <c r="S58" s="1128"/>
    </row>
    <row r="59" spans="1:19" x14ac:dyDescent="0.2">
      <c r="A59" s="1100" t="s">
        <v>1189</v>
      </c>
      <c r="B59" s="1087" t="s">
        <v>1188</v>
      </c>
      <c r="C59" s="1087" t="s">
        <v>1212</v>
      </c>
      <c r="D59" s="1087" t="s">
        <v>1201</v>
      </c>
      <c r="E59" s="1168"/>
      <c r="F59" s="1169"/>
      <c r="G59" s="1120"/>
      <c r="K59" s="1122"/>
      <c r="L59" s="1122"/>
      <c r="M59" s="1122"/>
      <c r="N59" s="1122"/>
      <c r="O59" s="1122"/>
      <c r="P59" s="1128"/>
      <c r="Q59" s="1122"/>
      <c r="R59" s="1122"/>
      <c r="S59" s="1128"/>
    </row>
    <row r="60" spans="1:19" x14ac:dyDescent="0.2">
      <c r="A60" s="1100" t="s">
        <v>1189</v>
      </c>
      <c r="B60" s="1087" t="s">
        <v>1188</v>
      </c>
      <c r="C60" s="1087" t="s">
        <v>1211</v>
      </c>
      <c r="D60" s="1087" t="s">
        <v>1201</v>
      </c>
      <c r="E60" s="1168"/>
      <c r="F60" s="1169"/>
      <c r="G60" s="1120"/>
      <c r="K60" s="1122"/>
      <c r="L60" s="1122"/>
      <c r="M60" s="1122"/>
      <c r="N60" s="1122"/>
      <c r="O60" s="1122"/>
      <c r="P60" s="1128"/>
      <c r="Q60" s="1122"/>
      <c r="R60" s="1122"/>
      <c r="S60" s="1128"/>
    </row>
    <row r="61" spans="1:19" x14ac:dyDescent="0.2">
      <c r="A61" s="1100" t="s">
        <v>1189</v>
      </c>
      <c r="B61" s="1087" t="s">
        <v>1210</v>
      </c>
      <c r="C61" s="1087" t="s">
        <v>1209</v>
      </c>
      <c r="D61" s="1087" t="s">
        <v>1201</v>
      </c>
      <c r="E61" s="1168"/>
      <c r="F61" s="1169"/>
      <c r="G61" s="1120"/>
      <c r="K61" s="1122"/>
      <c r="L61" s="1122"/>
      <c r="M61" s="1122"/>
      <c r="N61" s="1122"/>
      <c r="O61" s="1122"/>
      <c r="P61" s="1128"/>
      <c r="Q61" s="1122"/>
      <c r="R61" s="1122"/>
      <c r="S61" s="1128"/>
    </row>
    <row r="62" spans="1:19" x14ac:dyDescent="0.2">
      <c r="A62" s="1100" t="s">
        <v>1189</v>
      </c>
      <c r="B62" s="1087" t="s">
        <v>1188</v>
      </c>
      <c r="C62" s="1087" t="s">
        <v>1202</v>
      </c>
      <c r="D62" s="1087" t="s">
        <v>1201</v>
      </c>
      <c r="E62" s="1168"/>
      <c r="F62" s="1169"/>
      <c r="G62" s="1120"/>
      <c r="K62" s="1122"/>
      <c r="L62" s="1122"/>
      <c r="M62" s="1122"/>
      <c r="N62" s="1122"/>
      <c r="O62" s="1122"/>
      <c r="P62" s="1128"/>
      <c r="Q62" s="1122"/>
      <c r="R62" s="1122"/>
      <c r="S62" s="1128"/>
    </row>
    <row r="63" spans="1:19" x14ac:dyDescent="0.2">
      <c r="A63" s="1100" t="s">
        <v>1189</v>
      </c>
      <c r="B63" s="1087" t="s">
        <v>1188</v>
      </c>
      <c r="C63" s="1087" t="s">
        <v>1208</v>
      </c>
      <c r="D63" s="1087" t="s">
        <v>1206</v>
      </c>
      <c r="E63" s="1168"/>
      <c r="F63" s="1169"/>
      <c r="G63" s="1120"/>
      <c r="K63" s="1122"/>
      <c r="L63" s="1122"/>
      <c r="M63" s="1122"/>
      <c r="N63" s="1122"/>
      <c r="O63" s="1122"/>
      <c r="P63" s="1128"/>
      <c r="Q63" s="1122"/>
      <c r="R63" s="1122"/>
      <c r="S63" s="1128"/>
    </row>
    <row r="64" spans="1:19" x14ac:dyDescent="0.2">
      <c r="A64" s="1100" t="s">
        <v>1189</v>
      </c>
      <c r="B64" s="1087" t="s">
        <v>1188</v>
      </c>
      <c r="C64" s="1087" t="s">
        <v>1207</v>
      </c>
      <c r="D64" s="1087" t="s">
        <v>1206</v>
      </c>
      <c r="E64" s="1168"/>
      <c r="F64" s="1169"/>
      <c r="G64" s="1120"/>
      <c r="K64" s="1122"/>
      <c r="L64" s="1122"/>
      <c r="M64" s="1122"/>
      <c r="N64" s="1122"/>
      <c r="O64" s="1122"/>
      <c r="P64" s="1128"/>
      <c r="Q64" s="1122"/>
      <c r="R64" s="1122"/>
      <c r="S64" s="1128"/>
    </row>
    <row r="65" spans="1:19" s="255" customFormat="1" ht="12" customHeight="1" x14ac:dyDescent="0.2">
      <c r="A65" s="1104"/>
      <c r="B65" s="1103"/>
      <c r="C65" s="1102"/>
      <c r="D65" s="1101" t="s">
        <v>1200</v>
      </c>
      <c r="E65" s="1171">
        <f>SUM(E57:E64)</f>
        <v>0</v>
      </c>
      <c r="F65" s="1172">
        <f>SUM(F57:F64)</f>
        <v>0</v>
      </c>
      <c r="I65" s="1129"/>
      <c r="J65" s="950"/>
      <c r="S65" s="1132"/>
    </row>
    <row r="66" spans="1:19" x14ac:dyDescent="0.2">
      <c r="A66" s="1100" t="s">
        <v>1187</v>
      </c>
      <c r="B66" s="1087" t="s">
        <v>1188</v>
      </c>
      <c r="C66" s="1087" t="s">
        <v>1205</v>
      </c>
      <c r="D66" s="1087" t="s">
        <v>1201</v>
      </c>
      <c r="E66" s="1168"/>
      <c r="F66" s="1169"/>
      <c r="G66" s="1120"/>
      <c r="K66" s="1122"/>
      <c r="L66" s="1122"/>
      <c r="M66" s="1122"/>
      <c r="N66" s="1122"/>
      <c r="O66" s="1122"/>
      <c r="P66" s="1128"/>
      <c r="Q66" s="1122"/>
      <c r="R66" s="1122"/>
      <c r="S66" s="1128"/>
    </row>
    <row r="67" spans="1:19" x14ac:dyDescent="0.2">
      <c r="A67" s="1100" t="s">
        <v>1187</v>
      </c>
      <c r="B67" s="1087" t="s">
        <v>1188</v>
      </c>
      <c r="C67" s="1087" t="s">
        <v>1204</v>
      </c>
      <c r="D67" s="1087" t="s">
        <v>1201</v>
      </c>
      <c r="E67" s="1168"/>
      <c r="F67" s="1169"/>
      <c r="G67" s="1120"/>
      <c r="K67" s="1122"/>
      <c r="L67" s="1122"/>
      <c r="M67" s="1122"/>
      <c r="N67" s="1122"/>
      <c r="O67" s="1122"/>
      <c r="P67" s="1122"/>
      <c r="Q67" s="1128"/>
      <c r="R67" s="1122"/>
      <c r="S67" s="1128"/>
    </row>
    <row r="68" spans="1:19" x14ac:dyDescent="0.2">
      <c r="A68" s="1100" t="s">
        <v>1187</v>
      </c>
      <c r="B68" s="1087" t="s">
        <v>1188</v>
      </c>
      <c r="C68" s="1087" t="s">
        <v>1203</v>
      </c>
      <c r="D68" s="1087" t="s">
        <v>1201</v>
      </c>
      <c r="E68" s="1168"/>
      <c r="F68" s="1169"/>
      <c r="G68" s="1120"/>
      <c r="K68" s="1122"/>
      <c r="L68" s="1122"/>
      <c r="M68" s="1122"/>
      <c r="N68" s="1122"/>
      <c r="O68" s="1122"/>
      <c r="P68" s="1122"/>
      <c r="Q68" s="1128"/>
      <c r="R68" s="1122"/>
      <c r="S68" s="1128"/>
    </row>
    <row r="69" spans="1:19" x14ac:dyDescent="0.2">
      <c r="A69" s="1100" t="s">
        <v>1187</v>
      </c>
      <c r="B69" s="1087" t="s">
        <v>1188</v>
      </c>
      <c r="C69" s="1087" t="s">
        <v>1202</v>
      </c>
      <c r="D69" s="1087" t="s">
        <v>1201</v>
      </c>
      <c r="E69" s="1087"/>
      <c r="F69" s="1169"/>
      <c r="G69" s="1120"/>
      <c r="K69" s="1122"/>
      <c r="L69" s="1122"/>
      <c r="M69" s="1122"/>
      <c r="N69" s="1122"/>
      <c r="O69" s="1122"/>
      <c r="P69" s="1122"/>
      <c r="Q69" s="1128"/>
      <c r="R69" s="1122"/>
      <c r="S69" s="1128"/>
    </row>
    <row r="70" spans="1:19" s="255" customFormat="1" ht="12" customHeight="1" x14ac:dyDescent="0.2">
      <c r="A70" s="1104"/>
      <c r="B70" s="1103"/>
      <c r="C70" s="1102"/>
      <c r="D70" s="1101" t="s">
        <v>1200</v>
      </c>
      <c r="E70" s="1171">
        <f>SUM(E66:E69)</f>
        <v>0</v>
      </c>
      <c r="F70" s="1172">
        <f>SUM(F66:F69)</f>
        <v>0</v>
      </c>
      <c r="I70" s="1129"/>
      <c r="J70" s="950"/>
      <c r="S70" s="1132"/>
    </row>
    <row r="71" spans="1:19" x14ac:dyDescent="0.2">
      <c r="A71" s="1100"/>
      <c r="B71" s="1087"/>
      <c r="C71" s="1087"/>
      <c r="D71" s="1087"/>
      <c r="E71" s="1087"/>
      <c r="F71" s="1169"/>
      <c r="G71" s="1120"/>
      <c r="K71" s="1122"/>
      <c r="L71" s="1122"/>
      <c r="M71" s="1122"/>
      <c r="N71" s="1122"/>
      <c r="O71" s="1122"/>
      <c r="P71" s="1122"/>
      <c r="Q71" s="1122"/>
      <c r="R71" s="1122"/>
      <c r="S71" s="1128"/>
    </row>
    <row r="72" spans="1:19" ht="13.5" thickBot="1" x14ac:dyDescent="0.25">
      <c r="A72" s="1085"/>
      <c r="B72" s="1084"/>
      <c r="C72" s="1084"/>
      <c r="D72" s="1084"/>
      <c r="E72" s="1177">
        <f>+E56+E65+E70</f>
        <v>802332</v>
      </c>
      <c r="F72" s="1178">
        <f>+F56+F65+F70</f>
        <v>594289</v>
      </c>
      <c r="G72" s="1120"/>
      <c r="I72" s="1184"/>
      <c r="J72" s="1184"/>
      <c r="K72" s="1184"/>
      <c r="L72" s="1184"/>
      <c r="M72" s="1184"/>
      <c r="N72" s="1184"/>
      <c r="O72" s="1184"/>
      <c r="P72" s="1184"/>
      <c r="Q72" s="1184"/>
      <c r="R72" s="1122"/>
      <c r="S72" s="1128"/>
    </row>
    <row r="73" spans="1:19" x14ac:dyDescent="0.2">
      <c r="K73" s="1122"/>
      <c r="L73" s="1122"/>
      <c r="M73" s="1122"/>
      <c r="N73" s="1131"/>
      <c r="O73" s="1131"/>
      <c r="P73" s="1122"/>
      <c r="Q73" s="1122"/>
      <c r="R73" s="1122"/>
      <c r="S73" s="1122"/>
    </row>
    <row r="74" spans="1:19" ht="15.75" x14ac:dyDescent="0.25">
      <c r="A74" s="1447" t="s">
        <v>1199</v>
      </c>
      <c r="B74" s="1447"/>
      <c r="C74" s="1447"/>
      <c r="D74" s="1447"/>
      <c r="E74" s="1447"/>
      <c r="F74" s="1447"/>
      <c r="K74" s="1122"/>
      <c r="L74" s="1122"/>
      <c r="M74" s="1122"/>
      <c r="N74" s="1122"/>
      <c r="O74" s="1122"/>
      <c r="P74" s="1122"/>
      <c r="Q74" s="1122"/>
      <c r="R74" s="1122"/>
      <c r="S74" s="1122"/>
    </row>
    <row r="75" spans="1:19" ht="13.5" thickBot="1" x14ac:dyDescent="0.25">
      <c r="K75" s="1122"/>
      <c r="L75" s="1122"/>
      <c r="M75" s="1122"/>
      <c r="N75" s="1122"/>
      <c r="O75" s="1122"/>
      <c r="P75" s="1122"/>
      <c r="Q75" s="1122"/>
      <c r="R75" s="1122"/>
      <c r="S75" s="1122"/>
    </row>
    <row r="76" spans="1:19" ht="13.5" customHeight="1" x14ac:dyDescent="0.2">
      <c r="A76" s="1457" t="s">
        <v>1198</v>
      </c>
      <c r="B76" s="1458"/>
      <c r="C76" s="1464" t="s">
        <v>1197</v>
      </c>
      <c r="D76" s="1464" t="s">
        <v>1196</v>
      </c>
      <c r="E76" s="1460" t="s">
        <v>1195</v>
      </c>
      <c r="F76" s="1462" t="s">
        <v>1194</v>
      </c>
      <c r="K76" s="1122"/>
      <c r="L76" s="1122"/>
      <c r="M76" s="1122"/>
      <c r="N76" s="1122"/>
      <c r="O76" s="1122"/>
      <c r="P76" s="1122"/>
      <c r="Q76" s="1122"/>
      <c r="R76" s="1122"/>
      <c r="S76" s="1122"/>
    </row>
    <row r="77" spans="1:19" ht="17.25" customHeight="1" x14ac:dyDescent="0.2">
      <c r="A77" s="1098" t="s">
        <v>1193</v>
      </c>
      <c r="B77" s="1097" t="s">
        <v>1192</v>
      </c>
      <c r="C77" s="1465"/>
      <c r="D77" s="1465"/>
      <c r="E77" s="1461"/>
      <c r="F77" s="1463"/>
      <c r="K77" s="1122"/>
      <c r="L77" s="1122"/>
      <c r="M77" s="1122"/>
      <c r="N77" s="1122"/>
      <c r="O77" s="1122"/>
      <c r="P77" s="1122"/>
      <c r="Q77" s="1122"/>
      <c r="R77" s="1122"/>
      <c r="S77" s="1122"/>
    </row>
    <row r="78" spans="1:19" x14ac:dyDescent="0.2">
      <c r="A78" s="1165"/>
      <c r="B78" s="1167"/>
      <c r="C78" s="1466"/>
      <c r="D78" s="1466"/>
      <c r="E78" s="1094" t="s">
        <v>291</v>
      </c>
      <c r="F78" s="1093" t="s">
        <v>290</v>
      </c>
      <c r="K78" s="1122"/>
      <c r="L78" s="1122"/>
      <c r="M78" s="1122"/>
      <c r="N78" s="1122"/>
      <c r="O78" s="1122"/>
      <c r="P78" s="1122"/>
      <c r="Q78" s="1122"/>
      <c r="R78" s="1122"/>
      <c r="S78" s="1128"/>
    </row>
    <row r="79" spans="1:19" x14ac:dyDescent="0.2">
      <c r="A79" s="1089" t="s">
        <v>1188</v>
      </c>
      <c r="B79" s="1088" t="s">
        <v>1191</v>
      </c>
      <c r="C79" s="1086" t="s">
        <v>1186</v>
      </c>
      <c r="D79" s="1087"/>
      <c r="E79" s="1086"/>
      <c r="F79" s="1169"/>
      <c r="I79" s="1128"/>
      <c r="Q79" s="1130"/>
      <c r="S79" s="1130"/>
    </row>
    <row r="80" spans="1:19" x14ac:dyDescent="0.2">
      <c r="A80" s="1089" t="s">
        <v>1188</v>
      </c>
      <c r="B80" s="1088" t="s">
        <v>1190</v>
      </c>
      <c r="C80" s="1086" t="s">
        <v>1186</v>
      </c>
      <c r="D80" s="1087"/>
      <c r="E80" s="1086"/>
      <c r="F80" s="1169"/>
      <c r="I80" s="1128"/>
      <c r="Q80" s="1130"/>
      <c r="S80" s="1130"/>
    </row>
    <row r="81" spans="1:19" x14ac:dyDescent="0.2">
      <c r="A81" s="1089" t="s">
        <v>1188</v>
      </c>
      <c r="B81" s="1088" t="s">
        <v>1189</v>
      </c>
      <c r="C81" s="1086" t="s">
        <v>1186</v>
      </c>
      <c r="D81" s="1087"/>
      <c r="E81" s="1086"/>
      <c r="F81" s="1169"/>
      <c r="I81" s="1128"/>
      <c r="Q81" s="1130"/>
      <c r="S81" s="1130"/>
    </row>
    <row r="82" spans="1:19" ht="13.5" thickBot="1" x14ac:dyDescent="0.25">
      <c r="A82" s="1089" t="s">
        <v>1188</v>
      </c>
      <c r="B82" s="1088" t="s">
        <v>1187</v>
      </c>
      <c r="C82" s="1086" t="s">
        <v>1186</v>
      </c>
      <c r="D82" s="1087"/>
      <c r="E82" s="1086"/>
      <c r="F82" s="1179"/>
      <c r="I82" s="1128"/>
      <c r="Q82" s="1130"/>
      <c r="S82" s="1130"/>
    </row>
    <row r="83" spans="1:19" ht="13.5" thickBot="1" x14ac:dyDescent="0.25">
      <c r="A83" s="1089"/>
      <c r="B83" s="1088"/>
      <c r="C83" s="1091"/>
      <c r="D83" s="1091"/>
      <c r="E83" s="1090" t="s">
        <v>439</v>
      </c>
      <c r="F83" s="1180">
        <f>SUM(F79:F82)</f>
        <v>0</v>
      </c>
      <c r="I83" s="946"/>
      <c r="J83" s="946"/>
    </row>
    <row r="84" spans="1:19" x14ac:dyDescent="0.2">
      <c r="A84" s="1112"/>
      <c r="B84" s="1088"/>
      <c r="C84" s="1086"/>
      <c r="D84" s="1086"/>
      <c r="E84" s="1086"/>
      <c r="F84" s="1181"/>
      <c r="K84" s="1122"/>
      <c r="L84" s="1122"/>
      <c r="M84" s="1122"/>
      <c r="N84" s="1122"/>
      <c r="O84" s="1122"/>
      <c r="P84" s="1122"/>
      <c r="Q84" s="1122"/>
      <c r="R84" s="1122"/>
      <c r="S84" s="1122"/>
    </row>
    <row r="85" spans="1:19" ht="13.5" thickBot="1" x14ac:dyDescent="0.25">
      <c r="A85" s="1085"/>
      <c r="B85" s="1084"/>
      <c r="C85" s="1084"/>
      <c r="D85" s="1084"/>
      <c r="E85" s="1084"/>
      <c r="F85" s="1083"/>
      <c r="I85" s="1184"/>
      <c r="J85" s="1184"/>
      <c r="K85" s="1184"/>
      <c r="L85" s="1184"/>
      <c r="M85" s="1184"/>
      <c r="N85" s="1184"/>
      <c r="O85" s="1184"/>
      <c r="P85" s="1184"/>
      <c r="Q85" s="1184"/>
      <c r="R85" s="1122"/>
      <c r="S85" s="1122"/>
    </row>
    <row r="86" spans="1:19" x14ac:dyDescent="0.2">
      <c r="K86" s="1122"/>
      <c r="L86" s="1122"/>
      <c r="M86" s="1122"/>
      <c r="N86" s="1122"/>
      <c r="O86" s="1122"/>
      <c r="P86" s="1122"/>
      <c r="Q86" s="1122"/>
      <c r="R86" s="1122"/>
      <c r="S86" s="1122"/>
    </row>
    <row r="87" spans="1:19" ht="18" customHeight="1" x14ac:dyDescent="0.2">
      <c r="A87" s="1163" t="s">
        <v>1185</v>
      </c>
      <c r="B87" s="1162"/>
      <c r="C87" s="1162"/>
      <c r="D87" s="1162"/>
      <c r="E87" s="1162"/>
      <c r="F87" s="1162"/>
      <c r="G87" s="1162"/>
      <c r="I87" s="1184"/>
      <c r="J87" s="1184"/>
      <c r="K87" s="1184"/>
      <c r="L87" s="1184"/>
      <c r="M87" s="1184"/>
      <c r="N87" s="1184"/>
      <c r="O87" s="1184"/>
      <c r="P87" s="1184"/>
      <c r="Q87" s="1184"/>
      <c r="R87" s="1129"/>
      <c r="S87" s="1122"/>
    </row>
    <row r="88" spans="1:19" x14ac:dyDescent="0.2">
      <c r="A88" s="1163">
        <v>1</v>
      </c>
      <c r="B88" s="1272" t="s">
        <v>1184</v>
      </c>
      <c r="C88" s="1272"/>
      <c r="D88" s="1272"/>
      <c r="E88" s="1272"/>
      <c r="F88" s="1272"/>
      <c r="G88" s="1161"/>
      <c r="K88" s="1122"/>
      <c r="L88" s="1128"/>
      <c r="M88" s="1122"/>
      <c r="N88" s="1122"/>
      <c r="O88" s="1122"/>
      <c r="P88" s="1128"/>
      <c r="Q88" s="1122"/>
      <c r="R88" s="1122"/>
      <c r="S88" s="1122"/>
    </row>
    <row r="89" spans="1:19" x14ac:dyDescent="0.2">
      <c r="A89" s="1163"/>
      <c r="B89" s="1272"/>
      <c r="C89" s="1272"/>
      <c r="D89" s="1272"/>
      <c r="E89" s="1272"/>
      <c r="F89" s="1272"/>
      <c r="G89" s="1161"/>
      <c r="K89" s="1122"/>
      <c r="L89" s="1122"/>
      <c r="M89" s="1122"/>
      <c r="N89" s="1122"/>
      <c r="O89" s="1122"/>
      <c r="P89" s="1122"/>
      <c r="Q89" s="1122"/>
      <c r="R89" s="1122"/>
      <c r="S89" s="1122"/>
    </row>
    <row r="90" spans="1:19" x14ac:dyDescent="0.2">
      <c r="A90" s="1163"/>
    </row>
    <row r="91" spans="1:19" x14ac:dyDescent="0.2">
      <c r="A91" s="1163">
        <v>2</v>
      </c>
      <c r="B91" s="946" t="s">
        <v>1183</v>
      </c>
    </row>
    <row r="92" spans="1:19" x14ac:dyDescent="0.2">
      <c r="A92" s="1163"/>
      <c r="B92" s="946" t="s">
        <v>1182</v>
      </c>
    </row>
    <row r="93" spans="1:19" x14ac:dyDescent="0.2">
      <c r="A93" s="1163"/>
      <c r="B93" s="946" t="s">
        <v>1181</v>
      </c>
    </row>
    <row r="94" spans="1:19" x14ac:dyDescent="0.2">
      <c r="A94" s="1163"/>
      <c r="B94" s="946" t="s">
        <v>1180</v>
      </c>
    </row>
    <row r="95" spans="1:19" x14ac:dyDescent="0.2">
      <c r="A95" s="1163"/>
      <c r="B95" s="946" t="s">
        <v>1179</v>
      </c>
    </row>
    <row r="96" spans="1:19" x14ac:dyDescent="0.2">
      <c r="A96" s="1163"/>
      <c r="B96" s="946" t="s">
        <v>1178</v>
      </c>
    </row>
    <row r="97" spans="1:1" x14ac:dyDescent="0.2">
      <c r="A97" s="1163"/>
    </row>
    <row r="98" spans="1:1" x14ac:dyDescent="0.2">
      <c r="A98" s="1163"/>
    </row>
    <row r="99" spans="1:1" x14ac:dyDescent="0.2">
      <c r="A99" s="1163"/>
    </row>
    <row r="100" spans="1:1" x14ac:dyDescent="0.2">
      <c r="A100" s="1163"/>
    </row>
    <row r="101" spans="1:1" x14ac:dyDescent="0.2">
      <c r="A101" s="1163"/>
    </row>
    <row r="102" spans="1:1" x14ac:dyDescent="0.2">
      <c r="A102" s="1163"/>
    </row>
    <row r="103" spans="1:1" x14ac:dyDescent="0.2">
      <c r="A103" s="1163"/>
    </row>
    <row r="104" spans="1:1" x14ac:dyDescent="0.2">
      <c r="A104" s="1163"/>
    </row>
    <row r="105" spans="1:1" x14ac:dyDescent="0.2">
      <c r="A105" s="1163"/>
    </row>
    <row r="106" spans="1:1" x14ac:dyDescent="0.2">
      <c r="A106" s="1163"/>
    </row>
    <row r="107" spans="1:1" x14ac:dyDescent="0.2">
      <c r="A107" s="1163"/>
    </row>
    <row r="108" spans="1:1" x14ac:dyDescent="0.2">
      <c r="A108" s="1163"/>
    </row>
    <row r="109" spans="1:1" x14ac:dyDescent="0.2">
      <c r="A109" s="1163"/>
    </row>
    <row r="110" spans="1:1" x14ac:dyDescent="0.2">
      <c r="A110" s="1163"/>
    </row>
    <row r="111" spans="1:1" x14ac:dyDescent="0.2">
      <c r="A111" s="1163"/>
    </row>
    <row r="112" spans="1:1" x14ac:dyDescent="0.2">
      <c r="A112" s="1163"/>
    </row>
    <row r="113" spans="1:1" x14ac:dyDescent="0.2">
      <c r="A113" s="1163"/>
    </row>
    <row r="114" spans="1:1" x14ac:dyDescent="0.2">
      <c r="A114" s="1163"/>
    </row>
    <row r="115" spans="1:1" x14ac:dyDescent="0.2">
      <c r="A115" s="1163"/>
    </row>
    <row r="116" spans="1:1" x14ac:dyDescent="0.2">
      <c r="A116" s="1163"/>
    </row>
    <row r="117" spans="1:1" x14ac:dyDescent="0.2">
      <c r="A117" s="1163"/>
    </row>
    <row r="118" spans="1:1" x14ac:dyDescent="0.2">
      <c r="A118" s="1163"/>
    </row>
    <row r="119" spans="1:1" x14ac:dyDescent="0.2">
      <c r="A119" s="1163"/>
    </row>
    <row r="120" spans="1:1" x14ac:dyDescent="0.2">
      <c r="A120" s="1163"/>
    </row>
    <row r="121" spans="1:1" x14ac:dyDescent="0.2">
      <c r="A121" s="1163"/>
    </row>
    <row r="122" spans="1:1" x14ac:dyDescent="0.2">
      <c r="A122" s="1163"/>
    </row>
    <row r="123" spans="1:1" x14ac:dyDescent="0.2">
      <c r="A123" s="1163"/>
    </row>
    <row r="124" spans="1:1" x14ac:dyDescent="0.2">
      <c r="A124" s="1163"/>
    </row>
    <row r="125" spans="1:1" x14ac:dyDescent="0.2">
      <c r="A125" s="1163"/>
    </row>
    <row r="126" spans="1:1" x14ac:dyDescent="0.2">
      <c r="A126" s="1163"/>
    </row>
    <row r="127" spans="1:1" x14ac:dyDescent="0.2">
      <c r="A127" s="1163"/>
    </row>
    <row r="128" spans="1:1" x14ac:dyDescent="0.2">
      <c r="A128" s="1163"/>
    </row>
    <row r="129" spans="1:1" x14ac:dyDescent="0.2">
      <c r="A129" s="1163"/>
    </row>
    <row r="130" spans="1:1" x14ac:dyDescent="0.2">
      <c r="A130" s="1163"/>
    </row>
    <row r="131" spans="1:1" x14ac:dyDescent="0.2">
      <c r="A131" s="1163"/>
    </row>
    <row r="132" spans="1:1" x14ac:dyDescent="0.2">
      <c r="A132" s="1163"/>
    </row>
    <row r="133" spans="1:1" x14ac:dyDescent="0.2">
      <c r="A133" s="1163"/>
    </row>
    <row r="134" spans="1:1" x14ac:dyDescent="0.2">
      <c r="A134" s="1163"/>
    </row>
    <row r="135" spans="1:1" x14ac:dyDescent="0.2">
      <c r="A135" s="1163"/>
    </row>
    <row r="136" spans="1:1" x14ac:dyDescent="0.2">
      <c r="A136" s="1163"/>
    </row>
    <row r="137" spans="1:1" x14ac:dyDescent="0.2">
      <c r="A137" s="1163"/>
    </row>
    <row r="138" spans="1:1" x14ac:dyDescent="0.2">
      <c r="A138" s="1163"/>
    </row>
    <row r="139" spans="1:1" x14ac:dyDescent="0.2">
      <c r="A139" s="1163"/>
    </row>
    <row r="140" spans="1:1" x14ac:dyDescent="0.2">
      <c r="A140" s="1163"/>
    </row>
    <row r="141" spans="1:1" x14ac:dyDescent="0.2">
      <c r="A141" s="1163"/>
    </row>
  </sheetData>
  <mergeCells count="18">
    <mergeCell ref="B88:F89"/>
    <mergeCell ref="G16:G17"/>
    <mergeCell ref="A17:A18"/>
    <mergeCell ref="B17:B18"/>
    <mergeCell ref="A74:F74"/>
    <mergeCell ref="A76:B76"/>
    <mergeCell ref="C76:C78"/>
    <mergeCell ref="D76:D78"/>
    <mergeCell ref="E76:E77"/>
    <mergeCell ref="F76:F77"/>
    <mergeCell ref="A9:F9"/>
    <mergeCell ref="A10:F10"/>
    <mergeCell ref="A14:F14"/>
    <mergeCell ref="A16:B16"/>
    <mergeCell ref="C16:C18"/>
    <mergeCell ref="D16:D18"/>
    <mergeCell ref="E16:E17"/>
    <mergeCell ref="F16:F17"/>
  </mergeCells>
  <dataValidations count="1">
    <dataValidation allowBlank="1" showInputMessage="1" showErrorMessage="1" promptTitle="Date Format" prompt="E.g:  &quot;August 1, 2011&quot;" sqref="G7"/>
  </dataValidations>
  <pageMargins left="1" right="0.25" top="0.25" bottom="0.25" header="0.3" footer="0.3"/>
  <pageSetup scale="6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fitToPage="1"/>
  </sheetPr>
  <dimension ref="A1:P124"/>
  <sheetViews>
    <sheetView showGridLines="0" zoomScaleNormal="100" workbookViewId="0">
      <selection sqref="A1:XFD1048576"/>
    </sheetView>
  </sheetViews>
  <sheetFormatPr defaultRowHeight="12.75" x14ac:dyDescent="0.2"/>
  <cols>
    <col min="1" max="1" width="6.42578125" style="253" customWidth="1"/>
    <col min="2" max="2" width="5.5703125" style="253" customWidth="1"/>
    <col min="3" max="3" width="16.5703125" style="253" customWidth="1"/>
    <col min="4" max="4" width="3" style="253" customWidth="1"/>
    <col min="5" max="5" width="11.140625" style="253" customWidth="1"/>
    <col min="6" max="6" width="1.42578125" style="253" customWidth="1"/>
    <col min="7" max="7" width="3.42578125" style="253" customWidth="1"/>
    <col min="8" max="8" width="1.42578125" style="253" customWidth="1"/>
    <col min="9" max="9" width="13.7109375" style="253" customWidth="1"/>
    <col min="10" max="10" width="3.28515625" style="253" customWidth="1"/>
    <col min="11" max="11" width="12.85546875" style="253" customWidth="1"/>
    <col min="12" max="12" width="1.42578125" style="253" customWidth="1"/>
    <col min="13" max="13" width="3.5703125" style="253" customWidth="1"/>
    <col min="14" max="14" width="1.7109375" style="253" customWidth="1"/>
    <col min="15" max="15" width="16.42578125" style="253" customWidth="1"/>
    <col min="16" max="16" width="2.140625" style="253" customWidth="1"/>
    <col min="17" max="255" width="9.140625" style="253"/>
    <col min="256" max="256" width="2.85546875" style="253" customWidth="1"/>
    <col min="257" max="257" width="6.42578125" style="253" customWidth="1"/>
    <col min="258" max="258" width="3.85546875" style="253" customWidth="1"/>
    <col min="259" max="259" width="16.5703125" style="253" customWidth="1"/>
    <col min="260" max="260" width="3" style="253" customWidth="1"/>
    <col min="261" max="261" width="11.140625" style="253" customWidth="1"/>
    <col min="262" max="262" width="1.42578125" style="253" customWidth="1"/>
    <col min="263" max="263" width="3.42578125" style="253" customWidth="1"/>
    <col min="264" max="264" width="1.42578125" style="253" customWidth="1"/>
    <col min="265" max="265" width="12.5703125" style="253" customWidth="1"/>
    <col min="266" max="266" width="3.28515625" style="253" customWidth="1"/>
    <col min="267" max="267" width="12.85546875" style="253" customWidth="1"/>
    <col min="268" max="268" width="1.42578125" style="253" customWidth="1"/>
    <col min="269" max="269" width="3.5703125" style="253" customWidth="1"/>
    <col min="270" max="270" width="1.7109375" style="253" customWidth="1"/>
    <col min="271" max="271" width="14" style="253" customWidth="1"/>
    <col min="272" max="272" width="2.140625" style="253" customWidth="1"/>
    <col min="273" max="511" width="9.140625" style="253"/>
    <col min="512" max="512" width="2.85546875" style="253" customWidth="1"/>
    <col min="513" max="513" width="6.42578125" style="253" customWidth="1"/>
    <col min="514" max="514" width="3.85546875" style="253" customWidth="1"/>
    <col min="515" max="515" width="16.5703125" style="253" customWidth="1"/>
    <col min="516" max="516" width="3" style="253" customWidth="1"/>
    <col min="517" max="517" width="11.140625" style="253" customWidth="1"/>
    <col min="518" max="518" width="1.42578125" style="253" customWidth="1"/>
    <col min="519" max="519" width="3.42578125" style="253" customWidth="1"/>
    <col min="520" max="520" width="1.42578125" style="253" customWidth="1"/>
    <col min="521" max="521" width="12.5703125" style="253" customWidth="1"/>
    <col min="522" max="522" width="3.28515625" style="253" customWidth="1"/>
    <col min="523" max="523" width="12.85546875" style="253" customWidth="1"/>
    <col min="524" max="524" width="1.42578125" style="253" customWidth="1"/>
    <col min="525" max="525" width="3.5703125" style="253" customWidth="1"/>
    <col min="526" max="526" width="1.7109375" style="253" customWidth="1"/>
    <col min="527" max="527" width="14" style="253" customWidth="1"/>
    <col min="528" max="528" width="2.140625" style="253" customWidth="1"/>
    <col min="529" max="767" width="9.140625" style="253"/>
    <col min="768" max="768" width="2.85546875" style="253" customWidth="1"/>
    <col min="769" max="769" width="6.42578125" style="253" customWidth="1"/>
    <col min="770" max="770" width="3.85546875" style="253" customWidth="1"/>
    <col min="771" max="771" width="16.5703125" style="253" customWidth="1"/>
    <col min="772" max="772" width="3" style="253" customWidth="1"/>
    <col min="773" max="773" width="11.140625" style="253" customWidth="1"/>
    <col min="774" max="774" width="1.42578125" style="253" customWidth="1"/>
    <col min="775" max="775" width="3.42578125" style="253" customWidth="1"/>
    <col min="776" max="776" width="1.42578125" style="253" customWidth="1"/>
    <col min="777" max="777" width="12.5703125" style="253" customWidth="1"/>
    <col min="778" max="778" width="3.28515625" style="253" customWidth="1"/>
    <col min="779" max="779" width="12.85546875" style="253" customWidth="1"/>
    <col min="780" max="780" width="1.42578125" style="253" customWidth="1"/>
    <col min="781" max="781" width="3.5703125" style="253" customWidth="1"/>
    <col min="782" max="782" width="1.7109375" style="253" customWidth="1"/>
    <col min="783" max="783" width="14" style="253" customWidth="1"/>
    <col min="784" max="784" width="2.140625" style="253" customWidth="1"/>
    <col min="785" max="1023" width="9.140625" style="253"/>
    <col min="1024" max="1024" width="2.85546875" style="253" customWidth="1"/>
    <col min="1025" max="1025" width="6.42578125" style="253" customWidth="1"/>
    <col min="1026" max="1026" width="3.85546875" style="253" customWidth="1"/>
    <col min="1027" max="1027" width="16.5703125" style="253" customWidth="1"/>
    <col min="1028" max="1028" width="3" style="253" customWidth="1"/>
    <col min="1029" max="1029" width="11.140625" style="253" customWidth="1"/>
    <col min="1030" max="1030" width="1.42578125" style="253" customWidth="1"/>
    <col min="1031" max="1031" width="3.42578125" style="253" customWidth="1"/>
    <col min="1032" max="1032" width="1.42578125" style="253" customWidth="1"/>
    <col min="1033" max="1033" width="12.5703125" style="253" customWidth="1"/>
    <col min="1034" max="1034" width="3.28515625" style="253" customWidth="1"/>
    <col min="1035" max="1035" width="12.85546875" style="253" customWidth="1"/>
    <col min="1036" max="1036" width="1.42578125" style="253" customWidth="1"/>
    <col min="1037" max="1037" width="3.5703125" style="253" customWidth="1"/>
    <col min="1038" max="1038" width="1.7109375" style="253" customWidth="1"/>
    <col min="1039" max="1039" width="14" style="253" customWidth="1"/>
    <col min="1040" max="1040" width="2.140625" style="253" customWidth="1"/>
    <col min="1041" max="1279" width="9.140625" style="253"/>
    <col min="1280" max="1280" width="2.85546875" style="253" customWidth="1"/>
    <col min="1281" max="1281" width="6.42578125" style="253" customWidth="1"/>
    <col min="1282" max="1282" width="3.85546875" style="253" customWidth="1"/>
    <col min="1283" max="1283" width="16.5703125" style="253" customWidth="1"/>
    <col min="1284" max="1284" width="3" style="253" customWidth="1"/>
    <col min="1285" max="1285" width="11.140625" style="253" customWidth="1"/>
    <col min="1286" max="1286" width="1.42578125" style="253" customWidth="1"/>
    <col min="1287" max="1287" width="3.42578125" style="253" customWidth="1"/>
    <col min="1288" max="1288" width="1.42578125" style="253" customWidth="1"/>
    <col min="1289" max="1289" width="12.5703125" style="253" customWidth="1"/>
    <col min="1290" max="1290" width="3.28515625" style="253" customWidth="1"/>
    <col min="1291" max="1291" width="12.85546875" style="253" customWidth="1"/>
    <col min="1292" max="1292" width="1.42578125" style="253" customWidth="1"/>
    <col min="1293" max="1293" width="3.5703125" style="253" customWidth="1"/>
    <col min="1294" max="1294" width="1.7109375" style="253" customWidth="1"/>
    <col min="1295" max="1295" width="14" style="253" customWidth="1"/>
    <col min="1296" max="1296" width="2.140625" style="253" customWidth="1"/>
    <col min="1297" max="1535" width="9.140625" style="253"/>
    <col min="1536" max="1536" width="2.85546875" style="253" customWidth="1"/>
    <col min="1537" max="1537" width="6.42578125" style="253" customWidth="1"/>
    <col min="1538" max="1538" width="3.85546875" style="253" customWidth="1"/>
    <col min="1539" max="1539" width="16.5703125" style="253" customWidth="1"/>
    <col min="1540" max="1540" width="3" style="253" customWidth="1"/>
    <col min="1541" max="1541" width="11.140625" style="253" customWidth="1"/>
    <col min="1542" max="1542" width="1.42578125" style="253" customWidth="1"/>
    <col min="1543" max="1543" width="3.42578125" style="253" customWidth="1"/>
    <col min="1544" max="1544" width="1.42578125" style="253" customWidth="1"/>
    <col min="1545" max="1545" width="12.5703125" style="253" customWidth="1"/>
    <col min="1546" max="1546" width="3.28515625" style="253" customWidth="1"/>
    <col min="1547" max="1547" width="12.85546875" style="253" customWidth="1"/>
    <col min="1548" max="1548" width="1.42578125" style="253" customWidth="1"/>
    <col min="1549" max="1549" width="3.5703125" style="253" customWidth="1"/>
    <col min="1550" max="1550" width="1.7109375" style="253" customWidth="1"/>
    <col min="1551" max="1551" width="14" style="253" customWidth="1"/>
    <col min="1552" max="1552" width="2.140625" style="253" customWidth="1"/>
    <col min="1553" max="1791" width="9.140625" style="253"/>
    <col min="1792" max="1792" width="2.85546875" style="253" customWidth="1"/>
    <col min="1793" max="1793" width="6.42578125" style="253" customWidth="1"/>
    <col min="1794" max="1794" width="3.85546875" style="253" customWidth="1"/>
    <col min="1795" max="1795" width="16.5703125" style="253" customWidth="1"/>
    <col min="1796" max="1796" width="3" style="253" customWidth="1"/>
    <col min="1797" max="1797" width="11.140625" style="253" customWidth="1"/>
    <col min="1798" max="1798" width="1.42578125" style="253" customWidth="1"/>
    <col min="1799" max="1799" width="3.42578125" style="253" customWidth="1"/>
    <col min="1800" max="1800" width="1.42578125" style="253" customWidth="1"/>
    <col min="1801" max="1801" width="12.5703125" style="253" customWidth="1"/>
    <col min="1802" max="1802" width="3.28515625" style="253" customWidth="1"/>
    <col min="1803" max="1803" width="12.85546875" style="253" customWidth="1"/>
    <col min="1804" max="1804" width="1.42578125" style="253" customWidth="1"/>
    <col min="1805" max="1805" width="3.5703125" style="253" customWidth="1"/>
    <col min="1806" max="1806" width="1.7109375" style="253" customWidth="1"/>
    <col min="1807" max="1807" width="14" style="253" customWidth="1"/>
    <col min="1808" max="1808" width="2.140625" style="253" customWidth="1"/>
    <col min="1809" max="2047" width="9.140625" style="253"/>
    <col min="2048" max="2048" width="2.85546875" style="253" customWidth="1"/>
    <col min="2049" max="2049" width="6.42578125" style="253" customWidth="1"/>
    <col min="2050" max="2050" width="3.85546875" style="253" customWidth="1"/>
    <col min="2051" max="2051" width="16.5703125" style="253" customWidth="1"/>
    <col min="2052" max="2052" width="3" style="253" customWidth="1"/>
    <col min="2053" max="2053" width="11.140625" style="253" customWidth="1"/>
    <col min="2054" max="2054" width="1.42578125" style="253" customWidth="1"/>
    <col min="2055" max="2055" width="3.42578125" style="253" customWidth="1"/>
    <col min="2056" max="2056" width="1.42578125" style="253" customWidth="1"/>
    <col min="2057" max="2057" width="12.5703125" style="253" customWidth="1"/>
    <col min="2058" max="2058" width="3.28515625" style="253" customWidth="1"/>
    <col min="2059" max="2059" width="12.85546875" style="253" customWidth="1"/>
    <col min="2060" max="2060" width="1.42578125" style="253" customWidth="1"/>
    <col min="2061" max="2061" width="3.5703125" style="253" customWidth="1"/>
    <col min="2062" max="2062" width="1.7109375" style="253" customWidth="1"/>
    <col min="2063" max="2063" width="14" style="253" customWidth="1"/>
    <col min="2064" max="2064" width="2.140625" style="253" customWidth="1"/>
    <col min="2065" max="2303" width="9.140625" style="253"/>
    <col min="2304" max="2304" width="2.85546875" style="253" customWidth="1"/>
    <col min="2305" max="2305" width="6.42578125" style="253" customWidth="1"/>
    <col min="2306" max="2306" width="3.85546875" style="253" customWidth="1"/>
    <col min="2307" max="2307" width="16.5703125" style="253" customWidth="1"/>
    <col min="2308" max="2308" width="3" style="253" customWidth="1"/>
    <col min="2309" max="2309" width="11.140625" style="253" customWidth="1"/>
    <col min="2310" max="2310" width="1.42578125" style="253" customWidth="1"/>
    <col min="2311" max="2311" width="3.42578125" style="253" customWidth="1"/>
    <col min="2312" max="2312" width="1.42578125" style="253" customWidth="1"/>
    <col min="2313" max="2313" width="12.5703125" style="253" customWidth="1"/>
    <col min="2314" max="2314" width="3.28515625" style="253" customWidth="1"/>
    <col min="2315" max="2315" width="12.85546875" style="253" customWidth="1"/>
    <col min="2316" max="2316" width="1.42578125" style="253" customWidth="1"/>
    <col min="2317" max="2317" width="3.5703125" style="253" customWidth="1"/>
    <col min="2318" max="2318" width="1.7109375" style="253" customWidth="1"/>
    <col min="2319" max="2319" width="14" style="253" customWidth="1"/>
    <col min="2320" max="2320" width="2.140625" style="253" customWidth="1"/>
    <col min="2321" max="2559" width="9.140625" style="253"/>
    <col min="2560" max="2560" width="2.85546875" style="253" customWidth="1"/>
    <col min="2561" max="2561" width="6.42578125" style="253" customWidth="1"/>
    <col min="2562" max="2562" width="3.85546875" style="253" customWidth="1"/>
    <col min="2563" max="2563" width="16.5703125" style="253" customWidth="1"/>
    <col min="2564" max="2564" width="3" style="253" customWidth="1"/>
    <col min="2565" max="2565" width="11.140625" style="253" customWidth="1"/>
    <col min="2566" max="2566" width="1.42578125" style="253" customWidth="1"/>
    <col min="2567" max="2567" width="3.42578125" style="253" customWidth="1"/>
    <col min="2568" max="2568" width="1.42578125" style="253" customWidth="1"/>
    <col min="2569" max="2569" width="12.5703125" style="253" customWidth="1"/>
    <col min="2570" max="2570" width="3.28515625" style="253" customWidth="1"/>
    <col min="2571" max="2571" width="12.85546875" style="253" customWidth="1"/>
    <col min="2572" max="2572" width="1.42578125" style="253" customWidth="1"/>
    <col min="2573" max="2573" width="3.5703125" style="253" customWidth="1"/>
    <col min="2574" max="2574" width="1.7109375" style="253" customWidth="1"/>
    <col min="2575" max="2575" width="14" style="253" customWidth="1"/>
    <col min="2576" max="2576" width="2.140625" style="253" customWidth="1"/>
    <col min="2577" max="2815" width="9.140625" style="253"/>
    <col min="2816" max="2816" width="2.85546875" style="253" customWidth="1"/>
    <col min="2817" max="2817" width="6.42578125" style="253" customWidth="1"/>
    <col min="2818" max="2818" width="3.85546875" style="253" customWidth="1"/>
    <col min="2819" max="2819" width="16.5703125" style="253" customWidth="1"/>
    <col min="2820" max="2820" width="3" style="253" customWidth="1"/>
    <col min="2821" max="2821" width="11.140625" style="253" customWidth="1"/>
    <col min="2822" max="2822" width="1.42578125" style="253" customWidth="1"/>
    <col min="2823" max="2823" width="3.42578125" style="253" customWidth="1"/>
    <col min="2824" max="2824" width="1.42578125" style="253" customWidth="1"/>
    <col min="2825" max="2825" width="12.5703125" style="253" customWidth="1"/>
    <col min="2826" max="2826" width="3.28515625" style="253" customWidth="1"/>
    <col min="2827" max="2827" width="12.85546875" style="253" customWidth="1"/>
    <col min="2828" max="2828" width="1.42578125" style="253" customWidth="1"/>
    <col min="2829" max="2829" width="3.5703125" style="253" customWidth="1"/>
    <col min="2830" max="2830" width="1.7109375" style="253" customWidth="1"/>
    <col min="2831" max="2831" width="14" style="253" customWidth="1"/>
    <col min="2832" max="2832" width="2.140625" style="253" customWidth="1"/>
    <col min="2833" max="3071" width="9.140625" style="253"/>
    <col min="3072" max="3072" width="2.85546875" style="253" customWidth="1"/>
    <col min="3073" max="3073" width="6.42578125" style="253" customWidth="1"/>
    <col min="3074" max="3074" width="3.85546875" style="253" customWidth="1"/>
    <col min="3075" max="3075" width="16.5703125" style="253" customWidth="1"/>
    <col min="3076" max="3076" width="3" style="253" customWidth="1"/>
    <col min="3077" max="3077" width="11.140625" style="253" customWidth="1"/>
    <col min="3078" max="3078" width="1.42578125" style="253" customWidth="1"/>
    <col min="3079" max="3079" width="3.42578125" style="253" customWidth="1"/>
    <col min="3080" max="3080" width="1.42578125" style="253" customWidth="1"/>
    <col min="3081" max="3081" width="12.5703125" style="253" customWidth="1"/>
    <col min="3082" max="3082" width="3.28515625" style="253" customWidth="1"/>
    <col min="3083" max="3083" width="12.85546875" style="253" customWidth="1"/>
    <col min="3084" max="3084" width="1.42578125" style="253" customWidth="1"/>
    <col min="3085" max="3085" width="3.5703125" style="253" customWidth="1"/>
    <col min="3086" max="3086" width="1.7109375" style="253" customWidth="1"/>
    <col min="3087" max="3087" width="14" style="253" customWidth="1"/>
    <col min="3088" max="3088" width="2.140625" style="253" customWidth="1"/>
    <col min="3089" max="3327" width="9.140625" style="253"/>
    <col min="3328" max="3328" width="2.85546875" style="253" customWidth="1"/>
    <col min="3329" max="3329" width="6.42578125" style="253" customWidth="1"/>
    <col min="3330" max="3330" width="3.85546875" style="253" customWidth="1"/>
    <col min="3331" max="3331" width="16.5703125" style="253" customWidth="1"/>
    <col min="3332" max="3332" width="3" style="253" customWidth="1"/>
    <col min="3333" max="3333" width="11.140625" style="253" customWidth="1"/>
    <col min="3334" max="3334" width="1.42578125" style="253" customWidth="1"/>
    <col min="3335" max="3335" width="3.42578125" style="253" customWidth="1"/>
    <col min="3336" max="3336" width="1.42578125" style="253" customWidth="1"/>
    <col min="3337" max="3337" width="12.5703125" style="253" customWidth="1"/>
    <col min="3338" max="3338" width="3.28515625" style="253" customWidth="1"/>
    <col min="3339" max="3339" width="12.85546875" style="253" customWidth="1"/>
    <col min="3340" max="3340" width="1.42578125" style="253" customWidth="1"/>
    <col min="3341" max="3341" width="3.5703125" style="253" customWidth="1"/>
    <col min="3342" max="3342" width="1.7109375" style="253" customWidth="1"/>
    <col min="3343" max="3343" width="14" style="253" customWidth="1"/>
    <col min="3344" max="3344" width="2.140625" style="253" customWidth="1"/>
    <col min="3345" max="3583" width="9.140625" style="253"/>
    <col min="3584" max="3584" width="2.85546875" style="253" customWidth="1"/>
    <col min="3585" max="3585" width="6.42578125" style="253" customWidth="1"/>
    <col min="3586" max="3586" width="3.85546875" style="253" customWidth="1"/>
    <col min="3587" max="3587" width="16.5703125" style="253" customWidth="1"/>
    <col min="3588" max="3588" width="3" style="253" customWidth="1"/>
    <col min="3589" max="3589" width="11.140625" style="253" customWidth="1"/>
    <col min="3590" max="3590" width="1.42578125" style="253" customWidth="1"/>
    <col min="3591" max="3591" width="3.42578125" style="253" customWidth="1"/>
    <col min="3592" max="3592" width="1.42578125" style="253" customWidth="1"/>
    <col min="3593" max="3593" width="12.5703125" style="253" customWidth="1"/>
    <col min="3594" max="3594" width="3.28515625" style="253" customWidth="1"/>
    <col min="3595" max="3595" width="12.85546875" style="253" customWidth="1"/>
    <col min="3596" max="3596" width="1.42578125" style="253" customWidth="1"/>
    <col min="3597" max="3597" width="3.5703125" style="253" customWidth="1"/>
    <col min="3598" max="3598" width="1.7109375" style="253" customWidth="1"/>
    <col min="3599" max="3599" width="14" style="253" customWidth="1"/>
    <col min="3600" max="3600" width="2.140625" style="253" customWidth="1"/>
    <col min="3601" max="3839" width="9.140625" style="253"/>
    <col min="3840" max="3840" width="2.85546875" style="253" customWidth="1"/>
    <col min="3841" max="3841" width="6.42578125" style="253" customWidth="1"/>
    <col min="3842" max="3842" width="3.85546875" style="253" customWidth="1"/>
    <col min="3843" max="3843" width="16.5703125" style="253" customWidth="1"/>
    <col min="3844" max="3844" width="3" style="253" customWidth="1"/>
    <col min="3845" max="3845" width="11.140625" style="253" customWidth="1"/>
    <col min="3846" max="3846" width="1.42578125" style="253" customWidth="1"/>
    <col min="3847" max="3847" width="3.42578125" style="253" customWidth="1"/>
    <col min="3848" max="3848" width="1.42578125" style="253" customWidth="1"/>
    <col min="3849" max="3849" width="12.5703125" style="253" customWidth="1"/>
    <col min="3850" max="3850" width="3.28515625" style="253" customWidth="1"/>
    <col min="3851" max="3851" width="12.85546875" style="253" customWidth="1"/>
    <col min="3852" max="3852" width="1.42578125" style="253" customWidth="1"/>
    <col min="3853" max="3853" width="3.5703125" style="253" customWidth="1"/>
    <col min="3854" max="3854" width="1.7109375" style="253" customWidth="1"/>
    <col min="3855" max="3855" width="14" style="253" customWidth="1"/>
    <col min="3856" max="3856" width="2.140625" style="253" customWidth="1"/>
    <col min="3857" max="4095" width="9.140625" style="253"/>
    <col min="4096" max="4096" width="2.85546875" style="253" customWidth="1"/>
    <col min="4097" max="4097" width="6.42578125" style="253" customWidth="1"/>
    <col min="4098" max="4098" width="3.85546875" style="253" customWidth="1"/>
    <col min="4099" max="4099" width="16.5703125" style="253" customWidth="1"/>
    <col min="4100" max="4100" width="3" style="253" customWidth="1"/>
    <col min="4101" max="4101" width="11.140625" style="253" customWidth="1"/>
    <col min="4102" max="4102" width="1.42578125" style="253" customWidth="1"/>
    <col min="4103" max="4103" width="3.42578125" style="253" customWidth="1"/>
    <col min="4104" max="4104" width="1.42578125" style="253" customWidth="1"/>
    <col min="4105" max="4105" width="12.5703125" style="253" customWidth="1"/>
    <col min="4106" max="4106" width="3.28515625" style="253" customWidth="1"/>
    <col min="4107" max="4107" width="12.85546875" style="253" customWidth="1"/>
    <col min="4108" max="4108" width="1.42578125" style="253" customWidth="1"/>
    <col min="4109" max="4109" width="3.5703125" style="253" customWidth="1"/>
    <col min="4110" max="4110" width="1.7109375" style="253" customWidth="1"/>
    <col min="4111" max="4111" width="14" style="253" customWidth="1"/>
    <col min="4112" max="4112" width="2.140625" style="253" customWidth="1"/>
    <col min="4113" max="4351" width="9.140625" style="253"/>
    <col min="4352" max="4352" width="2.85546875" style="253" customWidth="1"/>
    <col min="4353" max="4353" width="6.42578125" style="253" customWidth="1"/>
    <col min="4354" max="4354" width="3.85546875" style="253" customWidth="1"/>
    <col min="4355" max="4355" width="16.5703125" style="253" customWidth="1"/>
    <col min="4356" max="4356" width="3" style="253" customWidth="1"/>
    <col min="4357" max="4357" width="11.140625" style="253" customWidth="1"/>
    <col min="4358" max="4358" width="1.42578125" style="253" customWidth="1"/>
    <col min="4359" max="4359" width="3.42578125" style="253" customWidth="1"/>
    <col min="4360" max="4360" width="1.42578125" style="253" customWidth="1"/>
    <col min="4361" max="4361" width="12.5703125" style="253" customWidth="1"/>
    <col min="4362" max="4362" width="3.28515625" style="253" customWidth="1"/>
    <col min="4363" max="4363" width="12.85546875" style="253" customWidth="1"/>
    <col min="4364" max="4364" width="1.42578125" style="253" customWidth="1"/>
    <col min="4365" max="4365" width="3.5703125" style="253" customWidth="1"/>
    <col min="4366" max="4366" width="1.7109375" style="253" customWidth="1"/>
    <col min="4367" max="4367" width="14" style="253" customWidth="1"/>
    <col min="4368" max="4368" width="2.140625" style="253" customWidth="1"/>
    <col min="4369" max="4607" width="9.140625" style="253"/>
    <col min="4608" max="4608" width="2.85546875" style="253" customWidth="1"/>
    <col min="4609" max="4609" width="6.42578125" style="253" customWidth="1"/>
    <col min="4610" max="4610" width="3.85546875" style="253" customWidth="1"/>
    <col min="4611" max="4611" width="16.5703125" style="253" customWidth="1"/>
    <col min="4612" max="4612" width="3" style="253" customWidth="1"/>
    <col min="4613" max="4613" width="11.140625" style="253" customWidth="1"/>
    <col min="4614" max="4614" width="1.42578125" style="253" customWidth="1"/>
    <col min="4615" max="4615" width="3.42578125" style="253" customWidth="1"/>
    <col min="4616" max="4616" width="1.42578125" style="253" customWidth="1"/>
    <col min="4617" max="4617" width="12.5703125" style="253" customWidth="1"/>
    <col min="4618" max="4618" width="3.28515625" style="253" customWidth="1"/>
    <col min="4619" max="4619" width="12.85546875" style="253" customWidth="1"/>
    <col min="4620" max="4620" width="1.42578125" style="253" customWidth="1"/>
    <col min="4621" max="4621" width="3.5703125" style="253" customWidth="1"/>
    <col min="4622" max="4622" width="1.7109375" style="253" customWidth="1"/>
    <col min="4623" max="4623" width="14" style="253" customWidth="1"/>
    <col min="4624" max="4624" width="2.140625" style="253" customWidth="1"/>
    <col min="4625" max="4863" width="9.140625" style="253"/>
    <col min="4864" max="4864" width="2.85546875" style="253" customWidth="1"/>
    <col min="4865" max="4865" width="6.42578125" style="253" customWidth="1"/>
    <col min="4866" max="4866" width="3.85546875" style="253" customWidth="1"/>
    <col min="4867" max="4867" width="16.5703125" style="253" customWidth="1"/>
    <col min="4868" max="4868" width="3" style="253" customWidth="1"/>
    <col min="4869" max="4869" width="11.140625" style="253" customWidth="1"/>
    <col min="4870" max="4870" width="1.42578125" style="253" customWidth="1"/>
    <col min="4871" max="4871" width="3.42578125" style="253" customWidth="1"/>
    <col min="4872" max="4872" width="1.42578125" style="253" customWidth="1"/>
    <col min="4873" max="4873" width="12.5703125" style="253" customWidth="1"/>
    <col min="4874" max="4874" width="3.28515625" style="253" customWidth="1"/>
    <col min="4875" max="4875" width="12.85546875" style="253" customWidth="1"/>
    <col min="4876" max="4876" width="1.42578125" style="253" customWidth="1"/>
    <col min="4877" max="4877" width="3.5703125" style="253" customWidth="1"/>
    <col min="4878" max="4878" width="1.7109375" style="253" customWidth="1"/>
    <col min="4879" max="4879" width="14" style="253" customWidth="1"/>
    <col min="4880" max="4880" width="2.140625" style="253" customWidth="1"/>
    <col min="4881" max="5119" width="9.140625" style="253"/>
    <col min="5120" max="5120" width="2.85546875" style="253" customWidth="1"/>
    <col min="5121" max="5121" width="6.42578125" style="253" customWidth="1"/>
    <col min="5122" max="5122" width="3.85546875" style="253" customWidth="1"/>
    <col min="5123" max="5123" width="16.5703125" style="253" customWidth="1"/>
    <col min="5124" max="5124" width="3" style="253" customWidth="1"/>
    <col min="5125" max="5125" width="11.140625" style="253" customWidth="1"/>
    <col min="5126" max="5126" width="1.42578125" style="253" customWidth="1"/>
    <col min="5127" max="5127" width="3.42578125" style="253" customWidth="1"/>
    <col min="5128" max="5128" width="1.42578125" style="253" customWidth="1"/>
    <col min="5129" max="5129" width="12.5703125" style="253" customWidth="1"/>
    <col min="5130" max="5130" width="3.28515625" style="253" customWidth="1"/>
    <col min="5131" max="5131" width="12.85546875" style="253" customWidth="1"/>
    <col min="5132" max="5132" width="1.42578125" style="253" customWidth="1"/>
    <col min="5133" max="5133" width="3.5703125" style="253" customWidth="1"/>
    <col min="5134" max="5134" width="1.7109375" style="253" customWidth="1"/>
    <col min="5135" max="5135" width="14" style="253" customWidth="1"/>
    <col min="5136" max="5136" width="2.140625" style="253" customWidth="1"/>
    <col min="5137" max="5375" width="9.140625" style="253"/>
    <col min="5376" max="5376" width="2.85546875" style="253" customWidth="1"/>
    <col min="5377" max="5377" width="6.42578125" style="253" customWidth="1"/>
    <col min="5378" max="5378" width="3.85546875" style="253" customWidth="1"/>
    <col min="5379" max="5379" width="16.5703125" style="253" customWidth="1"/>
    <col min="5380" max="5380" width="3" style="253" customWidth="1"/>
    <col min="5381" max="5381" width="11.140625" style="253" customWidth="1"/>
    <col min="5382" max="5382" width="1.42578125" style="253" customWidth="1"/>
    <col min="5383" max="5383" width="3.42578125" style="253" customWidth="1"/>
    <col min="5384" max="5384" width="1.42578125" style="253" customWidth="1"/>
    <col min="5385" max="5385" width="12.5703125" style="253" customWidth="1"/>
    <col min="5386" max="5386" width="3.28515625" style="253" customWidth="1"/>
    <col min="5387" max="5387" width="12.85546875" style="253" customWidth="1"/>
    <col min="5388" max="5388" width="1.42578125" style="253" customWidth="1"/>
    <col min="5389" max="5389" width="3.5703125" style="253" customWidth="1"/>
    <col min="5390" max="5390" width="1.7109375" style="253" customWidth="1"/>
    <col min="5391" max="5391" width="14" style="253" customWidth="1"/>
    <col min="5392" max="5392" width="2.140625" style="253" customWidth="1"/>
    <col min="5393" max="5631" width="9.140625" style="253"/>
    <col min="5632" max="5632" width="2.85546875" style="253" customWidth="1"/>
    <col min="5633" max="5633" width="6.42578125" style="253" customWidth="1"/>
    <col min="5634" max="5634" width="3.85546875" style="253" customWidth="1"/>
    <col min="5635" max="5635" width="16.5703125" style="253" customWidth="1"/>
    <col min="5636" max="5636" width="3" style="253" customWidth="1"/>
    <col min="5637" max="5637" width="11.140625" style="253" customWidth="1"/>
    <col min="5638" max="5638" width="1.42578125" style="253" customWidth="1"/>
    <col min="5639" max="5639" width="3.42578125" style="253" customWidth="1"/>
    <col min="5640" max="5640" width="1.42578125" style="253" customWidth="1"/>
    <col min="5641" max="5641" width="12.5703125" style="253" customWidth="1"/>
    <col min="5642" max="5642" width="3.28515625" style="253" customWidth="1"/>
    <col min="5643" max="5643" width="12.85546875" style="253" customWidth="1"/>
    <col min="5644" max="5644" width="1.42578125" style="253" customWidth="1"/>
    <col min="5645" max="5645" width="3.5703125" style="253" customWidth="1"/>
    <col min="5646" max="5646" width="1.7109375" style="253" customWidth="1"/>
    <col min="5647" max="5647" width="14" style="253" customWidth="1"/>
    <col min="5648" max="5648" width="2.140625" style="253" customWidth="1"/>
    <col min="5649" max="5887" width="9.140625" style="253"/>
    <col min="5888" max="5888" width="2.85546875" style="253" customWidth="1"/>
    <col min="5889" max="5889" width="6.42578125" style="253" customWidth="1"/>
    <col min="5890" max="5890" width="3.85546875" style="253" customWidth="1"/>
    <col min="5891" max="5891" width="16.5703125" style="253" customWidth="1"/>
    <col min="5892" max="5892" width="3" style="253" customWidth="1"/>
    <col min="5893" max="5893" width="11.140625" style="253" customWidth="1"/>
    <col min="5894" max="5894" width="1.42578125" style="253" customWidth="1"/>
    <col min="5895" max="5895" width="3.42578125" style="253" customWidth="1"/>
    <col min="5896" max="5896" width="1.42578125" style="253" customWidth="1"/>
    <col min="5897" max="5897" width="12.5703125" style="253" customWidth="1"/>
    <col min="5898" max="5898" width="3.28515625" style="253" customWidth="1"/>
    <col min="5899" max="5899" width="12.85546875" style="253" customWidth="1"/>
    <col min="5900" max="5900" width="1.42578125" style="253" customWidth="1"/>
    <col min="5901" max="5901" width="3.5703125" style="253" customWidth="1"/>
    <col min="5902" max="5902" width="1.7109375" style="253" customWidth="1"/>
    <col min="5903" max="5903" width="14" style="253" customWidth="1"/>
    <col min="5904" max="5904" width="2.140625" style="253" customWidth="1"/>
    <col min="5905" max="6143" width="9.140625" style="253"/>
    <col min="6144" max="6144" width="2.85546875" style="253" customWidth="1"/>
    <col min="6145" max="6145" width="6.42578125" style="253" customWidth="1"/>
    <col min="6146" max="6146" width="3.85546875" style="253" customWidth="1"/>
    <col min="6147" max="6147" width="16.5703125" style="253" customWidth="1"/>
    <col min="6148" max="6148" width="3" style="253" customWidth="1"/>
    <col min="6149" max="6149" width="11.140625" style="253" customWidth="1"/>
    <col min="6150" max="6150" width="1.42578125" style="253" customWidth="1"/>
    <col min="6151" max="6151" width="3.42578125" style="253" customWidth="1"/>
    <col min="6152" max="6152" width="1.42578125" style="253" customWidth="1"/>
    <col min="6153" max="6153" width="12.5703125" style="253" customWidth="1"/>
    <col min="6154" max="6154" width="3.28515625" style="253" customWidth="1"/>
    <col min="6155" max="6155" width="12.85546875" style="253" customWidth="1"/>
    <col min="6156" max="6156" width="1.42578125" style="253" customWidth="1"/>
    <col min="6157" max="6157" width="3.5703125" style="253" customWidth="1"/>
    <col min="6158" max="6158" width="1.7109375" style="253" customWidth="1"/>
    <col min="6159" max="6159" width="14" style="253" customWidth="1"/>
    <col min="6160" max="6160" width="2.140625" style="253" customWidth="1"/>
    <col min="6161" max="6399" width="9.140625" style="253"/>
    <col min="6400" max="6400" width="2.85546875" style="253" customWidth="1"/>
    <col min="6401" max="6401" width="6.42578125" style="253" customWidth="1"/>
    <col min="6402" max="6402" width="3.85546875" style="253" customWidth="1"/>
    <col min="6403" max="6403" width="16.5703125" style="253" customWidth="1"/>
    <col min="6404" max="6404" width="3" style="253" customWidth="1"/>
    <col min="6405" max="6405" width="11.140625" style="253" customWidth="1"/>
    <col min="6406" max="6406" width="1.42578125" style="253" customWidth="1"/>
    <col min="6407" max="6407" width="3.42578125" style="253" customWidth="1"/>
    <col min="6408" max="6408" width="1.42578125" style="253" customWidth="1"/>
    <col min="6409" max="6409" width="12.5703125" style="253" customWidth="1"/>
    <col min="6410" max="6410" width="3.28515625" style="253" customWidth="1"/>
    <col min="6411" max="6411" width="12.85546875" style="253" customWidth="1"/>
    <col min="6412" max="6412" width="1.42578125" style="253" customWidth="1"/>
    <col min="6413" max="6413" width="3.5703125" style="253" customWidth="1"/>
    <col min="6414" max="6414" width="1.7109375" style="253" customWidth="1"/>
    <col min="6415" max="6415" width="14" style="253" customWidth="1"/>
    <col min="6416" max="6416" width="2.140625" style="253" customWidth="1"/>
    <col min="6417" max="6655" width="9.140625" style="253"/>
    <col min="6656" max="6656" width="2.85546875" style="253" customWidth="1"/>
    <col min="6657" max="6657" width="6.42578125" style="253" customWidth="1"/>
    <col min="6658" max="6658" width="3.85546875" style="253" customWidth="1"/>
    <col min="6659" max="6659" width="16.5703125" style="253" customWidth="1"/>
    <col min="6660" max="6660" width="3" style="253" customWidth="1"/>
    <col min="6661" max="6661" width="11.140625" style="253" customWidth="1"/>
    <col min="6662" max="6662" width="1.42578125" style="253" customWidth="1"/>
    <col min="6663" max="6663" width="3.42578125" style="253" customWidth="1"/>
    <col min="6664" max="6664" width="1.42578125" style="253" customWidth="1"/>
    <col min="6665" max="6665" width="12.5703125" style="253" customWidth="1"/>
    <col min="6666" max="6666" width="3.28515625" style="253" customWidth="1"/>
    <col min="6667" max="6667" width="12.85546875" style="253" customWidth="1"/>
    <col min="6668" max="6668" width="1.42578125" style="253" customWidth="1"/>
    <col min="6669" max="6669" width="3.5703125" style="253" customWidth="1"/>
    <col min="6670" max="6670" width="1.7109375" style="253" customWidth="1"/>
    <col min="6671" max="6671" width="14" style="253" customWidth="1"/>
    <col min="6672" max="6672" width="2.140625" style="253" customWidth="1"/>
    <col min="6673" max="6911" width="9.140625" style="253"/>
    <col min="6912" max="6912" width="2.85546875" style="253" customWidth="1"/>
    <col min="6913" max="6913" width="6.42578125" style="253" customWidth="1"/>
    <col min="6914" max="6914" width="3.85546875" style="253" customWidth="1"/>
    <col min="6915" max="6915" width="16.5703125" style="253" customWidth="1"/>
    <col min="6916" max="6916" width="3" style="253" customWidth="1"/>
    <col min="6917" max="6917" width="11.140625" style="253" customWidth="1"/>
    <col min="6918" max="6918" width="1.42578125" style="253" customWidth="1"/>
    <col min="6919" max="6919" width="3.42578125" style="253" customWidth="1"/>
    <col min="6920" max="6920" width="1.42578125" style="253" customWidth="1"/>
    <col min="6921" max="6921" width="12.5703125" style="253" customWidth="1"/>
    <col min="6922" max="6922" width="3.28515625" style="253" customWidth="1"/>
    <col min="6923" max="6923" width="12.85546875" style="253" customWidth="1"/>
    <col min="6924" max="6924" width="1.42578125" style="253" customWidth="1"/>
    <col min="6925" max="6925" width="3.5703125" style="253" customWidth="1"/>
    <col min="6926" max="6926" width="1.7109375" style="253" customWidth="1"/>
    <col min="6927" max="6927" width="14" style="253" customWidth="1"/>
    <col min="6928" max="6928" width="2.140625" style="253" customWidth="1"/>
    <col min="6929" max="7167" width="9.140625" style="253"/>
    <col min="7168" max="7168" width="2.85546875" style="253" customWidth="1"/>
    <col min="7169" max="7169" width="6.42578125" style="253" customWidth="1"/>
    <col min="7170" max="7170" width="3.85546875" style="253" customWidth="1"/>
    <col min="7171" max="7171" width="16.5703125" style="253" customWidth="1"/>
    <col min="7172" max="7172" width="3" style="253" customWidth="1"/>
    <col min="7173" max="7173" width="11.140625" style="253" customWidth="1"/>
    <col min="7174" max="7174" width="1.42578125" style="253" customWidth="1"/>
    <col min="7175" max="7175" width="3.42578125" style="253" customWidth="1"/>
    <col min="7176" max="7176" width="1.42578125" style="253" customWidth="1"/>
    <col min="7177" max="7177" width="12.5703125" style="253" customWidth="1"/>
    <col min="7178" max="7178" width="3.28515625" style="253" customWidth="1"/>
    <col min="7179" max="7179" width="12.85546875" style="253" customWidth="1"/>
    <col min="7180" max="7180" width="1.42578125" style="253" customWidth="1"/>
    <col min="7181" max="7181" width="3.5703125" style="253" customWidth="1"/>
    <col min="7182" max="7182" width="1.7109375" style="253" customWidth="1"/>
    <col min="7183" max="7183" width="14" style="253" customWidth="1"/>
    <col min="7184" max="7184" width="2.140625" style="253" customWidth="1"/>
    <col min="7185" max="7423" width="9.140625" style="253"/>
    <col min="7424" max="7424" width="2.85546875" style="253" customWidth="1"/>
    <col min="7425" max="7425" width="6.42578125" style="253" customWidth="1"/>
    <col min="7426" max="7426" width="3.85546875" style="253" customWidth="1"/>
    <col min="7427" max="7427" width="16.5703125" style="253" customWidth="1"/>
    <col min="7428" max="7428" width="3" style="253" customWidth="1"/>
    <col min="7429" max="7429" width="11.140625" style="253" customWidth="1"/>
    <col min="7430" max="7430" width="1.42578125" style="253" customWidth="1"/>
    <col min="7431" max="7431" width="3.42578125" style="253" customWidth="1"/>
    <col min="7432" max="7432" width="1.42578125" style="253" customWidth="1"/>
    <col min="7433" max="7433" width="12.5703125" style="253" customWidth="1"/>
    <col min="7434" max="7434" width="3.28515625" style="253" customWidth="1"/>
    <col min="7435" max="7435" width="12.85546875" style="253" customWidth="1"/>
    <col min="7436" max="7436" width="1.42578125" style="253" customWidth="1"/>
    <col min="7437" max="7437" width="3.5703125" style="253" customWidth="1"/>
    <col min="7438" max="7438" width="1.7109375" style="253" customWidth="1"/>
    <col min="7439" max="7439" width="14" style="253" customWidth="1"/>
    <col min="7440" max="7440" width="2.140625" style="253" customWidth="1"/>
    <col min="7441" max="7679" width="9.140625" style="253"/>
    <col min="7680" max="7680" width="2.85546875" style="253" customWidth="1"/>
    <col min="7681" max="7681" width="6.42578125" style="253" customWidth="1"/>
    <col min="7682" max="7682" width="3.85546875" style="253" customWidth="1"/>
    <col min="7683" max="7683" width="16.5703125" style="253" customWidth="1"/>
    <col min="7684" max="7684" width="3" style="253" customWidth="1"/>
    <col min="7685" max="7685" width="11.140625" style="253" customWidth="1"/>
    <col min="7686" max="7686" width="1.42578125" style="253" customWidth="1"/>
    <col min="7687" max="7687" width="3.42578125" style="253" customWidth="1"/>
    <col min="7688" max="7688" width="1.42578125" style="253" customWidth="1"/>
    <col min="7689" max="7689" width="12.5703125" style="253" customWidth="1"/>
    <col min="7690" max="7690" width="3.28515625" style="253" customWidth="1"/>
    <col min="7691" max="7691" width="12.85546875" style="253" customWidth="1"/>
    <col min="7692" max="7692" width="1.42578125" style="253" customWidth="1"/>
    <col min="7693" max="7693" width="3.5703125" style="253" customWidth="1"/>
    <col min="7694" max="7694" width="1.7109375" style="253" customWidth="1"/>
    <col min="7695" max="7695" width="14" style="253" customWidth="1"/>
    <col min="7696" max="7696" width="2.140625" style="253" customWidth="1"/>
    <col min="7697" max="7935" width="9.140625" style="253"/>
    <col min="7936" max="7936" width="2.85546875" style="253" customWidth="1"/>
    <col min="7937" max="7937" width="6.42578125" style="253" customWidth="1"/>
    <col min="7938" max="7938" width="3.85546875" style="253" customWidth="1"/>
    <col min="7939" max="7939" width="16.5703125" style="253" customWidth="1"/>
    <col min="7940" max="7940" width="3" style="253" customWidth="1"/>
    <col min="7941" max="7941" width="11.140625" style="253" customWidth="1"/>
    <col min="7942" max="7942" width="1.42578125" style="253" customWidth="1"/>
    <col min="7943" max="7943" width="3.42578125" style="253" customWidth="1"/>
    <col min="7944" max="7944" width="1.42578125" style="253" customWidth="1"/>
    <col min="7945" max="7945" width="12.5703125" style="253" customWidth="1"/>
    <col min="7946" max="7946" width="3.28515625" style="253" customWidth="1"/>
    <col min="7947" max="7947" width="12.85546875" style="253" customWidth="1"/>
    <col min="7948" max="7948" width="1.42578125" style="253" customWidth="1"/>
    <col min="7949" max="7949" width="3.5703125" style="253" customWidth="1"/>
    <col min="7950" max="7950" width="1.7109375" style="253" customWidth="1"/>
    <col min="7951" max="7951" width="14" style="253" customWidth="1"/>
    <col min="7952" max="7952" width="2.140625" style="253" customWidth="1"/>
    <col min="7953" max="8191" width="9.140625" style="253"/>
    <col min="8192" max="8192" width="2.85546875" style="253" customWidth="1"/>
    <col min="8193" max="8193" width="6.42578125" style="253" customWidth="1"/>
    <col min="8194" max="8194" width="3.85546875" style="253" customWidth="1"/>
    <col min="8195" max="8195" width="16.5703125" style="253" customWidth="1"/>
    <col min="8196" max="8196" width="3" style="253" customWidth="1"/>
    <col min="8197" max="8197" width="11.140625" style="253" customWidth="1"/>
    <col min="8198" max="8198" width="1.42578125" style="253" customWidth="1"/>
    <col min="8199" max="8199" width="3.42578125" style="253" customWidth="1"/>
    <col min="8200" max="8200" width="1.42578125" style="253" customWidth="1"/>
    <col min="8201" max="8201" width="12.5703125" style="253" customWidth="1"/>
    <col min="8202" max="8202" width="3.28515625" style="253" customWidth="1"/>
    <col min="8203" max="8203" width="12.85546875" style="253" customWidth="1"/>
    <col min="8204" max="8204" width="1.42578125" style="253" customWidth="1"/>
    <col min="8205" max="8205" width="3.5703125" style="253" customWidth="1"/>
    <col min="8206" max="8206" width="1.7109375" style="253" customWidth="1"/>
    <col min="8207" max="8207" width="14" style="253" customWidth="1"/>
    <col min="8208" max="8208" width="2.140625" style="253" customWidth="1"/>
    <col min="8209" max="8447" width="9.140625" style="253"/>
    <col min="8448" max="8448" width="2.85546875" style="253" customWidth="1"/>
    <col min="8449" max="8449" width="6.42578125" style="253" customWidth="1"/>
    <col min="8450" max="8450" width="3.85546875" style="253" customWidth="1"/>
    <col min="8451" max="8451" width="16.5703125" style="253" customWidth="1"/>
    <col min="8452" max="8452" width="3" style="253" customWidth="1"/>
    <col min="8453" max="8453" width="11.140625" style="253" customWidth="1"/>
    <col min="8454" max="8454" width="1.42578125" style="253" customWidth="1"/>
    <col min="8455" max="8455" width="3.42578125" style="253" customWidth="1"/>
    <col min="8456" max="8456" width="1.42578125" style="253" customWidth="1"/>
    <col min="8457" max="8457" width="12.5703125" style="253" customWidth="1"/>
    <col min="8458" max="8458" width="3.28515625" style="253" customWidth="1"/>
    <col min="8459" max="8459" width="12.85546875" style="253" customWidth="1"/>
    <col min="8460" max="8460" width="1.42578125" style="253" customWidth="1"/>
    <col min="8461" max="8461" width="3.5703125" style="253" customWidth="1"/>
    <col min="8462" max="8462" width="1.7109375" style="253" customWidth="1"/>
    <col min="8463" max="8463" width="14" style="253" customWidth="1"/>
    <col min="8464" max="8464" width="2.140625" style="253" customWidth="1"/>
    <col min="8465" max="8703" width="9.140625" style="253"/>
    <col min="8704" max="8704" width="2.85546875" style="253" customWidth="1"/>
    <col min="8705" max="8705" width="6.42578125" style="253" customWidth="1"/>
    <col min="8706" max="8706" width="3.85546875" style="253" customWidth="1"/>
    <col min="8707" max="8707" width="16.5703125" style="253" customWidth="1"/>
    <col min="8708" max="8708" width="3" style="253" customWidth="1"/>
    <col min="8709" max="8709" width="11.140625" style="253" customWidth="1"/>
    <col min="8710" max="8710" width="1.42578125" style="253" customWidth="1"/>
    <col min="8711" max="8711" width="3.42578125" style="253" customWidth="1"/>
    <col min="8712" max="8712" width="1.42578125" style="253" customWidth="1"/>
    <col min="8713" max="8713" width="12.5703125" style="253" customWidth="1"/>
    <col min="8714" max="8714" width="3.28515625" style="253" customWidth="1"/>
    <col min="8715" max="8715" width="12.85546875" style="253" customWidth="1"/>
    <col min="8716" max="8716" width="1.42578125" style="253" customWidth="1"/>
    <col min="8717" max="8717" width="3.5703125" style="253" customWidth="1"/>
    <col min="8718" max="8718" width="1.7109375" style="253" customWidth="1"/>
    <col min="8719" max="8719" width="14" style="253" customWidth="1"/>
    <col min="8720" max="8720" width="2.140625" style="253" customWidth="1"/>
    <col min="8721" max="8959" width="9.140625" style="253"/>
    <col min="8960" max="8960" width="2.85546875" style="253" customWidth="1"/>
    <col min="8961" max="8961" width="6.42578125" style="253" customWidth="1"/>
    <col min="8962" max="8962" width="3.85546875" style="253" customWidth="1"/>
    <col min="8963" max="8963" width="16.5703125" style="253" customWidth="1"/>
    <col min="8964" max="8964" width="3" style="253" customWidth="1"/>
    <col min="8965" max="8965" width="11.140625" style="253" customWidth="1"/>
    <col min="8966" max="8966" width="1.42578125" style="253" customWidth="1"/>
    <col min="8967" max="8967" width="3.42578125" style="253" customWidth="1"/>
    <col min="8968" max="8968" width="1.42578125" style="253" customWidth="1"/>
    <col min="8969" max="8969" width="12.5703125" style="253" customWidth="1"/>
    <col min="8970" max="8970" width="3.28515625" style="253" customWidth="1"/>
    <col min="8971" max="8971" width="12.85546875" style="253" customWidth="1"/>
    <col min="8972" max="8972" width="1.42578125" style="253" customWidth="1"/>
    <col min="8973" max="8973" width="3.5703125" style="253" customWidth="1"/>
    <col min="8974" max="8974" width="1.7109375" style="253" customWidth="1"/>
    <col min="8975" max="8975" width="14" style="253" customWidth="1"/>
    <col min="8976" max="8976" width="2.140625" style="253" customWidth="1"/>
    <col min="8977" max="9215" width="9.140625" style="253"/>
    <col min="9216" max="9216" width="2.85546875" style="253" customWidth="1"/>
    <col min="9217" max="9217" width="6.42578125" style="253" customWidth="1"/>
    <col min="9218" max="9218" width="3.85546875" style="253" customWidth="1"/>
    <col min="9219" max="9219" width="16.5703125" style="253" customWidth="1"/>
    <col min="9220" max="9220" width="3" style="253" customWidth="1"/>
    <col min="9221" max="9221" width="11.140625" style="253" customWidth="1"/>
    <col min="9222" max="9222" width="1.42578125" style="253" customWidth="1"/>
    <col min="9223" max="9223" width="3.42578125" style="253" customWidth="1"/>
    <col min="9224" max="9224" width="1.42578125" style="253" customWidth="1"/>
    <col min="9225" max="9225" width="12.5703125" style="253" customWidth="1"/>
    <col min="9226" max="9226" width="3.28515625" style="253" customWidth="1"/>
    <col min="9227" max="9227" width="12.85546875" style="253" customWidth="1"/>
    <col min="9228" max="9228" width="1.42578125" style="253" customWidth="1"/>
    <col min="9229" max="9229" width="3.5703125" style="253" customWidth="1"/>
    <col min="9230" max="9230" width="1.7109375" style="253" customWidth="1"/>
    <col min="9231" max="9231" width="14" style="253" customWidth="1"/>
    <col min="9232" max="9232" width="2.140625" style="253" customWidth="1"/>
    <col min="9233" max="9471" width="9.140625" style="253"/>
    <col min="9472" max="9472" width="2.85546875" style="253" customWidth="1"/>
    <col min="9473" max="9473" width="6.42578125" style="253" customWidth="1"/>
    <col min="9474" max="9474" width="3.85546875" style="253" customWidth="1"/>
    <col min="9475" max="9475" width="16.5703125" style="253" customWidth="1"/>
    <col min="9476" max="9476" width="3" style="253" customWidth="1"/>
    <col min="9477" max="9477" width="11.140625" style="253" customWidth="1"/>
    <col min="9478" max="9478" width="1.42578125" style="253" customWidth="1"/>
    <col min="9479" max="9479" width="3.42578125" style="253" customWidth="1"/>
    <col min="9480" max="9480" width="1.42578125" style="253" customWidth="1"/>
    <col min="9481" max="9481" width="12.5703125" style="253" customWidth="1"/>
    <col min="9482" max="9482" width="3.28515625" style="253" customWidth="1"/>
    <col min="9483" max="9483" width="12.85546875" style="253" customWidth="1"/>
    <col min="9484" max="9484" width="1.42578125" style="253" customWidth="1"/>
    <col min="9485" max="9485" width="3.5703125" style="253" customWidth="1"/>
    <col min="9486" max="9486" width="1.7109375" style="253" customWidth="1"/>
    <col min="9487" max="9487" width="14" style="253" customWidth="1"/>
    <col min="9488" max="9488" width="2.140625" style="253" customWidth="1"/>
    <col min="9489" max="9727" width="9.140625" style="253"/>
    <col min="9728" max="9728" width="2.85546875" style="253" customWidth="1"/>
    <col min="9729" max="9729" width="6.42578125" style="253" customWidth="1"/>
    <col min="9730" max="9730" width="3.85546875" style="253" customWidth="1"/>
    <col min="9731" max="9731" width="16.5703125" style="253" customWidth="1"/>
    <col min="9732" max="9732" width="3" style="253" customWidth="1"/>
    <col min="9733" max="9733" width="11.140625" style="253" customWidth="1"/>
    <col min="9734" max="9734" width="1.42578125" style="253" customWidth="1"/>
    <col min="9735" max="9735" width="3.42578125" style="253" customWidth="1"/>
    <col min="9736" max="9736" width="1.42578125" style="253" customWidth="1"/>
    <col min="9737" max="9737" width="12.5703125" style="253" customWidth="1"/>
    <col min="9738" max="9738" width="3.28515625" style="253" customWidth="1"/>
    <col min="9739" max="9739" width="12.85546875" style="253" customWidth="1"/>
    <col min="9740" max="9740" width="1.42578125" style="253" customWidth="1"/>
    <col min="9741" max="9741" width="3.5703125" style="253" customWidth="1"/>
    <col min="9742" max="9742" width="1.7109375" style="253" customWidth="1"/>
    <col min="9743" max="9743" width="14" style="253" customWidth="1"/>
    <col min="9744" max="9744" width="2.140625" style="253" customWidth="1"/>
    <col min="9745" max="9983" width="9.140625" style="253"/>
    <col min="9984" max="9984" width="2.85546875" style="253" customWidth="1"/>
    <col min="9985" max="9985" width="6.42578125" style="253" customWidth="1"/>
    <col min="9986" max="9986" width="3.85546875" style="253" customWidth="1"/>
    <col min="9987" max="9987" width="16.5703125" style="253" customWidth="1"/>
    <col min="9988" max="9988" width="3" style="253" customWidth="1"/>
    <col min="9989" max="9989" width="11.140625" style="253" customWidth="1"/>
    <col min="9990" max="9990" width="1.42578125" style="253" customWidth="1"/>
    <col min="9991" max="9991" width="3.42578125" style="253" customWidth="1"/>
    <col min="9992" max="9992" width="1.42578125" style="253" customWidth="1"/>
    <col min="9993" max="9993" width="12.5703125" style="253" customWidth="1"/>
    <col min="9994" max="9994" width="3.28515625" style="253" customWidth="1"/>
    <col min="9995" max="9995" width="12.85546875" style="253" customWidth="1"/>
    <col min="9996" max="9996" width="1.42578125" style="253" customWidth="1"/>
    <col min="9997" max="9997" width="3.5703125" style="253" customWidth="1"/>
    <col min="9998" max="9998" width="1.7109375" style="253" customWidth="1"/>
    <col min="9999" max="9999" width="14" style="253" customWidth="1"/>
    <col min="10000" max="10000" width="2.140625" style="253" customWidth="1"/>
    <col min="10001" max="10239" width="9.140625" style="253"/>
    <col min="10240" max="10240" width="2.85546875" style="253" customWidth="1"/>
    <col min="10241" max="10241" width="6.42578125" style="253" customWidth="1"/>
    <col min="10242" max="10242" width="3.85546875" style="253" customWidth="1"/>
    <col min="10243" max="10243" width="16.5703125" style="253" customWidth="1"/>
    <col min="10244" max="10244" width="3" style="253" customWidth="1"/>
    <col min="10245" max="10245" width="11.140625" style="253" customWidth="1"/>
    <col min="10246" max="10246" width="1.42578125" style="253" customWidth="1"/>
    <col min="10247" max="10247" width="3.42578125" style="253" customWidth="1"/>
    <col min="10248" max="10248" width="1.42578125" style="253" customWidth="1"/>
    <col min="10249" max="10249" width="12.5703125" style="253" customWidth="1"/>
    <col min="10250" max="10250" width="3.28515625" style="253" customWidth="1"/>
    <col min="10251" max="10251" width="12.85546875" style="253" customWidth="1"/>
    <col min="10252" max="10252" width="1.42578125" style="253" customWidth="1"/>
    <col min="10253" max="10253" width="3.5703125" style="253" customWidth="1"/>
    <col min="10254" max="10254" width="1.7109375" style="253" customWidth="1"/>
    <col min="10255" max="10255" width="14" style="253" customWidth="1"/>
    <col min="10256" max="10256" width="2.140625" style="253" customWidth="1"/>
    <col min="10257" max="10495" width="9.140625" style="253"/>
    <col min="10496" max="10496" width="2.85546875" style="253" customWidth="1"/>
    <col min="10497" max="10497" width="6.42578125" style="253" customWidth="1"/>
    <col min="10498" max="10498" width="3.85546875" style="253" customWidth="1"/>
    <col min="10499" max="10499" width="16.5703125" style="253" customWidth="1"/>
    <col min="10500" max="10500" width="3" style="253" customWidth="1"/>
    <col min="10501" max="10501" width="11.140625" style="253" customWidth="1"/>
    <col min="10502" max="10502" width="1.42578125" style="253" customWidth="1"/>
    <col min="10503" max="10503" width="3.42578125" style="253" customWidth="1"/>
    <col min="10504" max="10504" width="1.42578125" style="253" customWidth="1"/>
    <col min="10505" max="10505" width="12.5703125" style="253" customWidth="1"/>
    <col min="10506" max="10506" width="3.28515625" style="253" customWidth="1"/>
    <col min="10507" max="10507" width="12.85546875" style="253" customWidth="1"/>
    <col min="10508" max="10508" width="1.42578125" style="253" customWidth="1"/>
    <col min="10509" max="10509" width="3.5703125" style="253" customWidth="1"/>
    <col min="10510" max="10510" width="1.7109375" style="253" customWidth="1"/>
    <col min="10511" max="10511" width="14" style="253" customWidth="1"/>
    <col min="10512" max="10512" width="2.140625" style="253" customWidth="1"/>
    <col min="10513" max="10751" width="9.140625" style="253"/>
    <col min="10752" max="10752" width="2.85546875" style="253" customWidth="1"/>
    <col min="10753" max="10753" width="6.42578125" style="253" customWidth="1"/>
    <col min="10754" max="10754" width="3.85546875" style="253" customWidth="1"/>
    <col min="10755" max="10755" width="16.5703125" style="253" customWidth="1"/>
    <col min="10756" max="10756" width="3" style="253" customWidth="1"/>
    <col min="10757" max="10757" width="11.140625" style="253" customWidth="1"/>
    <col min="10758" max="10758" width="1.42578125" style="253" customWidth="1"/>
    <col min="10759" max="10759" width="3.42578125" style="253" customWidth="1"/>
    <col min="10760" max="10760" width="1.42578125" style="253" customWidth="1"/>
    <col min="10761" max="10761" width="12.5703125" style="253" customWidth="1"/>
    <col min="10762" max="10762" width="3.28515625" style="253" customWidth="1"/>
    <col min="10763" max="10763" width="12.85546875" style="253" customWidth="1"/>
    <col min="10764" max="10764" width="1.42578125" style="253" customWidth="1"/>
    <col min="10765" max="10765" width="3.5703125" style="253" customWidth="1"/>
    <col min="10766" max="10766" width="1.7109375" style="253" customWidth="1"/>
    <col min="10767" max="10767" width="14" style="253" customWidth="1"/>
    <col min="10768" max="10768" width="2.140625" style="253" customWidth="1"/>
    <col min="10769" max="11007" width="9.140625" style="253"/>
    <col min="11008" max="11008" width="2.85546875" style="253" customWidth="1"/>
    <col min="11009" max="11009" width="6.42578125" style="253" customWidth="1"/>
    <col min="11010" max="11010" width="3.85546875" style="253" customWidth="1"/>
    <col min="11011" max="11011" width="16.5703125" style="253" customWidth="1"/>
    <col min="11012" max="11012" width="3" style="253" customWidth="1"/>
    <col min="11013" max="11013" width="11.140625" style="253" customWidth="1"/>
    <col min="11014" max="11014" width="1.42578125" style="253" customWidth="1"/>
    <col min="11015" max="11015" width="3.42578125" style="253" customWidth="1"/>
    <col min="11016" max="11016" width="1.42578125" style="253" customWidth="1"/>
    <col min="11017" max="11017" width="12.5703125" style="253" customWidth="1"/>
    <col min="11018" max="11018" width="3.28515625" style="253" customWidth="1"/>
    <col min="11019" max="11019" width="12.85546875" style="253" customWidth="1"/>
    <col min="11020" max="11020" width="1.42578125" style="253" customWidth="1"/>
    <col min="11021" max="11021" width="3.5703125" style="253" customWidth="1"/>
    <col min="11022" max="11022" width="1.7109375" style="253" customWidth="1"/>
    <col min="11023" max="11023" width="14" style="253" customWidth="1"/>
    <col min="11024" max="11024" width="2.140625" style="253" customWidth="1"/>
    <col min="11025" max="11263" width="9.140625" style="253"/>
    <col min="11264" max="11264" width="2.85546875" style="253" customWidth="1"/>
    <col min="11265" max="11265" width="6.42578125" style="253" customWidth="1"/>
    <col min="11266" max="11266" width="3.85546875" style="253" customWidth="1"/>
    <col min="11267" max="11267" width="16.5703125" style="253" customWidth="1"/>
    <col min="11268" max="11268" width="3" style="253" customWidth="1"/>
    <col min="11269" max="11269" width="11.140625" style="253" customWidth="1"/>
    <col min="11270" max="11270" width="1.42578125" style="253" customWidth="1"/>
    <col min="11271" max="11271" width="3.42578125" style="253" customWidth="1"/>
    <col min="11272" max="11272" width="1.42578125" style="253" customWidth="1"/>
    <col min="11273" max="11273" width="12.5703125" style="253" customWidth="1"/>
    <col min="11274" max="11274" width="3.28515625" style="253" customWidth="1"/>
    <col min="11275" max="11275" width="12.85546875" style="253" customWidth="1"/>
    <col min="11276" max="11276" width="1.42578125" style="253" customWidth="1"/>
    <col min="11277" max="11277" width="3.5703125" style="253" customWidth="1"/>
    <col min="11278" max="11278" width="1.7109375" style="253" customWidth="1"/>
    <col min="11279" max="11279" width="14" style="253" customWidth="1"/>
    <col min="11280" max="11280" width="2.140625" style="253" customWidth="1"/>
    <col min="11281" max="11519" width="9.140625" style="253"/>
    <col min="11520" max="11520" width="2.85546875" style="253" customWidth="1"/>
    <col min="11521" max="11521" width="6.42578125" style="253" customWidth="1"/>
    <col min="11522" max="11522" width="3.85546875" style="253" customWidth="1"/>
    <col min="11523" max="11523" width="16.5703125" style="253" customWidth="1"/>
    <col min="11524" max="11524" width="3" style="253" customWidth="1"/>
    <col min="11525" max="11525" width="11.140625" style="253" customWidth="1"/>
    <col min="11526" max="11526" width="1.42578125" style="253" customWidth="1"/>
    <col min="11527" max="11527" width="3.42578125" style="253" customWidth="1"/>
    <col min="11528" max="11528" width="1.42578125" style="253" customWidth="1"/>
    <col min="11529" max="11529" width="12.5703125" style="253" customWidth="1"/>
    <col min="11530" max="11530" width="3.28515625" style="253" customWidth="1"/>
    <col min="11531" max="11531" width="12.85546875" style="253" customWidth="1"/>
    <col min="11532" max="11532" width="1.42578125" style="253" customWidth="1"/>
    <col min="11533" max="11533" width="3.5703125" style="253" customWidth="1"/>
    <col min="11534" max="11534" width="1.7109375" style="253" customWidth="1"/>
    <col min="11535" max="11535" width="14" style="253" customWidth="1"/>
    <col min="11536" max="11536" width="2.140625" style="253" customWidth="1"/>
    <col min="11537" max="11775" width="9.140625" style="253"/>
    <col min="11776" max="11776" width="2.85546875" style="253" customWidth="1"/>
    <col min="11777" max="11777" width="6.42578125" style="253" customWidth="1"/>
    <col min="11778" max="11778" width="3.85546875" style="253" customWidth="1"/>
    <col min="11779" max="11779" width="16.5703125" style="253" customWidth="1"/>
    <col min="11780" max="11780" width="3" style="253" customWidth="1"/>
    <col min="11781" max="11781" width="11.140625" style="253" customWidth="1"/>
    <col min="11782" max="11782" width="1.42578125" style="253" customWidth="1"/>
    <col min="11783" max="11783" width="3.42578125" style="253" customWidth="1"/>
    <col min="11784" max="11784" width="1.42578125" style="253" customWidth="1"/>
    <col min="11785" max="11785" width="12.5703125" style="253" customWidth="1"/>
    <col min="11786" max="11786" width="3.28515625" style="253" customWidth="1"/>
    <col min="11787" max="11787" width="12.85546875" style="253" customWidth="1"/>
    <col min="11788" max="11788" width="1.42578125" style="253" customWidth="1"/>
    <col min="11789" max="11789" width="3.5703125" style="253" customWidth="1"/>
    <col min="11790" max="11790" width="1.7109375" style="253" customWidth="1"/>
    <col min="11791" max="11791" width="14" style="253" customWidth="1"/>
    <col min="11792" max="11792" width="2.140625" style="253" customWidth="1"/>
    <col min="11793" max="12031" width="9.140625" style="253"/>
    <col min="12032" max="12032" width="2.85546875" style="253" customWidth="1"/>
    <col min="12033" max="12033" width="6.42578125" style="253" customWidth="1"/>
    <col min="12034" max="12034" width="3.85546875" style="253" customWidth="1"/>
    <col min="12035" max="12035" width="16.5703125" style="253" customWidth="1"/>
    <col min="12036" max="12036" width="3" style="253" customWidth="1"/>
    <col min="12037" max="12037" width="11.140625" style="253" customWidth="1"/>
    <col min="12038" max="12038" width="1.42578125" style="253" customWidth="1"/>
    <col min="12039" max="12039" width="3.42578125" style="253" customWidth="1"/>
    <col min="12040" max="12040" width="1.42578125" style="253" customWidth="1"/>
    <col min="12041" max="12041" width="12.5703125" style="253" customWidth="1"/>
    <col min="12042" max="12042" width="3.28515625" style="253" customWidth="1"/>
    <col min="12043" max="12043" width="12.85546875" style="253" customWidth="1"/>
    <col min="12044" max="12044" width="1.42578125" style="253" customWidth="1"/>
    <col min="12045" max="12045" width="3.5703125" style="253" customWidth="1"/>
    <col min="12046" max="12046" width="1.7109375" style="253" customWidth="1"/>
    <col min="12047" max="12047" width="14" style="253" customWidth="1"/>
    <col min="12048" max="12048" width="2.140625" style="253" customWidth="1"/>
    <col min="12049" max="12287" width="9.140625" style="253"/>
    <col min="12288" max="12288" width="2.85546875" style="253" customWidth="1"/>
    <col min="12289" max="12289" width="6.42578125" style="253" customWidth="1"/>
    <col min="12290" max="12290" width="3.85546875" style="253" customWidth="1"/>
    <col min="12291" max="12291" width="16.5703125" style="253" customWidth="1"/>
    <col min="12292" max="12292" width="3" style="253" customWidth="1"/>
    <col min="12293" max="12293" width="11.140625" style="253" customWidth="1"/>
    <col min="12294" max="12294" width="1.42578125" style="253" customWidth="1"/>
    <col min="12295" max="12295" width="3.42578125" style="253" customWidth="1"/>
    <col min="12296" max="12296" width="1.42578125" style="253" customWidth="1"/>
    <col min="12297" max="12297" width="12.5703125" style="253" customWidth="1"/>
    <col min="12298" max="12298" width="3.28515625" style="253" customWidth="1"/>
    <col min="12299" max="12299" width="12.85546875" style="253" customWidth="1"/>
    <col min="12300" max="12300" width="1.42578125" style="253" customWidth="1"/>
    <col min="12301" max="12301" width="3.5703125" style="253" customWidth="1"/>
    <col min="12302" max="12302" width="1.7109375" style="253" customWidth="1"/>
    <col min="12303" max="12303" width="14" style="253" customWidth="1"/>
    <col min="12304" max="12304" width="2.140625" style="253" customWidth="1"/>
    <col min="12305" max="12543" width="9.140625" style="253"/>
    <col min="12544" max="12544" width="2.85546875" style="253" customWidth="1"/>
    <col min="12545" max="12545" width="6.42578125" style="253" customWidth="1"/>
    <col min="12546" max="12546" width="3.85546875" style="253" customWidth="1"/>
    <col min="12547" max="12547" width="16.5703125" style="253" customWidth="1"/>
    <col min="12548" max="12548" width="3" style="253" customWidth="1"/>
    <col min="12549" max="12549" width="11.140625" style="253" customWidth="1"/>
    <col min="12550" max="12550" width="1.42578125" style="253" customWidth="1"/>
    <col min="12551" max="12551" width="3.42578125" style="253" customWidth="1"/>
    <col min="12552" max="12552" width="1.42578125" style="253" customWidth="1"/>
    <col min="12553" max="12553" width="12.5703125" style="253" customWidth="1"/>
    <col min="12554" max="12554" width="3.28515625" style="253" customWidth="1"/>
    <col min="12555" max="12555" width="12.85546875" style="253" customWidth="1"/>
    <col min="12556" max="12556" width="1.42578125" style="253" customWidth="1"/>
    <col min="12557" max="12557" width="3.5703125" style="253" customWidth="1"/>
    <col min="12558" max="12558" width="1.7109375" style="253" customWidth="1"/>
    <col min="12559" max="12559" width="14" style="253" customWidth="1"/>
    <col min="12560" max="12560" width="2.140625" style="253" customWidth="1"/>
    <col min="12561" max="12799" width="9.140625" style="253"/>
    <col min="12800" max="12800" width="2.85546875" style="253" customWidth="1"/>
    <col min="12801" max="12801" width="6.42578125" style="253" customWidth="1"/>
    <col min="12802" max="12802" width="3.85546875" style="253" customWidth="1"/>
    <col min="12803" max="12803" width="16.5703125" style="253" customWidth="1"/>
    <col min="12804" max="12804" width="3" style="253" customWidth="1"/>
    <col min="12805" max="12805" width="11.140625" style="253" customWidth="1"/>
    <col min="12806" max="12806" width="1.42578125" style="253" customWidth="1"/>
    <col min="12807" max="12807" width="3.42578125" style="253" customWidth="1"/>
    <col min="12808" max="12808" width="1.42578125" style="253" customWidth="1"/>
    <col min="12809" max="12809" width="12.5703125" style="253" customWidth="1"/>
    <col min="12810" max="12810" width="3.28515625" style="253" customWidth="1"/>
    <col min="12811" max="12811" width="12.85546875" style="253" customWidth="1"/>
    <col min="12812" max="12812" width="1.42578125" style="253" customWidth="1"/>
    <col min="12813" max="12813" width="3.5703125" style="253" customWidth="1"/>
    <col min="12814" max="12814" width="1.7109375" style="253" customWidth="1"/>
    <col min="12815" max="12815" width="14" style="253" customWidth="1"/>
    <col min="12816" max="12816" width="2.140625" style="253" customWidth="1"/>
    <col min="12817" max="13055" width="9.140625" style="253"/>
    <col min="13056" max="13056" width="2.85546875" style="253" customWidth="1"/>
    <col min="13057" max="13057" width="6.42578125" style="253" customWidth="1"/>
    <col min="13058" max="13058" width="3.85546875" style="253" customWidth="1"/>
    <col min="13059" max="13059" width="16.5703125" style="253" customWidth="1"/>
    <col min="13060" max="13060" width="3" style="253" customWidth="1"/>
    <col min="13061" max="13061" width="11.140625" style="253" customWidth="1"/>
    <col min="13062" max="13062" width="1.42578125" style="253" customWidth="1"/>
    <col min="13063" max="13063" width="3.42578125" style="253" customWidth="1"/>
    <col min="13064" max="13064" width="1.42578125" style="253" customWidth="1"/>
    <col min="13065" max="13065" width="12.5703125" style="253" customWidth="1"/>
    <col min="13066" max="13066" width="3.28515625" style="253" customWidth="1"/>
    <col min="13067" max="13067" width="12.85546875" style="253" customWidth="1"/>
    <col min="13068" max="13068" width="1.42578125" style="253" customWidth="1"/>
    <col min="13069" max="13069" width="3.5703125" style="253" customWidth="1"/>
    <col min="13070" max="13070" width="1.7109375" style="253" customWidth="1"/>
    <col min="13071" max="13071" width="14" style="253" customWidth="1"/>
    <col min="13072" max="13072" width="2.140625" style="253" customWidth="1"/>
    <col min="13073" max="13311" width="9.140625" style="253"/>
    <col min="13312" max="13312" width="2.85546875" style="253" customWidth="1"/>
    <col min="13313" max="13313" width="6.42578125" style="253" customWidth="1"/>
    <col min="13314" max="13314" width="3.85546875" style="253" customWidth="1"/>
    <col min="13315" max="13315" width="16.5703125" style="253" customWidth="1"/>
    <col min="13316" max="13316" width="3" style="253" customWidth="1"/>
    <col min="13317" max="13317" width="11.140625" style="253" customWidth="1"/>
    <col min="13318" max="13318" width="1.42578125" style="253" customWidth="1"/>
    <col min="13319" max="13319" width="3.42578125" style="253" customWidth="1"/>
    <col min="13320" max="13320" width="1.42578125" style="253" customWidth="1"/>
    <col min="13321" max="13321" width="12.5703125" style="253" customWidth="1"/>
    <col min="13322" max="13322" width="3.28515625" style="253" customWidth="1"/>
    <col min="13323" max="13323" width="12.85546875" style="253" customWidth="1"/>
    <col min="13324" max="13324" width="1.42578125" style="253" customWidth="1"/>
    <col min="13325" max="13325" width="3.5703125" style="253" customWidth="1"/>
    <col min="13326" max="13326" width="1.7109375" style="253" customWidth="1"/>
    <col min="13327" max="13327" width="14" style="253" customWidth="1"/>
    <col min="13328" max="13328" width="2.140625" style="253" customWidth="1"/>
    <col min="13329" max="13567" width="9.140625" style="253"/>
    <col min="13568" max="13568" width="2.85546875" style="253" customWidth="1"/>
    <col min="13569" max="13569" width="6.42578125" style="253" customWidth="1"/>
    <col min="13570" max="13570" width="3.85546875" style="253" customWidth="1"/>
    <col min="13571" max="13571" width="16.5703125" style="253" customWidth="1"/>
    <col min="13572" max="13572" width="3" style="253" customWidth="1"/>
    <col min="13573" max="13573" width="11.140625" style="253" customWidth="1"/>
    <col min="13574" max="13574" width="1.42578125" style="253" customWidth="1"/>
    <col min="13575" max="13575" width="3.42578125" style="253" customWidth="1"/>
    <col min="13576" max="13576" width="1.42578125" style="253" customWidth="1"/>
    <col min="13577" max="13577" width="12.5703125" style="253" customWidth="1"/>
    <col min="13578" max="13578" width="3.28515625" style="253" customWidth="1"/>
    <col min="13579" max="13579" width="12.85546875" style="253" customWidth="1"/>
    <col min="13580" max="13580" width="1.42578125" style="253" customWidth="1"/>
    <col min="13581" max="13581" width="3.5703125" style="253" customWidth="1"/>
    <col min="13582" max="13582" width="1.7109375" style="253" customWidth="1"/>
    <col min="13583" max="13583" width="14" style="253" customWidth="1"/>
    <col min="13584" max="13584" width="2.140625" style="253" customWidth="1"/>
    <col min="13585" max="13823" width="9.140625" style="253"/>
    <col min="13824" max="13824" width="2.85546875" style="253" customWidth="1"/>
    <col min="13825" max="13825" width="6.42578125" style="253" customWidth="1"/>
    <col min="13826" max="13826" width="3.85546875" style="253" customWidth="1"/>
    <col min="13827" max="13827" width="16.5703125" style="253" customWidth="1"/>
    <col min="13828" max="13828" width="3" style="253" customWidth="1"/>
    <col min="13829" max="13829" width="11.140625" style="253" customWidth="1"/>
    <col min="13830" max="13830" width="1.42578125" style="253" customWidth="1"/>
    <col min="13831" max="13831" width="3.42578125" style="253" customWidth="1"/>
    <col min="13832" max="13832" width="1.42578125" style="253" customWidth="1"/>
    <col min="13833" max="13833" width="12.5703125" style="253" customWidth="1"/>
    <col min="13834" max="13834" width="3.28515625" style="253" customWidth="1"/>
    <col min="13835" max="13835" width="12.85546875" style="253" customWidth="1"/>
    <col min="13836" max="13836" width="1.42578125" style="253" customWidth="1"/>
    <col min="13837" max="13837" width="3.5703125" style="253" customWidth="1"/>
    <col min="13838" max="13838" width="1.7109375" style="253" customWidth="1"/>
    <col min="13839" max="13839" width="14" style="253" customWidth="1"/>
    <col min="13840" max="13840" width="2.140625" style="253" customWidth="1"/>
    <col min="13841" max="14079" width="9.140625" style="253"/>
    <col min="14080" max="14080" width="2.85546875" style="253" customWidth="1"/>
    <col min="14081" max="14081" width="6.42578125" style="253" customWidth="1"/>
    <col min="14082" max="14082" width="3.85546875" style="253" customWidth="1"/>
    <col min="14083" max="14083" width="16.5703125" style="253" customWidth="1"/>
    <col min="14084" max="14084" width="3" style="253" customWidth="1"/>
    <col min="14085" max="14085" width="11.140625" style="253" customWidth="1"/>
    <col min="14086" max="14086" width="1.42578125" style="253" customWidth="1"/>
    <col min="14087" max="14087" width="3.42578125" style="253" customWidth="1"/>
    <col min="14088" max="14088" width="1.42578125" style="253" customWidth="1"/>
    <col min="14089" max="14089" width="12.5703125" style="253" customWidth="1"/>
    <col min="14090" max="14090" width="3.28515625" style="253" customWidth="1"/>
    <col min="14091" max="14091" width="12.85546875" style="253" customWidth="1"/>
    <col min="14092" max="14092" width="1.42578125" style="253" customWidth="1"/>
    <col min="14093" max="14093" width="3.5703125" style="253" customWidth="1"/>
    <col min="14094" max="14094" width="1.7109375" style="253" customWidth="1"/>
    <col min="14095" max="14095" width="14" style="253" customWidth="1"/>
    <col min="14096" max="14096" width="2.140625" style="253" customWidth="1"/>
    <col min="14097" max="14335" width="9.140625" style="253"/>
    <col min="14336" max="14336" width="2.85546875" style="253" customWidth="1"/>
    <col min="14337" max="14337" width="6.42578125" style="253" customWidth="1"/>
    <col min="14338" max="14338" width="3.85546875" style="253" customWidth="1"/>
    <col min="14339" max="14339" width="16.5703125" style="253" customWidth="1"/>
    <col min="14340" max="14340" width="3" style="253" customWidth="1"/>
    <col min="14341" max="14341" width="11.140625" style="253" customWidth="1"/>
    <col min="14342" max="14342" width="1.42578125" style="253" customWidth="1"/>
    <col min="14343" max="14343" width="3.42578125" style="253" customWidth="1"/>
    <col min="14344" max="14344" width="1.42578125" style="253" customWidth="1"/>
    <col min="14345" max="14345" width="12.5703125" style="253" customWidth="1"/>
    <col min="14346" max="14346" width="3.28515625" style="253" customWidth="1"/>
    <col min="14347" max="14347" width="12.85546875" style="253" customWidth="1"/>
    <col min="14348" max="14348" width="1.42578125" style="253" customWidth="1"/>
    <col min="14349" max="14349" width="3.5703125" style="253" customWidth="1"/>
    <col min="14350" max="14350" width="1.7109375" style="253" customWidth="1"/>
    <col min="14351" max="14351" width="14" style="253" customWidth="1"/>
    <col min="14352" max="14352" width="2.140625" style="253" customWidth="1"/>
    <col min="14353" max="14591" width="9.140625" style="253"/>
    <col min="14592" max="14592" width="2.85546875" style="253" customWidth="1"/>
    <col min="14593" max="14593" width="6.42578125" style="253" customWidth="1"/>
    <col min="14594" max="14594" width="3.85546875" style="253" customWidth="1"/>
    <col min="14595" max="14595" width="16.5703125" style="253" customWidth="1"/>
    <col min="14596" max="14596" width="3" style="253" customWidth="1"/>
    <col min="14597" max="14597" width="11.140625" style="253" customWidth="1"/>
    <col min="14598" max="14598" width="1.42578125" style="253" customWidth="1"/>
    <col min="14599" max="14599" width="3.42578125" style="253" customWidth="1"/>
    <col min="14600" max="14600" width="1.42578125" style="253" customWidth="1"/>
    <col min="14601" max="14601" width="12.5703125" style="253" customWidth="1"/>
    <col min="14602" max="14602" width="3.28515625" style="253" customWidth="1"/>
    <col min="14603" max="14603" width="12.85546875" style="253" customWidth="1"/>
    <col min="14604" max="14604" width="1.42578125" style="253" customWidth="1"/>
    <col min="14605" max="14605" width="3.5703125" style="253" customWidth="1"/>
    <col min="14606" max="14606" width="1.7109375" style="253" customWidth="1"/>
    <col min="14607" max="14607" width="14" style="253" customWidth="1"/>
    <col min="14608" max="14608" width="2.140625" style="253" customWidth="1"/>
    <col min="14609" max="14847" width="9.140625" style="253"/>
    <col min="14848" max="14848" width="2.85546875" style="253" customWidth="1"/>
    <col min="14849" max="14849" width="6.42578125" style="253" customWidth="1"/>
    <col min="14850" max="14850" width="3.85546875" style="253" customWidth="1"/>
    <col min="14851" max="14851" width="16.5703125" style="253" customWidth="1"/>
    <col min="14852" max="14852" width="3" style="253" customWidth="1"/>
    <col min="14853" max="14853" width="11.140625" style="253" customWidth="1"/>
    <col min="14854" max="14854" width="1.42578125" style="253" customWidth="1"/>
    <col min="14855" max="14855" width="3.42578125" style="253" customWidth="1"/>
    <col min="14856" max="14856" width="1.42578125" style="253" customWidth="1"/>
    <col min="14857" max="14857" width="12.5703125" style="253" customWidth="1"/>
    <col min="14858" max="14858" width="3.28515625" style="253" customWidth="1"/>
    <col min="14859" max="14859" width="12.85546875" style="253" customWidth="1"/>
    <col min="14860" max="14860" width="1.42578125" style="253" customWidth="1"/>
    <col min="14861" max="14861" width="3.5703125" style="253" customWidth="1"/>
    <col min="14862" max="14862" width="1.7109375" style="253" customWidth="1"/>
    <col min="14863" max="14863" width="14" style="253" customWidth="1"/>
    <col min="14864" max="14864" width="2.140625" style="253" customWidth="1"/>
    <col min="14865" max="15103" width="9.140625" style="253"/>
    <col min="15104" max="15104" width="2.85546875" style="253" customWidth="1"/>
    <col min="15105" max="15105" width="6.42578125" style="253" customWidth="1"/>
    <col min="15106" max="15106" width="3.85546875" style="253" customWidth="1"/>
    <col min="15107" max="15107" width="16.5703125" style="253" customWidth="1"/>
    <col min="15108" max="15108" width="3" style="253" customWidth="1"/>
    <col min="15109" max="15109" width="11.140625" style="253" customWidth="1"/>
    <col min="15110" max="15110" width="1.42578125" style="253" customWidth="1"/>
    <col min="15111" max="15111" width="3.42578125" style="253" customWidth="1"/>
    <col min="15112" max="15112" width="1.42578125" style="253" customWidth="1"/>
    <col min="15113" max="15113" width="12.5703125" style="253" customWidth="1"/>
    <col min="15114" max="15114" width="3.28515625" style="253" customWidth="1"/>
    <col min="15115" max="15115" width="12.85546875" style="253" customWidth="1"/>
    <col min="15116" max="15116" width="1.42578125" style="253" customWidth="1"/>
    <col min="15117" max="15117" width="3.5703125" style="253" customWidth="1"/>
    <col min="15118" max="15118" width="1.7109375" style="253" customWidth="1"/>
    <col min="15119" max="15119" width="14" style="253" customWidth="1"/>
    <col min="15120" max="15120" width="2.140625" style="253" customWidth="1"/>
    <col min="15121" max="15359" width="9.140625" style="253"/>
    <col min="15360" max="15360" width="2.85546875" style="253" customWidth="1"/>
    <col min="15361" max="15361" width="6.42578125" style="253" customWidth="1"/>
    <col min="15362" max="15362" width="3.85546875" style="253" customWidth="1"/>
    <col min="15363" max="15363" width="16.5703125" style="253" customWidth="1"/>
    <col min="15364" max="15364" width="3" style="253" customWidth="1"/>
    <col min="15365" max="15365" width="11.140625" style="253" customWidth="1"/>
    <col min="15366" max="15366" width="1.42578125" style="253" customWidth="1"/>
    <col min="15367" max="15367" width="3.42578125" style="253" customWidth="1"/>
    <col min="15368" max="15368" width="1.42578125" style="253" customWidth="1"/>
    <col min="15369" max="15369" width="12.5703125" style="253" customWidth="1"/>
    <col min="15370" max="15370" width="3.28515625" style="253" customWidth="1"/>
    <col min="15371" max="15371" width="12.85546875" style="253" customWidth="1"/>
    <col min="15372" max="15372" width="1.42578125" style="253" customWidth="1"/>
    <col min="15373" max="15373" width="3.5703125" style="253" customWidth="1"/>
    <col min="15374" max="15374" width="1.7109375" style="253" customWidth="1"/>
    <col min="15375" max="15375" width="14" style="253" customWidth="1"/>
    <col min="15376" max="15376" width="2.140625" style="253" customWidth="1"/>
    <col min="15377" max="15615" width="9.140625" style="253"/>
    <col min="15616" max="15616" width="2.85546875" style="253" customWidth="1"/>
    <col min="15617" max="15617" width="6.42578125" style="253" customWidth="1"/>
    <col min="15618" max="15618" width="3.85546875" style="253" customWidth="1"/>
    <col min="15619" max="15619" width="16.5703125" style="253" customWidth="1"/>
    <col min="15620" max="15620" width="3" style="253" customWidth="1"/>
    <col min="15621" max="15621" width="11.140625" style="253" customWidth="1"/>
    <col min="15622" max="15622" width="1.42578125" style="253" customWidth="1"/>
    <col min="15623" max="15623" width="3.42578125" style="253" customWidth="1"/>
    <col min="15624" max="15624" width="1.42578125" style="253" customWidth="1"/>
    <col min="15625" max="15625" width="12.5703125" style="253" customWidth="1"/>
    <col min="15626" max="15626" width="3.28515625" style="253" customWidth="1"/>
    <col min="15627" max="15627" width="12.85546875" style="253" customWidth="1"/>
    <col min="15628" max="15628" width="1.42578125" style="253" customWidth="1"/>
    <col min="15629" max="15629" width="3.5703125" style="253" customWidth="1"/>
    <col min="15630" max="15630" width="1.7109375" style="253" customWidth="1"/>
    <col min="15631" max="15631" width="14" style="253" customWidth="1"/>
    <col min="15632" max="15632" width="2.140625" style="253" customWidth="1"/>
    <col min="15633" max="15871" width="9.140625" style="253"/>
    <col min="15872" max="15872" width="2.85546875" style="253" customWidth="1"/>
    <col min="15873" max="15873" width="6.42578125" style="253" customWidth="1"/>
    <col min="15874" max="15874" width="3.85546875" style="253" customWidth="1"/>
    <col min="15875" max="15875" width="16.5703125" style="253" customWidth="1"/>
    <col min="15876" max="15876" width="3" style="253" customWidth="1"/>
    <col min="15877" max="15877" width="11.140625" style="253" customWidth="1"/>
    <col min="15878" max="15878" width="1.42578125" style="253" customWidth="1"/>
    <col min="15879" max="15879" width="3.42578125" style="253" customWidth="1"/>
    <col min="15880" max="15880" width="1.42578125" style="253" customWidth="1"/>
    <col min="15881" max="15881" width="12.5703125" style="253" customWidth="1"/>
    <col min="15882" max="15882" width="3.28515625" style="253" customWidth="1"/>
    <col min="15883" max="15883" width="12.85546875" style="253" customWidth="1"/>
    <col min="15884" max="15884" width="1.42578125" style="253" customWidth="1"/>
    <col min="15885" max="15885" width="3.5703125" style="253" customWidth="1"/>
    <col min="15886" max="15886" width="1.7109375" style="253" customWidth="1"/>
    <col min="15887" max="15887" width="14" style="253" customWidth="1"/>
    <col min="15888" max="15888" width="2.140625" style="253" customWidth="1"/>
    <col min="15889" max="16127" width="9.140625" style="253"/>
    <col min="16128" max="16128" width="2.85546875" style="253" customWidth="1"/>
    <col min="16129" max="16129" width="6.42578125" style="253" customWidth="1"/>
    <col min="16130" max="16130" width="3.85546875" style="253" customWidth="1"/>
    <col min="16131" max="16131" width="16.5703125" style="253" customWidth="1"/>
    <col min="16132" max="16132" width="3" style="253" customWidth="1"/>
    <col min="16133" max="16133" width="11.140625" style="253" customWidth="1"/>
    <col min="16134" max="16134" width="1.42578125" style="253" customWidth="1"/>
    <col min="16135" max="16135" width="3.42578125" style="253" customWidth="1"/>
    <col min="16136" max="16136" width="1.42578125" style="253" customWidth="1"/>
    <col min="16137" max="16137" width="12.5703125" style="253" customWidth="1"/>
    <col min="16138" max="16138" width="3.28515625" style="253" customWidth="1"/>
    <col min="16139" max="16139" width="12.85546875" style="253" customWidth="1"/>
    <col min="16140" max="16140" width="1.42578125" style="253" customWidth="1"/>
    <col min="16141" max="16141" width="3.5703125" style="253" customWidth="1"/>
    <col min="16142" max="16142" width="1.7109375" style="253" customWidth="1"/>
    <col min="16143" max="16143" width="14" style="253" customWidth="1"/>
    <col min="16144" max="16144" width="2.140625" style="253" customWidth="1"/>
    <col min="16145" max="16384" width="9.140625" style="253"/>
  </cols>
  <sheetData>
    <row r="1" spans="1:15" x14ac:dyDescent="0.2">
      <c r="K1" s="912" t="s">
        <v>444</v>
      </c>
      <c r="O1" s="913" t="str">
        <f>'LDC Info'!$E$18</f>
        <v>EB-2012-0107</v>
      </c>
    </row>
    <row r="2" spans="1:15" x14ac:dyDescent="0.2">
      <c r="K2" s="912" t="s">
        <v>445</v>
      </c>
      <c r="O2" s="914">
        <v>5</v>
      </c>
    </row>
    <row r="3" spans="1:15" x14ac:dyDescent="0.2">
      <c r="K3" s="912" t="s">
        <v>446</v>
      </c>
      <c r="O3" s="914">
        <v>1</v>
      </c>
    </row>
    <row r="4" spans="1:15" x14ac:dyDescent="0.2">
      <c r="K4" s="912" t="s">
        <v>447</v>
      </c>
      <c r="O4" s="914">
        <v>1</v>
      </c>
    </row>
    <row r="5" spans="1:15" x14ac:dyDescent="0.2">
      <c r="K5" s="329" t="s">
        <v>1036</v>
      </c>
      <c r="O5" s="915">
        <v>1</v>
      </c>
    </row>
    <row r="6" spans="1:15" x14ac:dyDescent="0.2">
      <c r="K6" s="912"/>
      <c r="O6" s="913"/>
    </row>
    <row r="7" spans="1:15" x14ac:dyDescent="0.2">
      <c r="K7" s="912" t="s">
        <v>449</v>
      </c>
      <c r="O7" s="934">
        <v>41200</v>
      </c>
    </row>
    <row r="10" spans="1:15" ht="18" x14ac:dyDescent="0.25">
      <c r="C10" s="1282" t="s">
        <v>803</v>
      </c>
      <c r="D10" s="1282"/>
      <c r="E10" s="1282"/>
      <c r="F10" s="1282"/>
      <c r="G10" s="1282"/>
      <c r="H10" s="1282"/>
      <c r="I10" s="1282"/>
      <c r="J10" s="1282"/>
      <c r="K10" s="1282"/>
      <c r="L10" s="1282"/>
      <c r="M10" s="1282"/>
      <c r="N10" s="1282"/>
      <c r="O10" s="1282"/>
    </row>
    <row r="11" spans="1:15" ht="18" x14ac:dyDescent="0.2">
      <c r="A11" s="682"/>
      <c r="B11" s="682"/>
      <c r="C11" s="1470" t="s">
        <v>788</v>
      </c>
      <c r="D11" s="1470"/>
      <c r="E11" s="1470"/>
      <c r="F11" s="1470"/>
      <c r="G11" s="1470"/>
      <c r="H11" s="1470"/>
      <c r="I11" s="1470"/>
      <c r="J11" s="1470"/>
      <c r="K11" s="1470"/>
      <c r="L11" s="1470"/>
      <c r="M11" s="1470"/>
      <c r="N11" s="1470"/>
      <c r="O11" s="1470"/>
    </row>
    <row r="12" spans="1:15" x14ac:dyDescent="0.2">
      <c r="A12" s="682"/>
      <c r="B12" s="682"/>
      <c r="C12" s="682"/>
      <c r="D12" s="682"/>
      <c r="E12" s="682"/>
      <c r="F12" s="682"/>
      <c r="G12" s="682"/>
      <c r="H12" s="682"/>
      <c r="J12" s="682"/>
      <c r="K12" s="682"/>
      <c r="L12" s="682"/>
      <c r="M12" s="682"/>
      <c r="N12" s="682"/>
      <c r="O12" s="682"/>
    </row>
    <row r="13" spans="1:15" x14ac:dyDescent="0.2">
      <c r="A13" s="1471" t="s">
        <v>787</v>
      </c>
      <c r="B13" s="1471"/>
      <c r="C13" s="1471"/>
      <c r="D13" s="1471"/>
      <c r="E13" s="1471"/>
      <c r="F13" s="1471"/>
      <c r="G13" s="1471"/>
      <c r="H13" s="1471"/>
      <c r="I13" s="1471"/>
      <c r="J13" s="1471"/>
      <c r="K13" s="1471"/>
      <c r="L13" s="1471"/>
      <c r="M13" s="1471"/>
      <c r="N13" s="1471"/>
      <c r="O13" s="1471"/>
    </row>
    <row r="14" spans="1:15" x14ac:dyDescent="0.2">
      <c r="A14" s="682"/>
      <c r="B14" s="682"/>
      <c r="C14" s="682"/>
      <c r="D14" s="682"/>
      <c r="E14" s="682"/>
      <c r="F14" s="682"/>
      <c r="G14" s="682"/>
      <c r="H14" s="682"/>
      <c r="J14" s="682"/>
      <c r="K14" s="682"/>
      <c r="L14" s="682"/>
      <c r="M14" s="682"/>
      <c r="N14" s="682"/>
      <c r="O14" s="682"/>
    </row>
    <row r="15" spans="1:15" x14ac:dyDescent="0.2">
      <c r="A15" s="1472" t="s">
        <v>789</v>
      </c>
      <c r="B15" s="683"/>
      <c r="C15" s="683"/>
      <c r="D15" s="683"/>
      <c r="E15" s="683"/>
      <c r="F15" s="683"/>
      <c r="G15" s="683"/>
      <c r="H15" s="683"/>
      <c r="I15" s="683"/>
      <c r="J15" s="683"/>
      <c r="K15" s="683"/>
      <c r="L15" s="683"/>
      <c r="M15" s="683"/>
      <c r="N15" s="683"/>
      <c r="O15" s="683"/>
    </row>
    <row r="16" spans="1:15" x14ac:dyDescent="0.2">
      <c r="A16" s="1473"/>
      <c r="B16" s="683"/>
      <c r="C16" s="911" t="s">
        <v>790</v>
      </c>
      <c r="D16" s="683"/>
      <c r="E16" s="1474" t="s">
        <v>791</v>
      </c>
      <c r="F16" s="1474"/>
      <c r="G16" s="1474"/>
      <c r="H16" s="1474"/>
      <c r="I16" s="1474"/>
      <c r="J16" s="684"/>
      <c r="K16" s="911" t="s">
        <v>450</v>
      </c>
      <c r="L16" s="685"/>
      <c r="M16" s="683"/>
      <c r="N16" s="683"/>
      <c r="O16" s="911" t="s">
        <v>792</v>
      </c>
    </row>
    <row r="17" spans="1:16" x14ac:dyDescent="0.2">
      <c r="A17" s="686"/>
      <c r="B17" s="683"/>
      <c r="C17" s="683"/>
      <c r="D17" s="683"/>
      <c r="E17" s="683"/>
      <c r="F17" s="683"/>
      <c r="G17" s="683"/>
      <c r="H17" s="683"/>
      <c r="I17" s="687"/>
      <c r="J17" s="687"/>
      <c r="K17" s="683"/>
      <c r="L17" s="683"/>
      <c r="M17" s="683"/>
      <c r="N17" s="683"/>
      <c r="O17" s="683"/>
    </row>
    <row r="18" spans="1:16" x14ac:dyDescent="0.2">
      <c r="A18" s="688"/>
      <c r="B18" s="683"/>
      <c r="C18" s="683"/>
      <c r="D18" s="683"/>
      <c r="E18" s="683"/>
      <c r="F18" s="683"/>
      <c r="G18" s="683"/>
      <c r="H18" s="683"/>
      <c r="I18" s="687"/>
      <c r="J18" s="687"/>
      <c r="K18" s="683"/>
      <c r="L18" s="683"/>
      <c r="M18" s="683"/>
      <c r="N18" s="683"/>
      <c r="O18" s="683"/>
      <c r="P18" s="300"/>
    </row>
    <row r="19" spans="1:16" x14ac:dyDescent="0.2">
      <c r="A19" s="688"/>
      <c r="B19" s="689"/>
      <c r="C19" s="1467" t="s">
        <v>969</v>
      </c>
      <c r="D19" s="1468"/>
      <c r="E19" s="1468"/>
      <c r="F19" s="1468"/>
      <c r="G19" s="1468"/>
      <c r="H19" s="1468"/>
      <c r="I19" s="1468"/>
      <c r="J19" s="1468"/>
      <c r="K19" s="1468"/>
      <c r="L19" s="1468"/>
      <c r="M19" s="1468"/>
      <c r="N19" s="1468"/>
      <c r="O19" s="1469"/>
      <c r="P19" s="300"/>
    </row>
    <row r="20" spans="1:16" x14ac:dyDescent="0.2">
      <c r="A20" s="688"/>
      <c r="B20" s="683"/>
      <c r="C20" s="683"/>
      <c r="D20" s="683"/>
      <c r="E20" s="690" t="s">
        <v>451</v>
      </c>
      <c r="F20" s="691"/>
      <c r="G20" s="691"/>
      <c r="H20" s="691"/>
      <c r="I20" s="690" t="s">
        <v>452</v>
      </c>
      <c r="J20" s="683"/>
      <c r="K20" s="690" t="s">
        <v>451</v>
      </c>
      <c r="L20" s="691"/>
      <c r="M20" s="683"/>
      <c r="N20" s="683"/>
      <c r="O20" s="687" t="s">
        <v>452</v>
      </c>
      <c r="P20" s="300"/>
    </row>
    <row r="21" spans="1:16" x14ac:dyDescent="0.2">
      <c r="A21" s="688"/>
      <c r="B21" s="683"/>
      <c r="C21" s="692" t="s">
        <v>793</v>
      </c>
      <c r="D21" s="683"/>
      <c r="E21" s="683"/>
      <c r="F21" s="683"/>
      <c r="G21" s="683"/>
      <c r="H21" s="683"/>
      <c r="I21" s="683"/>
      <c r="J21" s="683"/>
      <c r="K21" s="683"/>
      <c r="L21" s="683"/>
      <c r="M21" s="683"/>
      <c r="N21" s="683"/>
      <c r="O21" s="683"/>
      <c r="P21" s="300"/>
    </row>
    <row r="22" spans="1:16" x14ac:dyDescent="0.2">
      <c r="A22" s="688">
        <v>1</v>
      </c>
      <c r="B22" s="683"/>
      <c r="C22" s="693" t="s">
        <v>794</v>
      </c>
      <c r="D22" s="683"/>
      <c r="E22" s="718">
        <v>0.56000000000000005</v>
      </c>
      <c r="F22" s="694"/>
      <c r="G22" s="722"/>
      <c r="H22" s="695"/>
      <c r="I22" s="696">
        <f>$I$31*E22</f>
        <v>37408456.960000001</v>
      </c>
      <c r="J22" s="683"/>
      <c r="K22" s="719">
        <f>1563588/37408457</f>
        <v>4.179771435106238E-2</v>
      </c>
      <c r="L22" s="694"/>
      <c r="M22" s="722"/>
      <c r="N22" s="695"/>
      <c r="O22" s="696">
        <f>K22*I22</f>
        <v>1563587.9983280913</v>
      </c>
      <c r="P22" s="300"/>
    </row>
    <row r="23" spans="1:16" x14ac:dyDescent="0.2">
      <c r="A23" s="688">
        <v>2</v>
      </c>
      <c r="B23" s="683"/>
      <c r="C23" s="693" t="s">
        <v>795</v>
      </c>
      <c r="D23" s="683"/>
      <c r="E23" s="719">
        <v>0.04</v>
      </c>
      <c r="F23" s="694"/>
      <c r="G23" s="697" t="s">
        <v>453</v>
      </c>
      <c r="H23" s="697"/>
      <c r="I23" s="698">
        <f>$I$31*E23</f>
        <v>2672032.64</v>
      </c>
      <c r="J23" s="683"/>
      <c r="K23" s="719">
        <v>2.0799999999999999E-2</v>
      </c>
      <c r="L23" s="694"/>
      <c r="M23" s="722"/>
      <c r="N23" s="695"/>
      <c r="O23" s="698">
        <f>K23*I23</f>
        <v>55578.278912000002</v>
      </c>
      <c r="P23" s="300"/>
    </row>
    <row r="24" spans="1:16" ht="13.5" thickBot="1" x14ac:dyDescent="0.25">
      <c r="A24" s="688">
        <v>3</v>
      </c>
      <c r="B24" s="683"/>
      <c r="C24" s="688" t="s">
        <v>796</v>
      </c>
      <c r="D24" s="683"/>
      <c r="E24" s="699">
        <f>SUM(E22:E23)</f>
        <v>0.60000000000000009</v>
      </c>
      <c r="F24" s="700"/>
      <c r="G24" s="699"/>
      <c r="H24" s="700"/>
      <c r="I24" s="701">
        <f>SUM(I22:I23)</f>
        <v>40080489.600000001</v>
      </c>
      <c r="J24" s="683"/>
      <c r="K24" s="702">
        <f>IF(E24=0,0,SUMPRODUCT(E22:E23,K22:K23)/E24)</f>
        <v>4.0397866727658216E-2</v>
      </c>
      <c r="L24" s="694"/>
      <c r="M24" s="724"/>
      <c r="N24" s="703"/>
      <c r="O24" s="701">
        <f>SUM(O22:O23)</f>
        <v>1619166.2772400912</v>
      </c>
      <c r="P24" s="300"/>
    </row>
    <row r="25" spans="1:16" ht="13.5" thickTop="1" x14ac:dyDescent="0.2">
      <c r="A25" s="688"/>
      <c r="B25" s="683"/>
      <c r="C25" s="683"/>
      <c r="D25" s="683"/>
      <c r="E25" s="704"/>
      <c r="F25" s="705"/>
      <c r="G25" s="704"/>
      <c r="H25" s="705"/>
      <c r="I25" s="706"/>
      <c r="J25" s="683"/>
      <c r="K25" s="707"/>
      <c r="L25" s="694"/>
      <c r="M25" s="703"/>
      <c r="N25" s="703"/>
      <c r="O25" s="706"/>
      <c r="P25" s="300"/>
    </row>
    <row r="26" spans="1:16" x14ac:dyDescent="0.2">
      <c r="A26" s="688"/>
      <c r="B26" s="683"/>
      <c r="C26" s="692" t="s">
        <v>797</v>
      </c>
      <c r="D26" s="683"/>
      <c r="E26" s="704"/>
      <c r="F26" s="705"/>
      <c r="G26" s="704"/>
      <c r="H26" s="705"/>
      <c r="I26" s="706"/>
      <c r="J26" s="683"/>
      <c r="K26" s="707"/>
      <c r="L26" s="694"/>
      <c r="M26" s="703"/>
      <c r="N26" s="703"/>
      <c r="O26" s="706"/>
      <c r="P26" s="300"/>
    </row>
    <row r="27" spans="1:16" x14ac:dyDescent="0.2">
      <c r="A27" s="708">
        <v>4</v>
      </c>
      <c r="B27" s="709"/>
      <c r="C27" s="710" t="s">
        <v>798</v>
      </c>
      <c r="D27" s="709"/>
      <c r="E27" s="720">
        <v>0.4</v>
      </c>
      <c r="F27" s="711"/>
      <c r="G27" s="722"/>
      <c r="H27" s="695"/>
      <c r="I27" s="712">
        <f>$I$31*E27</f>
        <v>26720326.400000002</v>
      </c>
      <c r="J27" s="709"/>
      <c r="K27" s="720">
        <v>9.1200000000000003E-2</v>
      </c>
      <c r="L27" s="711"/>
      <c r="M27" s="722"/>
      <c r="N27" s="695"/>
      <c r="O27" s="712">
        <f>K27*I27</f>
        <v>2436893.7676800005</v>
      </c>
      <c r="P27" s="300"/>
    </row>
    <row r="28" spans="1:16" x14ac:dyDescent="0.2">
      <c r="A28" s="708">
        <v>5</v>
      </c>
      <c r="B28" s="709"/>
      <c r="C28" s="710" t="s">
        <v>799</v>
      </c>
      <c r="D28" s="709"/>
      <c r="E28" s="721">
        <v>0</v>
      </c>
      <c r="F28" s="711"/>
      <c r="G28" s="722"/>
      <c r="H28" s="695"/>
      <c r="I28" s="713">
        <f>$I$31*E28</f>
        <v>0</v>
      </c>
      <c r="J28" s="709"/>
      <c r="K28" s="721">
        <v>0</v>
      </c>
      <c r="L28" s="711"/>
      <c r="M28" s="722"/>
      <c r="N28" s="695"/>
      <c r="O28" s="713">
        <f>K28*I28</f>
        <v>0</v>
      </c>
      <c r="P28" s="300"/>
    </row>
    <row r="29" spans="1:16" ht="13.5" thickBot="1" x14ac:dyDescent="0.25">
      <c r="A29" s="688">
        <v>6</v>
      </c>
      <c r="B29" s="683"/>
      <c r="C29" s="688" t="s">
        <v>800</v>
      </c>
      <c r="D29" s="683"/>
      <c r="E29" s="699">
        <f>SUM(E27:E28)</f>
        <v>0.4</v>
      </c>
      <c r="F29" s="699"/>
      <c r="G29" s="699"/>
      <c r="H29" s="700"/>
      <c r="I29" s="701">
        <f>SUM(I27:I28)</f>
        <v>26720326.400000002</v>
      </c>
      <c r="J29" s="683"/>
      <c r="K29" s="702">
        <f>IF(E29=0,0,SUMPRODUCT(E27:E28,K27:K28)/E29)</f>
        <v>9.1200000000000003E-2</v>
      </c>
      <c r="L29" s="694"/>
      <c r="M29" s="703"/>
      <c r="N29" s="703"/>
      <c r="O29" s="701">
        <f>SUM(O27:O28)</f>
        <v>2436893.7676800005</v>
      </c>
      <c r="P29" s="300"/>
    </row>
    <row r="30" spans="1:16" ht="13.5" thickTop="1" x14ac:dyDescent="0.2">
      <c r="A30" s="688"/>
      <c r="B30" s="683"/>
      <c r="C30" s="683"/>
      <c r="D30" s="683"/>
      <c r="E30" s="683"/>
      <c r="F30" s="683"/>
      <c r="G30" s="683"/>
      <c r="H30" s="683"/>
      <c r="I30" s="706"/>
      <c r="J30" s="683"/>
      <c r="K30" s="707"/>
      <c r="L30" s="707"/>
      <c r="M30" s="703"/>
      <c r="N30" s="703"/>
      <c r="O30" s="706"/>
      <c r="P30" s="300"/>
    </row>
    <row r="31" spans="1:16" ht="13.5" thickBot="1" x14ac:dyDescent="0.25">
      <c r="A31" s="688">
        <v>7</v>
      </c>
      <c r="B31" s="683"/>
      <c r="C31" s="692" t="s">
        <v>439</v>
      </c>
      <c r="D31" s="683"/>
      <c r="E31" s="714">
        <v>1</v>
      </c>
      <c r="F31" s="714"/>
      <c r="G31" s="715"/>
      <c r="H31" s="715"/>
      <c r="I31" s="723">
        <v>66800816</v>
      </c>
      <c r="J31" s="693" t="s">
        <v>15</v>
      </c>
      <c r="K31" s="716">
        <f>(K24*E24)+(K29*E29)</f>
        <v>6.0718720036594939E-2</v>
      </c>
      <c r="L31" s="707"/>
      <c r="M31" s="683"/>
      <c r="N31" s="683"/>
      <c r="O31" s="717">
        <f>O24+O29</f>
        <v>4056060.0449200915</v>
      </c>
      <c r="P31" s="300"/>
    </row>
    <row r="32" spans="1:16" ht="13.5" thickTop="1" x14ac:dyDescent="0.2">
      <c r="A32" s="688"/>
      <c r="B32" s="683"/>
      <c r="C32" s="683"/>
      <c r="D32" s="683"/>
      <c r="E32" s="683"/>
      <c r="F32" s="683"/>
      <c r="G32" s="683"/>
      <c r="H32" s="683"/>
      <c r="I32" s="683"/>
      <c r="J32" s="683"/>
      <c r="K32" s="683"/>
      <c r="L32" s="683"/>
      <c r="M32" s="693"/>
      <c r="N32" s="683"/>
      <c r="O32" s="888"/>
      <c r="P32" s="300"/>
    </row>
    <row r="33" spans="1:16" x14ac:dyDescent="0.2">
      <c r="A33" s="688"/>
      <c r="B33" s="683"/>
      <c r="C33" s="688"/>
      <c r="D33" s="683"/>
      <c r="E33" s="935"/>
      <c r="F33" s="935"/>
      <c r="G33" s="936"/>
      <c r="H33" s="936"/>
      <c r="I33" s="937"/>
      <c r="J33" s="683"/>
      <c r="K33" s="707"/>
      <c r="L33" s="707"/>
      <c r="M33" s="300"/>
      <c r="N33" s="683"/>
      <c r="O33" s="696"/>
      <c r="P33" s="300"/>
    </row>
    <row r="34" spans="1:16" x14ac:dyDescent="0.2">
      <c r="A34" s="1475" t="s">
        <v>454</v>
      </c>
      <c r="B34" s="1475"/>
      <c r="C34" s="1475"/>
      <c r="D34" s="1475"/>
      <c r="E34" s="1475"/>
      <c r="F34" s="1475"/>
      <c r="G34" s="1475"/>
      <c r="H34" s="1475"/>
      <c r="I34" s="1475"/>
      <c r="J34" s="1475"/>
      <c r="K34" s="1475"/>
      <c r="L34" s="1475"/>
      <c r="M34" s="1475"/>
      <c r="N34" s="1475"/>
      <c r="O34" s="1475"/>
    </row>
    <row r="35" spans="1:16" x14ac:dyDescent="0.2">
      <c r="A35" s="916" t="s">
        <v>453</v>
      </c>
      <c r="B35" s="917"/>
      <c r="C35" s="1476" t="s">
        <v>801</v>
      </c>
      <c r="D35" s="1476"/>
      <c r="E35" s="1476"/>
      <c r="F35" s="1476"/>
      <c r="G35" s="1476"/>
      <c r="H35" s="1476"/>
      <c r="I35" s="1476"/>
      <c r="J35" s="1476"/>
      <c r="K35" s="1476"/>
      <c r="L35" s="1476"/>
      <c r="M35" s="1476"/>
      <c r="N35" s="1476"/>
      <c r="O35" s="1476"/>
    </row>
    <row r="36" spans="1:16" x14ac:dyDescent="0.2">
      <c r="A36" s="918">
        <v>2</v>
      </c>
      <c r="B36" s="917"/>
      <c r="C36" s="1477" t="s">
        <v>997</v>
      </c>
      <c r="D36" s="1477"/>
      <c r="E36" s="1477"/>
      <c r="F36" s="1477"/>
      <c r="G36" s="1477"/>
      <c r="H36" s="1477"/>
      <c r="I36" s="1477"/>
      <c r="J36" s="1477"/>
      <c r="K36" s="1477"/>
      <c r="L36" s="1477"/>
      <c r="M36" s="1477"/>
      <c r="N36" s="1477"/>
      <c r="O36" s="1477"/>
    </row>
    <row r="37" spans="1:16" x14ac:dyDescent="0.2">
      <c r="A37" s="725"/>
      <c r="B37" s="682"/>
      <c r="C37" s="1477"/>
      <c r="D37" s="1477"/>
      <c r="E37" s="1477"/>
      <c r="F37" s="1477"/>
      <c r="G37" s="1477"/>
      <c r="H37" s="1477"/>
      <c r="I37" s="1477"/>
      <c r="J37" s="1477"/>
      <c r="K37" s="1477"/>
      <c r="L37" s="1477"/>
      <c r="M37" s="1477"/>
      <c r="N37" s="1477"/>
      <c r="O37" s="1477"/>
    </row>
    <row r="40" spans="1:16" x14ac:dyDescent="0.2">
      <c r="A40" s="1472" t="s">
        <v>789</v>
      </c>
      <c r="B40" s="683"/>
      <c r="C40" s="683"/>
      <c r="D40" s="683"/>
      <c r="E40" s="683"/>
      <c r="F40" s="683"/>
      <c r="G40" s="683"/>
      <c r="H40" s="683"/>
      <c r="I40" s="683"/>
      <c r="J40" s="683"/>
      <c r="K40" s="683"/>
      <c r="L40" s="683"/>
      <c r="M40" s="683"/>
      <c r="N40" s="683"/>
      <c r="O40" s="683"/>
    </row>
    <row r="41" spans="1:16" x14ac:dyDescent="0.2">
      <c r="A41" s="1473"/>
      <c r="B41" s="683"/>
      <c r="C41" s="911" t="s">
        <v>790</v>
      </c>
      <c r="D41" s="683"/>
      <c r="E41" s="1474" t="s">
        <v>791</v>
      </c>
      <c r="F41" s="1474"/>
      <c r="G41" s="1474"/>
      <c r="H41" s="1474"/>
      <c r="I41" s="1474"/>
      <c r="J41" s="684"/>
      <c r="K41" s="911" t="s">
        <v>450</v>
      </c>
      <c r="L41" s="685"/>
      <c r="M41" s="683"/>
      <c r="N41" s="683"/>
      <c r="O41" s="911" t="s">
        <v>792</v>
      </c>
    </row>
    <row r="42" spans="1:16" x14ac:dyDescent="0.2">
      <c r="A42" s="686"/>
      <c r="B42" s="683"/>
      <c r="C42" s="683"/>
      <c r="D42" s="683"/>
      <c r="E42" s="683"/>
      <c r="F42" s="683"/>
      <c r="G42" s="683"/>
      <c r="H42" s="683"/>
      <c r="I42" s="687"/>
      <c r="J42" s="687"/>
      <c r="K42" s="683"/>
      <c r="L42" s="683"/>
      <c r="M42" s="683"/>
      <c r="N42" s="683"/>
      <c r="O42" s="683"/>
    </row>
    <row r="43" spans="1:16" x14ac:dyDescent="0.2">
      <c r="A43" s="688"/>
      <c r="B43" s="683"/>
      <c r="C43" s="683"/>
      <c r="D43" s="683"/>
      <c r="E43" s="683"/>
      <c r="F43" s="683"/>
      <c r="G43" s="683"/>
      <c r="H43" s="683"/>
      <c r="I43" s="687"/>
      <c r="J43" s="687"/>
      <c r="K43" s="683"/>
      <c r="L43" s="683"/>
      <c r="M43" s="683"/>
      <c r="N43" s="683"/>
      <c r="O43" s="683"/>
    </row>
    <row r="44" spans="1:16" x14ac:dyDescent="0.2">
      <c r="A44" s="688"/>
      <c r="B44" s="689"/>
      <c r="C44" s="1467" t="s">
        <v>970</v>
      </c>
      <c r="D44" s="1468"/>
      <c r="E44" s="1468"/>
      <c r="F44" s="1468"/>
      <c r="G44" s="1468"/>
      <c r="H44" s="1468"/>
      <c r="I44" s="1468"/>
      <c r="J44" s="1468"/>
      <c r="K44" s="1468"/>
      <c r="L44" s="1468"/>
      <c r="M44" s="1468"/>
      <c r="N44" s="1468"/>
      <c r="O44" s="1469"/>
    </row>
    <row r="45" spans="1:16" x14ac:dyDescent="0.2">
      <c r="A45" s="688"/>
      <c r="B45" s="683"/>
      <c r="C45" s="683"/>
      <c r="D45" s="683"/>
      <c r="E45" s="690" t="s">
        <v>451</v>
      </c>
      <c r="F45" s="691"/>
      <c r="G45" s="691"/>
      <c r="H45" s="691"/>
      <c r="I45" s="690" t="s">
        <v>452</v>
      </c>
      <c r="J45" s="683"/>
      <c r="K45" s="690" t="s">
        <v>451</v>
      </c>
      <c r="L45" s="691"/>
      <c r="M45" s="683"/>
      <c r="N45" s="683"/>
      <c r="O45" s="687" t="s">
        <v>452</v>
      </c>
    </row>
    <row r="46" spans="1:16" x14ac:dyDescent="0.2">
      <c r="A46" s="688"/>
      <c r="B46" s="683"/>
      <c r="C46" s="692" t="s">
        <v>793</v>
      </c>
      <c r="D46" s="683"/>
      <c r="E46" s="683"/>
      <c r="F46" s="683"/>
      <c r="G46" s="683"/>
      <c r="H46" s="683"/>
      <c r="I46" s="683"/>
      <c r="J46" s="683"/>
      <c r="K46" s="683"/>
      <c r="L46" s="683"/>
      <c r="M46" s="683"/>
      <c r="N46" s="683"/>
      <c r="O46" s="683"/>
    </row>
    <row r="47" spans="1:16" x14ac:dyDescent="0.2">
      <c r="A47" s="688">
        <v>1</v>
      </c>
      <c r="B47" s="683"/>
      <c r="C47" s="693" t="s">
        <v>794</v>
      </c>
      <c r="D47" s="683"/>
      <c r="E47" s="718">
        <v>0.56000000000000005</v>
      </c>
      <c r="F47" s="694"/>
      <c r="G47" s="722"/>
      <c r="H47" s="695"/>
      <c r="I47" s="696">
        <f>I56*E47</f>
        <v>26785328.640000004</v>
      </c>
      <c r="J47" s="683"/>
      <c r="K47" s="718">
        <v>7.6200000000000004E-2</v>
      </c>
      <c r="L47" s="694"/>
      <c r="M47" s="722"/>
      <c r="N47" s="695"/>
      <c r="O47" s="696">
        <f>K47*I47</f>
        <v>2041042.0423680004</v>
      </c>
    </row>
    <row r="48" spans="1:16" x14ac:dyDescent="0.2">
      <c r="A48" s="688">
        <v>2</v>
      </c>
      <c r="B48" s="683"/>
      <c r="C48" s="693" t="s">
        <v>795</v>
      </c>
      <c r="D48" s="683"/>
      <c r="E48" s="719">
        <v>0.04</v>
      </c>
      <c r="F48" s="694"/>
      <c r="G48" s="697" t="s">
        <v>453</v>
      </c>
      <c r="H48" s="697"/>
      <c r="I48" s="698">
        <f>I56*E48</f>
        <v>1913237.76</v>
      </c>
      <c r="J48" s="683"/>
      <c r="K48" s="719">
        <v>1.3299999999999999E-2</v>
      </c>
      <c r="L48" s="694"/>
      <c r="M48" s="722"/>
      <c r="N48" s="695"/>
      <c r="O48" s="698">
        <f>K48*I48</f>
        <v>25446.062207999999</v>
      </c>
    </row>
    <row r="49" spans="1:15" ht="13.5" thickBot="1" x14ac:dyDescent="0.25">
      <c r="A49" s="688">
        <v>3</v>
      </c>
      <c r="B49" s="683"/>
      <c r="C49" s="688" t="s">
        <v>796</v>
      </c>
      <c r="D49" s="683"/>
      <c r="E49" s="699">
        <f>SUM(E47:E48)</f>
        <v>0.60000000000000009</v>
      </c>
      <c r="F49" s="700"/>
      <c r="G49" s="699"/>
      <c r="H49" s="700"/>
      <c r="I49" s="701">
        <f>SUM(I47:I48)</f>
        <v>28698566.400000006</v>
      </c>
      <c r="J49" s="683"/>
      <c r="K49" s="702">
        <f>IF(E49=0,0,SUMPRODUCT(E47:E48,K47:K48)/E49)</f>
        <v>7.2006666666666663E-2</v>
      </c>
      <c r="L49" s="694"/>
      <c r="M49" s="724"/>
      <c r="N49" s="703"/>
      <c r="O49" s="701">
        <f>SUM(O47:O48)</f>
        <v>2066488.1045760005</v>
      </c>
    </row>
    <row r="50" spans="1:15" ht="13.5" thickTop="1" x14ac:dyDescent="0.2">
      <c r="A50" s="688"/>
      <c r="B50" s="683"/>
      <c r="C50" s="683"/>
      <c r="D50" s="683"/>
      <c r="E50" s="704"/>
      <c r="F50" s="705"/>
      <c r="G50" s="704"/>
      <c r="H50" s="705"/>
      <c r="I50" s="706"/>
      <c r="J50" s="683"/>
      <c r="K50" s="707"/>
      <c r="L50" s="694"/>
      <c r="M50" s="703"/>
      <c r="N50" s="703"/>
      <c r="O50" s="706"/>
    </row>
    <row r="51" spans="1:15" x14ac:dyDescent="0.2">
      <c r="A51" s="688"/>
      <c r="B51" s="683"/>
      <c r="C51" s="692" t="s">
        <v>797</v>
      </c>
      <c r="D51" s="683"/>
      <c r="E51" s="704"/>
      <c r="F51" s="705"/>
      <c r="G51" s="704"/>
      <c r="H51" s="705"/>
      <c r="I51" s="706"/>
      <c r="J51" s="683"/>
      <c r="K51" s="707"/>
      <c r="L51" s="694"/>
      <c r="M51" s="703"/>
      <c r="N51" s="703"/>
      <c r="O51" s="706"/>
    </row>
    <row r="52" spans="1:15" x14ac:dyDescent="0.2">
      <c r="A52" s="708">
        <v>4</v>
      </c>
      <c r="B52" s="709"/>
      <c r="C52" s="710" t="s">
        <v>798</v>
      </c>
      <c r="D52" s="709"/>
      <c r="E52" s="720">
        <v>0.4</v>
      </c>
      <c r="F52" s="711"/>
      <c r="G52" s="722"/>
      <c r="H52" s="695"/>
      <c r="I52" s="712">
        <f>I56*E52</f>
        <v>19132377.600000001</v>
      </c>
      <c r="J52" s="709"/>
      <c r="K52" s="720">
        <v>8.0100000000000005E-2</v>
      </c>
      <c r="L52" s="711"/>
      <c r="M52" s="722"/>
      <c r="N52" s="695"/>
      <c r="O52" s="712">
        <f>K52*I52</f>
        <v>1532503.4457600003</v>
      </c>
    </row>
    <row r="53" spans="1:15" x14ac:dyDescent="0.2">
      <c r="A53" s="708">
        <v>5</v>
      </c>
      <c r="B53" s="709"/>
      <c r="C53" s="710" t="s">
        <v>799</v>
      </c>
      <c r="D53" s="709"/>
      <c r="E53" s="721">
        <v>0</v>
      </c>
      <c r="F53" s="711"/>
      <c r="G53" s="722"/>
      <c r="H53" s="695"/>
      <c r="I53" s="713">
        <f>$I$31*E53</f>
        <v>0</v>
      </c>
      <c r="J53" s="709"/>
      <c r="K53" s="721">
        <v>0</v>
      </c>
      <c r="L53" s="711"/>
      <c r="M53" s="722"/>
      <c r="N53" s="695"/>
      <c r="O53" s="713">
        <f>K53*I53</f>
        <v>0</v>
      </c>
    </row>
    <row r="54" spans="1:15" ht="13.5" thickBot="1" x14ac:dyDescent="0.25">
      <c r="A54" s="688">
        <v>6</v>
      </c>
      <c r="B54" s="683"/>
      <c r="C54" s="688" t="s">
        <v>800</v>
      </c>
      <c r="D54" s="683"/>
      <c r="E54" s="699">
        <f>SUM(E52:E53)</f>
        <v>0.4</v>
      </c>
      <c r="F54" s="699"/>
      <c r="G54" s="699"/>
      <c r="H54" s="700"/>
      <c r="I54" s="701">
        <f>SUM(I52:I53)</f>
        <v>19132377.600000001</v>
      </c>
      <c r="J54" s="683"/>
      <c r="K54" s="702">
        <f>IF(E54=0,0,SUMPRODUCT(E52:E53,K52:K53)/E54)</f>
        <v>8.0100000000000005E-2</v>
      </c>
      <c r="L54" s="694"/>
      <c r="M54" s="703"/>
      <c r="N54" s="703"/>
      <c r="O54" s="701">
        <f>SUM(O52:O53)</f>
        <v>1532503.4457600003</v>
      </c>
    </row>
    <row r="55" spans="1:15" ht="13.5" thickTop="1" x14ac:dyDescent="0.2">
      <c r="A55" s="688"/>
      <c r="B55" s="683"/>
      <c r="C55" s="683"/>
      <c r="D55" s="683"/>
      <c r="E55" s="683"/>
      <c r="F55" s="683"/>
      <c r="G55" s="683"/>
      <c r="H55" s="683"/>
      <c r="I55" s="706"/>
      <c r="J55" s="683"/>
      <c r="K55" s="707"/>
      <c r="L55" s="707"/>
      <c r="M55" s="703"/>
      <c r="N55" s="703"/>
      <c r="O55" s="706"/>
    </row>
    <row r="56" spans="1:15" ht="13.5" thickBot="1" x14ac:dyDescent="0.25">
      <c r="A56" s="688">
        <v>7</v>
      </c>
      <c r="B56" s="683"/>
      <c r="C56" s="692" t="s">
        <v>439</v>
      </c>
      <c r="D56" s="683"/>
      <c r="E56" s="714">
        <v>1</v>
      </c>
      <c r="F56" s="714"/>
      <c r="G56" s="697" t="s">
        <v>64</v>
      </c>
      <c r="H56" s="715"/>
      <c r="I56" s="723">
        <v>47830944</v>
      </c>
      <c r="J56" s="683"/>
      <c r="K56" s="716">
        <f>(K49*E49)+(K54*E54)</f>
        <v>7.5244000000000005E-2</v>
      </c>
      <c r="L56" s="707"/>
      <c r="M56" s="683"/>
      <c r="N56" s="683"/>
      <c r="O56" s="717">
        <f>O49+O54</f>
        <v>3598991.5503360005</v>
      </c>
    </row>
    <row r="57" spans="1:15" ht="13.5" thickTop="1" x14ac:dyDescent="0.2">
      <c r="A57" s="688"/>
      <c r="B57" s="683"/>
      <c r="C57" s="683"/>
      <c r="D57" s="683"/>
      <c r="E57" s="683"/>
      <c r="F57" s="683"/>
      <c r="G57" s="683"/>
      <c r="H57" s="683"/>
      <c r="I57" s="683"/>
      <c r="J57" s="683"/>
      <c r="K57" s="683"/>
      <c r="L57" s="683"/>
      <c r="M57" s="683"/>
      <c r="N57" s="683"/>
      <c r="O57" s="888"/>
    </row>
    <row r="58" spans="1:15" x14ac:dyDescent="0.2">
      <c r="A58" s="688" t="s">
        <v>106</v>
      </c>
      <c r="B58" s="683"/>
      <c r="C58" s="683"/>
      <c r="D58" s="683"/>
      <c r="E58" s="683"/>
      <c r="F58" s="683"/>
      <c r="G58" s="683"/>
      <c r="H58" s="683"/>
      <c r="I58" s="683"/>
      <c r="J58" s="683"/>
      <c r="K58" s="683"/>
      <c r="L58" s="683"/>
      <c r="M58" s="683"/>
      <c r="N58" s="683"/>
      <c r="O58" s="887"/>
    </row>
    <row r="59" spans="1:15" x14ac:dyDescent="0.2">
      <c r="A59" s="919" t="s">
        <v>64</v>
      </c>
      <c r="B59" s="920"/>
      <c r="C59" s="920" t="s">
        <v>971</v>
      </c>
      <c r="D59" s="920"/>
      <c r="E59" s="920"/>
      <c r="F59" s="920"/>
      <c r="G59" s="920"/>
      <c r="H59" s="920"/>
      <c r="I59" s="920"/>
      <c r="J59" s="920"/>
      <c r="K59" s="920"/>
    </row>
    <row r="62" spans="1:15" x14ac:dyDescent="0.2">
      <c r="A62" s="1472" t="s">
        <v>789</v>
      </c>
      <c r="B62" s="683"/>
      <c r="C62" s="683"/>
      <c r="D62" s="683"/>
      <c r="E62" s="683"/>
      <c r="F62" s="683"/>
      <c r="G62" s="683"/>
      <c r="H62" s="683"/>
      <c r="I62" s="683"/>
      <c r="J62" s="683"/>
      <c r="K62" s="683"/>
      <c r="L62" s="683"/>
      <c r="M62" s="683"/>
      <c r="N62" s="683"/>
      <c r="O62" s="683"/>
    </row>
    <row r="63" spans="1:15" x14ac:dyDescent="0.2">
      <c r="A63" s="1473"/>
      <c r="B63" s="683"/>
      <c r="C63" s="911" t="s">
        <v>790</v>
      </c>
      <c r="D63" s="683"/>
      <c r="E63" s="1474" t="s">
        <v>791</v>
      </c>
      <c r="F63" s="1474"/>
      <c r="G63" s="1474"/>
      <c r="H63" s="1474"/>
      <c r="I63" s="1474"/>
      <c r="J63" s="684"/>
      <c r="K63" s="911" t="s">
        <v>450</v>
      </c>
      <c r="L63" s="685"/>
      <c r="M63" s="683"/>
      <c r="N63" s="683"/>
      <c r="O63" s="911" t="s">
        <v>792</v>
      </c>
    </row>
    <row r="64" spans="1:15" x14ac:dyDescent="0.2">
      <c r="A64" s="686"/>
      <c r="B64" s="683"/>
      <c r="C64" s="683"/>
      <c r="D64" s="683"/>
      <c r="E64" s="683"/>
      <c r="F64" s="683"/>
      <c r="G64" s="683"/>
      <c r="H64" s="683"/>
      <c r="I64" s="687"/>
      <c r="J64" s="687"/>
      <c r="K64" s="683"/>
      <c r="L64" s="683"/>
      <c r="M64" s="683"/>
      <c r="N64" s="683"/>
      <c r="O64" s="683"/>
    </row>
    <row r="65" spans="1:15" x14ac:dyDescent="0.2">
      <c r="A65" s="688"/>
      <c r="B65" s="683"/>
      <c r="C65" s="683"/>
      <c r="D65" s="683"/>
      <c r="E65" s="683"/>
      <c r="F65" s="683"/>
      <c r="G65" s="683"/>
      <c r="H65" s="683"/>
      <c r="I65" s="687"/>
      <c r="J65" s="687"/>
      <c r="K65" s="683"/>
      <c r="L65" s="683"/>
      <c r="M65" s="683"/>
      <c r="N65" s="683"/>
      <c r="O65" s="683"/>
    </row>
    <row r="66" spans="1:15" x14ac:dyDescent="0.2">
      <c r="A66" s="688"/>
      <c r="B66" s="689"/>
      <c r="C66" s="1467" t="s">
        <v>935</v>
      </c>
      <c r="D66" s="1468"/>
      <c r="E66" s="1468"/>
      <c r="F66" s="1468"/>
      <c r="G66" s="1468"/>
      <c r="H66" s="1468"/>
      <c r="I66" s="1468"/>
      <c r="J66" s="1468"/>
      <c r="K66" s="1468"/>
      <c r="L66" s="1468"/>
      <c r="M66" s="1468"/>
      <c r="N66" s="1468"/>
      <c r="O66" s="1469"/>
    </row>
    <row r="67" spans="1:15" x14ac:dyDescent="0.2">
      <c r="A67" s="688"/>
      <c r="B67" s="683"/>
      <c r="C67" s="683"/>
      <c r="D67" s="683"/>
      <c r="E67" s="690" t="s">
        <v>451</v>
      </c>
      <c r="F67" s="691"/>
      <c r="G67" s="691"/>
      <c r="H67" s="691"/>
      <c r="I67" s="690" t="s">
        <v>452</v>
      </c>
      <c r="J67" s="683"/>
      <c r="K67" s="690" t="s">
        <v>451</v>
      </c>
      <c r="L67" s="691"/>
      <c r="M67" s="683"/>
      <c r="N67" s="683"/>
      <c r="O67" s="687" t="s">
        <v>452</v>
      </c>
    </row>
    <row r="68" spans="1:15" x14ac:dyDescent="0.2">
      <c r="A68" s="688"/>
      <c r="B68" s="683"/>
      <c r="C68" s="692" t="s">
        <v>793</v>
      </c>
      <c r="D68" s="683"/>
      <c r="E68" s="683"/>
      <c r="F68" s="683"/>
      <c r="G68" s="683"/>
      <c r="H68" s="683"/>
      <c r="I68" s="683"/>
      <c r="J68" s="683"/>
      <c r="K68" s="683"/>
      <c r="L68" s="683"/>
      <c r="M68" s="683"/>
      <c r="N68" s="683"/>
      <c r="O68" s="683"/>
    </row>
    <row r="69" spans="1:15" x14ac:dyDescent="0.2">
      <c r="A69" s="688">
        <v>1</v>
      </c>
      <c r="B69" s="683"/>
      <c r="C69" s="693" t="s">
        <v>794</v>
      </c>
      <c r="D69" s="683"/>
      <c r="E69" s="718">
        <v>0.56000000000000005</v>
      </c>
      <c r="F69" s="694"/>
      <c r="G69" s="722"/>
      <c r="H69" s="695"/>
      <c r="I69" s="696">
        <f>I78*E69</f>
        <v>26785328.640000004</v>
      </c>
      <c r="J69" s="683"/>
      <c r="K69" s="718">
        <v>7.6200000000000004E-2</v>
      </c>
      <c r="L69" s="694"/>
      <c r="M69" s="722"/>
      <c r="N69" s="695"/>
      <c r="O69" s="696">
        <f>K69*I69</f>
        <v>2041042.0423680004</v>
      </c>
    </row>
    <row r="70" spans="1:15" x14ac:dyDescent="0.2">
      <c r="A70" s="688">
        <v>2</v>
      </c>
      <c r="B70" s="683"/>
      <c r="C70" s="693" t="s">
        <v>795</v>
      </c>
      <c r="D70" s="683"/>
      <c r="E70" s="719">
        <v>0.04</v>
      </c>
      <c r="F70" s="694"/>
      <c r="G70" s="697" t="s">
        <v>453</v>
      </c>
      <c r="H70" s="697"/>
      <c r="I70" s="698">
        <f>I78*E70</f>
        <v>1913237.76</v>
      </c>
      <c r="J70" s="683"/>
      <c r="K70" s="719">
        <v>1.3299999999999999E-2</v>
      </c>
      <c r="L70" s="694"/>
      <c r="M70" s="722"/>
      <c r="N70" s="695"/>
      <c r="O70" s="698">
        <f>K70*I70</f>
        <v>25446.062207999999</v>
      </c>
    </row>
    <row r="71" spans="1:15" ht="13.5" thickBot="1" x14ac:dyDescent="0.25">
      <c r="A71" s="688">
        <v>3</v>
      </c>
      <c r="B71" s="683"/>
      <c r="C71" s="688" t="s">
        <v>796</v>
      </c>
      <c r="D71" s="683"/>
      <c r="E71" s="699">
        <f>SUM(E69:E70)</f>
        <v>0.60000000000000009</v>
      </c>
      <c r="F71" s="700"/>
      <c r="G71" s="699"/>
      <c r="H71" s="700"/>
      <c r="I71" s="701">
        <f>SUM(I69:I70)</f>
        <v>28698566.400000006</v>
      </c>
      <c r="J71" s="683"/>
      <c r="K71" s="702">
        <f>IF(E71=0,0,SUMPRODUCT(E69:E70,K69:K70)/E71)</f>
        <v>7.2006666666666663E-2</v>
      </c>
      <c r="L71" s="694"/>
      <c r="M71" s="724"/>
      <c r="N71" s="703"/>
      <c r="O71" s="701">
        <f>SUM(O69:O70)</f>
        <v>2066488.1045760005</v>
      </c>
    </row>
    <row r="72" spans="1:15" ht="13.5" thickTop="1" x14ac:dyDescent="0.2">
      <c r="A72" s="688"/>
      <c r="B72" s="683"/>
      <c r="C72" s="683"/>
      <c r="D72" s="683"/>
      <c r="E72" s="704"/>
      <c r="F72" s="705"/>
      <c r="G72" s="704"/>
      <c r="H72" s="705"/>
      <c r="I72" s="706"/>
      <c r="J72" s="683"/>
      <c r="K72" s="707"/>
      <c r="L72" s="694"/>
      <c r="M72" s="703"/>
      <c r="N72" s="703"/>
      <c r="O72" s="706"/>
    </row>
    <row r="73" spans="1:15" x14ac:dyDescent="0.2">
      <c r="A73" s="688"/>
      <c r="B73" s="683"/>
      <c r="C73" s="692" t="s">
        <v>797</v>
      </c>
      <c r="D73" s="683"/>
      <c r="E73" s="704"/>
      <c r="F73" s="705"/>
      <c r="G73" s="704"/>
      <c r="H73" s="705"/>
      <c r="I73" s="706"/>
      <c r="J73" s="683"/>
      <c r="K73" s="707"/>
      <c r="L73" s="694"/>
      <c r="M73" s="703"/>
      <c r="N73" s="703"/>
      <c r="O73" s="706"/>
    </row>
    <row r="74" spans="1:15" x14ac:dyDescent="0.2">
      <c r="A74" s="708">
        <v>4</v>
      </c>
      <c r="B74" s="709"/>
      <c r="C74" s="710" t="s">
        <v>798</v>
      </c>
      <c r="D74" s="709"/>
      <c r="E74" s="720">
        <v>0.4</v>
      </c>
      <c r="F74" s="711"/>
      <c r="G74" s="722"/>
      <c r="H74" s="695"/>
      <c r="I74" s="712">
        <f>I78*E74</f>
        <v>19132377.600000001</v>
      </c>
      <c r="J74" s="709"/>
      <c r="K74" s="720">
        <v>8.0100000000000005E-2</v>
      </c>
      <c r="L74" s="711"/>
      <c r="M74" s="722"/>
      <c r="N74" s="695"/>
      <c r="O74" s="712">
        <f>K74*I74</f>
        <v>1532503.4457600003</v>
      </c>
    </row>
    <row r="75" spans="1:15" x14ac:dyDescent="0.2">
      <c r="A75" s="708">
        <v>5</v>
      </c>
      <c r="B75" s="709"/>
      <c r="C75" s="710" t="s">
        <v>799</v>
      </c>
      <c r="D75" s="709"/>
      <c r="E75" s="721">
        <v>0</v>
      </c>
      <c r="F75" s="711"/>
      <c r="G75" s="722"/>
      <c r="H75" s="695"/>
      <c r="I75" s="713">
        <f>$I$31*E75</f>
        <v>0</v>
      </c>
      <c r="J75" s="709"/>
      <c r="K75" s="721">
        <v>0</v>
      </c>
      <c r="L75" s="711"/>
      <c r="M75" s="722"/>
      <c r="N75" s="695"/>
      <c r="O75" s="713">
        <f>K75*I75</f>
        <v>0</v>
      </c>
    </row>
    <row r="76" spans="1:15" ht="13.5" thickBot="1" x14ac:dyDescent="0.25">
      <c r="A76" s="688">
        <v>6</v>
      </c>
      <c r="B76" s="683"/>
      <c r="C76" s="688" t="s">
        <v>800</v>
      </c>
      <c r="D76" s="683"/>
      <c r="E76" s="699">
        <f>SUM(E74:E75)</f>
        <v>0.4</v>
      </c>
      <c r="F76" s="699"/>
      <c r="G76" s="699"/>
      <c r="H76" s="700"/>
      <c r="I76" s="701">
        <f>SUM(I74:I75)</f>
        <v>19132377.600000001</v>
      </c>
      <c r="J76" s="683"/>
      <c r="K76" s="702">
        <f>IF(E76=0,0,SUMPRODUCT(E74:E75,K74:K75)/E76)</f>
        <v>8.0100000000000005E-2</v>
      </c>
      <c r="L76" s="694"/>
      <c r="M76" s="703"/>
      <c r="N76" s="703"/>
      <c r="O76" s="701">
        <f>SUM(O74:O75)</f>
        <v>1532503.4457600003</v>
      </c>
    </row>
    <row r="77" spans="1:15" ht="13.5" thickTop="1" x14ac:dyDescent="0.2">
      <c r="A77" s="688"/>
      <c r="B77" s="683"/>
      <c r="C77" s="683"/>
      <c r="D77" s="683"/>
      <c r="E77" s="683"/>
      <c r="F77" s="683"/>
      <c r="G77" s="683"/>
      <c r="H77" s="683"/>
      <c r="I77" s="706"/>
      <c r="J77" s="683"/>
      <c r="K77" s="707"/>
      <c r="L77" s="707"/>
      <c r="M77" s="703"/>
      <c r="N77" s="703"/>
      <c r="O77" s="706"/>
    </row>
    <row r="78" spans="1:15" ht="13.5" thickBot="1" x14ac:dyDescent="0.25">
      <c r="A78" s="688">
        <v>7</v>
      </c>
      <c r="B78" s="683"/>
      <c r="C78" s="692" t="s">
        <v>439</v>
      </c>
      <c r="D78" s="683"/>
      <c r="E78" s="714">
        <v>1</v>
      </c>
      <c r="F78" s="714"/>
      <c r="G78" s="697" t="s">
        <v>64</v>
      </c>
      <c r="H78" s="715"/>
      <c r="I78" s="723">
        <v>47830944</v>
      </c>
      <c r="J78" s="683"/>
      <c r="K78" s="716">
        <f>(K71*E71)+(K76*E76)</f>
        <v>7.5244000000000005E-2</v>
      </c>
      <c r="L78" s="707"/>
      <c r="M78" s="683"/>
      <c r="N78" s="683"/>
      <c r="O78" s="717">
        <f>O71+O76</f>
        <v>3598991.5503360005</v>
      </c>
    </row>
    <row r="79" spans="1:15" ht="13.5" thickTop="1" x14ac:dyDescent="0.2">
      <c r="A79" s="688"/>
      <c r="B79" s="683"/>
      <c r="C79" s="683"/>
      <c r="D79" s="683"/>
      <c r="E79" s="683"/>
      <c r="F79" s="683"/>
      <c r="G79" s="683"/>
      <c r="H79" s="683"/>
      <c r="I79" s="683"/>
      <c r="J79" s="683"/>
      <c r="K79" s="683"/>
      <c r="L79" s="683"/>
      <c r="M79" s="683"/>
      <c r="N79" s="683"/>
      <c r="O79" s="888"/>
    </row>
    <row r="80" spans="1:15" x14ac:dyDescent="0.2">
      <c r="A80" s="688" t="s">
        <v>106</v>
      </c>
      <c r="B80" s="683"/>
      <c r="C80" s="683"/>
      <c r="D80" s="683"/>
      <c r="E80" s="683"/>
      <c r="F80" s="683"/>
      <c r="G80" s="683"/>
      <c r="H80" s="683"/>
      <c r="I80" s="683"/>
      <c r="J80" s="683"/>
      <c r="K80" s="683"/>
      <c r="L80" s="683"/>
      <c r="M80" s="683"/>
      <c r="N80" s="683"/>
      <c r="O80" s="887"/>
    </row>
    <row r="81" spans="1:15" x14ac:dyDescent="0.2">
      <c r="A81" s="919" t="s">
        <v>64</v>
      </c>
      <c r="B81" s="920"/>
      <c r="C81" s="920" t="s">
        <v>971</v>
      </c>
      <c r="D81" s="920"/>
      <c r="E81" s="920"/>
      <c r="F81" s="920"/>
      <c r="G81" s="920"/>
      <c r="H81" s="920"/>
      <c r="I81" s="920"/>
      <c r="J81" s="920"/>
      <c r="K81" s="920"/>
    </row>
    <row r="84" spans="1:15" x14ac:dyDescent="0.2">
      <c r="A84" s="1472" t="s">
        <v>789</v>
      </c>
      <c r="B84" s="683"/>
      <c r="C84" s="683"/>
      <c r="D84" s="683"/>
      <c r="E84" s="683"/>
      <c r="F84" s="683"/>
      <c r="G84" s="683"/>
      <c r="H84" s="683"/>
      <c r="I84" s="683"/>
      <c r="J84" s="683"/>
      <c r="K84" s="683"/>
      <c r="L84" s="683"/>
      <c r="M84" s="683"/>
      <c r="N84" s="683"/>
      <c r="O84" s="683"/>
    </row>
    <row r="85" spans="1:15" x14ac:dyDescent="0.2">
      <c r="A85" s="1473"/>
      <c r="B85" s="683"/>
      <c r="C85" s="911" t="s">
        <v>790</v>
      </c>
      <c r="D85" s="683"/>
      <c r="E85" s="1474" t="s">
        <v>791</v>
      </c>
      <c r="F85" s="1474"/>
      <c r="G85" s="1474"/>
      <c r="H85" s="1474"/>
      <c r="I85" s="1474"/>
      <c r="J85" s="684"/>
      <c r="K85" s="911" t="s">
        <v>450</v>
      </c>
      <c r="L85" s="685"/>
      <c r="M85" s="683"/>
      <c r="N85" s="683"/>
      <c r="O85" s="911" t="s">
        <v>792</v>
      </c>
    </row>
    <row r="86" spans="1:15" x14ac:dyDescent="0.2">
      <c r="A86" s="686"/>
      <c r="B86" s="683"/>
      <c r="C86" s="683"/>
      <c r="D86" s="683"/>
      <c r="E86" s="683"/>
      <c r="F86" s="683"/>
      <c r="G86" s="683"/>
      <c r="H86" s="683"/>
      <c r="I86" s="687"/>
      <c r="J86" s="687"/>
      <c r="K86" s="683"/>
      <c r="L86" s="683"/>
      <c r="M86" s="683"/>
      <c r="N86" s="683"/>
      <c r="O86" s="683"/>
    </row>
    <row r="87" spans="1:15" x14ac:dyDescent="0.2">
      <c r="A87" s="688"/>
      <c r="B87" s="683"/>
      <c r="C87" s="683"/>
      <c r="D87" s="683"/>
      <c r="E87" s="683"/>
      <c r="F87" s="683"/>
      <c r="G87" s="683"/>
      <c r="H87" s="683"/>
      <c r="I87" s="687"/>
      <c r="J87" s="687"/>
      <c r="K87" s="683"/>
      <c r="L87" s="683"/>
      <c r="M87" s="683"/>
      <c r="N87" s="683"/>
      <c r="O87" s="683"/>
    </row>
    <row r="88" spans="1:15" x14ac:dyDescent="0.2">
      <c r="A88" s="688"/>
      <c r="B88" s="689"/>
      <c r="C88" s="1467" t="s">
        <v>972</v>
      </c>
      <c r="D88" s="1468"/>
      <c r="E88" s="1468"/>
      <c r="F88" s="1468"/>
      <c r="G88" s="1468"/>
      <c r="H88" s="1468"/>
      <c r="I88" s="1468"/>
      <c r="J88" s="1468"/>
      <c r="K88" s="1468"/>
      <c r="L88" s="1468"/>
      <c r="M88" s="1468"/>
      <c r="N88" s="1468"/>
      <c r="O88" s="1469"/>
    </row>
    <row r="89" spans="1:15" x14ac:dyDescent="0.2">
      <c r="A89" s="688"/>
      <c r="B89" s="683"/>
      <c r="C89" s="683"/>
      <c r="D89" s="683"/>
      <c r="E89" s="690" t="s">
        <v>451</v>
      </c>
      <c r="F89" s="691"/>
      <c r="G89" s="691"/>
      <c r="H89" s="691"/>
      <c r="I89" s="690" t="s">
        <v>452</v>
      </c>
      <c r="J89" s="683"/>
      <c r="K89" s="690" t="s">
        <v>451</v>
      </c>
      <c r="L89" s="691"/>
      <c r="M89" s="683"/>
      <c r="N89" s="683"/>
      <c r="O89" s="687" t="s">
        <v>452</v>
      </c>
    </row>
    <row r="90" spans="1:15" x14ac:dyDescent="0.2">
      <c r="A90" s="688"/>
      <c r="B90" s="683"/>
      <c r="C90" s="692" t="s">
        <v>793</v>
      </c>
      <c r="D90" s="683"/>
      <c r="E90" s="683"/>
      <c r="F90" s="683"/>
      <c r="G90" s="683"/>
      <c r="H90" s="683"/>
      <c r="I90" s="683"/>
      <c r="J90" s="683"/>
      <c r="K90" s="683"/>
      <c r="L90" s="683"/>
      <c r="M90" s="683"/>
      <c r="N90" s="683"/>
      <c r="O90" s="683"/>
    </row>
    <row r="91" spans="1:15" x14ac:dyDescent="0.2">
      <c r="A91" s="688">
        <v>1</v>
      </c>
      <c r="B91" s="683"/>
      <c r="C91" s="693" t="s">
        <v>794</v>
      </c>
      <c r="D91" s="683"/>
      <c r="E91" s="718">
        <v>0.56000000000000005</v>
      </c>
      <c r="F91" s="694"/>
      <c r="G91" s="921" t="s">
        <v>65</v>
      </c>
      <c r="H91" s="695"/>
      <c r="I91" s="696">
        <f>I100*E91</f>
        <v>26785328.640000004</v>
      </c>
      <c r="J91" s="683"/>
      <c r="K91" s="718">
        <v>7.6200000000000004E-2</v>
      </c>
      <c r="L91" s="694"/>
      <c r="M91" s="722"/>
      <c r="N91" s="695"/>
      <c r="O91" s="696">
        <f>K91*I91</f>
        <v>2041042.0423680004</v>
      </c>
    </row>
    <row r="92" spans="1:15" x14ac:dyDescent="0.2">
      <c r="A92" s="688">
        <v>2</v>
      </c>
      <c r="B92" s="683"/>
      <c r="C92" s="693" t="s">
        <v>795</v>
      </c>
      <c r="D92" s="683"/>
      <c r="E92" s="719">
        <v>0.04</v>
      </c>
      <c r="F92" s="694"/>
      <c r="G92" s="697"/>
      <c r="H92" s="697"/>
      <c r="I92" s="698">
        <f>I100*E92</f>
        <v>1913237.76</v>
      </c>
      <c r="J92" s="683"/>
      <c r="K92" s="719">
        <v>1.3299999999999999E-2</v>
      </c>
      <c r="L92" s="694"/>
      <c r="M92" s="722"/>
      <c r="N92" s="695"/>
      <c r="O92" s="698">
        <f>K92*I92</f>
        <v>25446.062207999999</v>
      </c>
    </row>
    <row r="93" spans="1:15" ht="13.5" thickBot="1" x14ac:dyDescent="0.25">
      <c r="A93" s="688">
        <v>3</v>
      </c>
      <c r="B93" s="683"/>
      <c r="C93" s="688" t="s">
        <v>796</v>
      </c>
      <c r="D93" s="683"/>
      <c r="E93" s="699">
        <f>SUM(E91:E92)</f>
        <v>0.60000000000000009</v>
      </c>
      <c r="F93" s="700"/>
      <c r="G93" s="699"/>
      <c r="H93" s="700"/>
      <c r="I93" s="701">
        <f>SUM(I91:I92)</f>
        <v>28698566.400000006</v>
      </c>
      <c r="J93" s="683"/>
      <c r="K93" s="702">
        <f>IF(E93=0,0,SUMPRODUCT(E91:E92,K91:K92)/E93)</f>
        <v>7.2006666666666663E-2</v>
      </c>
      <c r="L93" s="694"/>
      <c r="M93" s="724"/>
      <c r="N93" s="703"/>
      <c r="O93" s="701">
        <f>SUM(O91:O92)</f>
        <v>2066488.1045760005</v>
      </c>
    </row>
    <row r="94" spans="1:15" ht="13.5" thickTop="1" x14ac:dyDescent="0.2">
      <c r="A94" s="688"/>
      <c r="B94" s="683"/>
      <c r="C94" s="683"/>
      <c r="D94" s="683"/>
      <c r="E94" s="704"/>
      <c r="F94" s="705"/>
      <c r="G94" s="704"/>
      <c r="H94" s="705"/>
      <c r="I94" s="706"/>
      <c r="J94" s="683"/>
      <c r="K94" s="707"/>
      <c r="L94" s="694"/>
      <c r="M94" s="703"/>
      <c r="N94" s="703"/>
      <c r="O94" s="706"/>
    </row>
    <row r="95" spans="1:15" x14ac:dyDescent="0.2">
      <c r="A95" s="688"/>
      <c r="B95" s="683"/>
      <c r="C95" s="692" t="s">
        <v>797</v>
      </c>
      <c r="D95" s="683"/>
      <c r="E95" s="704"/>
      <c r="F95" s="705"/>
      <c r="G95" s="704"/>
      <c r="H95" s="705"/>
      <c r="I95" s="706"/>
      <c r="J95" s="683"/>
      <c r="K95" s="707"/>
      <c r="L95" s="694"/>
      <c r="M95" s="703"/>
      <c r="N95" s="703"/>
      <c r="O95" s="706"/>
    </row>
    <row r="96" spans="1:15" x14ac:dyDescent="0.2">
      <c r="A96" s="708">
        <v>4</v>
      </c>
      <c r="B96" s="709"/>
      <c r="C96" s="710" t="s">
        <v>798</v>
      </c>
      <c r="D96" s="709"/>
      <c r="E96" s="720">
        <v>0.4</v>
      </c>
      <c r="F96" s="711"/>
      <c r="G96" s="722"/>
      <c r="H96" s="695"/>
      <c r="I96" s="712">
        <f>I100*E96</f>
        <v>19132377.600000001</v>
      </c>
      <c r="J96" s="709"/>
      <c r="K96" s="720">
        <v>8.0100000000000005E-2</v>
      </c>
      <c r="L96" s="711"/>
      <c r="M96" s="722"/>
      <c r="N96" s="695"/>
      <c r="O96" s="712">
        <f>K96*I96</f>
        <v>1532503.4457600003</v>
      </c>
    </row>
    <row r="97" spans="1:15" x14ac:dyDescent="0.2">
      <c r="A97" s="708">
        <v>5</v>
      </c>
      <c r="B97" s="709"/>
      <c r="C97" s="710" t="s">
        <v>799</v>
      </c>
      <c r="D97" s="709"/>
      <c r="E97" s="721">
        <v>0</v>
      </c>
      <c r="F97" s="711"/>
      <c r="G97" s="722"/>
      <c r="H97" s="695"/>
      <c r="I97" s="713">
        <f>$I$31*E97</f>
        <v>0</v>
      </c>
      <c r="J97" s="709"/>
      <c r="K97" s="721">
        <v>0</v>
      </c>
      <c r="L97" s="711"/>
      <c r="M97" s="722"/>
      <c r="N97" s="695"/>
      <c r="O97" s="713">
        <f>K97*I97</f>
        <v>0</v>
      </c>
    </row>
    <row r="98" spans="1:15" ht="13.5" thickBot="1" x14ac:dyDescent="0.25">
      <c r="A98" s="688">
        <v>6</v>
      </c>
      <c r="B98" s="683"/>
      <c r="C98" s="688" t="s">
        <v>800</v>
      </c>
      <c r="D98" s="683"/>
      <c r="E98" s="699">
        <f>SUM(E96:E97)</f>
        <v>0.4</v>
      </c>
      <c r="F98" s="699"/>
      <c r="G98" s="699"/>
      <c r="H98" s="700"/>
      <c r="I98" s="701">
        <f>SUM(I96:I97)</f>
        <v>19132377.600000001</v>
      </c>
      <c r="J98" s="683"/>
      <c r="K98" s="702">
        <f>IF(E98=0,0,SUMPRODUCT(E96:E97,K96:K97)/E98)</f>
        <v>8.0100000000000005E-2</v>
      </c>
      <c r="L98" s="694"/>
      <c r="M98" s="703"/>
      <c r="N98" s="703"/>
      <c r="O98" s="701">
        <f>SUM(O96:O97)</f>
        <v>1532503.4457600003</v>
      </c>
    </row>
    <row r="99" spans="1:15" ht="13.5" thickTop="1" x14ac:dyDescent="0.2">
      <c r="A99" s="688"/>
      <c r="B99" s="683"/>
      <c r="C99" s="683"/>
      <c r="D99" s="683"/>
      <c r="E99" s="683"/>
      <c r="F99" s="683"/>
      <c r="G99" s="683"/>
      <c r="H99" s="683"/>
      <c r="I99" s="706"/>
      <c r="J99" s="683"/>
      <c r="K99" s="707"/>
      <c r="L99" s="707"/>
      <c r="M99" s="703"/>
      <c r="N99" s="703"/>
      <c r="O99" s="706"/>
    </row>
    <row r="100" spans="1:15" ht="13.5" thickBot="1" x14ac:dyDescent="0.25">
      <c r="A100" s="688">
        <v>7</v>
      </c>
      <c r="B100" s="683"/>
      <c r="C100" s="692" t="s">
        <v>439</v>
      </c>
      <c r="D100" s="683"/>
      <c r="E100" s="714">
        <v>1</v>
      </c>
      <c r="F100" s="714"/>
      <c r="G100" s="697" t="s">
        <v>64</v>
      </c>
      <c r="H100" s="715"/>
      <c r="I100" s="723">
        <v>47830944</v>
      </c>
      <c r="J100" s="683"/>
      <c r="K100" s="716">
        <f>(K93*E93)+(K98*E98)</f>
        <v>7.5244000000000005E-2</v>
      </c>
      <c r="L100" s="707"/>
      <c r="M100" s="683"/>
      <c r="N100" s="683"/>
      <c r="O100" s="717">
        <f>O93+O98</f>
        <v>3598991.5503360005</v>
      </c>
    </row>
    <row r="101" spans="1:15" ht="13.5" thickTop="1" x14ac:dyDescent="0.2">
      <c r="A101" s="688"/>
      <c r="B101" s="683"/>
      <c r="C101" s="683"/>
      <c r="D101" s="683"/>
      <c r="E101" s="683"/>
      <c r="F101" s="683"/>
      <c r="G101" s="683"/>
      <c r="H101" s="683"/>
      <c r="I101" s="683"/>
      <c r="J101" s="683"/>
      <c r="K101" s="683"/>
      <c r="L101" s="683"/>
      <c r="M101" s="683"/>
      <c r="N101" s="683"/>
      <c r="O101" s="888"/>
    </row>
    <row r="102" spans="1:15" x14ac:dyDescent="0.2">
      <c r="A102" s="688" t="s">
        <v>106</v>
      </c>
      <c r="B102" s="683"/>
      <c r="C102" s="683"/>
      <c r="D102" s="683"/>
      <c r="E102" s="683"/>
      <c r="F102" s="683"/>
      <c r="G102" s="683"/>
      <c r="H102" s="683"/>
      <c r="I102" s="683"/>
      <c r="J102" s="683"/>
      <c r="K102" s="683"/>
      <c r="L102" s="683"/>
      <c r="M102" s="683"/>
      <c r="N102" s="683"/>
      <c r="O102" s="887"/>
    </row>
    <row r="103" spans="1:15" x14ac:dyDescent="0.2">
      <c r="A103" s="919" t="s">
        <v>64</v>
      </c>
      <c r="B103" s="920"/>
      <c r="C103" s="920" t="s">
        <v>971</v>
      </c>
      <c r="D103" s="920"/>
      <c r="E103" s="920"/>
      <c r="F103" s="920"/>
      <c r="G103" s="920"/>
      <c r="H103" s="920"/>
      <c r="I103" s="920"/>
      <c r="J103" s="920"/>
      <c r="K103" s="920"/>
    </row>
    <row r="104" spans="1:15" x14ac:dyDescent="0.2">
      <c r="A104" s="919" t="s">
        <v>65</v>
      </c>
      <c r="C104" s="920" t="s">
        <v>973</v>
      </c>
    </row>
    <row r="106" spans="1:15" x14ac:dyDescent="0.2">
      <c r="A106" s="1472" t="s">
        <v>789</v>
      </c>
      <c r="B106" s="683"/>
      <c r="C106" s="683"/>
      <c r="D106" s="683"/>
      <c r="E106" s="683"/>
      <c r="F106" s="683"/>
      <c r="G106" s="683"/>
      <c r="H106" s="683"/>
      <c r="I106" s="683"/>
      <c r="J106" s="683"/>
      <c r="K106" s="683"/>
      <c r="L106" s="683"/>
      <c r="M106" s="683"/>
      <c r="N106" s="683"/>
      <c r="O106" s="683"/>
    </row>
    <row r="107" spans="1:15" x14ac:dyDescent="0.2">
      <c r="A107" s="1473"/>
      <c r="B107" s="683"/>
      <c r="C107" s="911" t="s">
        <v>790</v>
      </c>
      <c r="D107" s="683"/>
      <c r="E107" s="1474" t="s">
        <v>791</v>
      </c>
      <c r="F107" s="1474"/>
      <c r="G107" s="1474"/>
      <c r="H107" s="1474"/>
      <c r="I107" s="1474"/>
      <c r="J107" s="684"/>
      <c r="K107" s="911" t="s">
        <v>450</v>
      </c>
      <c r="L107" s="685"/>
      <c r="M107" s="683"/>
      <c r="N107" s="683"/>
      <c r="O107" s="911" t="s">
        <v>792</v>
      </c>
    </row>
    <row r="108" spans="1:15" x14ac:dyDescent="0.2">
      <c r="A108" s="686"/>
      <c r="B108" s="683"/>
      <c r="C108" s="683"/>
      <c r="D108" s="683"/>
      <c r="E108" s="683"/>
      <c r="F108" s="683"/>
      <c r="G108" s="683"/>
      <c r="H108" s="683"/>
      <c r="I108" s="687"/>
      <c r="J108" s="687"/>
      <c r="K108" s="683"/>
      <c r="L108" s="683"/>
      <c r="M108" s="683"/>
      <c r="N108" s="683"/>
      <c r="O108" s="683"/>
    </row>
    <row r="109" spans="1:15" x14ac:dyDescent="0.2">
      <c r="A109" s="688"/>
      <c r="B109" s="683"/>
      <c r="C109" s="683"/>
      <c r="D109" s="683"/>
      <c r="E109" s="683"/>
      <c r="F109" s="683"/>
      <c r="G109" s="683"/>
      <c r="H109" s="683"/>
      <c r="I109" s="687"/>
      <c r="J109" s="687"/>
      <c r="K109" s="683"/>
      <c r="L109" s="683"/>
      <c r="M109" s="683"/>
      <c r="N109" s="683"/>
      <c r="O109" s="683"/>
    </row>
    <row r="110" spans="1:15" x14ac:dyDescent="0.2">
      <c r="A110" s="688"/>
      <c r="B110" s="689"/>
      <c r="C110" s="1467" t="s">
        <v>938</v>
      </c>
      <c r="D110" s="1468"/>
      <c r="E110" s="1468"/>
      <c r="F110" s="1468"/>
      <c r="G110" s="1468"/>
      <c r="H110" s="1468"/>
      <c r="I110" s="1468"/>
      <c r="J110" s="1468"/>
      <c r="K110" s="1468"/>
      <c r="L110" s="1468"/>
      <c r="M110" s="1468"/>
      <c r="N110" s="1468"/>
      <c r="O110" s="1469"/>
    </row>
    <row r="111" spans="1:15" x14ac:dyDescent="0.2">
      <c r="A111" s="688"/>
      <c r="B111" s="683"/>
      <c r="C111" s="683"/>
      <c r="D111" s="683"/>
      <c r="E111" s="690" t="s">
        <v>451</v>
      </c>
      <c r="F111" s="691"/>
      <c r="G111" s="691"/>
      <c r="H111" s="691"/>
      <c r="I111" s="690" t="s">
        <v>452</v>
      </c>
      <c r="J111" s="683"/>
      <c r="K111" s="690" t="s">
        <v>451</v>
      </c>
      <c r="L111" s="691"/>
      <c r="M111" s="683"/>
      <c r="N111" s="683"/>
      <c r="O111" s="687" t="s">
        <v>452</v>
      </c>
    </row>
    <row r="112" spans="1:15" x14ac:dyDescent="0.2">
      <c r="A112" s="688"/>
      <c r="B112" s="683"/>
      <c r="C112" s="692" t="s">
        <v>793</v>
      </c>
      <c r="D112" s="683"/>
      <c r="E112" s="683"/>
      <c r="F112" s="683"/>
      <c r="G112" s="683"/>
      <c r="H112" s="683"/>
      <c r="I112" s="683"/>
      <c r="J112" s="683"/>
      <c r="K112" s="683"/>
      <c r="L112" s="683"/>
      <c r="M112" s="683"/>
      <c r="N112" s="683"/>
      <c r="O112" s="683"/>
    </row>
    <row r="113" spans="1:15" x14ac:dyDescent="0.2">
      <c r="A113" s="688">
        <v>1</v>
      </c>
      <c r="B113" s="683"/>
      <c r="C113" s="693" t="s">
        <v>794</v>
      </c>
      <c r="D113" s="683"/>
      <c r="E113" s="718">
        <v>0.52666666600000001</v>
      </c>
      <c r="F113" s="694"/>
      <c r="G113" s="722"/>
      <c r="H113" s="695"/>
      <c r="I113" s="696">
        <f>I122*E113</f>
        <v>25190963.808112703</v>
      </c>
      <c r="J113" s="683"/>
      <c r="K113" s="718">
        <v>7.6200000000000004E-2</v>
      </c>
      <c r="L113" s="694"/>
      <c r="M113" s="722"/>
      <c r="N113" s="695"/>
      <c r="O113" s="696">
        <f>K113*I113</f>
        <v>1919551.4421781881</v>
      </c>
    </row>
    <row r="114" spans="1:15" x14ac:dyDescent="0.2">
      <c r="A114" s="688">
        <v>2</v>
      </c>
      <c r="B114" s="683"/>
      <c r="C114" s="693" t="s">
        <v>795</v>
      </c>
      <c r="D114" s="683"/>
      <c r="E114" s="719">
        <v>0.04</v>
      </c>
      <c r="F114" s="694"/>
      <c r="G114" s="697"/>
      <c r="H114" s="697"/>
      <c r="I114" s="698">
        <f>I122*E114</f>
        <v>1913237.76</v>
      </c>
      <c r="J114" s="683"/>
      <c r="K114" s="719">
        <v>1.3299999999999999E-2</v>
      </c>
      <c r="L114" s="694"/>
      <c r="M114" s="722"/>
      <c r="N114" s="695"/>
      <c r="O114" s="698">
        <f>K114*I114</f>
        <v>25446.062207999999</v>
      </c>
    </row>
    <row r="115" spans="1:15" ht="13.5" thickBot="1" x14ac:dyDescent="0.25">
      <c r="A115" s="688">
        <v>3</v>
      </c>
      <c r="B115" s="683"/>
      <c r="C115" s="688" t="s">
        <v>796</v>
      </c>
      <c r="D115" s="683"/>
      <c r="E115" s="699">
        <f>SUM(E113:E114)</f>
        <v>0.56666666600000004</v>
      </c>
      <c r="F115" s="700"/>
      <c r="G115" s="699"/>
      <c r="H115" s="700"/>
      <c r="I115" s="701">
        <f>SUM(I113:I114)</f>
        <v>27104201.568112705</v>
      </c>
      <c r="J115" s="683"/>
      <c r="K115" s="702">
        <f>IF(E115=0,0,SUMPRODUCT(E113:E114,K113:K114)/E115)</f>
        <v>7.1759999994776474E-2</v>
      </c>
      <c r="L115" s="694"/>
      <c r="M115" s="724"/>
      <c r="N115" s="703"/>
      <c r="O115" s="701">
        <f>SUM(O113:O114)</f>
        <v>1944997.5043861882</v>
      </c>
    </row>
    <row r="116" spans="1:15" ht="13.5" thickTop="1" x14ac:dyDescent="0.2">
      <c r="A116" s="688"/>
      <c r="B116" s="683"/>
      <c r="C116" s="683"/>
      <c r="D116" s="683"/>
      <c r="E116" s="704"/>
      <c r="F116" s="705"/>
      <c r="G116" s="704"/>
      <c r="H116" s="705"/>
      <c r="I116" s="706"/>
      <c r="J116" s="683"/>
      <c r="K116" s="707"/>
      <c r="L116" s="694"/>
      <c r="M116" s="703"/>
      <c r="N116" s="703"/>
      <c r="O116" s="706"/>
    </row>
    <row r="117" spans="1:15" x14ac:dyDescent="0.2">
      <c r="A117" s="688"/>
      <c r="B117" s="683"/>
      <c r="C117" s="692" t="s">
        <v>797</v>
      </c>
      <c r="D117" s="683"/>
      <c r="E117" s="704"/>
      <c r="F117" s="705"/>
      <c r="G117" s="704"/>
      <c r="H117" s="705"/>
      <c r="I117" s="706"/>
      <c r="J117" s="683"/>
      <c r="K117" s="707"/>
      <c r="L117" s="694"/>
      <c r="M117" s="703"/>
      <c r="N117" s="703"/>
      <c r="O117" s="706"/>
    </row>
    <row r="118" spans="1:15" x14ac:dyDescent="0.2">
      <c r="A118" s="708">
        <v>4</v>
      </c>
      <c r="B118" s="709"/>
      <c r="C118" s="710" t="s">
        <v>798</v>
      </c>
      <c r="D118" s="709"/>
      <c r="E118" s="720">
        <v>0.43333333333000001</v>
      </c>
      <c r="F118" s="711"/>
      <c r="G118" s="722"/>
      <c r="H118" s="695"/>
      <c r="I118" s="712">
        <f>I122*E118</f>
        <v>20726742.399840564</v>
      </c>
      <c r="J118" s="709"/>
      <c r="K118" s="720">
        <v>8.0100000000000005E-2</v>
      </c>
      <c r="L118" s="711"/>
      <c r="M118" s="722"/>
      <c r="N118" s="695"/>
      <c r="O118" s="712">
        <f>K118*I118</f>
        <v>1660212.0662272293</v>
      </c>
    </row>
    <row r="119" spans="1:15" x14ac:dyDescent="0.2">
      <c r="A119" s="708">
        <v>5</v>
      </c>
      <c r="B119" s="709"/>
      <c r="C119" s="710" t="s">
        <v>799</v>
      </c>
      <c r="D119" s="709"/>
      <c r="E119" s="721">
        <v>0</v>
      </c>
      <c r="F119" s="711"/>
      <c r="G119" s="722"/>
      <c r="H119" s="695"/>
      <c r="I119" s="713">
        <f>$I$31*E119</f>
        <v>0</v>
      </c>
      <c r="J119" s="709"/>
      <c r="K119" s="721">
        <v>0</v>
      </c>
      <c r="L119" s="711"/>
      <c r="M119" s="722"/>
      <c r="N119" s="695"/>
      <c r="O119" s="713">
        <f>K119*I119</f>
        <v>0</v>
      </c>
    </row>
    <row r="120" spans="1:15" ht="13.5" thickBot="1" x14ac:dyDescent="0.25">
      <c r="A120" s="688">
        <v>6</v>
      </c>
      <c r="B120" s="683"/>
      <c r="C120" s="688" t="s">
        <v>800</v>
      </c>
      <c r="D120" s="683"/>
      <c r="E120" s="699">
        <f>SUM(E118:E119)</f>
        <v>0.43333333333000001</v>
      </c>
      <c r="F120" s="699"/>
      <c r="G120" s="699"/>
      <c r="H120" s="700"/>
      <c r="I120" s="701">
        <f>SUM(I118:I119)</f>
        <v>20726742.399840564</v>
      </c>
      <c r="J120" s="683"/>
      <c r="K120" s="702">
        <f>IF(E120=0,0,SUMPRODUCT(E118:E119,K118:K119)/E120)</f>
        <v>8.0100000000000005E-2</v>
      </c>
      <c r="L120" s="694"/>
      <c r="M120" s="703"/>
      <c r="N120" s="703"/>
      <c r="O120" s="701">
        <f>SUM(O118:O119)</f>
        <v>1660212.0662272293</v>
      </c>
    </row>
    <row r="121" spans="1:15" ht="13.5" thickTop="1" x14ac:dyDescent="0.2">
      <c r="A121" s="688"/>
      <c r="B121" s="683"/>
      <c r="C121" s="683"/>
      <c r="D121" s="683"/>
      <c r="E121" s="683"/>
      <c r="F121" s="683"/>
      <c r="G121" s="683"/>
      <c r="H121" s="683"/>
      <c r="I121" s="706"/>
      <c r="J121" s="683"/>
      <c r="K121" s="707"/>
      <c r="L121" s="707"/>
      <c r="M121" s="703"/>
      <c r="N121" s="703"/>
      <c r="O121" s="706"/>
    </row>
    <row r="122" spans="1:15" ht="13.5" thickBot="1" x14ac:dyDescent="0.25">
      <c r="A122" s="688">
        <v>7</v>
      </c>
      <c r="B122" s="683"/>
      <c r="C122" s="692" t="s">
        <v>439</v>
      </c>
      <c r="D122" s="683"/>
      <c r="E122" s="714">
        <v>1</v>
      </c>
      <c r="F122" s="714"/>
      <c r="G122" s="715"/>
      <c r="H122" s="715"/>
      <c r="I122" s="723">
        <v>47830944</v>
      </c>
      <c r="J122" s="683"/>
      <c r="K122" s="716">
        <f>(K115*E115)+(K120*E120)</f>
        <v>7.5373999948933013E-2</v>
      </c>
      <c r="L122" s="707"/>
      <c r="M122" s="683"/>
      <c r="N122" s="683"/>
      <c r="O122" s="717">
        <f>O115+O120</f>
        <v>3605209.5706134178</v>
      </c>
    </row>
    <row r="123" spans="1:15" ht="13.5" thickTop="1" x14ac:dyDescent="0.2">
      <c r="A123" s="688"/>
      <c r="B123" s="683"/>
      <c r="C123" s="683"/>
      <c r="D123" s="683"/>
      <c r="E123" s="683"/>
      <c r="F123" s="683"/>
      <c r="G123" s="683"/>
      <c r="H123" s="683"/>
      <c r="I123" s="683"/>
      <c r="J123" s="683"/>
      <c r="K123" s="683"/>
      <c r="L123" s="683"/>
      <c r="M123" s="683"/>
      <c r="N123" s="683"/>
      <c r="O123" s="888"/>
    </row>
    <row r="124" spans="1:15" x14ac:dyDescent="0.2">
      <c r="A124" s="688"/>
      <c r="B124" s="683"/>
      <c r="C124" s="683"/>
      <c r="D124" s="683"/>
      <c r="E124" s="683"/>
      <c r="F124" s="683"/>
      <c r="G124" s="683"/>
      <c r="H124" s="683"/>
      <c r="I124" s="683"/>
      <c r="J124" s="683"/>
      <c r="K124" s="683"/>
      <c r="L124" s="683"/>
      <c r="M124" s="683"/>
      <c r="N124" s="683"/>
      <c r="O124" s="887"/>
    </row>
  </sheetData>
  <mergeCells count="22">
    <mergeCell ref="C88:O88"/>
    <mergeCell ref="A106:A107"/>
    <mergeCell ref="E107:I107"/>
    <mergeCell ref="C110:O110"/>
    <mergeCell ref="C44:O44"/>
    <mergeCell ref="A62:A63"/>
    <mergeCell ref="E63:I63"/>
    <mergeCell ref="C66:O66"/>
    <mergeCell ref="A84:A85"/>
    <mergeCell ref="E85:I85"/>
    <mergeCell ref="A34:O34"/>
    <mergeCell ref="C35:O35"/>
    <mergeCell ref="C36:O36"/>
    <mergeCell ref="C37:O37"/>
    <mergeCell ref="A40:A41"/>
    <mergeCell ref="E41:I41"/>
    <mergeCell ref="C19:O19"/>
    <mergeCell ref="C10:O10"/>
    <mergeCell ref="C11:O11"/>
    <mergeCell ref="A13:O13"/>
    <mergeCell ref="A15:A16"/>
    <mergeCell ref="E16:I16"/>
  </mergeCells>
  <dataValidations count="1">
    <dataValidation allowBlank="1" showInputMessage="1" showErrorMessage="1" promptTitle="Date Format" prompt="E.g:  &quot;August 1, 2011&quot;" sqref="WVW983026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22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O131058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O196594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O262130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O327666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O393202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O458738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O524274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O589810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O655346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O720882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O786418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O851954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O917490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O983026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O7"/>
  </dataValidations>
  <pageMargins left="0.75" right="0.75" top="1" bottom="1" header="0.5" footer="0.5"/>
  <pageSetup scale="80" fitToHeight="0" orientation="portrait" r:id="rId1"/>
  <headerFooter alignWithMargins="0"/>
  <rowBreaks count="1" manualBreakCount="1">
    <brk id="62" max="1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S82"/>
  <sheetViews>
    <sheetView showGridLines="0" zoomScale="80" zoomScaleNormal="80" workbookViewId="0">
      <selection sqref="A1:XFD1048576"/>
    </sheetView>
  </sheetViews>
  <sheetFormatPr defaultRowHeight="12.75" x14ac:dyDescent="0.2"/>
  <cols>
    <col min="1" max="1" width="5.85546875" bestFit="1" customWidth="1"/>
    <col min="2" max="2" width="28.85546875" customWidth="1"/>
    <col min="3" max="3" width="21.5703125" bestFit="1" customWidth="1"/>
    <col min="4" max="4" width="11.7109375" customWidth="1"/>
    <col min="5" max="5" width="14" customWidth="1"/>
    <col min="6" max="6" width="12.85546875" customWidth="1"/>
    <col min="7" max="7" width="8.42578125" customWidth="1"/>
    <col min="8" max="8" width="13.140625" customWidth="1"/>
    <col min="9" max="9" width="8.28515625" bestFit="1" customWidth="1"/>
    <col min="10" max="10" width="12.7109375" customWidth="1"/>
    <col min="11" max="11" width="12.5703125" customWidth="1"/>
    <col min="12" max="12" width="1.42578125" customWidth="1"/>
    <col min="13" max="13" width="3.5703125" customWidth="1"/>
    <col min="14" max="14" width="1.7109375" customWidth="1"/>
    <col min="15" max="15" width="14" customWidth="1"/>
    <col min="16" max="16" width="2.140625" customWidth="1"/>
  </cols>
  <sheetData>
    <row r="1" spans="1:15" x14ac:dyDescent="0.2">
      <c r="J1" s="533" t="s">
        <v>444</v>
      </c>
      <c r="K1" s="250" t="str">
        <f>'LDC Info'!$E$18</f>
        <v>EB-2012-0107</v>
      </c>
    </row>
    <row r="2" spans="1:15" x14ac:dyDescent="0.2">
      <c r="J2" s="533" t="s">
        <v>445</v>
      </c>
      <c r="K2" s="251">
        <v>5</v>
      </c>
    </row>
    <row r="3" spans="1:15" x14ac:dyDescent="0.2">
      <c r="J3" s="533" t="s">
        <v>446</v>
      </c>
      <c r="K3" s="251">
        <v>1</v>
      </c>
    </row>
    <row r="4" spans="1:15" x14ac:dyDescent="0.2">
      <c r="J4" s="533" t="s">
        <v>447</v>
      </c>
      <c r="K4" s="251">
        <v>1</v>
      </c>
    </row>
    <row r="5" spans="1:15" x14ac:dyDescent="0.2">
      <c r="J5" s="329" t="s">
        <v>1036</v>
      </c>
      <c r="K5" s="252">
        <v>2</v>
      </c>
    </row>
    <row r="6" spans="1:15" x14ac:dyDescent="0.2">
      <c r="J6" s="591"/>
      <c r="K6" s="250"/>
    </row>
    <row r="7" spans="1:15" x14ac:dyDescent="0.2">
      <c r="J7" s="533" t="s">
        <v>449</v>
      </c>
      <c r="K7" s="934">
        <v>41200</v>
      </c>
    </row>
    <row r="10" spans="1:15" ht="18" x14ac:dyDescent="0.25">
      <c r="A10" s="1385" t="s">
        <v>802</v>
      </c>
      <c r="B10" s="1385"/>
      <c r="C10" s="1385"/>
      <c r="D10" s="1385"/>
      <c r="E10" s="1385"/>
      <c r="F10" s="1385"/>
      <c r="G10" s="1385"/>
      <c r="H10" s="1385"/>
      <c r="I10" s="1385"/>
      <c r="J10" s="1385"/>
      <c r="K10" s="1385"/>
      <c r="L10" s="245"/>
      <c r="M10" s="245"/>
      <c r="N10" s="245"/>
      <c r="O10" s="245"/>
    </row>
    <row r="11" spans="1:15" ht="18" x14ac:dyDescent="0.25">
      <c r="A11" s="1385" t="s">
        <v>754</v>
      </c>
      <c r="B11" s="1385"/>
      <c r="C11" s="1385"/>
      <c r="D11" s="1385"/>
      <c r="E11" s="1385"/>
      <c r="F11" s="1385"/>
      <c r="G11" s="1385"/>
      <c r="H11" s="1385"/>
      <c r="I11" s="1385"/>
      <c r="J11" s="1385"/>
      <c r="K11" s="1385"/>
      <c r="L11" s="1385"/>
      <c r="M11" s="1385"/>
      <c r="N11" s="1385"/>
      <c r="O11" s="1385"/>
    </row>
    <row r="12" spans="1:15" ht="9" customHeight="1" x14ac:dyDescent="0.25">
      <c r="L12" s="679"/>
      <c r="M12" s="679"/>
      <c r="N12" s="679"/>
      <c r="O12" s="679"/>
    </row>
    <row r="13" spans="1:15" ht="28.5" customHeight="1" x14ac:dyDescent="0.25">
      <c r="A13" s="1478" t="s">
        <v>787</v>
      </c>
      <c r="B13" s="1478"/>
      <c r="C13" s="1478"/>
      <c r="D13" s="1478"/>
      <c r="E13" s="1478"/>
      <c r="F13" s="1478"/>
      <c r="G13" s="1478"/>
      <c r="H13" s="1478"/>
      <c r="I13" s="1478"/>
      <c r="J13" s="1478"/>
      <c r="K13" s="1478"/>
      <c r="L13" s="679"/>
      <c r="M13" s="679"/>
      <c r="N13" s="679"/>
      <c r="O13" s="679"/>
    </row>
    <row r="14" spans="1:15" ht="15.75" x14ac:dyDescent="0.2">
      <c r="D14" s="681" t="s">
        <v>42</v>
      </c>
      <c r="E14" s="903">
        <v>2013</v>
      </c>
      <c r="F14" s="16"/>
    </row>
    <row r="15" spans="1:15" ht="16.5" customHeight="1" thickBot="1" x14ac:dyDescent="0.25"/>
    <row r="16" spans="1:15" ht="38.25" x14ac:dyDescent="0.2">
      <c r="A16" s="598" t="s">
        <v>756</v>
      </c>
      <c r="B16" s="592" t="s">
        <v>395</v>
      </c>
      <c r="C16" s="593" t="s">
        <v>746</v>
      </c>
      <c r="D16" s="594" t="s">
        <v>747</v>
      </c>
      <c r="E16" s="594" t="s">
        <v>748</v>
      </c>
      <c r="F16" s="593" t="s">
        <v>749</v>
      </c>
      <c r="G16" s="600" t="s">
        <v>758</v>
      </c>
      <c r="H16" s="600" t="s">
        <v>757</v>
      </c>
      <c r="I16" s="594" t="s">
        <v>755</v>
      </c>
      <c r="J16" s="594" t="s">
        <v>750</v>
      </c>
      <c r="K16" s="600"/>
    </row>
    <row r="17" spans="1:19" x14ac:dyDescent="0.2">
      <c r="A17" s="457">
        <v>1</v>
      </c>
      <c r="B17" s="844" t="s">
        <v>951</v>
      </c>
      <c r="C17" s="844" t="s">
        <v>952</v>
      </c>
      <c r="D17" s="599" t="s">
        <v>957</v>
      </c>
      <c r="E17" s="599" t="s">
        <v>958</v>
      </c>
      <c r="F17" s="898" t="s">
        <v>959</v>
      </c>
      <c r="G17" s="532">
        <v>0</v>
      </c>
      <c r="H17" s="246">
        <v>655187</v>
      </c>
      <c r="I17" s="897">
        <v>4.41E-2</v>
      </c>
      <c r="J17" s="899">
        <f>H17*I17</f>
        <v>28893.7467</v>
      </c>
      <c r="K17" s="899"/>
    </row>
    <row r="18" spans="1:19" x14ac:dyDescent="0.2">
      <c r="A18" s="457">
        <v>2</v>
      </c>
      <c r="B18" s="844" t="s">
        <v>951</v>
      </c>
      <c r="C18" s="844" t="s">
        <v>953</v>
      </c>
      <c r="D18" s="599" t="s">
        <v>957</v>
      </c>
      <c r="E18" s="599" t="s">
        <v>958</v>
      </c>
      <c r="F18" s="898" t="s">
        <v>959</v>
      </c>
      <c r="G18" s="532">
        <v>0</v>
      </c>
      <c r="H18" s="246">
        <v>1430914</v>
      </c>
      <c r="I18" s="897">
        <v>4.41E-2</v>
      </c>
      <c r="J18" s="899">
        <f t="shared" ref="J18:J24" si="0">H18*I18</f>
        <v>63103.307399999998</v>
      </c>
      <c r="K18" s="899"/>
    </row>
    <row r="19" spans="1:19" x14ac:dyDescent="0.2">
      <c r="A19" s="457">
        <v>3</v>
      </c>
      <c r="B19" s="844" t="s">
        <v>951</v>
      </c>
      <c r="C19" s="844" t="s">
        <v>954</v>
      </c>
      <c r="D19" s="599" t="s">
        <v>957</v>
      </c>
      <c r="E19" s="599" t="s">
        <v>958</v>
      </c>
      <c r="F19" s="898" t="s">
        <v>959</v>
      </c>
      <c r="G19" s="532">
        <v>0</v>
      </c>
      <c r="H19" s="246">
        <v>139981</v>
      </c>
      <c r="I19" s="897">
        <v>4.41E-2</v>
      </c>
      <c r="J19" s="899">
        <f t="shared" si="0"/>
        <v>6173.1621000000005</v>
      </c>
      <c r="K19" s="899"/>
    </row>
    <row r="20" spans="1:19" x14ac:dyDescent="0.2">
      <c r="A20" s="457">
        <v>4</v>
      </c>
      <c r="B20" s="844" t="s">
        <v>951</v>
      </c>
      <c r="C20" s="844" t="s">
        <v>955</v>
      </c>
      <c r="D20" s="599" t="s">
        <v>957</v>
      </c>
      <c r="E20" s="599" t="s">
        <v>958</v>
      </c>
      <c r="F20" s="898" t="s">
        <v>959</v>
      </c>
      <c r="G20" s="532">
        <v>0</v>
      </c>
      <c r="H20" s="246">
        <v>421886</v>
      </c>
      <c r="I20" s="897">
        <v>4.41E-2</v>
      </c>
      <c r="J20" s="899">
        <f t="shared" si="0"/>
        <v>18605.172600000002</v>
      </c>
      <c r="K20" s="899"/>
    </row>
    <row r="21" spans="1:19" x14ac:dyDescent="0.2">
      <c r="A21" s="457">
        <v>5</v>
      </c>
      <c r="B21" s="844" t="s">
        <v>951</v>
      </c>
      <c r="C21" s="844" t="s">
        <v>956</v>
      </c>
      <c r="D21" s="599" t="s">
        <v>957</v>
      </c>
      <c r="E21" s="599" t="s">
        <v>958</v>
      </c>
      <c r="F21" s="898" t="s">
        <v>959</v>
      </c>
      <c r="G21" s="532">
        <v>0</v>
      </c>
      <c r="H21" s="246">
        <v>16729636</v>
      </c>
      <c r="I21" s="897">
        <v>4.41E-2</v>
      </c>
      <c r="J21" s="899">
        <f t="shared" si="0"/>
        <v>737776.94759999996</v>
      </c>
      <c r="K21" s="899"/>
      <c r="Q21" s="533"/>
      <c r="R21" s="533"/>
      <c r="S21" s="533"/>
    </row>
    <row r="22" spans="1:19" x14ac:dyDescent="0.2">
      <c r="A22" s="457">
        <v>6</v>
      </c>
      <c r="B22" s="844" t="s">
        <v>967</v>
      </c>
      <c r="C22" s="844" t="s">
        <v>962</v>
      </c>
      <c r="D22" s="599" t="s">
        <v>964</v>
      </c>
      <c r="E22" s="599" t="s">
        <v>958</v>
      </c>
      <c r="F22" s="898" t="s">
        <v>968</v>
      </c>
      <c r="G22" s="532">
        <v>10</v>
      </c>
      <c r="H22" s="246">
        <f>(6491938.64+5863212.98)/2</f>
        <v>6177575.8100000005</v>
      </c>
      <c r="I22" s="897">
        <v>3.3700000000000001E-2</v>
      </c>
      <c r="J22" s="899">
        <f t="shared" si="0"/>
        <v>208184.30479700002</v>
      </c>
      <c r="K22" s="899"/>
      <c r="Q22" s="533"/>
      <c r="R22" s="533"/>
      <c r="S22" s="533"/>
    </row>
    <row r="23" spans="1:19" x14ac:dyDescent="0.2">
      <c r="A23" s="457">
        <v>7</v>
      </c>
      <c r="B23" s="844" t="s">
        <v>967</v>
      </c>
      <c r="C23" s="844" t="s">
        <v>962</v>
      </c>
      <c r="D23" s="599" t="s">
        <v>964</v>
      </c>
      <c r="E23" s="599" t="s">
        <v>958</v>
      </c>
      <c r="F23" s="898" t="s">
        <v>989</v>
      </c>
      <c r="G23" s="532">
        <v>10</v>
      </c>
      <c r="H23" s="246">
        <f>(2200000+2007393.84)/2</f>
        <v>2103696.92</v>
      </c>
      <c r="I23" s="897">
        <v>3.3700000000000001E-2</v>
      </c>
      <c r="J23" s="899">
        <f t="shared" si="0"/>
        <v>70894.586203999992</v>
      </c>
      <c r="K23" s="899"/>
    </row>
    <row r="24" spans="1:19" ht="13.5" thickBot="1" x14ac:dyDescent="0.25">
      <c r="A24" s="595">
        <v>8</v>
      </c>
      <c r="B24" s="905" t="s">
        <v>990</v>
      </c>
      <c r="C24" s="930"/>
      <c r="D24" s="928"/>
      <c r="E24" s="928"/>
      <c r="F24" s="906"/>
      <c r="G24" s="929"/>
      <c r="H24" s="407">
        <v>9749580</v>
      </c>
      <c r="I24" s="897">
        <v>4.41E-2</v>
      </c>
      <c r="J24" s="904">
        <f t="shared" si="0"/>
        <v>429956.478</v>
      </c>
      <c r="K24" s="904"/>
    </row>
    <row r="25" spans="1:19" ht="14.25" thickTop="1" thickBot="1" x14ac:dyDescent="0.25">
      <c r="A25" s="596" t="s">
        <v>439</v>
      </c>
      <c r="B25" s="154"/>
      <c r="C25" s="597"/>
      <c r="D25" s="597"/>
      <c r="E25" s="597"/>
      <c r="F25" s="154"/>
      <c r="G25" s="597"/>
      <c r="H25" s="92">
        <f>SUM(H17:H24)</f>
        <v>37408456.730000004</v>
      </c>
      <c r="I25" s="902">
        <f>IF(H25=0,"",J25/H25)</f>
        <v>4.179770677754447E-2</v>
      </c>
      <c r="J25" s="900">
        <f>SUM(J17:J24)</f>
        <v>1563587.7054010001</v>
      </c>
      <c r="K25" s="900">
        <f>SUM(K17:K24)</f>
        <v>0</v>
      </c>
    </row>
    <row r="28" spans="1:19" ht="15.75" x14ac:dyDescent="0.2">
      <c r="D28" s="681" t="s">
        <v>42</v>
      </c>
      <c r="E28" s="903">
        <v>2012</v>
      </c>
      <c r="F28" s="16"/>
    </row>
    <row r="29" spans="1:19" ht="16.5" customHeight="1" thickBot="1" x14ac:dyDescent="0.25"/>
    <row r="30" spans="1:19" ht="38.25" x14ac:dyDescent="0.2">
      <c r="A30" s="598" t="s">
        <v>756</v>
      </c>
      <c r="B30" s="592" t="s">
        <v>395</v>
      </c>
      <c r="C30" s="593" t="s">
        <v>746</v>
      </c>
      <c r="D30" s="594" t="s">
        <v>747</v>
      </c>
      <c r="E30" s="594" t="s">
        <v>748</v>
      </c>
      <c r="F30" s="593" t="s">
        <v>749</v>
      </c>
      <c r="G30" s="600" t="s">
        <v>758</v>
      </c>
      <c r="H30" s="600" t="s">
        <v>757</v>
      </c>
      <c r="I30" s="594" t="s">
        <v>755</v>
      </c>
      <c r="J30" s="594" t="s">
        <v>750</v>
      </c>
      <c r="K30" s="600"/>
    </row>
    <row r="31" spans="1:19" x14ac:dyDescent="0.2">
      <c r="A31" s="457">
        <v>1</v>
      </c>
      <c r="B31" s="844" t="s">
        <v>951</v>
      </c>
      <c r="C31" s="844" t="s">
        <v>952</v>
      </c>
      <c r="D31" s="599" t="s">
        <v>957</v>
      </c>
      <c r="E31" s="599" t="s">
        <v>958</v>
      </c>
      <c r="F31" s="898" t="s">
        <v>959</v>
      </c>
      <c r="G31" s="532">
        <v>0</v>
      </c>
      <c r="H31" s="246">
        <v>655187</v>
      </c>
      <c r="I31" s="897">
        <v>7.6200000000000004E-2</v>
      </c>
      <c r="J31" s="899">
        <f>H31*I31</f>
        <v>49925.249400000001</v>
      </c>
      <c r="K31" s="899"/>
    </row>
    <row r="32" spans="1:19" x14ac:dyDescent="0.2">
      <c r="A32" s="457">
        <v>2</v>
      </c>
      <c r="B32" s="844" t="s">
        <v>951</v>
      </c>
      <c r="C32" s="844" t="s">
        <v>953</v>
      </c>
      <c r="D32" s="599" t="s">
        <v>957</v>
      </c>
      <c r="E32" s="599" t="s">
        <v>958</v>
      </c>
      <c r="F32" s="898" t="s">
        <v>959</v>
      </c>
      <c r="G32" s="532">
        <v>0</v>
      </c>
      <c r="H32" s="246">
        <v>1430914</v>
      </c>
      <c r="I32" s="897">
        <v>7.6200000000000004E-2</v>
      </c>
      <c r="J32" s="899">
        <f t="shared" ref="J32:J37" si="1">H32*I32</f>
        <v>109035.6468</v>
      </c>
      <c r="K32" s="899"/>
    </row>
    <row r="33" spans="1:19" x14ac:dyDescent="0.2">
      <c r="A33" s="457">
        <v>3</v>
      </c>
      <c r="B33" s="844" t="s">
        <v>951</v>
      </c>
      <c r="C33" s="844" t="s">
        <v>954</v>
      </c>
      <c r="D33" s="599" t="s">
        <v>957</v>
      </c>
      <c r="E33" s="599" t="s">
        <v>958</v>
      </c>
      <c r="F33" s="898" t="s">
        <v>959</v>
      </c>
      <c r="G33" s="532">
        <v>0</v>
      </c>
      <c r="H33" s="246">
        <v>139981</v>
      </c>
      <c r="I33" s="897">
        <v>7.6200000000000004E-2</v>
      </c>
      <c r="J33" s="899">
        <f t="shared" si="1"/>
        <v>10666.5522</v>
      </c>
      <c r="K33" s="899"/>
    </row>
    <row r="34" spans="1:19" x14ac:dyDescent="0.2">
      <c r="A34" s="457">
        <v>4</v>
      </c>
      <c r="B34" s="844" t="s">
        <v>951</v>
      </c>
      <c r="C34" s="844" t="s">
        <v>955</v>
      </c>
      <c r="D34" s="599" t="s">
        <v>957</v>
      </c>
      <c r="E34" s="599" t="s">
        <v>958</v>
      </c>
      <c r="F34" s="898" t="s">
        <v>959</v>
      </c>
      <c r="G34" s="532">
        <v>0</v>
      </c>
      <c r="H34" s="246">
        <v>421886</v>
      </c>
      <c r="I34" s="897">
        <v>7.6200000000000004E-2</v>
      </c>
      <c r="J34" s="899">
        <f t="shared" si="1"/>
        <v>32147.713200000002</v>
      </c>
      <c r="K34" s="899"/>
    </row>
    <row r="35" spans="1:19" x14ac:dyDescent="0.2">
      <c r="A35" s="457">
        <v>5</v>
      </c>
      <c r="B35" s="844" t="s">
        <v>951</v>
      </c>
      <c r="C35" s="844" t="s">
        <v>956</v>
      </c>
      <c r="D35" s="599" t="s">
        <v>957</v>
      </c>
      <c r="E35" s="599" t="s">
        <v>958</v>
      </c>
      <c r="F35" s="898" t="s">
        <v>959</v>
      </c>
      <c r="G35" s="532">
        <v>0</v>
      </c>
      <c r="H35" s="246">
        <v>16729636</v>
      </c>
      <c r="I35" s="897">
        <v>7.6200000000000004E-2</v>
      </c>
      <c r="J35" s="899">
        <f t="shared" si="1"/>
        <v>1274798.2632000002</v>
      </c>
      <c r="K35" s="899"/>
      <c r="Q35" s="533"/>
      <c r="R35" s="533"/>
      <c r="S35" s="533"/>
    </row>
    <row r="36" spans="1:19" x14ac:dyDescent="0.2">
      <c r="A36" s="457">
        <v>6</v>
      </c>
      <c r="B36" s="844" t="s">
        <v>967</v>
      </c>
      <c r="C36" s="844" t="s">
        <v>962</v>
      </c>
      <c r="D36" s="599" t="s">
        <v>964</v>
      </c>
      <c r="E36" s="599" t="s">
        <v>958</v>
      </c>
      <c r="F36" s="898" t="s">
        <v>968</v>
      </c>
      <c r="G36" s="532">
        <v>10</v>
      </c>
      <c r="H36" s="246">
        <f>7100000-608062</f>
        <v>6491938</v>
      </c>
      <c r="I36" s="897">
        <v>3.3700000000000001E-2</v>
      </c>
      <c r="J36" s="899">
        <v>228022</v>
      </c>
      <c r="K36" s="899"/>
      <c r="Q36" s="533"/>
      <c r="R36" s="533"/>
      <c r="S36" s="533"/>
    </row>
    <row r="37" spans="1:19" ht="13.5" thickBot="1" x14ac:dyDescent="0.25">
      <c r="A37" s="595">
        <v>7</v>
      </c>
      <c r="B37" s="905" t="s">
        <v>963</v>
      </c>
      <c r="C37" s="844" t="s">
        <v>962</v>
      </c>
      <c r="D37" s="599" t="s">
        <v>964</v>
      </c>
      <c r="E37" s="599" t="s">
        <v>965</v>
      </c>
      <c r="F37" s="906" t="s">
        <v>966</v>
      </c>
      <c r="G37" s="532">
        <v>10</v>
      </c>
      <c r="H37" s="246">
        <v>2200000</v>
      </c>
      <c r="I37" s="897">
        <v>1.7500000000000002E-2</v>
      </c>
      <c r="J37" s="904">
        <f t="shared" si="1"/>
        <v>38500.000000000007</v>
      </c>
      <c r="K37" s="904"/>
    </row>
    <row r="38" spans="1:19" ht="14.25" thickTop="1" thickBot="1" x14ac:dyDescent="0.25">
      <c r="A38" s="596" t="s">
        <v>439</v>
      </c>
      <c r="B38" s="154"/>
      <c r="C38" s="597"/>
      <c r="D38" s="597"/>
      <c r="E38" s="597"/>
      <c r="F38" s="154"/>
      <c r="G38" s="597"/>
      <c r="H38" s="92">
        <f>SUM(H31:H37)</f>
        <v>28069542</v>
      </c>
      <c r="I38" s="902">
        <f>IF(H38=0,"",J38/H38)</f>
        <v>6.2099175854027119E-2</v>
      </c>
      <c r="J38" s="900">
        <f>SUM(J31:J37)</f>
        <v>1743095.4248000002</v>
      </c>
      <c r="K38" s="900"/>
    </row>
    <row r="41" spans="1:19" ht="15.75" x14ac:dyDescent="0.2">
      <c r="D41" s="681" t="s">
        <v>42</v>
      </c>
      <c r="E41" s="903">
        <v>2011</v>
      </c>
      <c r="F41" s="16"/>
    </row>
    <row r="42" spans="1:19" ht="16.5" customHeight="1" thickBot="1" x14ac:dyDescent="0.25"/>
    <row r="43" spans="1:19" ht="38.25" x14ac:dyDescent="0.2">
      <c r="A43" s="598" t="s">
        <v>756</v>
      </c>
      <c r="B43" s="592" t="s">
        <v>395</v>
      </c>
      <c r="C43" s="593" t="s">
        <v>746</v>
      </c>
      <c r="D43" s="594" t="s">
        <v>747</v>
      </c>
      <c r="E43" s="594" t="s">
        <v>748</v>
      </c>
      <c r="F43" s="593" t="s">
        <v>749</v>
      </c>
      <c r="G43" s="600" t="s">
        <v>758</v>
      </c>
      <c r="H43" s="600" t="s">
        <v>757</v>
      </c>
      <c r="I43" s="594" t="s">
        <v>755</v>
      </c>
      <c r="J43" s="594" t="s">
        <v>750</v>
      </c>
      <c r="K43" s="600"/>
    </row>
    <row r="44" spans="1:19" x14ac:dyDescent="0.2">
      <c r="A44" s="457">
        <v>1</v>
      </c>
      <c r="B44" s="844" t="s">
        <v>951</v>
      </c>
      <c r="C44" s="844" t="s">
        <v>952</v>
      </c>
      <c r="D44" s="599" t="s">
        <v>957</v>
      </c>
      <c r="E44" s="599" t="s">
        <v>958</v>
      </c>
      <c r="F44" s="898" t="s">
        <v>959</v>
      </c>
      <c r="G44" s="532">
        <v>0</v>
      </c>
      <c r="H44" s="246">
        <v>655187</v>
      </c>
      <c r="I44" s="897">
        <v>7.6200000000000004E-2</v>
      </c>
      <c r="J44" s="899">
        <f>H44*I44</f>
        <v>49925.249400000001</v>
      </c>
      <c r="K44" s="899"/>
    </row>
    <row r="45" spans="1:19" x14ac:dyDescent="0.2">
      <c r="A45" s="457">
        <v>2</v>
      </c>
      <c r="B45" s="844" t="s">
        <v>951</v>
      </c>
      <c r="C45" s="844" t="s">
        <v>953</v>
      </c>
      <c r="D45" s="599" t="s">
        <v>957</v>
      </c>
      <c r="E45" s="599" t="s">
        <v>958</v>
      </c>
      <c r="F45" s="898" t="s">
        <v>959</v>
      </c>
      <c r="G45" s="532">
        <v>0</v>
      </c>
      <c r="H45" s="246">
        <v>1430914</v>
      </c>
      <c r="I45" s="897">
        <v>7.6200000000000004E-2</v>
      </c>
      <c r="J45" s="899">
        <f t="shared" ref="J45:J48" si="2">H45*I45</f>
        <v>109035.6468</v>
      </c>
      <c r="K45" s="899"/>
    </row>
    <row r="46" spans="1:19" x14ac:dyDescent="0.2">
      <c r="A46" s="457">
        <v>3</v>
      </c>
      <c r="B46" s="844" t="s">
        <v>951</v>
      </c>
      <c r="C46" s="844" t="s">
        <v>954</v>
      </c>
      <c r="D46" s="599" t="s">
        <v>957</v>
      </c>
      <c r="E46" s="599" t="s">
        <v>958</v>
      </c>
      <c r="F46" s="898" t="s">
        <v>959</v>
      </c>
      <c r="G46" s="532">
        <v>0</v>
      </c>
      <c r="H46" s="246">
        <v>139981</v>
      </c>
      <c r="I46" s="897">
        <v>7.6200000000000004E-2</v>
      </c>
      <c r="J46" s="899">
        <f t="shared" si="2"/>
        <v>10666.5522</v>
      </c>
      <c r="K46" s="899"/>
    </row>
    <row r="47" spans="1:19" x14ac:dyDescent="0.2">
      <c r="A47" s="457">
        <v>4</v>
      </c>
      <c r="B47" s="844" t="s">
        <v>951</v>
      </c>
      <c r="C47" s="844" t="s">
        <v>955</v>
      </c>
      <c r="D47" s="599" t="s">
        <v>957</v>
      </c>
      <c r="E47" s="599" t="s">
        <v>958</v>
      </c>
      <c r="F47" s="898" t="s">
        <v>959</v>
      </c>
      <c r="G47" s="532">
        <v>0</v>
      </c>
      <c r="H47" s="246">
        <v>421886</v>
      </c>
      <c r="I47" s="897">
        <v>7.6200000000000004E-2</v>
      </c>
      <c r="J47" s="899">
        <f t="shared" si="2"/>
        <v>32147.713200000002</v>
      </c>
      <c r="K47" s="899"/>
    </row>
    <row r="48" spans="1:19" x14ac:dyDescent="0.2">
      <c r="A48" s="457">
        <v>5</v>
      </c>
      <c r="B48" s="844" t="s">
        <v>951</v>
      </c>
      <c r="C48" s="844" t="s">
        <v>956</v>
      </c>
      <c r="D48" s="599" t="s">
        <v>957</v>
      </c>
      <c r="E48" s="599" t="s">
        <v>958</v>
      </c>
      <c r="F48" s="898" t="s">
        <v>959</v>
      </c>
      <c r="G48" s="532">
        <v>0</v>
      </c>
      <c r="H48" s="246">
        <v>16729636</v>
      </c>
      <c r="I48" s="897">
        <v>7.6200000000000004E-2</v>
      </c>
      <c r="J48" s="899">
        <f t="shared" si="2"/>
        <v>1274798.2632000002</v>
      </c>
      <c r="K48" s="899"/>
      <c r="Q48" s="533"/>
      <c r="R48" s="533"/>
      <c r="S48" s="533"/>
    </row>
    <row r="49" spans="1:19" x14ac:dyDescent="0.2">
      <c r="A49" s="457">
        <v>6</v>
      </c>
      <c r="B49" s="844" t="s">
        <v>967</v>
      </c>
      <c r="C49" s="844" t="s">
        <v>962</v>
      </c>
      <c r="D49" s="599" t="s">
        <v>964</v>
      </c>
      <c r="E49" s="599" t="s">
        <v>958</v>
      </c>
      <c r="F49" s="898" t="s">
        <v>968</v>
      </c>
      <c r="G49" s="532">
        <v>10</v>
      </c>
      <c r="H49" s="246">
        <v>7100000</v>
      </c>
      <c r="I49" s="897">
        <v>3.3700000000000001E-2</v>
      </c>
      <c r="J49" s="899">
        <v>70335</v>
      </c>
      <c r="K49" s="899"/>
      <c r="Q49" s="533"/>
      <c r="R49" s="533"/>
      <c r="S49" s="533"/>
    </row>
    <row r="50" spans="1:19" ht="13.5" thickBot="1" x14ac:dyDescent="0.25">
      <c r="A50" s="595">
        <v>7</v>
      </c>
      <c r="B50" s="905" t="s">
        <v>963</v>
      </c>
      <c r="C50" s="844" t="s">
        <v>962</v>
      </c>
      <c r="D50" s="599" t="s">
        <v>964</v>
      </c>
      <c r="E50" s="599" t="s">
        <v>965</v>
      </c>
      <c r="F50" s="906" t="s">
        <v>966</v>
      </c>
      <c r="G50" s="532">
        <v>10</v>
      </c>
      <c r="H50" s="246">
        <v>727494</v>
      </c>
      <c r="I50" s="897">
        <v>1.7500000000000002E-2</v>
      </c>
      <c r="J50" s="904">
        <v>85319</v>
      </c>
      <c r="K50" s="904"/>
    </row>
    <row r="51" spans="1:19" ht="14.25" thickTop="1" thickBot="1" x14ac:dyDescent="0.25">
      <c r="A51" s="596" t="s">
        <v>439</v>
      </c>
      <c r="B51" s="154"/>
      <c r="C51" s="597"/>
      <c r="D51" s="597"/>
      <c r="E51" s="597"/>
      <c r="F51" s="154"/>
      <c r="G51" s="597"/>
      <c r="H51" s="92">
        <f>SUM(H44:H50)</f>
        <v>27205098</v>
      </c>
      <c r="I51" s="902">
        <f>IF(H51=0,"",J51/H51)</f>
        <v>5.999711615815536E-2</v>
      </c>
      <c r="J51" s="900">
        <f>SUM(J44:J50)</f>
        <v>1632227.4248000002</v>
      </c>
      <c r="K51" s="900"/>
    </row>
    <row r="54" spans="1:19" ht="15.75" x14ac:dyDescent="0.2">
      <c r="D54" s="681" t="s">
        <v>42</v>
      </c>
      <c r="E54" s="903">
        <v>2010</v>
      </c>
      <c r="F54" s="16"/>
    </row>
    <row r="55" spans="1:19" ht="16.5" customHeight="1" thickBot="1" x14ac:dyDescent="0.25"/>
    <row r="56" spans="1:19" ht="38.25" x14ac:dyDescent="0.2">
      <c r="A56" s="598" t="s">
        <v>756</v>
      </c>
      <c r="B56" s="592" t="s">
        <v>395</v>
      </c>
      <c r="C56" s="593" t="s">
        <v>746</v>
      </c>
      <c r="D56" s="594" t="s">
        <v>747</v>
      </c>
      <c r="E56" s="594" t="s">
        <v>748</v>
      </c>
      <c r="F56" s="593" t="s">
        <v>749</v>
      </c>
      <c r="G56" s="600" t="s">
        <v>758</v>
      </c>
      <c r="H56" s="600" t="s">
        <v>757</v>
      </c>
      <c r="I56" s="594" t="s">
        <v>755</v>
      </c>
      <c r="J56" s="594" t="s">
        <v>750</v>
      </c>
      <c r="K56" s="600"/>
    </row>
    <row r="57" spans="1:19" x14ac:dyDescent="0.2">
      <c r="A57" s="457">
        <v>1</v>
      </c>
      <c r="B57" s="844" t="s">
        <v>951</v>
      </c>
      <c r="C57" s="844" t="s">
        <v>952</v>
      </c>
      <c r="D57" s="599" t="s">
        <v>957</v>
      </c>
      <c r="E57" s="599" t="s">
        <v>958</v>
      </c>
      <c r="F57" s="898" t="s">
        <v>959</v>
      </c>
      <c r="G57" s="532">
        <v>0</v>
      </c>
      <c r="H57" s="246">
        <v>655187</v>
      </c>
      <c r="I57" s="897">
        <v>7.6200000000000004E-2</v>
      </c>
      <c r="J57" s="899">
        <f>H57*I57</f>
        <v>49925.249400000001</v>
      </c>
      <c r="K57" s="899"/>
    </row>
    <row r="58" spans="1:19" x14ac:dyDescent="0.2">
      <c r="A58" s="457">
        <v>2</v>
      </c>
      <c r="B58" s="844" t="s">
        <v>951</v>
      </c>
      <c r="C58" s="844" t="s">
        <v>953</v>
      </c>
      <c r="D58" s="599" t="s">
        <v>957</v>
      </c>
      <c r="E58" s="599" t="s">
        <v>958</v>
      </c>
      <c r="F58" s="898" t="s">
        <v>959</v>
      </c>
      <c r="G58" s="532">
        <v>0</v>
      </c>
      <c r="H58" s="246">
        <v>1430914</v>
      </c>
      <c r="I58" s="897">
        <v>7.6200000000000004E-2</v>
      </c>
      <c r="J58" s="899">
        <f t="shared" ref="J58:J61" si="3">H58*I58</f>
        <v>109035.6468</v>
      </c>
      <c r="K58" s="899"/>
    </row>
    <row r="59" spans="1:19" x14ac:dyDescent="0.2">
      <c r="A59" s="457">
        <v>3</v>
      </c>
      <c r="B59" s="844" t="s">
        <v>951</v>
      </c>
      <c r="C59" s="844" t="s">
        <v>954</v>
      </c>
      <c r="D59" s="599" t="s">
        <v>957</v>
      </c>
      <c r="E59" s="599" t="s">
        <v>958</v>
      </c>
      <c r="F59" s="898" t="s">
        <v>959</v>
      </c>
      <c r="G59" s="532">
        <v>0</v>
      </c>
      <c r="H59" s="246">
        <v>139981</v>
      </c>
      <c r="I59" s="897">
        <v>7.6200000000000004E-2</v>
      </c>
      <c r="J59" s="899">
        <f t="shared" si="3"/>
        <v>10666.5522</v>
      </c>
      <c r="K59" s="899"/>
    </row>
    <row r="60" spans="1:19" x14ac:dyDescent="0.2">
      <c r="A60" s="457">
        <v>4</v>
      </c>
      <c r="B60" s="844" t="s">
        <v>951</v>
      </c>
      <c r="C60" s="844" t="s">
        <v>955</v>
      </c>
      <c r="D60" s="599" t="s">
        <v>957</v>
      </c>
      <c r="E60" s="599" t="s">
        <v>958</v>
      </c>
      <c r="F60" s="898" t="s">
        <v>959</v>
      </c>
      <c r="G60" s="532">
        <v>0</v>
      </c>
      <c r="H60" s="246">
        <v>421886</v>
      </c>
      <c r="I60" s="897">
        <v>7.6200000000000004E-2</v>
      </c>
      <c r="J60" s="899">
        <f t="shared" si="3"/>
        <v>32147.713200000002</v>
      </c>
      <c r="K60" s="899"/>
    </row>
    <row r="61" spans="1:19" x14ac:dyDescent="0.2">
      <c r="A61" s="457">
        <v>5</v>
      </c>
      <c r="B61" s="844" t="s">
        <v>951</v>
      </c>
      <c r="C61" s="844" t="s">
        <v>956</v>
      </c>
      <c r="D61" s="599" t="s">
        <v>957</v>
      </c>
      <c r="E61" s="599" t="s">
        <v>958</v>
      </c>
      <c r="F61" s="898" t="s">
        <v>959</v>
      </c>
      <c r="G61" s="532">
        <v>0</v>
      </c>
      <c r="H61" s="246">
        <v>16729636</v>
      </c>
      <c r="I61" s="897">
        <v>7.6200000000000004E-2</v>
      </c>
      <c r="J61" s="899">
        <f t="shared" si="3"/>
        <v>1274798.2632000002</v>
      </c>
      <c r="K61" s="899"/>
      <c r="Q61" s="533"/>
      <c r="R61" s="533"/>
      <c r="S61" s="533"/>
    </row>
    <row r="62" spans="1:19" ht="13.5" thickBot="1" x14ac:dyDescent="0.25">
      <c r="A62" s="595">
        <v>6</v>
      </c>
      <c r="B62" s="905" t="s">
        <v>963</v>
      </c>
      <c r="C62" s="844" t="s">
        <v>962</v>
      </c>
      <c r="D62" s="599" t="s">
        <v>964</v>
      </c>
      <c r="E62" s="599" t="s">
        <v>965</v>
      </c>
      <c r="F62" s="906" t="s">
        <v>966</v>
      </c>
      <c r="G62" s="532">
        <v>10</v>
      </c>
      <c r="H62" s="246">
        <v>5651531</v>
      </c>
      <c r="I62" s="897">
        <v>1.7500000000000002E-2</v>
      </c>
      <c r="J62" s="904">
        <v>11907</v>
      </c>
      <c r="K62" s="904"/>
    </row>
    <row r="63" spans="1:19" ht="14.25" thickTop="1" thickBot="1" x14ac:dyDescent="0.25">
      <c r="A63" s="596" t="s">
        <v>439</v>
      </c>
      <c r="B63" s="154"/>
      <c r="C63" s="597"/>
      <c r="D63" s="597"/>
      <c r="E63" s="597"/>
      <c r="F63" s="154"/>
      <c r="G63" s="597"/>
      <c r="H63" s="92">
        <f>SUM(H57:H62)</f>
        <v>25029135</v>
      </c>
      <c r="I63" s="902">
        <f>IF(H63=0,"",J63/H63)</f>
        <v>5.9469910758002627E-2</v>
      </c>
      <c r="J63" s="900">
        <f>SUM(J57:J62)</f>
        <v>1488480.4248000002</v>
      </c>
      <c r="K63" s="900"/>
    </row>
    <row r="66" spans="1:19" ht="15.75" x14ac:dyDescent="0.2">
      <c r="D66" s="681" t="s">
        <v>42</v>
      </c>
      <c r="E66" s="903">
        <v>2009</v>
      </c>
    </row>
    <row r="67" spans="1:19" ht="16.5" customHeight="1" thickBot="1" x14ac:dyDescent="0.25"/>
    <row r="68" spans="1:19" ht="38.25" x14ac:dyDescent="0.2">
      <c r="A68" s="598" t="s">
        <v>756</v>
      </c>
      <c r="B68" s="592" t="s">
        <v>395</v>
      </c>
      <c r="C68" s="593" t="s">
        <v>746</v>
      </c>
      <c r="D68" s="594" t="s">
        <v>747</v>
      </c>
      <c r="E68" s="594" t="s">
        <v>748</v>
      </c>
      <c r="F68" s="593" t="s">
        <v>749</v>
      </c>
      <c r="G68" s="600" t="s">
        <v>758</v>
      </c>
      <c r="H68" s="600" t="s">
        <v>757</v>
      </c>
      <c r="I68" s="594" t="s">
        <v>755</v>
      </c>
      <c r="J68" s="594" t="s">
        <v>750</v>
      </c>
      <c r="K68" s="600" t="s">
        <v>960</v>
      </c>
    </row>
    <row r="69" spans="1:19" x14ac:dyDescent="0.2">
      <c r="A69" s="457">
        <v>1</v>
      </c>
      <c r="B69" s="844" t="s">
        <v>951</v>
      </c>
      <c r="C69" s="844" t="s">
        <v>952</v>
      </c>
      <c r="D69" s="599" t="s">
        <v>957</v>
      </c>
      <c r="E69" s="599" t="s">
        <v>958</v>
      </c>
      <c r="F69" s="898" t="s">
        <v>959</v>
      </c>
      <c r="G69" s="532">
        <v>0</v>
      </c>
      <c r="H69" s="246">
        <v>655187</v>
      </c>
      <c r="I69" s="897">
        <v>7.6200000000000004E-2</v>
      </c>
      <c r="J69" s="899">
        <f>H69*I69</f>
        <v>49925.249400000001</v>
      </c>
      <c r="K69" s="899">
        <v>49117</v>
      </c>
    </row>
    <row r="70" spans="1:19" x14ac:dyDescent="0.2">
      <c r="A70" s="457">
        <v>2</v>
      </c>
      <c r="B70" s="844" t="s">
        <v>951</v>
      </c>
      <c r="C70" s="844" t="s">
        <v>953</v>
      </c>
      <c r="D70" s="599" t="s">
        <v>957</v>
      </c>
      <c r="E70" s="599" t="s">
        <v>958</v>
      </c>
      <c r="F70" s="898" t="s">
        <v>959</v>
      </c>
      <c r="G70" s="532">
        <v>0</v>
      </c>
      <c r="H70" s="246">
        <v>1430914</v>
      </c>
      <c r="I70" s="897">
        <v>7.6200000000000004E-2</v>
      </c>
      <c r="J70" s="899">
        <f t="shared" ref="J70:J73" si="4">H70*I70</f>
        <v>109035.6468</v>
      </c>
      <c r="K70" s="899">
        <v>107271</v>
      </c>
    </row>
    <row r="71" spans="1:19" x14ac:dyDescent="0.2">
      <c r="A71" s="457">
        <v>3</v>
      </c>
      <c r="B71" s="844" t="s">
        <v>951</v>
      </c>
      <c r="C71" s="844" t="s">
        <v>954</v>
      </c>
      <c r="D71" s="599" t="s">
        <v>957</v>
      </c>
      <c r="E71" s="599" t="s">
        <v>958</v>
      </c>
      <c r="F71" s="898" t="s">
        <v>959</v>
      </c>
      <c r="G71" s="532">
        <v>0</v>
      </c>
      <c r="H71" s="246">
        <v>139981</v>
      </c>
      <c r="I71" s="897">
        <v>7.6200000000000004E-2</v>
      </c>
      <c r="J71" s="899">
        <f t="shared" si="4"/>
        <v>10666.5522</v>
      </c>
      <c r="K71" s="899">
        <v>10494</v>
      </c>
    </row>
    <row r="72" spans="1:19" x14ac:dyDescent="0.2">
      <c r="A72" s="457">
        <v>4</v>
      </c>
      <c r="B72" s="844" t="s">
        <v>951</v>
      </c>
      <c r="C72" s="844" t="s">
        <v>955</v>
      </c>
      <c r="D72" s="599" t="s">
        <v>957</v>
      </c>
      <c r="E72" s="599" t="s">
        <v>958</v>
      </c>
      <c r="F72" s="898" t="s">
        <v>959</v>
      </c>
      <c r="G72" s="532">
        <v>0</v>
      </c>
      <c r="H72" s="246">
        <v>421886</v>
      </c>
      <c r="I72" s="897">
        <v>7.6200000000000004E-2</v>
      </c>
      <c r="J72" s="899">
        <f t="shared" si="4"/>
        <v>32147.713200000002</v>
      </c>
      <c r="K72" s="899">
        <v>31627</v>
      </c>
    </row>
    <row r="73" spans="1:19" x14ac:dyDescent="0.2">
      <c r="A73" s="457">
        <v>5</v>
      </c>
      <c r="B73" s="844" t="s">
        <v>951</v>
      </c>
      <c r="C73" s="844" t="s">
        <v>956</v>
      </c>
      <c r="D73" s="599" t="s">
        <v>957</v>
      </c>
      <c r="E73" s="599" t="s">
        <v>958</v>
      </c>
      <c r="F73" s="898" t="s">
        <v>959</v>
      </c>
      <c r="G73" s="532">
        <v>0</v>
      </c>
      <c r="H73" s="246">
        <v>16729636</v>
      </c>
      <c r="I73" s="897">
        <v>7.6200000000000004E-2</v>
      </c>
      <c r="J73" s="899">
        <f t="shared" si="4"/>
        <v>1274798.2632000002</v>
      </c>
      <c r="K73" s="899">
        <v>1254165</v>
      </c>
      <c r="Q73" s="533"/>
      <c r="R73" s="533"/>
      <c r="S73" s="533"/>
    </row>
    <row r="74" spans="1:19" ht="13.5" thickBot="1" x14ac:dyDescent="0.25">
      <c r="A74" s="595"/>
      <c r="B74" s="907"/>
      <c r="C74" s="247"/>
      <c r="D74" s="599"/>
      <c r="E74" s="599"/>
      <c r="F74" s="908"/>
      <c r="G74" s="247"/>
      <c r="H74" s="246"/>
      <c r="I74" s="247"/>
      <c r="J74" s="909"/>
      <c r="K74" s="904"/>
    </row>
    <row r="75" spans="1:19" ht="14.25" thickTop="1" thickBot="1" x14ac:dyDescent="0.25">
      <c r="A75" s="596" t="s">
        <v>439</v>
      </c>
      <c r="B75" s="154"/>
      <c r="C75" s="597"/>
      <c r="D75" s="597"/>
      <c r="E75" s="597"/>
      <c r="F75" s="154"/>
      <c r="G75" s="597"/>
      <c r="H75" s="92">
        <f>SUM(H69:H74)</f>
        <v>19377604</v>
      </c>
      <c r="I75" s="902">
        <f>IF(H75=0,"",J75/H75)</f>
        <v>7.6200000000000004E-2</v>
      </c>
      <c r="J75" s="900">
        <f>SUM(J69:J74)</f>
        <v>1476573.4248000002</v>
      </c>
      <c r="K75" s="900">
        <f>SUM(K69:K74)</f>
        <v>1452674</v>
      </c>
    </row>
    <row r="77" spans="1:19" x14ac:dyDescent="0.2">
      <c r="A77" s="16" t="s">
        <v>454</v>
      </c>
    </row>
    <row r="79" spans="1:19" x14ac:dyDescent="0.2">
      <c r="A79" s="413">
        <v>1</v>
      </c>
      <c r="B79" t="s">
        <v>751</v>
      </c>
    </row>
    <row r="80" spans="1:19" ht="27" customHeight="1" x14ac:dyDescent="0.2">
      <c r="A80" s="910">
        <v>2</v>
      </c>
      <c r="B80" s="1263" t="s">
        <v>752</v>
      </c>
      <c r="C80" s="1263"/>
      <c r="D80" s="1263"/>
      <c r="E80" s="1263"/>
      <c r="F80" s="1263"/>
      <c r="G80" s="1263"/>
      <c r="H80" s="1263"/>
      <c r="I80" s="1263"/>
      <c r="J80" s="1263"/>
      <c r="K80" s="1263"/>
    </row>
    <row r="81" spans="1:11" x14ac:dyDescent="0.2">
      <c r="A81" s="413">
        <v>3</v>
      </c>
      <c r="B81" t="s">
        <v>753</v>
      </c>
    </row>
    <row r="82" spans="1:11" x14ac:dyDescent="0.2">
      <c r="A82" s="901">
        <v>4</v>
      </c>
      <c r="B82" s="1479" t="s">
        <v>961</v>
      </c>
      <c r="C82" s="1479"/>
      <c r="D82" s="1479"/>
      <c r="E82" s="1479"/>
      <c r="F82" s="1479"/>
      <c r="G82" s="1479"/>
      <c r="H82" s="1479"/>
      <c r="I82" s="1479"/>
      <c r="J82" s="1479"/>
      <c r="K82" s="1479"/>
    </row>
  </sheetData>
  <mergeCells count="6">
    <mergeCell ref="A10:K10"/>
    <mergeCell ref="A11:K11"/>
    <mergeCell ref="L11:O11"/>
    <mergeCell ref="A13:K13"/>
    <mergeCell ref="B82:K82"/>
    <mergeCell ref="B80:K80"/>
  </mergeCells>
  <phoneticPr fontId="17" type="noConversion"/>
  <dataValidations count="4">
    <dataValidation allowBlank="1" showInputMessage="1" showErrorMessage="1" promptTitle="Date Format" prompt="E.g:  &quot;August 1, 2011&quot;" sqref="K7"/>
    <dataValidation type="list" allowBlank="1" showInputMessage="1" showErrorMessage="1" sqref="E66 E28 E14">
      <formula1>"2006,2007,2008,2009,2012,2013"</formula1>
    </dataValidation>
    <dataValidation type="list" allowBlank="1" showInputMessage="1" showErrorMessage="1" sqref="E69:E74 E57:E62 E44:E50 E31:E37 E17:E24">
      <formula1>"Fixed Rate, Variable Rate"</formula1>
    </dataValidation>
    <dataValidation type="list" allowBlank="1" showInputMessage="1" showErrorMessage="1" sqref="D69:D74 D57:D62 D44:D50 D31:D37 D17:D24">
      <formula1>"Affiliated, Third-Party"</formula1>
    </dataValidation>
  </dataValidations>
  <pageMargins left="0.75" right="0.75" top="1" bottom="1" header="0.5" footer="0.5"/>
  <pageSetup scale="59" fitToHeight="2" orientation="portrait" r:id="rId1"/>
  <headerFooter alignWithMargins="0"/>
  <rowBreaks count="1" manualBreakCount="1">
    <brk id="65"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L124"/>
  <sheetViews>
    <sheetView showGridLines="0" topLeftCell="A78" zoomScaleNormal="100" workbookViewId="0">
      <selection activeCell="A76" sqref="A1:XFD1048576"/>
    </sheetView>
  </sheetViews>
  <sheetFormatPr defaultRowHeight="12.75" x14ac:dyDescent="0.2"/>
  <cols>
    <col min="1" max="1" width="29" customWidth="1"/>
    <col min="2" max="2" width="15" customWidth="1"/>
    <col min="3" max="3" width="15.5703125" customWidth="1"/>
    <col min="4" max="4" width="16" customWidth="1"/>
    <col min="5" max="5" width="17.5703125" customWidth="1"/>
    <col min="6" max="6" width="16.28515625" customWidth="1"/>
  </cols>
  <sheetData>
    <row r="1" spans="1:6" x14ac:dyDescent="0.2">
      <c r="E1" s="329" t="s">
        <v>444</v>
      </c>
      <c r="F1" s="250" t="str">
        <f>'LDC Info'!$E$18</f>
        <v>EB-2012-0107</v>
      </c>
    </row>
    <row r="2" spans="1:6" x14ac:dyDescent="0.2">
      <c r="E2" s="329" t="s">
        <v>445</v>
      </c>
      <c r="F2" s="251">
        <v>7</v>
      </c>
    </row>
    <row r="3" spans="1:6" x14ac:dyDescent="0.2">
      <c r="E3" s="329" t="s">
        <v>446</v>
      </c>
      <c r="F3" s="251">
        <v>1</v>
      </c>
    </row>
    <row r="4" spans="1:6" x14ac:dyDescent="0.2">
      <c r="E4" s="329" t="s">
        <v>447</v>
      </c>
      <c r="F4" s="251">
        <v>1</v>
      </c>
    </row>
    <row r="5" spans="1:6" x14ac:dyDescent="0.2">
      <c r="E5" s="329" t="s">
        <v>1036</v>
      </c>
      <c r="F5" s="252">
        <v>3</v>
      </c>
    </row>
    <row r="6" spans="1:6" x14ac:dyDescent="0.2">
      <c r="E6" s="329"/>
      <c r="F6" s="250"/>
    </row>
    <row r="7" spans="1:6" x14ac:dyDescent="0.2">
      <c r="E7" s="329" t="s">
        <v>449</v>
      </c>
      <c r="F7" s="934">
        <v>41200</v>
      </c>
    </row>
    <row r="9" spans="1:6" ht="18" x14ac:dyDescent="0.25">
      <c r="A9" s="1385" t="s">
        <v>716</v>
      </c>
      <c r="B9" s="1385"/>
      <c r="C9" s="1385"/>
      <c r="D9" s="1385"/>
      <c r="E9" s="1385"/>
      <c r="F9" s="1385"/>
    </row>
    <row r="10" spans="1:6" ht="18" x14ac:dyDescent="0.25">
      <c r="A10" s="1385" t="s">
        <v>178</v>
      </c>
      <c r="B10" s="1385"/>
      <c r="C10" s="1385"/>
      <c r="D10" s="1385"/>
      <c r="E10" s="1385"/>
      <c r="F10" s="1385"/>
    </row>
    <row r="12" spans="1:6" x14ac:dyDescent="0.2">
      <c r="A12" t="s">
        <v>343</v>
      </c>
    </row>
    <row r="14" spans="1:6" x14ac:dyDescent="0.2">
      <c r="A14" s="16" t="s">
        <v>683</v>
      </c>
      <c r="B14" s="16"/>
    </row>
    <row r="15" spans="1:6" ht="13.5" thickBot="1" x14ac:dyDescent="0.25"/>
    <row r="16" spans="1:6" ht="51" x14ac:dyDescent="0.2">
      <c r="A16" s="539" t="s">
        <v>344</v>
      </c>
      <c r="B16" s="189" t="s">
        <v>347</v>
      </c>
      <c r="C16" s="189" t="s">
        <v>291</v>
      </c>
      <c r="D16" s="189" t="s">
        <v>149</v>
      </c>
      <c r="E16" s="190" t="s">
        <v>291</v>
      </c>
    </row>
    <row r="17" spans="1:5" x14ac:dyDescent="0.2">
      <c r="A17" s="541" t="s">
        <v>82</v>
      </c>
      <c r="B17" s="246">
        <v>8989144</v>
      </c>
      <c r="C17" s="534">
        <f>IF(B$28=0,"",B17/B$28)</f>
        <v>0.52465390264694711</v>
      </c>
      <c r="D17" s="246">
        <f>13718685-1</f>
        <v>13718684</v>
      </c>
      <c r="E17" s="147">
        <f>IF(D$28=0,"",D17/D$28)</f>
        <v>0.59758332763788757</v>
      </c>
    </row>
    <row r="18" spans="1:5" x14ac:dyDescent="0.2">
      <c r="A18" s="541" t="s">
        <v>83</v>
      </c>
      <c r="B18" s="246">
        <v>2768342</v>
      </c>
      <c r="C18" s="534">
        <f t="shared" ref="C18:E27" si="0">IF(B$28=0,"",B18/B$28)</f>
        <v>0.1615750547728966</v>
      </c>
      <c r="D18" s="246">
        <v>2868271</v>
      </c>
      <c r="E18" s="147">
        <f t="shared" si="0"/>
        <v>0.12494135215500637</v>
      </c>
    </row>
    <row r="19" spans="1:5" x14ac:dyDescent="0.2">
      <c r="A19" s="622" t="s">
        <v>945</v>
      </c>
      <c r="B19" s="246">
        <v>2690185</v>
      </c>
      <c r="C19" s="534">
        <f t="shared" si="0"/>
        <v>0.15701339961761404</v>
      </c>
      <c r="D19" s="246">
        <v>2981166</v>
      </c>
      <c r="E19" s="147">
        <f t="shared" si="0"/>
        <v>0.12985903739170104</v>
      </c>
    </row>
    <row r="20" spans="1:5" x14ac:dyDescent="0.2">
      <c r="A20" s="622" t="s">
        <v>946</v>
      </c>
      <c r="B20" s="246">
        <v>729118</v>
      </c>
      <c r="C20" s="534">
        <f t="shared" si="0"/>
        <v>4.2555175908867052E-2</v>
      </c>
      <c r="D20" s="246">
        <v>1014089</v>
      </c>
      <c r="E20" s="147">
        <f t="shared" si="0"/>
        <v>4.4173528535315622E-2</v>
      </c>
    </row>
    <row r="21" spans="1:5" x14ac:dyDescent="0.2">
      <c r="A21" s="886" t="s">
        <v>947</v>
      </c>
      <c r="B21" s="246">
        <v>1075451</v>
      </c>
      <c r="C21" s="534">
        <f t="shared" si="0"/>
        <v>6.2768998277874063E-2</v>
      </c>
      <c r="D21" s="246">
        <v>1296326</v>
      </c>
      <c r="E21" s="147">
        <f t="shared" si="0"/>
        <v>5.6467719847145124E-2</v>
      </c>
    </row>
    <row r="22" spans="1:5" x14ac:dyDescent="0.2">
      <c r="A22" s="541" t="s">
        <v>345</v>
      </c>
      <c r="B22" s="246">
        <v>664099</v>
      </c>
      <c r="C22" s="534">
        <f t="shared" si="0"/>
        <v>3.8760323796563384E-2</v>
      </c>
      <c r="D22" s="246">
        <v>912638</v>
      </c>
      <c r="E22" s="147">
        <f t="shared" si="0"/>
        <v>3.9754341813601546E-2</v>
      </c>
    </row>
    <row r="23" spans="1:5" x14ac:dyDescent="0.2">
      <c r="A23" s="541" t="s">
        <v>86</v>
      </c>
      <c r="B23" s="246">
        <v>59797</v>
      </c>
      <c r="C23" s="534">
        <f t="shared" si="0"/>
        <v>3.4900686223938004E-3</v>
      </c>
      <c r="D23" s="246">
        <v>58839</v>
      </c>
      <c r="E23" s="147">
        <f t="shared" si="0"/>
        <v>2.5630159142732401E-3</v>
      </c>
    </row>
    <row r="24" spans="1:5" x14ac:dyDescent="0.2">
      <c r="A24" s="541" t="s">
        <v>346</v>
      </c>
      <c r="B24" s="246">
        <v>157338</v>
      </c>
      <c r="C24" s="534">
        <f t="shared" si="0"/>
        <v>9.1830763568439191E-3</v>
      </c>
      <c r="D24" s="246">
        <v>106926</v>
      </c>
      <c r="E24" s="147">
        <f t="shared" si="0"/>
        <v>4.6576767050694346E-3</v>
      </c>
    </row>
    <row r="25" spans="1:5" x14ac:dyDescent="0.2">
      <c r="A25" s="542"/>
      <c r="B25" s="246"/>
      <c r="C25" s="534">
        <f t="shared" si="0"/>
        <v>0</v>
      </c>
      <c r="D25" s="246"/>
      <c r="E25" s="147">
        <f t="shared" si="0"/>
        <v>0</v>
      </c>
    </row>
    <row r="26" spans="1:5" x14ac:dyDescent="0.2">
      <c r="A26" s="542"/>
      <c r="B26" s="246"/>
      <c r="C26" s="534">
        <f t="shared" si="0"/>
        <v>0</v>
      </c>
      <c r="D26" s="246"/>
      <c r="E26" s="147">
        <f t="shared" si="0"/>
        <v>0</v>
      </c>
    </row>
    <row r="27" spans="1:5" x14ac:dyDescent="0.2">
      <c r="A27" s="622" t="s">
        <v>764</v>
      </c>
      <c r="B27" s="246"/>
      <c r="C27" s="534">
        <f t="shared" si="0"/>
        <v>0</v>
      </c>
      <c r="D27" s="246"/>
      <c r="E27" s="147">
        <f t="shared" si="0"/>
        <v>0</v>
      </c>
    </row>
    <row r="28" spans="1:5" ht="13.5" thickBot="1" x14ac:dyDescent="0.25">
      <c r="A28" s="540" t="s">
        <v>439</v>
      </c>
      <c r="B28" s="46">
        <f>SUM(B17:B27)</f>
        <v>17133474</v>
      </c>
      <c r="C28" s="156">
        <f>SUM(C17:C27)</f>
        <v>0.99999999999999989</v>
      </c>
      <c r="D28" s="46">
        <f>SUM(D17:D27)</f>
        <v>22956939</v>
      </c>
      <c r="E28" s="157">
        <f>SUM(E17:E27)</f>
        <v>0.99999999999999989</v>
      </c>
    </row>
    <row r="30" spans="1:5" x14ac:dyDescent="0.2">
      <c r="A30" s="16" t="s">
        <v>454</v>
      </c>
    </row>
    <row r="32" spans="1:5" ht="12.75" customHeight="1" x14ac:dyDescent="0.2">
      <c r="A32" s="1480" t="s">
        <v>684</v>
      </c>
      <c r="B32" s="1480"/>
      <c r="C32" s="1480"/>
      <c r="D32" s="1480"/>
      <c r="E32" s="1480"/>
    </row>
    <row r="33" spans="1:6" x14ac:dyDescent="0.2">
      <c r="A33" s="1480"/>
      <c r="B33" s="1480"/>
      <c r="C33" s="1480"/>
      <c r="D33" s="1480"/>
      <c r="E33" s="1480"/>
    </row>
    <row r="34" spans="1:6" ht="12.75" customHeight="1" x14ac:dyDescent="0.2">
      <c r="B34" s="543"/>
      <c r="C34" s="543"/>
      <c r="D34" s="543"/>
      <c r="E34" s="543"/>
      <c r="F34" s="543"/>
    </row>
    <row r="35" spans="1:6" ht="12.75" customHeight="1" x14ac:dyDescent="0.2">
      <c r="A35" s="1481" t="s">
        <v>767</v>
      </c>
      <c r="B35" s="1481"/>
      <c r="C35" s="1481"/>
      <c r="D35" s="1481"/>
      <c r="E35" s="1481"/>
      <c r="F35" s="543"/>
    </row>
    <row r="36" spans="1:6" ht="12.75" customHeight="1" x14ac:dyDescent="0.2">
      <c r="A36" s="1481"/>
      <c r="B36" s="1481"/>
      <c r="C36" s="1481"/>
      <c r="D36" s="1481"/>
      <c r="E36" s="1481"/>
      <c r="F36" s="604"/>
    </row>
    <row r="37" spans="1:6" x14ac:dyDescent="0.2">
      <c r="A37" s="1481"/>
      <c r="B37" s="1481"/>
      <c r="C37" s="1481"/>
      <c r="D37" s="1481"/>
      <c r="E37" s="1481"/>
      <c r="F37" s="604"/>
    </row>
    <row r="38" spans="1:6" x14ac:dyDescent="0.2">
      <c r="A38" s="603" t="s">
        <v>685</v>
      </c>
      <c r="B38" s="603"/>
      <c r="C38" s="603"/>
      <c r="D38" s="603"/>
      <c r="E38" s="603"/>
      <c r="F38" s="603"/>
    </row>
    <row r="39" spans="1:6" ht="20.25" customHeight="1" x14ac:dyDescent="0.2">
      <c r="A39" s="1481" t="s">
        <v>765</v>
      </c>
      <c r="B39" s="1481"/>
      <c r="C39" s="1481"/>
      <c r="D39" s="1481"/>
      <c r="E39" s="1481"/>
      <c r="F39" s="544"/>
    </row>
    <row r="40" spans="1:6" ht="20.25" customHeight="1" x14ac:dyDescent="0.2">
      <c r="A40" s="1481"/>
      <c r="B40" s="1481"/>
      <c r="C40" s="1481"/>
      <c r="D40" s="1481"/>
      <c r="E40" s="1481"/>
    </row>
    <row r="41" spans="1:6" ht="12.75" customHeight="1" x14ac:dyDescent="0.2"/>
    <row r="43" spans="1:6" ht="12.75" customHeight="1" x14ac:dyDescent="0.2">
      <c r="A43" s="99" t="s">
        <v>686</v>
      </c>
      <c r="B43" s="1490"/>
      <c r="C43" s="1490"/>
      <c r="D43" s="1490"/>
      <c r="E43" s="1490"/>
      <c r="F43" s="1490"/>
    </row>
    <row r="44" spans="1:6" ht="13.5" thickBot="1" x14ac:dyDescent="0.25">
      <c r="A44" s="99"/>
      <c r="B44" s="152"/>
    </row>
    <row r="45" spans="1:6" x14ac:dyDescent="0.2">
      <c r="A45" s="1491"/>
      <c r="B45" s="1492"/>
      <c r="C45" s="602" t="s">
        <v>349</v>
      </c>
      <c r="D45" s="602" t="s">
        <v>350</v>
      </c>
      <c r="E45" s="602" t="s">
        <v>351</v>
      </c>
      <c r="F45" s="193" t="s">
        <v>352</v>
      </c>
    </row>
    <row r="46" spans="1:6" ht="12.75" customHeight="1" x14ac:dyDescent="0.2">
      <c r="A46" s="1484" t="s">
        <v>348</v>
      </c>
      <c r="B46" s="1485"/>
      <c r="C46" s="1488" t="s">
        <v>353</v>
      </c>
      <c r="D46" s="1488" t="s">
        <v>400</v>
      </c>
      <c r="E46" s="1488" t="s">
        <v>354</v>
      </c>
      <c r="F46" s="1493" t="s">
        <v>355</v>
      </c>
    </row>
    <row r="47" spans="1:6" x14ac:dyDescent="0.2">
      <c r="A47" s="1486"/>
      <c r="B47" s="1487"/>
      <c r="C47" s="1489"/>
      <c r="D47" s="1489"/>
      <c r="E47" s="1489"/>
      <c r="F47" s="1494"/>
    </row>
    <row r="48" spans="1:6" x14ac:dyDescent="0.2">
      <c r="A48" s="1482" t="str">
        <f t="shared" ref="A48:A56" si="1">A17</f>
        <v>Residential</v>
      </c>
      <c r="B48" s="1483"/>
      <c r="C48" s="246">
        <v>10126325</v>
      </c>
      <c r="D48" s="246">
        <f>12026198-1</f>
        <v>12026197</v>
      </c>
      <c r="E48" s="246">
        <v>12026198</v>
      </c>
      <c r="F48" s="404">
        <v>714812</v>
      </c>
    </row>
    <row r="49" spans="1:6" x14ac:dyDescent="0.2">
      <c r="A49" s="1482" t="str">
        <f t="shared" si="1"/>
        <v>GS &lt; 50 kW</v>
      </c>
      <c r="B49" s="1483"/>
      <c r="C49" s="246">
        <v>2625746</v>
      </c>
      <c r="D49" s="246">
        <v>3118381</v>
      </c>
      <c r="E49" s="246">
        <v>3118381</v>
      </c>
      <c r="F49" s="404">
        <v>116462</v>
      </c>
    </row>
    <row r="50" spans="1:6" ht="25.5" customHeight="1" x14ac:dyDescent="0.2">
      <c r="A50" s="1482" t="str">
        <f t="shared" si="1"/>
        <v xml:space="preserve">GS &gt; 50 -999 kW </v>
      </c>
      <c r="B50" s="1483"/>
      <c r="C50" s="246">
        <v>2905671</v>
      </c>
      <c r="D50" s="246">
        <v>3450825</v>
      </c>
      <c r="E50" s="246">
        <v>3450825</v>
      </c>
      <c r="F50" s="404">
        <v>102760</v>
      </c>
    </row>
    <row r="51" spans="1:6" x14ac:dyDescent="0.2">
      <c r="A51" s="1482" t="str">
        <f t="shared" si="1"/>
        <v>GS &gt;1000-4999 kW</v>
      </c>
      <c r="B51" s="1483"/>
      <c r="C51" s="246">
        <v>693814</v>
      </c>
      <c r="D51" s="246">
        <v>823985</v>
      </c>
      <c r="E51" s="246">
        <f>871603+1</f>
        <v>871604</v>
      </c>
      <c r="F51" s="404">
        <v>38755</v>
      </c>
    </row>
    <row r="52" spans="1:6" x14ac:dyDescent="0.2">
      <c r="A52" s="1482" t="str">
        <f t="shared" si="1"/>
        <v>Large User</v>
      </c>
      <c r="B52" s="1483"/>
      <c r="C52" s="246">
        <v>1213404</v>
      </c>
      <c r="D52" s="246">
        <v>1441059</v>
      </c>
      <c r="E52" s="246">
        <v>1441059</v>
      </c>
      <c r="F52" s="404">
        <v>53021</v>
      </c>
    </row>
    <row r="53" spans="1:6" x14ac:dyDescent="0.2">
      <c r="A53" s="1482" t="str">
        <f t="shared" si="1"/>
        <v>Street Lighting</v>
      </c>
      <c r="B53" s="1483"/>
      <c r="C53" s="246">
        <v>660223</v>
      </c>
      <c r="D53" s="246">
        <v>784092</v>
      </c>
      <c r="E53" s="246">
        <v>784092</v>
      </c>
      <c r="F53" s="404">
        <v>46630</v>
      </c>
    </row>
    <row r="54" spans="1:6" x14ac:dyDescent="0.2">
      <c r="A54" s="1482" t="str">
        <f t="shared" si="1"/>
        <v>Sentinel Lighting</v>
      </c>
      <c r="B54" s="1483"/>
      <c r="C54" s="246">
        <v>51175</v>
      </c>
      <c r="D54" s="246">
        <v>60778</v>
      </c>
      <c r="E54" s="246">
        <v>60776</v>
      </c>
      <c r="F54" s="404">
        <v>2970</v>
      </c>
    </row>
    <row r="55" spans="1:6" x14ac:dyDescent="0.2">
      <c r="A55" s="1482" t="str">
        <f t="shared" si="1"/>
        <v>Unmetered Scattered Load (USL)</v>
      </c>
      <c r="B55" s="1483"/>
      <c r="C55" s="246">
        <v>144300</v>
      </c>
      <c r="D55" s="246">
        <v>171373</v>
      </c>
      <c r="E55" s="246">
        <v>123755</v>
      </c>
      <c r="F55" s="404">
        <v>4839</v>
      </c>
    </row>
    <row r="56" spans="1:6" x14ac:dyDescent="0.2">
      <c r="A56" s="1482">
        <f t="shared" si="1"/>
        <v>0</v>
      </c>
      <c r="B56" s="1483"/>
      <c r="C56" s="246"/>
      <c r="D56" s="246"/>
      <c r="E56" s="246"/>
      <c r="F56" s="404"/>
    </row>
    <row r="57" spans="1:6" x14ac:dyDescent="0.2">
      <c r="A57" s="1499"/>
      <c r="B57" s="1500"/>
      <c r="C57" s="246"/>
      <c r="D57" s="246"/>
      <c r="E57" s="246"/>
      <c r="F57" s="404"/>
    </row>
    <row r="58" spans="1:6" ht="13.5" thickBot="1" x14ac:dyDescent="0.25">
      <c r="A58" s="1501" t="str">
        <f>A27</f>
        <v>Embedded distributor class</v>
      </c>
      <c r="B58" s="1502"/>
      <c r="C58" s="421"/>
      <c r="D58" s="421"/>
      <c r="E58" s="421"/>
      <c r="F58" s="545"/>
    </row>
    <row r="59" spans="1:6" ht="13.5" thickTop="1" x14ac:dyDescent="0.2">
      <c r="A59" s="1503" t="str">
        <f>A28</f>
        <v>Total</v>
      </c>
      <c r="B59" s="1504"/>
      <c r="C59" s="535">
        <f>SUM(C48:C58)</f>
        <v>18420658</v>
      </c>
      <c r="D59" s="535">
        <f>SUM(D48:D58)</f>
        <v>21876690</v>
      </c>
      <c r="E59" s="535">
        <f>SUM(E48:E58)</f>
        <v>21876690</v>
      </c>
      <c r="F59" s="536">
        <f>SUM(F48:F58)</f>
        <v>1080249</v>
      </c>
    </row>
    <row r="61" spans="1:6" x14ac:dyDescent="0.2">
      <c r="A61" s="16" t="s">
        <v>16</v>
      </c>
      <c r="B61" s="169"/>
      <c r="C61" s="169"/>
      <c r="D61" s="169"/>
      <c r="E61" s="169"/>
      <c r="F61" s="169"/>
    </row>
    <row r="62" spans="1:6" x14ac:dyDescent="0.2">
      <c r="A62" s="169"/>
      <c r="B62" s="169"/>
      <c r="C62" s="169"/>
      <c r="D62" s="169"/>
      <c r="E62" s="169"/>
      <c r="F62" s="169"/>
    </row>
    <row r="63" spans="1:6" ht="12.75" customHeight="1" x14ac:dyDescent="0.2">
      <c r="A63" s="1371" t="s">
        <v>687</v>
      </c>
      <c r="B63" s="1371"/>
      <c r="C63" s="1371"/>
      <c r="D63" s="1371"/>
      <c r="E63" s="1371"/>
      <c r="F63" s="1371"/>
    </row>
    <row r="64" spans="1:6" x14ac:dyDescent="0.2">
      <c r="A64" s="1371"/>
      <c r="B64" s="1371"/>
      <c r="C64" s="1371"/>
      <c r="D64" s="1371"/>
      <c r="E64" s="1371"/>
      <c r="F64" s="1371"/>
    </row>
    <row r="65" spans="1:12" ht="12.75" customHeight="1" x14ac:dyDescent="0.2">
      <c r="A65" s="543"/>
      <c r="B65" s="543"/>
      <c r="C65" s="543"/>
      <c r="D65" s="543"/>
      <c r="E65" s="543"/>
      <c r="F65" s="543"/>
      <c r="H65" s="100"/>
      <c r="I65" s="100"/>
      <c r="J65" s="100"/>
      <c r="K65" s="100"/>
      <c r="L65" s="100"/>
    </row>
    <row r="66" spans="1:12" x14ac:dyDescent="0.2">
      <c r="A66" s="1496" t="s">
        <v>688</v>
      </c>
      <c r="B66" s="1496"/>
      <c r="C66" s="1496"/>
      <c r="D66" s="1496"/>
      <c r="E66" s="1496"/>
      <c r="F66" s="1496"/>
      <c r="H66" s="100"/>
      <c r="I66" s="100"/>
      <c r="J66" s="100"/>
      <c r="K66" s="100"/>
      <c r="L66" s="100"/>
    </row>
    <row r="67" spans="1:12" x14ac:dyDescent="0.2">
      <c r="A67" s="66"/>
      <c r="B67" s="169"/>
      <c r="C67" s="169"/>
      <c r="D67" s="169"/>
      <c r="E67" s="169"/>
      <c r="F67" s="169"/>
      <c r="H67" s="100"/>
      <c r="I67" s="100"/>
      <c r="J67" s="100"/>
      <c r="K67" s="100"/>
      <c r="L67" s="100"/>
    </row>
    <row r="68" spans="1:12" ht="12.75" customHeight="1" x14ac:dyDescent="0.2">
      <c r="A68" s="1267" t="s">
        <v>689</v>
      </c>
      <c r="B68" s="1267"/>
      <c r="C68" s="1267"/>
      <c r="D68" s="1267"/>
      <c r="E68" s="1267"/>
      <c r="F68" s="1267"/>
      <c r="H68" s="546"/>
      <c r="I68" s="100"/>
      <c r="J68" s="100"/>
      <c r="K68" s="100"/>
      <c r="L68" s="100"/>
    </row>
    <row r="69" spans="1:12" x14ac:dyDescent="0.2">
      <c r="A69" s="1267"/>
      <c r="B69" s="1267"/>
      <c r="C69" s="1267"/>
      <c r="D69" s="1267"/>
      <c r="E69" s="1267"/>
      <c r="F69" s="1267"/>
    </row>
    <row r="70" spans="1:12" x14ac:dyDescent="0.2">
      <c r="A70" s="169"/>
      <c r="B70" s="169"/>
      <c r="C70" s="169"/>
      <c r="D70" s="169"/>
      <c r="E70" s="169"/>
      <c r="F70" s="169"/>
    </row>
    <row r="71" spans="1:12" ht="12.75" customHeight="1" x14ac:dyDescent="0.2">
      <c r="A71" s="1267" t="s">
        <v>690</v>
      </c>
      <c r="B71" s="1267"/>
      <c r="C71" s="1267"/>
      <c r="D71" s="1267"/>
      <c r="E71" s="1267"/>
      <c r="F71" s="1267"/>
    </row>
    <row r="72" spans="1:12" x14ac:dyDescent="0.2">
      <c r="A72" s="1267"/>
      <c r="B72" s="1267"/>
      <c r="C72" s="1267"/>
      <c r="D72" s="1267"/>
      <c r="E72" s="1267"/>
      <c r="F72" s="1267"/>
    </row>
    <row r="73" spans="1:12" x14ac:dyDescent="0.2">
      <c r="A73" s="327"/>
      <c r="B73" s="327"/>
      <c r="C73" s="327"/>
      <c r="D73" s="327"/>
      <c r="E73" s="327"/>
      <c r="F73" s="327"/>
    </row>
    <row r="74" spans="1:12" x14ac:dyDescent="0.2">
      <c r="A74" s="16" t="s">
        <v>691</v>
      </c>
      <c r="B74" s="169"/>
      <c r="C74" s="169"/>
      <c r="D74" s="169"/>
      <c r="E74" s="169"/>
      <c r="F74" s="169"/>
    </row>
    <row r="75" spans="1:12" ht="13.5" thickBot="1" x14ac:dyDescent="0.25">
      <c r="A75" s="169"/>
      <c r="B75" s="169"/>
      <c r="C75" s="169"/>
      <c r="D75" s="169"/>
      <c r="E75" s="169"/>
      <c r="F75" s="169"/>
    </row>
    <row r="76" spans="1:12" ht="38.25" x14ac:dyDescent="0.2">
      <c r="A76" s="1509" t="s">
        <v>381</v>
      </c>
      <c r="B76" s="1510"/>
      <c r="C76" s="94" t="s">
        <v>382</v>
      </c>
      <c r="D76" s="94" t="s">
        <v>384</v>
      </c>
      <c r="E76" s="94" t="s">
        <v>385</v>
      </c>
      <c r="F76" s="1513" t="s">
        <v>386</v>
      </c>
    </row>
    <row r="77" spans="1:12" ht="25.5" x14ac:dyDescent="0.2">
      <c r="A77" s="1511"/>
      <c r="B77" s="1512"/>
      <c r="C77" s="196" t="s">
        <v>383</v>
      </c>
      <c r="D77" s="1489" t="s">
        <v>150</v>
      </c>
      <c r="E77" s="1489" t="s">
        <v>151</v>
      </c>
      <c r="F77" s="1514"/>
    </row>
    <row r="78" spans="1:12" x14ac:dyDescent="0.2">
      <c r="A78" s="1511"/>
      <c r="B78" s="1512"/>
      <c r="C78" s="547" t="s">
        <v>948</v>
      </c>
      <c r="D78" s="1516"/>
      <c r="E78" s="1516"/>
      <c r="F78" s="1515"/>
    </row>
    <row r="79" spans="1:12" x14ac:dyDescent="0.2">
      <c r="A79" s="1517"/>
      <c r="B79" s="1518"/>
      <c r="C79" s="194" t="s">
        <v>291</v>
      </c>
      <c r="D79" s="192" t="s">
        <v>291</v>
      </c>
      <c r="E79" s="192" t="s">
        <v>291</v>
      </c>
      <c r="F79" s="195" t="s">
        <v>291</v>
      </c>
    </row>
    <row r="80" spans="1:12" x14ac:dyDescent="0.2">
      <c r="A80" s="1495" t="str">
        <f t="shared" ref="A80:A88" si="2">A48</f>
        <v>Residential</v>
      </c>
      <c r="B80" s="1374"/>
      <c r="C80" s="532">
        <v>103</v>
      </c>
      <c r="D80" s="537">
        <f>IF(D17=0,"",(D48+F48)/D17*100)</f>
        <v>92.873405349959228</v>
      </c>
      <c r="E80" s="537">
        <f t="shared" ref="E80:E90" si="3">IF(D17=0,"",(E48+F48)/D17*100)</f>
        <v>92.873412639288148</v>
      </c>
      <c r="F80" s="101" t="s">
        <v>387</v>
      </c>
    </row>
    <row r="81" spans="1:6" x14ac:dyDescent="0.2">
      <c r="A81" s="1495" t="str">
        <f t="shared" si="2"/>
        <v>GS &lt; 50 kW</v>
      </c>
      <c r="B81" s="1374"/>
      <c r="C81" s="532">
        <v>105</v>
      </c>
      <c r="D81" s="537">
        <f t="shared" ref="D81:D90" si="4">IF(D18=0,"",(D49+F49)/D18*100)</f>
        <v>112.78024287105369</v>
      </c>
      <c r="E81" s="537">
        <f t="shared" si="3"/>
        <v>112.78024287105369</v>
      </c>
      <c r="F81" s="101" t="s">
        <v>388</v>
      </c>
    </row>
    <row r="82" spans="1:6" ht="26.25" customHeight="1" x14ac:dyDescent="0.2">
      <c r="A82" s="1497" t="str">
        <f t="shared" si="2"/>
        <v xml:space="preserve">GS &gt; 50 -999 kW </v>
      </c>
      <c r="B82" s="1498"/>
      <c r="C82" s="532">
        <v>90</v>
      </c>
      <c r="D82" s="537">
        <f t="shared" si="4"/>
        <v>119.20117833089469</v>
      </c>
      <c r="E82" s="537">
        <f t="shared" si="3"/>
        <v>119.20117833089469</v>
      </c>
      <c r="F82" s="101" t="s">
        <v>388</v>
      </c>
    </row>
    <row r="83" spans="1:6" x14ac:dyDescent="0.2">
      <c r="A83" s="1495" t="str">
        <f t="shared" si="2"/>
        <v>GS &gt;1000-4999 kW</v>
      </c>
      <c r="B83" s="1374"/>
      <c r="C83" s="532">
        <v>101</v>
      </c>
      <c r="D83" s="537">
        <f t="shared" si="4"/>
        <v>85.075373068833201</v>
      </c>
      <c r="E83" s="537">
        <f t="shared" si="3"/>
        <v>89.77111476408875</v>
      </c>
      <c r="F83" s="101" t="s">
        <v>388</v>
      </c>
    </row>
    <row r="84" spans="1:6" x14ac:dyDescent="0.2">
      <c r="A84" s="1495" t="str">
        <f t="shared" si="2"/>
        <v>Large User</v>
      </c>
      <c r="B84" s="1374"/>
      <c r="C84" s="532">
        <v>103</v>
      </c>
      <c r="D84" s="537">
        <f t="shared" si="4"/>
        <v>115.25495901493915</v>
      </c>
      <c r="E84" s="537">
        <f t="shared" si="3"/>
        <v>115.25495901493915</v>
      </c>
      <c r="F84" s="101" t="s">
        <v>387</v>
      </c>
    </row>
    <row r="85" spans="1:6" x14ac:dyDescent="0.2">
      <c r="A85" s="1495" t="str">
        <f t="shared" si="2"/>
        <v>Street Lighting</v>
      </c>
      <c r="B85" s="1374"/>
      <c r="C85" s="532">
        <v>85</v>
      </c>
      <c r="D85" s="537">
        <f t="shared" si="4"/>
        <v>91.024261536337519</v>
      </c>
      <c r="E85" s="537">
        <f t="shared" si="3"/>
        <v>91.024261536337519</v>
      </c>
      <c r="F85" s="101" t="s">
        <v>389</v>
      </c>
    </row>
    <row r="86" spans="1:6" x14ac:dyDescent="0.2">
      <c r="A86" s="1495" t="str">
        <f t="shared" si="2"/>
        <v>Sentinel Lighting</v>
      </c>
      <c r="B86" s="1374"/>
      <c r="C86" s="532">
        <v>85</v>
      </c>
      <c r="D86" s="537">
        <f t="shared" si="4"/>
        <v>108.34310576318428</v>
      </c>
      <c r="E86" s="537">
        <f t="shared" si="3"/>
        <v>108.33970665714916</v>
      </c>
      <c r="F86" s="101" t="s">
        <v>388</v>
      </c>
    </row>
    <row r="87" spans="1:6" x14ac:dyDescent="0.2">
      <c r="A87" s="1497" t="str">
        <f t="shared" si="2"/>
        <v>Unmetered Scattered Load (USL)</v>
      </c>
      <c r="B87" s="1498"/>
      <c r="C87" s="532">
        <v>85</v>
      </c>
      <c r="D87" s="537">
        <f t="shared" si="4"/>
        <v>164.79808465667844</v>
      </c>
      <c r="E87" s="537">
        <f t="shared" si="3"/>
        <v>120.26448197819053</v>
      </c>
      <c r="F87" s="101" t="s">
        <v>388</v>
      </c>
    </row>
    <row r="88" spans="1:6" x14ac:dyDescent="0.2">
      <c r="A88" s="1495">
        <f t="shared" si="2"/>
        <v>0</v>
      </c>
      <c r="B88" s="1374"/>
      <c r="C88" s="532"/>
      <c r="D88" s="537" t="str">
        <f t="shared" si="4"/>
        <v/>
      </c>
      <c r="E88" s="537" t="str">
        <f t="shared" si="3"/>
        <v/>
      </c>
      <c r="F88" s="405"/>
    </row>
    <row r="89" spans="1:6" x14ac:dyDescent="0.2">
      <c r="A89" s="1505"/>
      <c r="B89" s="1506"/>
      <c r="C89" s="532"/>
      <c r="D89" s="537" t="str">
        <f t="shared" si="4"/>
        <v/>
      </c>
      <c r="E89" s="537" t="str">
        <f t="shared" si="3"/>
        <v/>
      </c>
      <c r="F89" s="405"/>
    </row>
    <row r="90" spans="1:6" ht="13.5" thickBot="1" x14ac:dyDescent="0.25">
      <c r="A90" s="1507" t="str">
        <f>A58</f>
        <v>Embedded distributor class</v>
      </c>
      <c r="B90" s="1508"/>
      <c r="C90" s="548"/>
      <c r="D90" s="538" t="str">
        <f t="shared" si="4"/>
        <v/>
      </c>
      <c r="E90" s="538" t="str">
        <f t="shared" si="3"/>
        <v/>
      </c>
      <c r="F90" s="620"/>
    </row>
    <row r="92" spans="1:6" x14ac:dyDescent="0.2">
      <c r="A92" s="16" t="s">
        <v>454</v>
      </c>
      <c r="B92" s="169"/>
      <c r="C92" s="169"/>
      <c r="D92" s="169"/>
      <c r="E92" s="169"/>
      <c r="F92" s="169"/>
    </row>
    <row r="93" spans="1:6" x14ac:dyDescent="0.2">
      <c r="A93" s="169"/>
      <c r="B93" s="169"/>
      <c r="C93" s="169"/>
      <c r="D93" s="169"/>
      <c r="E93" s="169"/>
      <c r="F93" s="169"/>
    </row>
    <row r="94" spans="1:6" ht="30.75" customHeight="1" x14ac:dyDescent="0.2">
      <c r="A94" s="1371" t="s">
        <v>692</v>
      </c>
      <c r="B94" s="1371"/>
      <c r="C94" s="1371"/>
      <c r="D94" s="1371"/>
      <c r="E94" s="1371"/>
      <c r="F94" s="1371"/>
    </row>
    <row r="95" spans="1:6" ht="20.25" customHeight="1" x14ac:dyDescent="0.2">
      <c r="A95" s="1371"/>
      <c r="B95" s="1371"/>
      <c r="C95" s="1371"/>
      <c r="D95" s="1371"/>
      <c r="E95" s="1371"/>
      <c r="F95" s="1371"/>
    </row>
    <row r="96" spans="1:6" ht="12.75" customHeight="1" x14ac:dyDescent="0.2">
      <c r="A96" s="605"/>
      <c r="B96" s="605"/>
      <c r="C96" s="605"/>
      <c r="D96" s="605"/>
      <c r="E96" s="605"/>
      <c r="F96" s="605"/>
    </row>
    <row r="97" spans="1:6" ht="25.5" customHeight="1" x14ac:dyDescent="0.2">
      <c r="A97" s="1267" t="s">
        <v>693</v>
      </c>
      <c r="B97" s="1267"/>
      <c r="C97" s="1267"/>
      <c r="D97" s="1267"/>
      <c r="E97" s="1267"/>
      <c r="F97" s="1267"/>
    </row>
    <row r="98" spans="1:6" x14ac:dyDescent="0.2">
      <c r="A98" s="169"/>
      <c r="B98" s="169"/>
      <c r="C98" s="169"/>
      <c r="D98" s="169"/>
      <c r="E98" s="169"/>
      <c r="F98" s="169"/>
    </row>
    <row r="99" spans="1:6" x14ac:dyDescent="0.2">
      <c r="A99" s="549" t="s">
        <v>694</v>
      </c>
      <c r="B99" s="533"/>
      <c r="C99" s="533"/>
      <c r="D99" s="533"/>
      <c r="E99" s="533"/>
      <c r="F99" s="533"/>
    </row>
    <row r="100" spans="1:6" ht="13.5" thickBot="1" x14ac:dyDescent="0.25"/>
    <row r="101" spans="1:6" x14ac:dyDescent="0.2">
      <c r="A101" s="1519" t="s">
        <v>381</v>
      </c>
      <c r="B101" s="1520"/>
      <c r="C101" s="1521" t="s">
        <v>392</v>
      </c>
      <c r="D101" s="1521"/>
      <c r="E101" s="1521"/>
      <c r="F101" s="1513" t="s">
        <v>386</v>
      </c>
    </row>
    <row r="102" spans="1:6" x14ac:dyDescent="0.2">
      <c r="A102" s="1486"/>
      <c r="B102" s="1487"/>
      <c r="C102" s="197">
        <v>2013</v>
      </c>
      <c r="D102" s="197">
        <v>2014</v>
      </c>
      <c r="E102" s="197">
        <v>2015</v>
      </c>
      <c r="F102" s="1522"/>
    </row>
    <row r="103" spans="1:6" x14ac:dyDescent="0.2">
      <c r="A103" s="1486"/>
      <c r="B103" s="1487"/>
      <c r="C103" s="197" t="s">
        <v>291</v>
      </c>
      <c r="D103" s="197" t="s">
        <v>291</v>
      </c>
      <c r="E103" s="197" t="s">
        <v>291</v>
      </c>
      <c r="F103" s="198" t="s">
        <v>291</v>
      </c>
    </row>
    <row r="104" spans="1:6" x14ac:dyDescent="0.2">
      <c r="A104" s="1482" t="str">
        <f>A80</f>
        <v>Residential</v>
      </c>
      <c r="B104" s="1483"/>
      <c r="C104" s="159">
        <f>E80</f>
        <v>92.873412639288148</v>
      </c>
      <c r="D104" s="247"/>
      <c r="E104" s="247"/>
      <c r="F104" s="161" t="str">
        <f>F80</f>
        <v>85 - 115</v>
      </c>
    </row>
    <row r="105" spans="1:6" x14ac:dyDescent="0.2">
      <c r="A105" s="1482" t="str">
        <f t="shared" ref="A105:A114" si="5">A81</f>
        <v>GS &lt; 50 kW</v>
      </c>
      <c r="B105" s="1483"/>
      <c r="C105" s="159">
        <f t="shared" ref="C105:C114" si="6">E81</f>
        <v>112.78024287105369</v>
      </c>
      <c r="D105" s="247"/>
      <c r="E105" s="247"/>
      <c r="F105" s="161" t="str">
        <f t="shared" ref="F105:F111" si="7">F81</f>
        <v>80 - 120</v>
      </c>
    </row>
    <row r="106" spans="1:6" ht="24" customHeight="1" x14ac:dyDescent="0.2">
      <c r="A106" s="1482" t="str">
        <f t="shared" si="5"/>
        <v xml:space="preserve">GS &gt; 50 -999 kW </v>
      </c>
      <c r="B106" s="1483"/>
      <c r="C106" s="159">
        <f t="shared" si="6"/>
        <v>119.20117833089469</v>
      </c>
      <c r="D106" s="247"/>
      <c r="E106" s="247"/>
      <c r="F106" s="161" t="str">
        <f t="shared" si="7"/>
        <v>80 - 120</v>
      </c>
    </row>
    <row r="107" spans="1:6" x14ac:dyDescent="0.2">
      <c r="A107" s="1482" t="str">
        <f t="shared" si="5"/>
        <v>GS &gt;1000-4999 kW</v>
      </c>
      <c r="B107" s="1483"/>
      <c r="C107" s="159">
        <f t="shared" si="6"/>
        <v>89.77111476408875</v>
      </c>
      <c r="D107" s="247"/>
      <c r="E107" s="247"/>
      <c r="F107" s="161" t="str">
        <f t="shared" si="7"/>
        <v>80 - 120</v>
      </c>
    </row>
    <row r="108" spans="1:6" x14ac:dyDescent="0.2">
      <c r="A108" s="1482" t="str">
        <f t="shared" si="5"/>
        <v>Large User</v>
      </c>
      <c r="B108" s="1483"/>
      <c r="C108" s="159">
        <f t="shared" si="6"/>
        <v>115.25495901493915</v>
      </c>
      <c r="D108" s="247"/>
      <c r="E108" s="247"/>
      <c r="F108" s="161" t="str">
        <f t="shared" si="7"/>
        <v>85 - 115</v>
      </c>
    </row>
    <row r="109" spans="1:6" x14ac:dyDescent="0.2">
      <c r="A109" s="1482" t="str">
        <f t="shared" si="5"/>
        <v>Street Lighting</v>
      </c>
      <c r="B109" s="1483"/>
      <c r="C109" s="159">
        <f t="shared" si="6"/>
        <v>91.024261536337519</v>
      </c>
      <c r="D109" s="247"/>
      <c r="E109" s="247"/>
      <c r="F109" s="161" t="str">
        <f t="shared" si="7"/>
        <v>70 - 120</v>
      </c>
    </row>
    <row r="110" spans="1:6" x14ac:dyDescent="0.2">
      <c r="A110" s="1482" t="str">
        <f t="shared" si="5"/>
        <v>Sentinel Lighting</v>
      </c>
      <c r="B110" s="1483"/>
      <c r="C110" s="159">
        <f t="shared" si="6"/>
        <v>108.33970665714916</v>
      </c>
      <c r="D110" s="247"/>
      <c r="E110" s="247"/>
      <c r="F110" s="161" t="str">
        <f t="shared" si="7"/>
        <v>80 - 120</v>
      </c>
    </row>
    <row r="111" spans="1:6" ht="12.75" customHeight="1" x14ac:dyDescent="0.2">
      <c r="A111" s="1482" t="str">
        <f t="shared" si="5"/>
        <v>Unmetered Scattered Load (USL)</v>
      </c>
      <c r="B111" s="1483"/>
      <c r="C111" s="159">
        <f t="shared" si="6"/>
        <v>120.26448197819053</v>
      </c>
      <c r="D111" s="247"/>
      <c r="E111" s="247"/>
      <c r="F111" s="161" t="str">
        <f t="shared" si="7"/>
        <v>80 - 120</v>
      </c>
    </row>
    <row r="112" spans="1:6" x14ac:dyDescent="0.2">
      <c r="A112" s="1482">
        <f t="shared" si="5"/>
        <v>0</v>
      </c>
      <c r="B112" s="1483"/>
      <c r="C112" s="159" t="str">
        <f t="shared" si="6"/>
        <v/>
      </c>
      <c r="D112" s="247"/>
      <c r="E112" s="247"/>
      <c r="F112" s="621">
        <f>F88</f>
        <v>0</v>
      </c>
    </row>
    <row r="113" spans="1:6" x14ac:dyDescent="0.2">
      <c r="A113" s="1482"/>
      <c r="B113" s="1483"/>
      <c r="C113" s="159" t="str">
        <f t="shared" si="6"/>
        <v/>
      </c>
      <c r="D113" s="247"/>
      <c r="E113" s="247"/>
      <c r="F113" s="621">
        <f>F89</f>
        <v>0</v>
      </c>
    </row>
    <row r="114" spans="1:6" ht="13.5" customHeight="1" thickBot="1" x14ac:dyDescent="0.25">
      <c r="A114" s="1523" t="str">
        <f t="shared" si="5"/>
        <v>Embedded distributor class</v>
      </c>
      <c r="B114" s="1524"/>
      <c r="C114" s="160" t="str">
        <f t="shared" si="6"/>
        <v/>
      </c>
      <c r="D114" s="531"/>
      <c r="E114" s="531"/>
      <c r="F114" s="623"/>
    </row>
    <row r="116" spans="1:6" ht="12.75" customHeight="1" x14ac:dyDescent="0.2">
      <c r="A116" s="16" t="s">
        <v>106</v>
      </c>
    </row>
    <row r="117" spans="1:6" ht="12.75" customHeight="1" x14ac:dyDescent="0.2">
      <c r="A117" s="1371" t="s">
        <v>766</v>
      </c>
      <c r="B117" s="1371"/>
      <c r="C117" s="1371"/>
      <c r="D117" s="1371"/>
      <c r="E117" s="1371"/>
      <c r="F117" s="1371"/>
    </row>
    <row r="118" spans="1:6" x14ac:dyDescent="0.2">
      <c r="A118" s="1371"/>
      <c r="B118" s="1371"/>
      <c r="C118" s="1371"/>
      <c r="D118" s="1371"/>
      <c r="E118" s="1371"/>
      <c r="F118" s="1371"/>
    </row>
    <row r="119" spans="1:6" ht="20.25" customHeight="1" x14ac:dyDescent="0.2">
      <c r="A119" s="1371"/>
      <c r="B119" s="1371"/>
      <c r="C119" s="1371"/>
      <c r="D119" s="1371"/>
      <c r="E119" s="1371"/>
      <c r="F119" s="1371"/>
    </row>
    <row r="120" spans="1:6" ht="16.5" customHeight="1" x14ac:dyDescent="0.2">
      <c r="A120" s="1371"/>
      <c r="B120" s="1371"/>
      <c r="C120" s="1371"/>
      <c r="D120" s="1371"/>
      <c r="E120" s="1371"/>
      <c r="F120" s="1371"/>
    </row>
    <row r="122" spans="1:6" x14ac:dyDescent="0.2">
      <c r="A122" s="1263"/>
      <c r="B122" s="1263"/>
      <c r="C122" s="1263"/>
      <c r="D122" s="1263"/>
      <c r="E122" s="1263"/>
      <c r="F122" s="1263"/>
    </row>
    <row r="123" spans="1:6" x14ac:dyDescent="0.2">
      <c r="A123" s="1263"/>
      <c r="B123" s="1263"/>
      <c r="C123" s="1263"/>
      <c r="D123" s="1263"/>
      <c r="E123" s="1263"/>
      <c r="F123" s="1263"/>
    </row>
    <row r="124" spans="1:6" x14ac:dyDescent="0.2">
      <c r="A124" s="1263"/>
      <c r="B124" s="1263"/>
      <c r="C124" s="1263"/>
      <c r="D124" s="1263"/>
      <c r="E124" s="1263"/>
      <c r="F124" s="1263"/>
    </row>
  </sheetData>
  <mergeCells count="62">
    <mergeCell ref="A114:B114"/>
    <mergeCell ref="A122:F124"/>
    <mergeCell ref="A107:B107"/>
    <mergeCell ref="A108:B108"/>
    <mergeCell ref="A109:B109"/>
    <mergeCell ref="A110:B110"/>
    <mergeCell ref="A111:B111"/>
    <mergeCell ref="A112:B112"/>
    <mergeCell ref="A117:F120"/>
    <mergeCell ref="A113:B113"/>
    <mergeCell ref="A106:B106"/>
    <mergeCell ref="A101:B103"/>
    <mergeCell ref="C101:E101"/>
    <mergeCell ref="F101:F102"/>
    <mergeCell ref="A104:B104"/>
    <mergeCell ref="A87:B87"/>
    <mergeCell ref="A88:B88"/>
    <mergeCell ref="A89:B89"/>
    <mergeCell ref="A68:F69"/>
    <mergeCell ref="A105:B105"/>
    <mergeCell ref="A71:F72"/>
    <mergeCell ref="A94:F95"/>
    <mergeCell ref="A97:F97"/>
    <mergeCell ref="A90:B90"/>
    <mergeCell ref="A85:B85"/>
    <mergeCell ref="A86:B86"/>
    <mergeCell ref="A76:B78"/>
    <mergeCell ref="F76:F78"/>
    <mergeCell ref="D77:D78"/>
    <mergeCell ref="E77:E78"/>
    <mergeCell ref="A79:B79"/>
    <mergeCell ref="A63:F64"/>
    <mergeCell ref="A55:B55"/>
    <mergeCell ref="A56:B56"/>
    <mergeCell ref="A57:B57"/>
    <mergeCell ref="A58:B58"/>
    <mergeCell ref="A59:B59"/>
    <mergeCell ref="A84:B84"/>
    <mergeCell ref="A66:F66"/>
    <mergeCell ref="A80:B80"/>
    <mergeCell ref="A81:B81"/>
    <mergeCell ref="A82:B82"/>
    <mergeCell ref="A83:B83"/>
    <mergeCell ref="B43:F43"/>
    <mergeCell ref="A45:B45"/>
    <mergeCell ref="D46:D47"/>
    <mergeCell ref="E46:E47"/>
    <mergeCell ref="F46:F47"/>
    <mergeCell ref="A53:B53"/>
    <mergeCell ref="A54:B54"/>
    <mergeCell ref="A46:B47"/>
    <mergeCell ref="C46:C47"/>
    <mergeCell ref="A49:B49"/>
    <mergeCell ref="A50:B50"/>
    <mergeCell ref="A51:B51"/>
    <mergeCell ref="A52:B52"/>
    <mergeCell ref="A48:B48"/>
    <mergeCell ref="A32:E33"/>
    <mergeCell ref="A35:E37"/>
    <mergeCell ref="A39:E40"/>
    <mergeCell ref="A9:F9"/>
    <mergeCell ref="A10:F10"/>
  </mergeCells>
  <phoneticPr fontId="17" type="noConversion"/>
  <dataValidations count="1">
    <dataValidation allowBlank="1" showInputMessage="1" showErrorMessage="1" promptTitle="Date Format" prompt="E.g:  &quot;August 1, 2011&quot;" sqref="F7"/>
  </dataValidations>
  <pageMargins left="0.74803149606299202" right="0.74803149606299202" top="0.98425196850393704" bottom="0.98425196850393704" header="0.511811023622047" footer="0.511811023622047"/>
  <pageSetup scale="76" fitToHeight="2" orientation="portrait" r:id="rId1"/>
  <headerFooter alignWithMargins="0"/>
  <rowBreaks count="1" manualBreakCount="1">
    <brk id="60" max="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73"/>
  <sheetViews>
    <sheetView showGridLines="0" zoomScaleNormal="100" workbookViewId="0">
      <selection sqref="A1:XFD1048576"/>
    </sheetView>
  </sheetViews>
  <sheetFormatPr defaultRowHeight="12.75" x14ac:dyDescent="0.2"/>
  <cols>
    <col min="1" max="1" width="8.7109375" customWidth="1"/>
    <col min="2" max="2" width="30.7109375" customWidth="1"/>
    <col min="3" max="4" width="14" bestFit="1" customWidth="1"/>
    <col min="5" max="5" width="14" customWidth="1"/>
    <col min="6" max="6" width="14.7109375" customWidth="1"/>
    <col min="7" max="7" width="13.7109375" customWidth="1"/>
    <col min="8" max="8" width="14.7109375" customWidth="1"/>
  </cols>
  <sheetData>
    <row r="1" spans="1:8" x14ac:dyDescent="0.2">
      <c r="G1" s="329" t="s">
        <v>444</v>
      </c>
      <c r="H1" s="250" t="str">
        <f>'LDC Info'!$E$18</f>
        <v>EB-2012-0107</v>
      </c>
    </row>
    <row r="2" spans="1:8" x14ac:dyDescent="0.2">
      <c r="G2" s="329" t="s">
        <v>445</v>
      </c>
      <c r="H2" s="251">
        <v>8</v>
      </c>
    </row>
    <row r="3" spans="1:8" x14ac:dyDescent="0.2">
      <c r="G3" s="329" t="s">
        <v>446</v>
      </c>
      <c r="H3" s="251">
        <v>3</v>
      </c>
    </row>
    <row r="4" spans="1:8" x14ac:dyDescent="0.2">
      <c r="G4" s="329" t="s">
        <v>447</v>
      </c>
      <c r="H4" s="251">
        <v>6</v>
      </c>
    </row>
    <row r="5" spans="1:8" x14ac:dyDescent="0.2">
      <c r="G5" s="329" t="s">
        <v>1036</v>
      </c>
      <c r="H5" s="252">
        <v>1</v>
      </c>
    </row>
    <row r="6" spans="1:8" x14ac:dyDescent="0.2">
      <c r="G6" s="329"/>
      <c r="H6" s="250"/>
    </row>
    <row r="7" spans="1:8" x14ac:dyDescent="0.2">
      <c r="G7" s="329" t="s">
        <v>449</v>
      </c>
      <c r="H7" s="934">
        <v>41200</v>
      </c>
    </row>
    <row r="9" spans="1:8" ht="18" x14ac:dyDescent="0.25">
      <c r="A9" s="1385" t="s">
        <v>682</v>
      </c>
      <c r="B9" s="1385"/>
      <c r="C9" s="1385"/>
      <c r="D9" s="1385"/>
      <c r="E9" s="1385"/>
      <c r="F9" s="1385"/>
      <c r="G9" s="1385"/>
      <c r="H9" s="1385"/>
    </row>
    <row r="10" spans="1:8" ht="18" x14ac:dyDescent="0.25">
      <c r="A10" s="1385" t="s">
        <v>179</v>
      </c>
      <c r="B10" s="1385"/>
      <c r="C10" s="1385"/>
      <c r="D10" s="1385"/>
      <c r="E10" s="1385"/>
      <c r="F10" s="1385"/>
      <c r="G10" s="1385"/>
      <c r="H10" s="1385"/>
    </row>
    <row r="12" spans="1:8" x14ac:dyDescent="0.2">
      <c r="A12" s="1525"/>
      <c r="B12" s="1525"/>
      <c r="C12" s="1525"/>
      <c r="D12" s="1525"/>
      <c r="E12" s="1525"/>
      <c r="F12" s="1525"/>
      <c r="G12" s="1525"/>
      <c r="H12" s="1525"/>
    </row>
    <row r="13" spans="1:8" ht="13.5" thickBot="1" x14ac:dyDescent="0.25"/>
    <row r="14" spans="1:8" x14ac:dyDescent="0.2">
      <c r="A14" s="1526"/>
      <c r="B14" s="1527"/>
      <c r="C14" s="1530" t="s">
        <v>263</v>
      </c>
      <c r="D14" s="1531"/>
      <c r="E14" s="1531"/>
      <c r="F14" s="1531"/>
      <c r="G14" s="1532"/>
      <c r="H14" s="1513" t="s">
        <v>264</v>
      </c>
    </row>
    <row r="15" spans="1:8" x14ac:dyDescent="0.2">
      <c r="A15" s="1528"/>
      <c r="B15" s="1529"/>
      <c r="C15" s="552">
        <f>IF(ISBLANK('LDC Info'!E26-5), "Year 5", 'LDC Info'!E26-5)</f>
        <v>2007</v>
      </c>
      <c r="D15" s="552">
        <f>IF(ISBLANK('LDC Info'!E26-4), "Year 5", 'LDC Info'!E26-4)</f>
        <v>2008</v>
      </c>
      <c r="E15" s="552">
        <f>IF(ISBLANK('LDC Info'!E26-3), "Year 5", 'LDC Info'!E26-3)</f>
        <v>2009</v>
      </c>
      <c r="F15" s="552">
        <f>IF(ISBLANK('LDC Info'!E26-2), "Year 5", 'LDC Info'!E26-2)</f>
        <v>2010</v>
      </c>
      <c r="G15" s="552">
        <f>IF(ISBLANK('LDC Info'!E26-1), "Year 5", 'LDC Info'!E26-1)</f>
        <v>2011</v>
      </c>
      <c r="H15" s="1522"/>
    </row>
    <row r="16" spans="1:8" x14ac:dyDescent="0.2">
      <c r="A16" s="199"/>
      <c r="B16" s="1533" t="s">
        <v>265</v>
      </c>
      <c r="C16" s="1534"/>
      <c r="D16" s="1534"/>
      <c r="E16" s="1534"/>
      <c r="F16" s="1534"/>
      <c r="G16" s="1534"/>
      <c r="H16" s="1535"/>
    </row>
    <row r="17" spans="1:8" ht="25.5" x14ac:dyDescent="0.2">
      <c r="A17" s="145" t="s">
        <v>266</v>
      </c>
      <c r="B17" s="103" t="s">
        <v>267</v>
      </c>
      <c r="C17" s="753">
        <v>1032285701.648</v>
      </c>
      <c r="D17" s="753">
        <v>997242439.81599998</v>
      </c>
      <c r="E17" s="753">
        <v>907105725.4188</v>
      </c>
      <c r="F17" s="753">
        <v>890229083.32959998</v>
      </c>
      <c r="G17" s="753">
        <v>797568172.13139999</v>
      </c>
      <c r="H17" s="754">
        <f>IF(SUM(C17:G17)=0,0,AVERAGE(C17:G17))</f>
        <v>924886224.46875989</v>
      </c>
    </row>
    <row r="18" spans="1:8" ht="25.5" x14ac:dyDescent="0.2">
      <c r="A18" s="145" t="s">
        <v>268</v>
      </c>
      <c r="B18" s="103" t="s">
        <v>269</v>
      </c>
      <c r="C18" s="753">
        <v>1166343660.41925</v>
      </c>
      <c r="D18" s="753">
        <v>1119185305.3017499</v>
      </c>
      <c r="E18" s="753">
        <v>1031976163.1885</v>
      </c>
      <c r="F18" s="753">
        <v>1078284551.319</v>
      </c>
      <c r="G18" s="753">
        <v>1051533595.574</v>
      </c>
      <c r="H18" s="754">
        <f>IF(SUM(C18:G18)=0,0,AVERAGE(C18:G18))</f>
        <v>1089464655.1605</v>
      </c>
    </row>
    <row r="19" spans="1:8" ht="38.25" x14ac:dyDescent="0.2">
      <c r="A19" s="145" t="s">
        <v>270</v>
      </c>
      <c r="B19" s="103" t="s">
        <v>271</v>
      </c>
      <c r="C19" s="753">
        <v>353502002.72069347</v>
      </c>
      <c r="D19" s="753">
        <v>304045803.30175006</v>
      </c>
      <c r="E19" s="753">
        <v>249379004.38850001</v>
      </c>
      <c r="F19" s="753">
        <v>260556620.51899996</v>
      </c>
      <c r="G19" s="753">
        <v>256292664.574</v>
      </c>
      <c r="H19" s="754">
        <f>IF(SUM(C19:G19)=0,0,AVERAGE(C19:G19))</f>
        <v>284755219.10078871</v>
      </c>
    </row>
    <row r="20" spans="1:8" ht="25.5" x14ac:dyDescent="0.2">
      <c r="A20" s="145" t="s">
        <v>272</v>
      </c>
      <c r="B20" s="103" t="s">
        <v>284</v>
      </c>
      <c r="C20" s="755">
        <f t="shared" ref="C20:H20" si="0">C18-C19</f>
        <v>812841657.69855654</v>
      </c>
      <c r="D20" s="755">
        <f t="shared" si="0"/>
        <v>815139501.99999988</v>
      </c>
      <c r="E20" s="755">
        <f t="shared" si="0"/>
        <v>782597158.80000007</v>
      </c>
      <c r="F20" s="755">
        <f t="shared" si="0"/>
        <v>817727930.80000007</v>
      </c>
      <c r="G20" s="755">
        <f t="shared" si="0"/>
        <v>795240931</v>
      </c>
      <c r="H20" s="756">
        <f t="shared" si="0"/>
        <v>804709436.05971134</v>
      </c>
    </row>
    <row r="21" spans="1:8" ht="14.25" customHeight="1" x14ac:dyDescent="0.2">
      <c r="A21" s="145" t="s">
        <v>273</v>
      </c>
      <c r="B21" s="103" t="s">
        <v>274</v>
      </c>
      <c r="C21" s="753">
        <v>1138752778.7894781</v>
      </c>
      <c r="D21" s="753">
        <v>1093439192.5483508</v>
      </c>
      <c r="E21" s="753">
        <v>1000310593.4049299</v>
      </c>
      <c r="F21" s="753">
        <v>1049716429.5044557</v>
      </c>
      <c r="G21" s="753">
        <v>1015096244.6805636</v>
      </c>
      <c r="H21" s="754">
        <f>IF(SUM(C21:G21)=0,0,AVERAGE(C21:G21))</f>
        <v>1059463047.7855556</v>
      </c>
    </row>
    <row r="22" spans="1:8" ht="38.25" x14ac:dyDescent="0.2">
      <c r="A22" s="145" t="s">
        <v>275</v>
      </c>
      <c r="B22" s="103" t="s">
        <v>276</v>
      </c>
      <c r="C22" s="753">
        <v>349966982.69348657</v>
      </c>
      <c r="D22" s="753">
        <v>301005345.26873249</v>
      </c>
      <c r="E22" s="753">
        <v>246885214.34461504</v>
      </c>
      <c r="F22" s="753">
        <v>257951054.31380999</v>
      </c>
      <c r="G22" s="753">
        <v>253729737.92826003</v>
      </c>
      <c r="H22" s="754">
        <f>IF(SUM(C22:G22)=0,0,AVERAGE(C22:G22))</f>
        <v>281907666.90978086</v>
      </c>
    </row>
    <row r="23" spans="1:8" ht="25.5" x14ac:dyDescent="0.2">
      <c r="A23" s="145" t="s">
        <v>277</v>
      </c>
      <c r="B23" s="103" t="s">
        <v>285</v>
      </c>
      <c r="C23" s="755">
        <f t="shared" ref="C23:H23" si="1">C21-C22</f>
        <v>788785796.09599149</v>
      </c>
      <c r="D23" s="755">
        <f t="shared" si="1"/>
        <v>792433847.27961826</v>
      </c>
      <c r="E23" s="755">
        <f t="shared" si="1"/>
        <v>753425379.06031489</v>
      </c>
      <c r="F23" s="755">
        <f t="shared" si="1"/>
        <v>791765375.19064569</v>
      </c>
      <c r="G23" s="755">
        <f t="shared" si="1"/>
        <v>761366506.7523036</v>
      </c>
      <c r="H23" s="756">
        <f t="shared" si="1"/>
        <v>777555380.87577474</v>
      </c>
    </row>
    <row r="24" spans="1:8" ht="25.5" x14ac:dyDescent="0.2">
      <c r="A24" s="145" t="s">
        <v>278</v>
      </c>
      <c r="B24" s="103" t="s">
        <v>286</v>
      </c>
      <c r="C24" s="757">
        <f t="shared" ref="C24:G24" si="2">IF(C23=0,"",C20/C23)</f>
        <v>1.0304973311152748</v>
      </c>
      <c r="D24" s="757">
        <f t="shared" si="2"/>
        <v>1.0286530601870791</v>
      </c>
      <c r="E24" s="757">
        <f t="shared" si="2"/>
        <v>1.0387188705749051</v>
      </c>
      <c r="F24" s="757">
        <f t="shared" si="2"/>
        <v>1.0327907185927434</v>
      </c>
      <c r="G24" s="757">
        <f t="shared" si="2"/>
        <v>1.0444916133652788</v>
      </c>
      <c r="H24" s="758">
        <f>IF(H23=0,"",H20/H23)</f>
        <v>1.034922342320302</v>
      </c>
    </row>
    <row r="25" spans="1:8" ht="13.5" customHeight="1" x14ac:dyDescent="0.2">
      <c r="A25" s="200"/>
      <c r="B25" s="1536" t="s">
        <v>280</v>
      </c>
      <c r="C25" s="1537"/>
      <c r="D25" s="1537"/>
      <c r="E25" s="1537"/>
      <c r="F25" s="1537"/>
      <c r="G25" s="1537"/>
      <c r="H25" s="1538"/>
    </row>
    <row r="26" spans="1:8" x14ac:dyDescent="0.2">
      <c r="A26" s="145" t="s">
        <v>279</v>
      </c>
      <c r="B26" s="759" t="s">
        <v>281</v>
      </c>
      <c r="C26" s="760">
        <v>1.0069649983317406</v>
      </c>
      <c r="D26" s="760">
        <v>1.0068878186142858</v>
      </c>
      <c r="E26" s="760">
        <v>1.0069075137045298</v>
      </c>
      <c r="F26" s="760">
        <v>1.0069523842842931</v>
      </c>
      <c r="G26" s="760">
        <v>1.0067426333897604</v>
      </c>
      <c r="H26" s="761">
        <f>IF(SUM(C26:G26)=0,0,AVERAGE(C26:G26))</f>
        <v>1.0068910696649218</v>
      </c>
    </row>
    <row r="27" spans="1:8" x14ac:dyDescent="0.2">
      <c r="A27" s="200"/>
      <c r="B27" s="1539" t="s">
        <v>282</v>
      </c>
      <c r="C27" s="1540"/>
      <c r="D27" s="1540"/>
      <c r="E27" s="1540"/>
      <c r="F27" s="1540"/>
      <c r="G27" s="1540"/>
      <c r="H27" s="1541"/>
    </row>
    <row r="28" spans="1:8" ht="13.5" thickBot="1" x14ac:dyDescent="0.25">
      <c r="A28" s="144" t="s">
        <v>283</v>
      </c>
      <c r="B28" s="762" t="s">
        <v>287</v>
      </c>
      <c r="C28" s="763">
        <f t="shared" ref="C28:H28" si="3">IF(C24="","",C24*C26)</f>
        <v>1.0376747433073557</v>
      </c>
      <c r="D28" s="763">
        <f t="shared" si="3"/>
        <v>1.0357382358826777</v>
      </c>
      <c r="E28" s="763">
        <f t="shared" si="3"/>
        <v>1.045893835408555</v>
      </c>
      <c r="F28" s="763">
        <f t="shared" si="3"/>
        <v>1.0399710765536514</v>
      </c>
      <c r="G28" s="763">
        <f t="shared" si="3"/>
        <v>1.0515342373928804</v>
      </c>
      <c r="H28" s="764">
        <f t="shared" si="3"/>
        <v>1.0420540642790153</v>
      </c>
    </row>
    <row r="30" spans="1:8" x14ac:dyDescent="0.2">
      <c r="A30" s="78" t="s">
        <v>454</v>
      </c>
    </row>
    <row r="31" spans="1:8" ht="7.5" customHeight="1" x14ac:dyDescent="0.2"/>
    <row r="33" spans="1:8" x14ac:dyDescent="0.2">
      <c r="A33" s="158" t="s">
        <v>266</v>
      </c>
      <c r="B33" s="1542" t="s">
        <v>420</v>
      </c>
      <c r="C33" s="1542"/>
      <c r="D33" s="1542"/>
      <c r="E33" s="1542"/>
      <c r="F33" s="1542"/>
      <c r="G33" s="1542"/>
      <c r="H33" s="1542"/>
    </row>
    <row r="34" spans="1:8" x14ac:dyDescent="0.2">
      <c r="A34" s="167"/>
      <c r="B34" s="1542"/>
      <c r="C34" s="1542"/>
      <c r="D34" s="1542"/>
      <c r="E34" s="1542"/>
      <c r="F34" s="1542"/>
      <c r="G34" s="1542"/>
      <c r="H34" s="1542"/>
    </row>
    <row r="35" spans="1:8" x14ac:dyDescent="0.2">
      <c r="A35" s="167"/>
      <c r="B35" s="1542"/>
      <c r="C35" s="1542"/>
      <c r="D35" s="1542"/>
      <c r="E35" s="1542"/>
      <c r="F35" s="1542"/>
      <c r="G35" s="1542"/>
      <c r="H35" s="1542"/>
    </row>
    <row r="36" spans="1:8" ht="7.5" customHeight="1" x14ac:dyDescent="0.2">
      <c r="A36" s="167"/>
      <c r="B36" s="148"/>
      <c r="C36" s="148"/>
      <c r="D36" s="148"/>
      <c r="E36" s="148"/>
      <c r="F36" s="148"/>
      <c r="G36" s="148"/>
      <c r="H36" s="148"/>
    </row>
    <row r="37" spans="1:8" x14ac:dyDescent="0.2">
      <c r="A37" s="167"/>
      <c r="B37" s="1542" t="s">
        <v>421</v>
      </c>
      <c r="C37" s="1542"/>
      <c r="D37" s="1542"/>
      <c r="E37" s="1542"/>
      <c r="F37" s="1542"/>
      <c r="G37" s="1542"/>
      <c r="H37" s="1542"/>
    </row>
    <row r="38" spans="1:8" x14ac:dyDescent="0.2">
      <c r="A38" s="167"/>
      <c r="B38" s="1542"/>
      <c r="C38" s="1542"/>
      <c r="D38" s="1542"/>
      <c r="E38" s="1542"/>
      <c r="F38" s="1542"/>
      <c r="G38" s="1542"/>
      <c r="H38" s="1542"/>
    </row>
    <row r="39" spans="1:8" x14ac:dyDescent="0.2">
      <c r="A39" s="167"/>
      <c r="B39" s="1542"/>
      <c r="C39" s="1542"/>
      <c r="D39" s="1542"/>
      <c r="E39" s="1542"/>
      <c r="F39" s="1542"/>
      <c r="G39" s="1542"/>
      <c r="H39" s="1542"/>
    </row>
    <row r="40" spans="1:8" x14ac:dyDescent="0.2">
      <c r="A40" s="167"/>
      <c r="B40" s="1542"/>
      <c r="C40" s="1542"/>
      <c r="D40" s="1542"/>
      <c r="E40" s="1542"/>
      <c r="F40" s="1542"/>
      <c r="G40" s="1542"/>
      <c r="H40" s="1542"/>
    </row>
    <row r="41" spans="1:8" ht="7.5" customHeight="1" x14ac:dyDescent="0.2">
      <c r="A41" s="167"/>
      <c r="B41" s="148"/>
      <c r="C41" s="148"/>
      <c r="D41" s="148"/>
      <c r="E41" s="148"/>
      <c r="F41" s="148"/>
      <c r="G41" s="148"/>
      <c r="H41" s="148"/>
    </row>
    <row r="42" spans="1:8" x14ac:dyDescent="0.2">
      <c r="A42" s="167"/>
      <c r="B42" s="148" t="s">
        <v>390</v>
      </c>
      <c r="C42" s="148"/>
      <c r="D42" s="148"/>
      <c r="E42" s="148"/>
      <c r="F42" s="148"/>
      <c r="G42" s="148"/>
      <c r="H42" s="148"/>
    </row>
    <row r="43" spans="1:8" ht="7.5" customHeight="1" x14ac:dyDescent="0.2">
      <c r="A43" s="167"/>
      <c r="B43" s="148"/>
      <c r="C43" s="148"/>
      <c r="D43" s="148"/>
      <c r="E43" s="148"/>
      <c r="F43" s="148"/>
      <c r="G43" s="148"/>
      <c r="H43" s="148"/>
    </row>
    <row r="44" spans="1:8" x14ac:dyDescent="0.2">
      <c r="A44" s="158" t="s">
        <v>268</v>
      </c>
      <c r="B44" s="1542" t="s">
        <v>422</v>
      </c>
      <c r="C44" s="1542"/>
      <c r="D44" s="1542"/>
      <c r="E44" s="1542"/>
      <c r="F44" s="1542"/>
      <c r="G44" s="1542"/>
      <c r="H44" s="1542"/>
    </row>
    <row r="45" spans="1:8" x14ac:dyDescent="0.2">
      <c r="A45" s="167"/>
      <c r="B45" s="1542"/>
      <c r="C45" s="1542"/>
      <c r="D45" s="1542"/>
      <c r="E45" s="1542"/>
      <c r="F45" s="1542"/>
      <c r="G45" s="1542"/>
      <c r="H45" s="1542"/>
    </row>
    <row r="46" spans="1:8" x14ac:dyDescent="0.2">
      <c r="A46" s="167"/>
      <c r="B46" s="1542"/>
      <c r="C46" s="1542"/>
      <c r="D46" s="1542"/>
      <c r="E46" s="1542"/>
      <c r="F46" s="1542"/>
      <c r="G46" s="1542"/>
      <c r="H46" s="1542"/>
    </row>
    <row r="47" spans="1:8" ht="7.5" customHeight="1" x14ac:dyDescent="0.2">
      <c r="A47" s="167"/>
      <c r="B47" s="148"/>
      <c r="C47" s="148"/>
      <c r="D47" s="148"/>
      <c r="E47" s="148"/>
      <c r="F47" s="148"/>
      <c r="G47" s="148"/>
      <c r="H47" s="148"/>
    </row>
    <row r="48" spans="1:8" x14ac:dyDescent="0.2">
      <c r="A48" s="167"/>
      <c r="B48" s="1542" t="s">
        <v>423</v>
      </c>
      <c r="C48" s="1542"/>
      <c r="D48" s="1542"/>
      <c r="E48" s="1542"/>
      <c r="F48" s="1542"/>
      <c r="G48" s="1542"/>
      <c r="H48" s="1542"/>
    </row>
    <row r="49" spans="1:8" x14ac:dyDescent="0.2">
      <c r="A49" s="167"/>
      <c r="B49" s="1542"/>
      <c r="C49" s="1542"/>
      <c r="D49" s="1542"/>
      <c r="E49" s="1542"/>
      <c r="F49" s="1542"/>
      <c r="G49" s="1542"/>
      <c r="H49" s="1542"/>
    </row>
    <row r="50" spans="1:8" x14ac:dyDescent="0.2">
      <c r="A50" s="167"/>
      <c r="B50" s="1542"/>
      <c r="C50" s="1542"/>
      <c r="D50" s="1542"/>
      <c r="E50" s="1542"/>
      <c r="F50" s="1542"/>
      <c r="G50" s="1542"/>
      <c r="H50" s="1542"/>
    </row>
    <row r="51" spans="1:8" x14ac:dyDescent="0.2">
      <c r="A51" s="167"/>
      <c r="B51" s="1542"/>
      <c r="C51" s="1542"/>
      <c r="D51" s="1542"/>
      <c r="E51" s="1542"/>
      <c r="F51" s="1542"/>
      <c r="G51" s="1542"/>
      <c r="H51" s="1542"/>
    </row>
    <row r="52" spans="1:8" ht="7.5" customHeight="1" x14ac:dyDescent="0.2">
      <c r="A52" s="167"/>
      <c r="B52" s="148"/>
      <c r="C52" s="148"/>
      <c r="D52" s="148"/>
      <c r="E52" s="148"/>
      <c r="F52" s="148"/>
      <c r="G52" s="148"/>
      <c r="H52" s="148"/>
    </row>
    <row r="53" spans="1:8" x14ac:dyDescent="0.2">
      <c r="A53" s="167"/>
      <c r="B53" s="1544" t="s">
        <v>390</v>
      </c>
      <c r="C53" s="1544"/>
      <c r="D53" s="1544"/>
      <c r="E53" s="1544"/>
      <c r="F53" s="1544"/>
      <c r="G53" s="1544"/>
      <c r="H53" s="1544"/>
    </row>
    <row r="54" spans="1:8" ht="7.5" customHeight="1" x14ac:dyDescent="0.2">
      <c r="A54" s="167"/>
      <c r="B54" s="148"/>
      <c r="C54" s="148"/>
      <c r="D54" s="148"/>
      <c r="E54" s="148"/>
      <c r="F54" s="148"/>
      <c r="G54" s="148"/>
      <c r="H54" s="148"/>
    </row>
    <row r="55" spans="1:8" x14ac:dyDescent="0.2">
      <c r="A55" s="167"/>
      <c r="B55" s="1542" t="s">
        <v>424</v>
      </c>
      <c r="C55" s="1542"/>
      <c r="D55" s="1542"/>
      <c r="E55" s="1542"/>
      <c r="F55" s="1542"/>
      <c r="G55" s="1542"/>
      <c r="H55" s="1542"/>
    </row>
    <row r="56" spans="1:8" x14ac:dyDescent="0.2">
      <c r="A56" s="167"/>
      <c r="B56" s="1542"/>
      <c r="C56" s="1542"/>
      <c r="D56" s="1542"/>
      <c r="E56" s="1542"/>
      <c r="F56" s="1542"/>
      <c r="G56" s="1542"/>
      <c r="H56" s="1542"/>
    </row>
    <row r="57" spans="1:8" ht="7.5" customHeight="1" x14ac:dyDescent="0.2">
      <c r="A57" s="167"/>
      <c r="B57" s="148"/>
      <c r="C57" s="148"/>
      <c r="D57" s="148"/>
      <c r="E57" s="148"/>
      <c r="F57" s="148"/>
      <c r="G57" s="148"/>
      <c r="H57" s="148"/>
    </row>
    <row r="58" spans="1:8" x14ac:dyDescent="0.2">
      <c r="A58" s="158" t="s">
        <v>270</v>
      </c>
      <c r="B58" s="1542" t="s">
        <v>425</v>
      </c>
      <c r="C58" s="1542"/>
      <c r="D58" s="1542"/>
      <c r="E58" s="1542"/>
      <c r="F58" s="1542"/>
      <c r="G58" s="1542"/>
      <c r="H58" s="1542"/>
    </row>
    <row r="59" spans="1:8" x14ac:dyDescent="0.2">
      <c r="A59" s="167"/>
      <c r="B59" s="1542"/>
      <c r="C59" s="1542"/>
      <c r="D59" s="1542"/>
      <c r="E59" s="1542"/>
      <c r="F59" s="1542"/>
      <c r="G59" s="1542"/>
      <c r="H59" s="1542"/>
    </row>
    <row r="60" spans="1:8" ht="7.5" customHeight="1" x14ac:dyDescent="0.2">
      <c r="A60" s="167"/>
      <c r="B60" s="148"/>
      <c r="C60" s="148"/>
      <c r="D60" s="148"/>
      <c r="E60" s="148"/>
      <c r="F60" s="148"/>
      <c r="G60" s="148"/>
      <c r="H60" s="148"/>
    </row>
    <row r="61" spans="1:8" x14ac:dyDescent="0.2">
      <c r="A61" s="158" t="s">
        <v>273</v>
      </c>
      <c r="B61" s="1543" t="s">
        <v>759</v>
      </c>
      <c r="C61" s="1542"/>
      <c r="D61" s="1542"/>
      <c r="E61" s="1542"/>
      <c r="F61" s="1542"/>
      <c r="G61" s="1542"/>
      <c r="H61" s="1542"/>
    </row>
    <row r="62" spans="1:8" x14ac:dyDescent="0.2">
      <c r="A62" s="167"/>
      <c r="B62" s="1542"/>
      <c r="C62" s="1542"/>
      <c r="D62" s="1542"/>
      <c r="E62" s="1542"/>
      <c r="F62" s="1542"/>
      <c r="G62" s="1542"/>
      <c r="H62" s="1542"/>
    </row>
    <row r="63" spans="1:8" x14ac:dyDescent="0.2">
      <c r="A63" s="167"/>
      <c r="B63" s="148"/>
      <c r="C63" s="148"/>
      <c r="D63" s="148"/>
      <c r="E63" s="148"/>
      <c r="F63" s="148"/>
      <c r="G63" s="148"/>
      <c r="H63" s="148"/>
    </row>
    <row r="64" spans="1:8" x14ac:dyDescent="0.2">
      <c r="A64" s="158" t="s">
        <v>426</v>
      </c>
      <c r="B64" s="1544" t="s">
        <v>391</v>
      </c>
      <c r="C64" s="1544"/>
      <c r="D64" s="1544"/>
      <c r="E64" s="1544"/>
      <c r="F64" s="1544"/>
      <c r="G64" s="1544"/>
      <c r="H64" s="1544"/>
    </row>
    <row r="65" spans="1:8" x14ac:dyDescent="0.2">
      <c r="A65" s="167"/>
      <c r="B65" s="148"/>
      <c r="C65" s="148"/>
      <c r="D65" s="148"/>
      <c r="E65" s="148"/>
      <c r="F65" s="148"/>
      <c r="G65" s="148"/>
      <c r="H65" s="148"/>
    </row>
    <row r="66" spans="1:8" x14ac:dyDescent="0.2">
      <c r="A66" s="158" t="s">
        <v>279</v>
      </c>
      <c r="B66" s="1544" t="s">
        <v>418</v>
      </c>
      <c r="C66" s="1544"/>
      <c r="D66" s="1544"/>
      <c r="E66" s="1544"/>
      <c r="F66" s="1544"/>
      <c r="G66" s="1544"/>
      <c r="H66" s="1544"/>
    </row>
    <row r="67" spans="1:8" x14ac:dyDescent="0.2">
      <c r="A67" s="148"/>
      <c r="B67" s="148"/>
      <c r="C67" s="148"/>
      <c r="D67" s="148"/>
      <c r="E67" s="148"/>
      <c r="F67" s="148"/>
      <c r="G67" s="148"/>
      <c r="H67" s="148"/>
    </row>
    <row r="68" spans="1:8" x14ac:dyDescent="0.2">
      <c r="A68" s="148"/>
      <c r="B68" s="1542" t="s">
        <v>419</v>
      </c>
      <c r="C68" s="1542"/>
      <c r="D68" s="1542"/>
      <c r="E68" s="1542"/>
      <c r="F68" s="1542"/>
      <c r="G68" s="1542"/>
      <c r="H68" s="148"/>
    </row>
    <row r="69" spans="1:8" x14ac:dyDescent="0.2">
      <c r="A69" s="148"/>
      <c r="B69" s="1542"/>
      <c r="C69" s="1542"/>
      <c r="D69" s="1542"/>
      <c r="E69" s="1542"/>
      <c r="F69" s="1542"/>
      <c r="G69" s="1542"/>
      <c r="H69" s="148"/>
    </row>
    <row r="70" spans="1:8" x14ac:dyDescent="0.2">
      <c r="A70" s="148"/>
      <c r="B70" s="1542"/>
      <c r="C70" s="1542"/>
      <c r="D70" s="1542"/>
      <c r="E70" s="1542"/>
      <c r="F70" s="1542"/>
      <c r="G70" s="1542"/>
      <c r="H70" s="148"/>
    </row>
    <row r="71" spans="1:8" x14ac:dyDescent="0.2">
      <c r="A71" s="148"/>
      <c r="B71" s="148"/>
      <c r="C71" s="148"/>
      <c r="D71" s="148"/>
      <c r="E71" s="148"/>
      <c r="F71" s="148"/>
      <c r="G71" s="148"/>
      <c r="H71" s="148"/>
    </row>
    <row r="72" spans="1:8" x14ac:dyDescent="0.2">
      <c r="B72" s="1544" t="s">
        <v>427</v>
      </c>
      <c r="C72" s="1545"/>
      <c r="D72" s="1545"/>
      <c r="E72" s="1545"/>
      <c r="F72" s="1545"/>
      <c r="G72" s="1545"/>
      <c r="H72" s="1545"/>
    </row>
    <row r="73" spans="1:8" x14ac:dyDescent="0.2">
      <c r="B73" t="s">
        <v>428</v>
      </c>
    </row>
  </sheetData>
  <mergeCells count="21">
    <mergeCell ref="B58:H59"/>
    <mergeCell ref="B61:H62"/>
    <mergeCell ref="B33:H35"/>
    <mergeCell ref="B72:H72"/>
    <mergeCell ref="B64:H64"/>
    <mergeCell ref="B66:H66"/>
    <mergeCell ref="B68:G70"/>
    <mergeCell ref="B53:H53"/>
    <mergeCell ref="B16:H16"/>
    <mergeCell ref="B25:H25"/>
    <mergeCell ref="B27:H27"/>
    <mergeCell ref="B55:H56"/>
    <mergeCell ref="B37:H40"/>
    <mergeCell ref="B44:H46"/>
    <mergeCell ref="B48:H51"/>
    <mergeCell ref="A9:H9"/>
    <mergeCell ref="A10:H10"/>
    <mergeCell ref="A12:H12"/>
    <mergeCell ref="A14:B15"/>
    <mergeCell ref="C14:G14"/>
    <mergeCell ref="H14:H15"/>
  </mergeCells>
  <phoneticPr fontId="17" type="noConversion"/>
  <dataValidations count="1">
    <dataValidation allowBlank="1" showInputMessage="1" showErrorMessage="1" promptTitle="Date Format" prompt="E.g:  &quot;August 1, 2011&quot;" sqref="H7"/>
  </dataValidations>
  <pageMargins left="0.75" right="0.75" top="1" bottom="1" header="0.5" footer="0.5"/>
  <pageSetup scale="64"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00"/>
  <sheetViews>
    <sheetView showGridLines="0" zoomScaleNormal="100" workbookViewId="0">
      <selection sqref="A1:XFD1048576"/>
    </sheetView>
  </sheetViews>
  <sheetFormatPr defaultRowHeight="12.75" x14ac:dyDescent="0.2"/>
  <cols>
    <col min="1" max="1" width="6.7109375" customWidth="1"/>
    <col min="2" max="2" width="7.140625" customWidth="1"/>
    <col min="3" max="5" width="13.7109375" customWidth="1"/>
    <col min="6" max="6" width="17.28515625" bestFit="1" customWidth="1"/>
    <col min="7" max="7" width="13.7109375" customWidth="1"/>
    <col min="8" max="8" width="16.42578125" customWidth="1"/>
    <col min="9" max="9" width="13.7109375" customWidth="1"/>
  </cols>
  <sheetData>
    <row r="1" spans="1:8" x14ac:dyDescent="0.2">
      <c r="G1" s="329" t="s">
        <v>444</v>
      </c>
      <c r="H1" s="250" t="str">
        <f>'LDC Info'!$E$18</f>
        <v>EB-2012-0107</v>
      </c>
    </row>
    <row r="2" spans="1:8" x14ac:dyDescent="0.2">
      <c r="G2" s="329" t="s">
        <v>445</v>
      </c>
      <c r="H2" s="251">
        <v>9</v>
      </c>
    </row>
    <row r="3" spans="1:8" x14ac:dyDescent="0.2">
      <c r="G3" s="329" t="s">
        <v>446</v>
      </c>
      <c r="H3" s="251">
        <v>1</v>
      </c>
    </row>
    <row r="4" spans="1:8" x14ac:dyDescent="0.2">
      <c r="G4" s="329" t="s">
        <v>447</v>
      </c>
      <c r="H4" s="251">
        <v>3</v>
      </c>
    </row>
    <row r="5" spans="1:8" x14ac:dyDescent="0.2">
      <c r="G5" s="329" t="s">
        <v>1036</v>
      </c>
      <c r="H5" s="252">
        <v>1</v>
      </c>
    </row>
    <row r="6" spans="1:8" x14ac:dyDescent="0.2">
      <c r="G6" s="329"/>
      <c r="H6" s="250"/>
    </row>
    <row r="7" spans="1:8" x14ac:dyDescent="0.2">
      <c r="G7" s="329" t="s">
        <v>449</v>
      </c>
      <c r="H7" s="934">
        <v>41200</v>
      </c>
    </row>
    <row r="9" spans="1:8" ht="18" x14ac:dyDescent="0.25">
      <c r="A9" s="1385" t="s">
        <v>339</v>
      </c>
      <c r="B9" s="1385"/>
      <c r="C9" s="1385"/>
      <c r="D9" s="1385"/>
      <c r="E9" s="1385"/>
      <c r="F9" s="1385"/>
      <c r="G9" s="1385"/>
      <c r="H9" s="1385"/>
    </row>
    <row r="10" spans="1:8" ht="18" x14ac:dyDescent="0.25">
      <c r="A10" s="1385" t="s">
        <v>302</v>
      </c>
      <c r="B10" s="1385"/>
      <c r="C10" s="1385"/>
      <c r="D10" s="1385"/>
      <c r="E10" s="1385"/>
      <c r="F10" s="1385"/>
      <c r="G10" s="1385"/>
      <c r="H10" s="1385"/>
    </row>
    <row r="11" spans="1:8" ht="13.5" thickBot="1" x14ac:dyDescent="0.25"/>
    <row r="12" spans="1:8" ht="51" x14ac:dyDescent="0.2">
      <c r="A12" s="553" t="s">
        <v>42</v>
      </c>
      <c r="B12" s="554" t="s">
        <v>454</v>
      </c>
      <c r="C12" s="189" t="s">
        <v>43</v>
      </c>
      <c r="D12" s="189" t="s">
        <v>44</v>
      </c>
      <c r="E12" s="189" t="s">
        <v>375</v>
      </c>
      <c r="F12" s="189" t="s">
        <v>45</v>
      </c>
      <c r="G12" s="189" t="s">
        <v>46</v>
      </c>
      <c r="H12" s="451" t="s">
        <v>47</v>
      </c>
    </row>
    <row r="13" spans="1:8" x14ac:dyDescent="0.2">
      <c r="A13" s="203"/>
      <c r="B13" s="197"/>
      <c r="C13" s="209" t="s">
        <v>48</v>
      </c>
      <c r="D13" s="209" t="s">
        <v>49</v>
      </c>
      <c r="E13" s="209" t="s">
        <v>376</v>
      </c>
      <c r="F13" s="209" t="s">
        <v>152</v>
      </c>
      <c r="G13" s="209" t="s">
        <v>51</v>
      </c>
      <c r="H13" s="210" t="s">
        <v>377</v>
      </c>
    </row>
    <row r="14" spans="1:8" x14ac:dyDescent="0.2">
      <c r="A14" s="48">
        <v>2006</v>
      </c>
      <c r="B14" s="5"/>
      <c r="C14" s="246"/>
      <c r="D14" s="246"/>
      <c r="E14" s="246"/>
      <c r="F14" s="10">
        <f t="shared" ref="F14:F20" si="0">C14-D14-E14</f>
        <v>0</v>
      </c>
      <c r="G14" s="246"/>
      <c r="H14" s="45">
        <f t="shared" ref="H14:H20" si="1">F14-G14</f>
        <v>0</v>
      </c>
    </row>
    <row r="15" spans="1:8" x14ac:dyDescent="0.2">
      <c r="A15" s="48">
        <v>2007</v>
      </c>
      <c r="B15" s="5"/>
      <c r="C15" s="246"/>
      <c r="D15" s="246"/>
      <c r="E15" s="246"/>
      <c r="F15" s="10">
        <f t="shared" si="0"/>
        <v>0</v>
      </c>
      <c r="G15" s="246"/>
      <c r="H15" s="45">
        <f t="shared" si="1"/>
        <v>0</v>
      </c>
    </row>
    <row r="16" spans="1:8" x14ac:dyDescent="0.2">
      <c r="A16" s="48">
        <v>2008</v>
      </c>
      <c r="B16" s="5"/>
      <c r="C16" s="246"/>
      <c r="D16" s="246"/>
      <c r="E16" s="246"/>
      <c r="F16" s="10">
        <f t="shared" si="0"/>
        <v>0</v>
      </c>
      <c r="G16" s="246"/>
      <c r="H16" s="45">
        <f t="shared" si="1"/>
        <v>0</v>
      </c>
    </row>
    <row r="17" spans="1:8" x14ac:dyDescent="0.2">
      <c r="A17" s="48">
        <v>2009</v>
      </c>
      <c r="B17" s="5"/>
      <c r="C17" s="246"/>
      <c r="D17" s="246"/>
      <c r="E17" s="246"/>
      <c r="F17" s="10">
        <f t="shared" si="0"/>
        <v>0</v>
      </c>
      <c r="G17" s="246"/>
      <c r="H17" s="45">
        <f t="shared" si="1"/>
        <v>0</v>
      </c>
    </row>
    <row r="18" spans="1:8" x14ac:dyDescent="0.2">
      <c r="A18" s="48">
        <v>2010</v>
      </c>
      <c r="B18" s="5"/>
      <c r="C18" s="246"/>
      <c r="D18" s="246"/>
      <c r="E18" s="246"/>
      <c r="F18" s="10">
        <f t="shared" si="0"/>
        <v>0</v>
      </c>
      <c r="G18" s="246"/>
      <c r="H18" s="45">
        <f t="shared" si="1"/>
        <v>0</v>
      </c>
    </row>
    <row r="19" spans="1:8" x14ac:dyDescent="0.2">
      <c r="A19" s="48">
        <v>2011</v>
      </c>
      <c r="B19" s="5"/>
      <c r="C19" s="246"/>
      <c r="D19" s="246"/>
      <c r="E19" s="246"/>
      <c r="F19" s="10">
        <f t="shared" si="0"/>
        <v>0</v>
      </c>
      <c r="G19" s="246"/>
      <c r="H19" s="45">
        <f t="shared" si="1"/>
        <v>0</v>
      </c>
    </row>
    <row r="20" spans="1:8" ht="13.5" thickBot="1" x14ac:dyDescent="0.25">
      <c r="A20" s="49">
        <v>2012</v>
      </c>
      <c r="B20" s="50" t="s">
        <v>453</v>
      </c>
      <c r="C20" s="428">
        <v>6719816</v>
      </c>
      <c r="D20" s="428">
        <v>4793171</v>
      </c>
      <c r="E20" s="428">
        <v>0</v>
      </c>
      <c r="F20" s="46">
        <f t="shared" si="0"/>
        <v>1926645</v>
      </c>
      <c r="G20" s="428">
        <v>0</v>
      </c>
      <c r="H20" s="211">
        <f t="shared" si="1"/>
        <v>1926645</v>
      </c>
    </row>
    <row r="22" spans="1:8" x14ac:dyDescent="0.2">
      <c r="A22" s="16" t="s">
        <v>16</v>
      </c>
      <c r="D22" s="752"/>
      <c r="E22" s="752"/>
      <c r="F22" s="752"/>
    </row>
    <row r="23" spans="1:8" x14ac:dyDescent="0.2">
      <c r="A23" s="16"/>
      <c r="D23" s="169" t="s">
        <v>944</v>
      </c>
    </row>
    <row r="24" spans="1:8" x14ac:dyDescent="0.2">
      <c r="A24" s="44" t="s">
        <v>453</v>
      </c>
      <c r="B24" s="47" t="s">
        <v>401</v>
      </c>
      <c r="C24" s="47"/>
      <c r="D24" s="47"/>
      <c r="E24" s="47"/>
      <c r="F24" s="47"/>
      <c r="G24" s="47"/>
    </row>
    <row r="25" spans="1:8" x14ac:dyDescent="0.2">
      <c r="A25" s="44"/>
      <c r="B25" s="47"/>
      <c r="C25" s="47"/>
      <c r="D25" s="47"/>
      <c r="E25" s="47"/>
      <c r="F25" s="47"/>
      <c r="G25" s="47"/>
    </row>
    <row r="26" spans="1:8" x14ac:dyDescent="0.2">
      <c r="A26" s="44"/>
      <c r="B26" s="733" t="s">
        <v>829</v>
      </c>
      <c r="C26" s="734"/>
      <c r="D26" s="734"/>
      <c r="E26" s="734"/>
      <c r="F26" s="734"/>
      <c r="G26" s="47"/>
    </row>
    <row r="28" spans="1:8" x14ac:dyDescent="0.2">
      <c r="A28" s="1366" t="s">
        <v>326</v>
      </c>
      <c r="B28" s="1366"/>
      <c r="C28" s="1366"/>
      <c r="D28" s="1366"/>
      <c r="E28" s="1366"/>
      <c r="F28" s="1366"/>
      <c r="G28" s="1366"/>
      <c r="H28" s="1366"/>
    </row>
    <row r="29" spans="1:8" x14ac:dyDescent="0.2">
      <c r="A29" s="1366"/>
      <c r="B29" s="1366"/>
      <c r="C29" s="1366"/>
      <c r="D29" s="1366"/>
      <c r="E29" s="1366"/>
      <c r="F29" s="1366"/>
      <c r="G29" s="1366"/>
      <c r="H29" s="1366"/>
    </row>
    <row r="30" spans="1:8" x14ac:dyDescent="0.2">
      <c r="A30" s="1366"/>
      <c r="B30" s="1366"/>
      <c r="C30" s="1366"/>
      <c r="D30" s="1366"/>
      <c r="E30" s="1366"/>
      <c r="F30" s="1366"/>
      <c r="G30" s="1366"/>
      <c r="H30" s="1366"/>
    </row>
    <row r="31" spans="1:8" x14ac:dyDescent="0.2">
      <c r="A31" s="1366"/>
      <c r="B31" s="1366"/>
      <c r="C31" s="1366"/>
      <c r="D31" s="1366"/>
      <c r="E31" s="1366"/>
      <c r="F31" s="1366"/>
      <c r="G31" s="1366"/>
      <c r="H31" s="1366"/>
    </row>
    <row r="33" spans="1:8" x14ac:dyDescent="0.2">
      <c r="A33" s="1549" t="s">
        <v>327</v>
      </c>
      <c r="B33" s="1550"/>
      <c r="C33" s="1550"/>
      <c r="D33" s="1550"/>
      <c r="E33" s="1550"/>
      <c r="F33" s="1550"/>
      <c r="G33" s="1550"/>
      <c r="H33" s="1550"/>
    </row>
    <row r="34" spans="1:8" x14ac:dyDescent="0.2">
      <c r="A34" s="1550"/>
      <c r="B34" s="1550"/>
      <c r="C34" s="1550"/>
      <c r="D34" s="1550"/>
      <c r="E34" s="1550"/>
      <c r="F34" s="1550"/>
      <c r="G34" s="1550"/>
      <c r="H34" s="1550"/>
    </row>
    <row r="36" spans="1:8" x14ac:dyDescent="0.2">
      <c r="A36" s="79">
        <v>1</v>
      </c>
      <c r="B36" s="1547" t="s">
        <v>328</v>
      </c>
      <c r="C36" s="1547"/>
      <c r="D36" s="1547"/>
      <c r="E36" s="1547"/>
      <c r="F36" s="1547"/>
      <c r="G36" s="1547"/>
      <c r="H36" s="1547"/>
    </row>
    <row r="37" spans="1:8" x14ac:dyDescent="0.2">
      <c r="B37" s="1547"/>
      <c r="C37" s="1547"/>
      <c r="D37" s="1547"/>
      <c r="E37" s="1547"/>
      <c r="F37" s="1547"/>
      <c r="G37" s="1547"/>
      <c r="H37" s="1547"/>
    </row>
    <row r="39" spans="1:8" ht="12.75" customHeight="1" x14ac:dyDescent="0.2">
      <c r="A39" s="79">
        <v>2</v>
      </c>
      <c r="B39" s="1543" t="s">
        <v>378</v>
      </c>
      <c r="C39" s="1543"/>
      <c r="D39" s="1543"/>
      <c r="E39" s="1543"/>
      <c r="F39" s="1543"/>
      <c r="G39" s="1543"/>
      <c r="H39" s="1543"/>
    </row>
    <row r="40" spans="1:8" x14ac:dyDescent="0.2">
      <c r="B40" s="1543"/>
      <c r="C40" s="1543"/>
      <c r="D40" s="1543"/>
      <c r="E40" s="1543"/>
      <c r="F40" s="1543"/>
      <c r="G40" s="1543"/>
      <c r="H40" s="1543"/>
    </row>
    <row r="41" spans="1:8" x14ac:dyDescent="0.2">
      <c r="B41" s="1543"/>
      <c r="C41" s="1543"/>
      <c r="D41" s="1543"/>
      <c r="E41" s="1543"/>
      <c r="F41" s="1543"/>
      <c r="G41" s="1543"/>
      <c r="H41" s="1543"/>
    </row>
    <row r="43" spans="1:8" x14ac:dyDescent="0.2">
      <c r="A43" s="79">
        <v>3</v>
      </c>
      <c r="B43" s="1547" t="s">
        <v>329</v>
      </c>
      <c r="C43" s="1547"/>
      <c r="D43" s="1547"/>
      <c r="E43" s="1547"/>
      <c r="F43" s="1547"/>
      <c r="G43" s="1547"/>
      <c r="H43" s="1547"/>
    </row>
    <row r="44" spans="1:8" x14ac:dyDescent="0.2">
      <c r="B44" s="1547"/>
      <c r="C44" s="1547"/>
      <c r="D44" s="1547"/>
      <c r="E44" s="1547"/>
      <c r="F44" s="1547"/>
      <c r="G44" s="1547"/>
      <c r="H44" s="1547"/>
    </row>
    <row r="45" spans="1:8" x14ac:dyDescent="0.2">
      <c r="B45" s="1547"/>
      <c r="C45" s="1547"/>
      <c r="D45" s="1547"/>
      <c r="E45" s="1547"/>
      <c r="F45" s="1547"/>
      <c r="G45" s="1547"/>
      <c r="H45" s="1547"/>
    </row>
    <row r="46" spans="1:8" x14ac:dyDescent="0.2">
      <c r="B46" s="1547"/>
      <c r="C46" s="1547"/>
      <c r="D46" s="1547"/>
      <c r="E46" s="1547"/>
      <c r="F46" s="1547"/>
      <c r="G46" s="1547"/>
      <c r="H46" s="1547"/>
    </row>
    <row r="48" spans="1:8" x14ac:dyDescent="0.2">
      <c r="B48" s="1547" t="s">
        <v>115</v>
      </c>
      <c r="C48" s="1547"/>
      <c r="D48" s="1547"/>
      <c r="E48" s="1547"/>
      <c r="F48" s="1547"/>
      <c r="G48" s="1547"/>
      <c r="H48" s="1547"/>
    </row>
    <row r="49" spans="2:8" x14ac:dyDescent="0.2">
      <c r="B49" s="1547"/>
      <c r="C49" s="1547"/>
      <c r="D49" s="1547"/>
      <c r="E49" s="1547"/>
      <c r="F49" s="1547"/>
      <c r="G49" s="1547"/>
      <c r="H49" s="1547"/>
    </row>
    <row r="50" spans="2:8" x14ac:dyDescent="0.2">
      <c r="B50" s="1547"/>
      <c r="C50" s="1547"/>
      <c r="D50" s="1547"/>
      <c r="E50" s="1547"/>
      <c r="F50" s="1547"/>
      <c r="G50" s="1547"/>
      <c r="H50" s="1547"/>
    </row>
    <row r="51" spans="2:8" x14ac:dyDescent="0.2">
      <c r="B51" s="1547"/>
      <c r="C51" s="1547"/>
      <c r="D51" s="1547"/>
      <c r="E51" s="1547"/>
      <c r="F51" s="1547"/>
      <c r="G51" s="1547"/>
      <c r="H51" s="1547"/>
    </row>
    <row r="53" spans="2:8" x14ac:dyDescent="0.2">
      <c r="B53" t="s">
        <v>323</v>
      </c>
      <c r="C53" s="1547" t="s">
        <v>333</v>
      </c>
      <c r="D53" s="1547"/>
      <c r="E53" s="1547"/>
      <c r="F53" s="1547"/>
      <c r="G53" s="1547"/>
      <c r="H53" s="1547"/>
    </row>
    <row r="54" spans="2:8" x14ac:dyDescent="0.2">
      <c r="C54" s="1547"/>
      <c r="D54" s="1547"/>
      <c r="E54" s="1547"/>
      <c r="F54" s="1547"/>
      <c r="G54" s="1547"/>
      <c r="H54" s="1547"/>
    </row>
    <row r="56" spans="2:8" x14ac:dyDescent="0.2">
      <c r="B56" t="s">
        <v>324</v>
      </c>
      <c r="C56" s="1366" t="s">
        <v>334</v>
      </c>
      <c r="D56" s="1366"/>
      <c r="E56" s="1366"/>
      <c r="F56" s="1366"/>
      <c r="G56" s="1366"/>
      <c r="H56" s="1366"/>
    </row>
    <row r="57" spans="2:8" x14ac:dyDescent="0.2">
      <c r="C57" s="1366"/>
      <c r="D57" s="1366"/>
      <c r="E57" s="1366"/>
      <c r="F57" s="1366"/>
      <c r="G57" s="1366"/>
      <c r="H57" s="1366"/>
    </row>
    <row r="58" spans="2:8" x14ac:dyDescent="0.2">
      <c r="C58" s="1366"/>
      <c r="D58" s="1366"/>
      <c r="E58" s="1366"/>
      <c r="F58" s="1366"/>
      <c r="G58" s="1366"/>
      <c r="H58" s="1366"/>
    </row>
    <row r="59" spans="2:8" x14ac:dyDescent="0.2">
      <c r="C59" s="1366"/>
      <c r="D59" s="1366"/>
      <c r="E59" s="1366"/>
      <c r="F59" s="1366"/>
      <c r="G59" s="1366"/>
      <c r="H59" s="1366"/>
    </row>
    <row r="61" spans="2:8" x14ac:dyDescent="0.2">
      <c r="B61" t="s">
        <v>325</v>
      </c>
      <c r="C61" s="1366" t="s">
        <v>380</v>
      </c>
      <c r="D61" s="1366"/>
      <c r="E61" s="1366"/>
      <c r="F61" s="1366"/>
      <c r="G61" s="1366"/>
      <c r="H61" s="1366"/>
    </row>
    <row r="62" spans="2:8" x14ac:dyDescent="0.2">
      <c r="C62" s="1366"/>
      <c r="D62" s="1366"/>
      <c r="E62" s="1366"/>
      <c r="F62" s="1366"/>
      <c r="G62" s="1366"/>
      <c r="H62" s="1366"/>
    </row>
    <row r="63" spans="2:8" x14ac:dyDescent="0.2">
      <c r="C63" s="1366"/>
      <c r="D63" s="1366"/>
      <c r="E63" s="1366"/>
      <c r="F63" s="1366"/>
      <c r="G63" s="1366"/>
      <c r="H63" s="1366"/>
    </row>
    <row r="65" spans="1:8" x14ac:dyDescent="0.2">
      <c r="A65" s="1549" t="s">
        <v>335</v>
      </c>
      <c r="B65" s="1550"/>
      <c r="C65" s="1550"/>
      <c r="D65" s="1550"/>
      <c r="E65" s="1550"/>
      <c r="F65" s="1550"/>
      <c r="G65" s="1550"/>
      <c r="H65" s="1550"/>
    </row>
    <row r="66" spans="1:8" x14ac:dyDescent="0.2">
      <c r="A66" s="1550"/>
      <c r="B66" s="1550"/>
      <c r="C66" s="1550"/>
      <c r="D66" s="1550"/>
      <c r="E66" s="1550"/>
      <c r="F66" s="1550"/>
      <c r="G66" s="1550"/>
      <c r="H66" s="1550"/>
    </row>
    <row r="68" spans="1:8" x14ac:dyDescent="0.2">
      <c r="A68" s="79">
        <v>1</v>
      </c>
      <c r="B68" s="1547" t="s">
        <v>328</v>
      </c>
      <c r="C68" s="1547"/>
      <c r="D68" s="1547"/>
      <c r="E68" s="1547"/>
      <c r="F68" s="1547"/>
      <c r="G68" s="1547"/>
      <c r="H68" s="1547"/>
    </row>
    <row r="69" spans="1:8" x14ac:dyDescent="0.2">
      <c r="A69" s="79"/>
      <c r="B69" s="1547"/>
      <c r="C69" s="1547"/>
      <c r="D69" s="1547"/>
      <c r="E69" s="1547"/>
      <c r="F69" s="1547"/>
      <c r="G69" s="1547"/>
      <c r="H69" s="1547"/>
    </row>
    <row r="70" spans="1:8" x14ac:dyDescent="0.2">
      <c r="A70" s="730"/>
      <c r="B70" s="731"/>
      <c r="C70" s="735" t="s">
        <v>975</v>
      </c>
      <c r="D70" s="736"/>
      <c r="E70" s="736"/>
      <c r="F70" s="736"/>
      <c r="G70" s="731"/>
      <c r="H70" s="731"/>
    </row>
    <row r="71" spans="1:8" x14ac:dyDescent="0.2">
      <c r="A71" s="79"/>
    </row>
    <row r="72" spans="1:8" ht="12.75" customHeight="1" x14ac:dyDescent="0.2">
      <c r="A72" s="79">
        <v>2</v>
      </c>
      <c r="B72" s="1548" t="s">
        <v>379</v>
      </c>
      <c r="C72" s="1548"/>
      <c r="D72" s="1548"/>
      <c r="E72" s="1548"/>
      <c r="F72" s="1548"/>
      <c r="G72" s="1548"/>
      <c r="H72" s="1548"/>
    </row>
    <row r="73" spans="1:8" x14ac:dyDescent="0.2">
      <c r="A73" s="79"/>
      <c r="B73" s="1548"/>
      <c r="C73" s="1548"/>
      <c r="D73" s="1548"/>
      <c r="E73" s="1548"/>
      <c r="F73" s="1548"/>
      <c r="G73" s="1548"/>
      <c r="H73" s="1548"/>
    </row>
    <row r="74" spans="1:8" x14ac:dyDescent="0.2">
      <c r="A74" s="79"/>
      <c r="B74" s="1548"/>
      <c r="C74" s="1548"/>
      <c r="D74" s="1548"/>
      <c r="E74" s="1548"/>
      <c r="F74" s="1548"/>
      <c r="G74" s="1548"/>
      <c r="H74" s="1548"/>
    </row>
    <row r="75" spans="1:8" x14ac:dyDescent="0.2">
      <c r="A75" s="730"/>
      <c r="B75" s="732"/>
      <c r="C75" s="733" t="s">
        <v>830</v>
      </c>
      <c r="D75" s="737"/>
      <c r="E75" s="737"/>
      <c r="F75" s="732"/>
      <c r="G75" s="732"/>
      <c r="H75" s="732"/>
    </row>
    <row r="76" spans="1:8" x14ac:dyDescent="0.2">
      <c r="A76" s="79"/>
      <c r="B76" s="170"/>
      <c r="C76" s="170"/>
      <c r="D76" s="170"/>
      <c r="E76" s="170"/>
      <c r="F76" s="170"/>
      <c r="G76" s="170"/>
      <c r="H76" s="170"/>
    </row>
    <row r="77" spans="1:8" x14ac:dyDescent="0.2">
      <c r="A77" s="79">
        <v>3</v>
      </c>
      <c r="B77" s="1547" t="s">
        <v>116</v>
      </c>
      <c r="C77" s="1547"/>
      <c r="D77" s="1547"/>
      <c r="E77" s="1547"/>
      <c r="F77" s="1547"/>
      <c r="G77" s="1547"/>
      <c r="H77" s="1547"/>
    </row>
    <row r="78" spans="1:8" x14ac:dyDescent="0.2">
      <c r="A78" s="79"/>
      <c r="B78" s="1547"/>
      <c r="C78" s="1547"/>
      <c r="D78" s="1547"/>
      <c r="E78" s="1547"/>
      <c r="F78" s="1547"/>
      <c r="G78" s="1547"/>
      <c r="H78" s="1547"/>
    </row>
    <row r="79" spans="1:8" x14ac:dyDescent="0.2">
      <c r="A79" s="79"/>
      <c r="B79" s="1547"/>
      <c r="C79" s="1547"/>
      <c r="D79" s="1547"/>
      <c r="E79" s="1547"/>
      <c r="F79" s="1547"/>
      <c r="G79" s="1547"/>
      <c r="H79" s="1547"/>
    </row>
    <row r="80" spans="1:8" x14ac:dyDescent="0.2">
      <c r="A80" s="730"/>
      <c r="B80" s="731"/>
      <c r="C80" s="735" t="s">
        <v>975</v>
      </c>
      <c r="D80" s="736"/>
      <c r="E80" s="736"/>
      <c r="F80" s="736"/>
      <c r="G80" s="731"/>
      <c r="H80" s="731"/>
    </row>
    <row r="81" spans="1:8" x14ac:dyDescent="0.2">
      <c r="A81" s="79"/>
    </row>
    <row r="82" spans="1:8" x14ac:dyDescent="0.2">
      <c r="A82" s="79">
        <v>4</v>
      </c>
      <c r="B82" s="1547" t="s">
        <v>336</v>
      </c>
      <c r="C82" s="1547"/>
      <c r="D82" s="1547"/>
      <c r="E82" s="1547"/>
      <c r="F82" s="1547"/>
      <c r="G82" s="1547"/>
      <c r="H82" s="1547"/>
    </row>
    <row r="83" spans="1:8" x14ac:dyDescent="0.2">
      <c r="A83" s="79"/>
      <c r="B83" s="1547"/>
      <c r="C83" s="1547"/>
      <c r="D83" s="1547"/>
      <c r="E83" s="1547"/>
      <c r="F83" s="1547"/>
      <c r="G83" s="1547"/>
      <c r="H83" s="1547"/>
    </row>
    <row r="84" spans="1:8" x14ac:dyDescent="0.2">
      <c r="A84" s="79"/>
      <c r="B84" s="1547"/>
      <c r="C84" s="1547"/>
      <c r="D84" s="1547"/>
      <c r="E84" s="1547"/>
      <c r="F84" s="1547"/>
      <c r="G84" s="1547"/>
      <c r="H84" s="1547"/>
    </row>
    <row r="85" spans="1:8" x14ac:dyDescent="0.2">
      <c r="A85" s="730"/>
      <c r="B85" s="731"/>
      <c r="C85" s="735" t="s">
        <v>831</v>
      </c>
      <c r="D85" s="736"/>
      <c r="E85" s="736"/>
      <c r="F85" s="731"/>
      <c r="G85" s="731"/>
      <c r="H85" s="731"/>
    </row>
    <row r="86" spans="1:8" x14ac:dyDescent="0.2">
      <c r="A86" s="79"/>
    </row>
    <row r="87" spans="1:8" x14ac:dyDescent="0.2">
      <c r="A87" s="79">
        <v>5</v>
      </c>
      <c r="B87" s="1547" t="s">
        <v>117</v>
      </c>
      <c r="C87" s="1547"/>
      <c r="D87" s="1547"/>
      <c r="E87" s="1547"/>
      <c r="F87" s="1547"/>
      <c r="G87" s="1547"/>
      <c r="H87" s="1547"/>
    </row>
    <row r="88" spans="1:8" x14ac:dyDescent="0.2">
      <c r="A88" s="79"/>
      <c r="B88" s="1547"/>
      <c r="C88" s="1547"/>
      <c r="D88" s="1547"/>
      <c r="E88" s="1547"/>
      <c r="F88" s="1547"/>
      <c r="G88" s="1547"/>
      <c r="H88" s="1547"/>
    </row>
    <row r="89" spans="1:8" x14ac:dyDescent="0.2">
      <c r="A89" s="79"/>
      <c r="B89" s="1547"/>
      <c r="C89" s="1547"/>
      <c r="D89" s="1547"/>
      <c r="E89" s="1547"/>
      <c r="F89" s="1547"/>
      <c r="G89" s="1547"/>
      <c r="H89" s="1547"/>
    </row>
    <row r="90" spans="1:8" x14ac:dyDescent="0.2">
      <c r="A90" s="730"/>
      <c r="B90" s="731"/>
      <c r="C90" s="735" t="s">
        <v>831</v>
      </c>
      <c r="D90" s="736"/>
      <c r="E90" s="736"/>
      <c r="F90" s="731"/>
      <c r="G90" s="731"/>
      <c r="H90" s="731"/>
    </row>
    <row r="91" spans="1:8" x14ac:dyDescent="0.2">
      <c r="A91" s="79"/>
    </row>
    <row r="92" spans="1:8" x14ac:dyDescent="0.2">
      <c r="A92" s="79">
        <v>6</v>
      </c>
      <c r="B92" s="1547" t="s">
        <v>118</v>
      </c>
      <c r="C92" s="1547"/>
      <c r="D92" s="1547"/>
      <c r="E92" s="1547"/>
      <c r="F92" s="1547"/>
      <c r="G92" s="1547"/>
      <c r="H92" s="1547"/>
    </row>
    <row r="93" spans="1:8" x14ac:dyDescent="0.2">
      <c r="A93" s="79"/>
      <c r="B93" s="1547"/>
      <c r="C93" s="1547"/>
      <c r="D93" s="1547"/>
      <c r="E93" s="1547"/>
      <c r="F93" s="1547"/>
      <c r="G93" s="1547"/>
      <c r="H93" s="1547"/>
    </row>
    <row r="94" spans="1:8" x14ac:dyDescent="0.2">
      <c r="A94" s="730"/>
      <c r="B94" s="731"/>
      <c r="C94" s="735" t="s">
        <v>975</v>
      </c>
      <c r="D94" s="736"/>
      <c r="E94" s="736"/>
      <c r="F94" s="736"/>
      <c r="G94" s="731"/>
      <c r="H94" s="731"/>
    </row>
    <row r="95" spans="1:8" ht="25.5" customHeight="1" x14ac:dyDescent="0.2"/>
    <row r="96" spans="1:8" ht="12.75" customHeight="1" x14ac:dyDescent="0.2">
      <c r="A96" s="1546" t="s">
        <v>58</v>
      </c>
      <c r="B96" s="1546"/>
      <c r="C96" s="1546"/>
      <c r="D96" s="1546"/>
      <c r="E96" s="1546"/>
      <c r="F96" s="1546"/>
      <c r="G96" s="1546"/>
      <c r="H96" s="1546"/>
    </row>
    <row r="97" spans="1:8" x14ac:dyDescent="0.2">
      <c r="A97" s="1546"/>
      <c r="B97" s="1546"/>
      <c r="C97" s="1546"/>
      <c r="D97" s="1546"/>
      <c r="E97" s="1546"/>
      <c r="F97" s="1546"/>
      <c r="G97" s="1546"/>
      <c r="H97" s="1546"/>
    </row>
    <row r="98" spans="1:8" x14ac:dyDescent="0.2">
      <c r="A98" s="1546"/>
      <c r="B98" s="1546"/>
      <c r="C98" s="1546"/>
      <c r="D98" s="1546"/>
      <c r="E98" s="1546"/>
      <c r="F98" s="1546"/>
      <c r="G98" s="1546"/>
      <c r="H98" s="1546"/>
    </row>
    <row r="99" spans="1:8" x14ac:dyDescent="0.2">
      <c r="A99" s="1546"/>
      <c r="B99" s="1546"/>
      <c r="C99" s="1546"/>
      <c r="D99" s="1546"/>
      <c r="E99" s="1546"/>
      <c r="F99" s="1546"/>
      <c r="G99" s="1546"/>
      <c r="H99" s="1546"/>
    </row>
    <row r="100" spans="1:8" x14ac:dyDescent="0.2">
      <c r="C100" s="735" t="s">
        <v>975</v>
      </c>
      <c r="D100" s="734"/>
      <c r="E100" s="734"/>
      <c r="F100" s="734"/>
    </row>
  </sheetData>
  <mergeCells count="19">
    <mergeCell ref="A9:H9"/>
    <mergeCell ref="A10:H10"/>
    <mergeCell ref="A28:H31"/>
    <mergeCell ref="A33:H34"/>
    <mergeCell ref="C53:H54"/>
    <mergeCell ref="C61:H63"/>
    <mergeCell ref="A65:H66"/>
    <mergeCell ref="B36:H37"/>
    <mergeCell ref="B39:H41"/>
    <mergeCell ref="B43:H46"/>
    <mergeCell ref="B48:H51"/>
    <mergeCell ref="C56:H59"/>
    <mergeCell ref="A96:H99"/>
    <mergeCell ref="B87:H89"/>
    <mergeCell ref="B92:H93"/>
    <mergeCell ref="B68:H69"/>
    <mergeCell ref="B77:H79"/>
    <mergeCell ref="B82:H84"/>
    <mergeCell ref="B72:H74"/>
  </mergeCells>
  <phoneticPr fontId="17" type="noConversion"/>
  <dataValidations count="1">
    <dataValidation allowBlank="1" showInputMessage="1" showErrorMessage="1" promptTitle="Date Format" prompt="E.g:  &quot;August 1, 2011&quot;" sqref="H7"/>
  </dataValidations>
  <pageMargins left="0.74803149606299213" right="0.74803149606299213" top="0.98425196850393704" bottom="0.98425196850393704" header="0.51181102362204722" footer="0.51181102362204722"/>
  <pageSetup scale="8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129"/>
  <sheetViews>
    <sheetView showGridLines="0" zoomScale="80" zoomScaleNormal="80" workbookViewId="0">
      <selection sqref="A1:XFD1048576"/>
    </sheetView>
  </sheetViews>
  <sheetFormatPr defaultRowHeight="12.75" x14ac:dyDescent="0.2"/>
  <cols>
    <col min="1" max="1" width="5" customWidth="1"/>
    <col min="2" max="2" width="62" customWidth="1"/>
    <col min="3" max="3" width="12.7109375" bestFit="1" customWidth="1"/>
    <col min="4" max="4" width="1.7109375" customWidth="1"/>
    <col min="5" max="5" width="16.7109375" customWidth="1"/>
    <col min="6" max="6" width="13.7109375" customWidth="1"/>
    <col min="9" max="9" width="11.28515625" bestFit="1" customWidth="1"/>
  </cols>
  <sheetData>
    <row r="1" spans="1:6" x14ac:dyDescent="0.2">
      <c r="C1" s="329" t="s">
        <v>444</v>
      </c>
      <c r="E1" s="250" t="str">
        <f>'LDC Info'!$E$18</f>
        <v>EB-2012-0107</v>
      </c>
      <c r="F1" s="100"/>
    </row>
    <row r="2" spans="1:6" x14ac:dyDescent="0.2">
      <c r="C2" s="329" t="s">
        <v>445</v>
      </c>
      <c r="E2" s="251">
        <v>9</v>
      </c>
      <c r="F2" s="100"/>
    </row>
    <row r="3" spans="1:6" x14ac:dyDescent="0.2">
      <c r="C3" s="329" t="s">
        <v>446</v>
      </c>
      <c r="E3" s="251">
        <v>1</v>
      </c>
      <c r="F3" s="100"/>
    </row>
    <row r="4" spans="1:6" x14ac:dyDescent="0.2">
      <c r="C4" s="329" t="s">
        <v>447</v>
      </c>
      <c r="E4" s="251">
        <v>5</v>
      </c>
      <c r="F4" s="100"/>
    </row>
    <row r="5" spans="1:6" x14ac:dyDescent="0.2">
      <c r="C5" s="329" t="s">
        <v>1036</v>
      </c>
      <c r="E5" s="252">
        <v>1</v>
      </c>
      <c r="F5" s="100"/>
    </row>
    <row r="6" spans="1:6" x14ac:dyDescent="0.2">
      <c r="C6" s="329"/>
      <c r="E6" s="250"/>
      <c r="F6" s="100"/>
    </row>
    <row r="7" spans="1:6" x14ac:dyDescent="0.2">
      <c r="C7" s="329" t="s">
        <v>449</v>
      </c>
      <c r="E7" s="934">
        <v>41200</v>
      </c>
      <c r="F7" s="100"/>
    </row>
    <row r="9" spans="1:6" ht="18" x14ac:dyDescent="0.25">
      <c r="A9" s="1385" t="s">
        <v>89</v>
      </c>
      <c r="B9" s="1385"/>
      <c r="C9" s="1385"/>
      <c r="D9" s="1385"/>
      <c r="E9" s="1385"/>
    </row>
    <row r="10" spans="1:6" ht="18" x14ac:dyDescent="0.25">
      <c r="A10" s="1385" t="s">
        <v>301</v>
      </c>
      <c r="B10" s="1385"/>
      <c r="C10" s="1385"/>
      <c r="D10" s="1385"/>
      <c r="E10" s="1385"/>
    </row>
    <row r="12" spans="1:6" ht="27" customHeight="1" x14ac:dyDescent="0.2">
      <c r="A12" s="1366" t="s">
        <v>119</v>
      </c>
      <c r="B12" s="1366"/>
      <c r="C12" s="1366"/>
      <c r="D12" s="1366"/>
      <c r="E12" s="1366"/>
    </row>
    <row r="13" spans="1:6" ht="13.5" thickBot="1" x14ac:dyDescent="0.25"/>
    <row r="14" spans="1:6" ht="12.75" customHeight="1" x14ac:dyDescent="0.2">
      <c r="A14" s="1578" t="s">
        <v>303</v>
      </c>
      <c r="B14" s="1579"/>
      <c r="C14" s="1579"/>
      <c r="D14" s="153"/>
      <c r="E14" s="191" t="s">
        <v>304</v>
      </c>
    </row>
    <row r="15" spans="1:6" x14ac:dyDescent="0.2">
      <c r="A15" s="1580"/>
      <c r="B15" s="1581"/>
      <c r="C15" s="1581"/>
      <c r="D15" s="17"/>
      <c r="E15" s="212" t="s">
        <v>305</v>
      </c>
    </row>
    <row r="16" spans="1:6" x14ac:dyDescent="0.2">
      <c r="A16" s="1582"/>
      <c r="B16" s="1583"/>
      <c r="C16" s="1583"/>
      <c r="D16" s="17"/>
      <c r="E16" s="555">
        <v>2011</v>
      </c>
    </row>
    <row r="17" spans="1:5" ht="27" customHeight="1" x14ac:dyDescent="0.2">
      <c r="A17" s="1584" t="s">
        <v>306</v>
      </c>
      <c r="B17" s="1567"/>
      <c r="C17" s="1568"/>
      <c r="D17" s="4"/>
      <c r="E17" s="1585" t="s">
        <v>877</v>
      </c>
    </row>
    <row r="18" spans="1:5" ht="31.5" customHeight="1" x14ac:dyDescent="0.2">
      <c r="A18" s="1559" t="s">
        <v>878</v>
      </c>
      <c r="B18" s="1560"/>
      <c r="C18" s="1561"/>
      <c r="D18" s="4"/>
      <c r="E18" s="1586"/>
    </row>
    <row r="19" spans="1:5" ht="39.75" customHeight="1" x14ac:dyDescent="0.2">
      <c r="A19" s="1562" t="s">
        <v>120</v>
      </c>
      <c r="B19" s="1563"/>
      <c r="C19" s="1564"/>
      <c r="D19" s="17"/>
      <c r="E19" s="1585" t="s">
        <v>877</v>
      </c>
    </row>
    <row r="20" spans="1:5" ht="36.75" customHeight="1" x14ac:dyDescent="0.2">
      <c r="A20" s="1556" t="s">
        <v>878</v>
      </c>
      <c r="B20" s="1557"/>
      <c r="C20" s="1558"/>
      <c r="D20" s="17"/>
      <c r="E20" s="1586"/>
    </row>
    <row r="21" spans="1:5" ht="13.5" customHeight="1" x14ac:dyDescent="0.2">
      <c r="A21" s="1566" t="s">
        <v>307</v>
      </c>
      <c r="B21" s="1567"/>
      <c r="C21" s="1568"/>
      <c r="D21" s="794"/>
      <c r="E21" s="1587">
        <f>+F77</f>
        <v>-34889.663250000012</v>
      </c>
    </row>
    <row r="22" spans="1:5" ht="20.25" customHeight="1" x14ac:dyDescent="0.2">
      <c r="A22" s="1556" t="s">
        <v>883</v>
      </c>
      <c r="B22" s="1557"/>
      <c r="C22" s="1558"/>
      <c r="D22" s="794"/>
      <c r="E22" s="1588"/>
    </row>
    <row r="23" spans="1:5" ht="13.5" customHeight="1" x14ac:dyDescent="0.2">
      <c r="A23" s="1562" t="s">
        <v>308</v>
      </c>
      <c r="B23" s="1563"/>
      <c r="C23" s="1564"/>
      <c r="D23" s="4"/>
      <c r="E23" s="1554">
        <f>+F87</f>
        <v>-40514.663250000012</v>
      </c>
    </row>
    <row r="24" spans="1:5" ht="20.25" customHeight="1" x14ac:dyDescent="0.2">
      <c r="A24" s="1559" t="s">
        <v>884</v>
      </c>
      <c r="B24" s="1560"/>
      <c r="C24" s="1561"/>
      <c r="D24" s="4"/>
      <c r="E24" s="1555"/>
    </row>
    <row r="25" spans="1:5" ht="13.5" customHeight="1" x14ac:dyDescent="0.2">
      <c r="A25" s="1565" t="s">
        <v>903</v>
      </c>
      <c r="B25" s="1563"/>
      <c r="C25" s="1564"/>
      <c r="D25" s="17"/>
      <c r="E25" s="1554">
        <f>+F99</f>
        <v>-13504.887750000002</v>
      </c>
    </row>
    <row r="26" spans="1:5" ht="20.25" customHeight="1" x14ac:dyDescent="0.2">
      <c r="A26" s="1556" t="s">
        <v>905</v>
      </c>
      <c r="B26" s="1557"/>
      <c r="C26" s="1558"/>
      <c r="D26" s="17"/>
      <c r="E26" s="1555"/>
    </row>
    <row r="27" spans="1:5" ht="13.5" customHeight="1" x14ac:dyDescent="0.2">
      <c r="A27" s="1566" t="s">
        <v>309</v>
      </c>
      <c r="B27" s="1567"/>
      <c r="C27" s="1568"/>
      <c r="D27" s="4"/>
      <c r="E27" s="781" t="s">
        <v>877</v>
      </c>
    </row>
    <row r="28" spans="1:5" ht="13.5" customHeight="1" x14ac:dyDescent="0.2">
      <c r="A28" s="1562" t="s">
        <v>310</v>
      </c>
      <c r="B28" s="1563"/>
      <c r="C28" s="1564"/>
      <c r="D28" s="4"/>
      <c r="E28" s="781" t="s">
        <v>877</v>
      </c>
    </row>
    <row r="29" spans="1:5" ht="13.5" customHeight="1" x14ac:dyDescent="0.2">
      <c r="A29" s="1562" t="s">
        <v>311</v>
      </c>
      <c r="B29" s="1563"/>
      <c r="C29" s="1564"/>
      <c r="D29" s="17"/>
      <c r="E29" s="781" t="s">
        <v>877</v>
      </c>
    </row>
    <row r="30" spans="1:5" x14ac:dyDescent="0.2">
      <c r="A30" s="1589" t="s">
        <v>312</v>
      </c>
      <c r="B30" s="1589"/>
      <c r="C30" s="1589"/>
      <c r="D30" s="17"/>
      <c r="E30" s="781" t="s">
        <v>877</v>
      </c>
    </row>
    <row r="31" spans="1:5" ht="13.5" customHeight="1" x14ac:dyDescent="0.2">
      <c r="A31" s="1566" t="s">
        <v>313</v>
      </c>
      <c r="B31" s="1567"/>
      <c r="C31" s="1568"/>
      <c r="D31" s="4"/>
      <c r="E31" s="781" t="s">
        <v>877</v>
      </c>
    </row>
    <row r="32" spans="1:5" x14ac:dyDescent="0.2">
      <c r="A32" s="1572" t="s">
        <v>314</v>
      </c>
      <c r="B32" s="1570"/>
      <c r="C32" s="1571"/>
      <c r="D32" s="4"/>
      <c r="E32" s="781" t="s">
        <v>877</v>
      </c>
    </row>
    <row r="33" spans="1:6" ht="13.5" customHeight="1" x14ac:dyDescent="0.2">
      <c r="A33" s="1569" t="s">
        <v>806</v>
      </c>
      <c r="B33" s="1570"/>
      <c r="C33" s="1571"/>
      <c r="D33" s="4"/>
      <c r="E33" s="781" t="s">
        <v>877</v>
      </c>
    </row>
    <row r="34" spans="1:6" ht="28.5" customHeight="1" x14ac:dyDescent="0.2">
      <c r="A34" s="1562" t="s">
        <v>315</v>
      </c>
      <c r="B34" s="1563"/>
      <c r="C34" s="1564"/>
      <c r="D34" s="4"/>
      <c r="E34" s="796" t="s">
        <v>877</v>
      </c>
    </row>
    <row r="35" spans="1:6" ht="13.5" customHeight="1" x14ac:dyDescent="0.2">
      <c r="A35" s="1573" t="s">
        <v>902</v>
      </c>
      <c r="B35" s="1574"/>
      <c r="C35" s="839"/>
      <c r="D35" s="17"/>
      <c r="E35" s="1554">
        <f>+F113</f>
        <v>-37656.998005345231</v>
      </c>
    </row>
    <row r="36" spans="1:6" ht="13.5" customHeight="1" x14ac:dyDescent="0.2">
      <c r="A36" s="1559" t="s">
        <v>918</v>
      </c>
      <c r="B36" s="1560"/>
      <c r="C36" s="1561"/>
      <c r="D36" s="17"/>
      <c r="E36" s="1555"/>
    </row>
    <row r="37" spans="1:6" ht="17.25" customHeight="1" x14ac:dyDescent="0.2">
      <c r="A37" s="1573" t="s">
        <v>904</v>
      </c>
      <c r="B37" s="1574"/>
      <c r="C37" s="839"/>
      <c r="D37" s="17"/>
      <c r="E37" s="1554">
        <f>+F125</f>
        <v>-6851.7974039575784</v>
      </c>
    </row>
    <row r="38" spans="1:6" ht="12.75" customHeight="1" x14ac:dyDescent="0.2">
      <c r="A38" s="1556" t="s">
        <v>919</v>
      </c>
      <c r="B38" s="1557"/>
      <c r="C38" s="1558"/>
      <c r="D38" s="17"/>
      <c r="E38" s="1555"/>
    </row>
    <row r="39" spans="1:6" ht="20.25" customHeight="1" thickBot="1" x14ac:dyDescent="0.25">
      <c r="A39" s="1575" t="s">
        <v>316</v>
      </c>
      <c r="B39" s="1576"/>
      <c r="C39" s="1577"/>
      <c r="D39" s="4"/>
      <c r="E39" s="545"/>
    </row>
    <row r="40" spans="1:6" ht="12.75" customHeight="1" thickTop="1" thickBot="1" x14ac:dyDescent="0.25">
      <c r="A40" s="1590" t="s">
        <v>439</v>
      </c>
      <c r="B40" s="1591"/>
      <c r="C40" s="1592"/>
      <c r="D40" s="154"/>
      <c r="E40" s="795">
        <f>SUM(E17:E39)</f>
        <v>-133418.00965930283</v>
      </c>
    </row>
    <row r="41" spans="1:6" ht="20.25" customHeight="1" x14ac:dyDescent="0.2"/>
    <row r="42" spans="1:6" ht="13.5" customHeight="1" x14ac:dyDescent="0.2">
      <c r="A42" s="16" t="s">
        <v>16</v>
      </c>
      <c r="B42" s="16"/>
      <c r="C42" s="16"/>
      <c r="D42" s="169"/>
      <c r="E42" s="169"/>
    </row>
    <row r="43" spans="1:6" ht="14.25" customHeight="1" x14ac:dyDescent="0.2">
      <c r="A43" s="169"/>
      <c r="B43" s="169"/>
      <c r="C43" s="169"/>
      <c r="D43" s="169"/>
      <c r="E43" s="169"/>
    </row>
    <row r="44" spans="1:6" x14ac:dyDescent="0.2">
      <c r="A44" s="1552">
        <v>1</v>
      </c>
      <c r="B44" s="1241" t="s">
        <v>317</v>
      </c>
      <c r="C44" s="1548"/>
      <c r="D44" s="1548"/>
      <c r="E44" s="1548"/>
      <c r="F44" s="834"/>
    </row>
    <row r="45" spans="1:6" x14ac:dyDescent="0.2">
      <c r="A45" s="1552"/>
      <c r="B45" s="1548"/>
      <c r="C45" s="1548"/>
      <c r="D45" s="1548"/>
      <c r="E45" s="1548"/>
      <c r="F45" s="835"/>
    </row>
    <row r="46" spans="1:6" x14ac:dyDescent="0.2">
      <c r="A46" s="837"/>
      <c r="B46" s="1551" t="s">
        <v>879</v>
      </c>
      <c r="C46" s="1551"/>
      <c r="D46" s="1551"/>
      <c r="E46" s="1551"/>
      <c r="F46" s="835"/>
    </row>
    <row r="47" spans="1:6" ht="13.5" customHeight="1" x14ac:dyDescent="0.2">
      <c r="A47" s="444"/>
      <c r="B47" s="169"/>
      <c r="C47" s="169"/>
      <c r="D47" s="169"/>
      <c r="E47" s="169"/>
    </row>
    <row r="48" spans="1:6" x14ac:dyDescent="0.2">
      <c r="A48" s="1552">
        <v>2</v>
      </c>
      <c r="B48" s="1241" t="s">
        <v>318</v>
      </c>
      <c r="C48" s="1241"/>
      <c r="D48" s="1241"/>
      <c r="E48" s="1241"/>
      <c r="F48" s="833"/>
    </row>
    <row r="49" spans="1:7" ht="20.25" customHeight="1" x14ac:dyDescent="0.2">
      <c r="A49" s="1552"/>
      <c r="B49" s="1551" t="s">
        <v>920</v>
      </c>
      <c r="C49" s="1551"/>
      <c r="D49" s="1551"/>
      <c r="E49" s="1551"/>
      <c r="F49" s="833"/>
    </row>
    <row r="50" spans="1:7" x14ac:dyDescent="0.2">
      <c r="A50" s="1552"/>
      <c r="B50" s="169"/>
      <c r="C50" s="169"/>
      <c r="D50" s="169"/>
      <c r="E50" s="169"/>
    </row>
    <row r="51" spans="1:7" x14ac:dyDescent="0.2">
      <c r="A51" s="1552">
        <v>3</v>
      </c>
      <c r="B51" s="1543" t="s">
        <v>319</v>
      </c>
      <c r="C51" s="1543"/>
      <c r="D51" s="1543"/>
      <c r="E51" s="1543"/>
      <c r="F51" s="835"/>
    </row>
    <row r="52" spans="1:7" ht="18" customHeight="1" x14ac:dyDescent="0.2">
      <c r="A52" s="1552"/>
      <c r="B52" s="1543"/>
      <c r="C52" s="1543"/>
      <c r="D52" s="1543"/>
      <c r="E52" s="1543"/>
      <c r="F52" s="835"/>
    </row>
    <row r="53" spans="1:7" x14ac:dyDescent="0.2">
      <c r="A53" s="837"/>
      <c r="B53" s="1551" t="s">
        <v>920</v>
      </c>
      <c r="C53" s="1551"/>
      <c r="D53" s="1551"/>
      <c r="E53" s="1551"/>
      <c r="F53" s="835"/>
    </row>
    <row r="54" spans="1:7" ht="12.75" customHeight="1" x14ac:dyDescent="0.2">
      <c r="A54" s="444"/>
      <c r="B54" s="169"/>
      <c r="C54" s="169"/>
      <c r="D54" s="169"/>
      <c r="E54" s="169"/>
    </row>
    <row r="55" spans="1:7" x14ac:dyDescent="0.2">
      <c r="A55" s="1552">
        <v>4</v>
      </c>
      <c r="B55" s="1543" t="s">
        <v>320</v>
      </c>
      <c r="C55" s="1543"/>
      <c r="D55" s="1543"/>
      <c r="E55" s="1543"/>
      <c r="F55" s="835"/>
      <c r="G55" s="835"/>
    </row>
    <row r="56" spans="1:7" ht="17.25" customHeight="1" x14ac:dyDescent="0.2">
      <c r="A56" s="1552"/>
      <c r="B56" s="1548"/>
      <c r="C56" s="1548"/>
      <c r="D56" s="1548"/>
      <c r="E56" s="1548"/>
      <c r="F56" s="835"/>
      <c r="G56" s="835"/>
    </row>
    <row r="57" spans="1:7" x14ac:dyDescent="0.2">
      <c r="A57" s="837"/>
      <c r="B57" s="1551" t="s">
        <v>880</v>
      </c>
      <c r="C57" s="1551"/>
      <c r="D57" s="1551"/>
      <c r="E57" s="1551"/>
      <c r="F57" s="835"/>
      <c r="G57" s="835"/>
    </row>
    <row r="58" spans="1:7" ht="12.75" customHeight="1" x14ac:dyDescent="0.2">
      <c r="A58" s="444"/>
      <c r="B58" s="836"/>
      <c r="C58" s="836"/>
      <c r="D58" s="836"/>
      <c r="E58" s="836"/>
      <c r="F58" s="835"/>
      <c r="G58" s="835"/>
    </row>
    <row r="59" spans="1:7" x14ac:dyDescent="0.2">
      <c r="A59" s="1553">
        <v>5</v>
      </c>
      <c r="B59" s="1543" t="s">
        <v>807</v>
      </c>
      <c r="C59" s="1543"/>
      <c r="D59" s="1543"/>
      <c r="E59" s="1543"/>
      <c r="F59" s="835"/>
      <c r="G59" s="835"/>
    </row>
    <row r="60" spans="1:7" ht="21" customHeight="1" x14ac:dyDescent="0.2">
      <c r="A60" s="1553"/>
      <c r="B60" s="1543"/>
      <c r="C60" s="1543"/>
      <c r="D60" s="1543"/>
      <c r="E60" s="1543"/>
      <c r="F60" s="835"/>
      <c r="G60" s="835"/>
    </row>
    <row r="61" spans="1:7" ht="12.75" customHeight="1" x14ac:dyDescent="0.2">
      <c r="A61" s="1553"/>
      <c r="B61" s="1548"/>
      <c r="C61" s="1548"/>
      <c r="D61" s="1548"/>
      <c r="E61" s="1548"/>
      <c r="F61" s="835"/>
      <c r="G61" s="835"/>
    </row>
    <row r="62" spans="1:7" ht="12.75" customHeight="1" x14ac:dyDescent="0.2">
      <c r="A62" s="1553"/>
      <c r="B62" s="1548"/>
      <c r="C62" s="1548"/>
      <c r="D62" s="1548"/>
      <c r="E62" s="1548"/>
      <c r="F62" s="835"/>
      <c r="G62" s="835"/>
    </row>
    <row r="63" spans="1:7" x14ac:dyDescent="0.2">
      <c r="A63" s="838"/>
      <c r="B63" s="1551" t="s">
        <v>881</v>
      </c>
      <c r="C63" s="1551"/>
      <c r="D63" s="1551"/>
      <c r="E63" s="1551"/>
      <c r="F63" s="835"/>
      <c r="G63" s="835"/>
    </row>
    <row r="64" spans="1:7" x14ac:dyDescent="0.2">
      <c r="A64" s="444"/>
      <c r="B64" s="169"/>
      <c r="C64" s="169"/>
      <c r="D64" s="169"/>
      <c r="E64" s="169"/>
    </row>
    <row r="65" spans="1:7" x14ac:dyDescent="0.2">
      <c r="A65" s="1552">
        <v>6</v>
      </c>
      <c r="B65" s="1543" t="s">
        <v>322</v>
      </c>
      <c r="C65" s="1543"/>
      <c r="D65" s="1543"/>
      <c r="E65" s="1543"/>
      <c r="F65" s="835"/>
      <c r="G65" s="835"/>
    </row>
    <row r="66" spans="1:7" x14ac:dyDescent="0.2">
      <c r="A66" s="1552"/>
      <c r="B66" s="1543"/>
      <c r="C66" s="1543"/>
      <c r="D66" s="1543"/>
      <c r="E66" s="1543"/>
      <c r="F66" s="835"/>
      <c r="G66" s="835"/>
    </row>
    <row r="67" spans="1:7" ht="20.25" customHeight="1" x14ac:dyDescent="0.2">
      <c r="A67" s="1552"/>
      <c r="B67" s="1551" t="s">
        <v>882</v>
      </c>
      <c r="C67" s="1551"/>
      <c r="D67" s="1551"/>
      <c r="E67" s="1551"/>
    </row>
    <row r="68" spans="1:7" ht="12.75" customHeight="1" x14ac:dyDescent="0.2">
      <c r="A68" s="1552"/>
    </row>
    <row r="69" spans="1:7" x14ac:dyDescent="0.2">
      <c r="A69" s="787"/>
    </row>
    <row r="70" spans="1:7" ht="21" customHeight="1" x14ac:dyDescent="0.2">
      <c r="A70" s="837">
        <v>7</v>
      </c>
      <c r="B70" s="169" t="s">
        <v>885</v>
      </c>
    </row>
    <row r="71" spans="1:7" ht="12.75" customHeight="1" x14ac:dyDescent="0.2">
      <c r="A71" s="837"/>
      <c r="E71" s="790" t="s">
        <v>888</v>
      </c>
      <c r="F71" s="788">
        <v>2007</v>
      </c>
    </row>
    <row r="72" spans="1:7" x14ac:dyDescent="0.2">
      <c r="A72" s="837"/>
      <c r="B72" s="169" t="s">
        <v>890</v>
      </c>
      <c r="E72" s="783">
        <v>49019551</v>
      </c>
      <c r="F72" s="783">
        <f>+E72</f>
        <v>49019551</v>
      </c>
    </row>
    <row r="73" spans="1:7" x14ac:dyDescent="0.2">
      <c r="A73" s="837"/>
      <c r="B73" s="169" t="s">
        <v>889</v>
      </c>
      <c r="E73" s="789">
        <v>-10000000</v>
      </c>
      <c r="F73" s="789">
        <v>-12500000</v>
      </c>
    </row>
    <row r="74" spans="1:7" x14ac:dyDescent="0.2">
      <c r="A74" s="837"/>
      <c r="B74" s="169" t="s">
        <v>894</v>
      </c>
      <c r="E74" s="783">
        <f>+E72+E73</f>
        <v>39019551</v>
      </c>
      <c r="F74" s="783">
        <f>+F72+F73</f>
        <v>36519551</v>
      </c>
    </row>
    <row r="75" spans="1:7" x14ac:dyDescent="0.2">
      <c r="A75" s="837"/>
      <c r="B75" s="169" t="s">
        <v>891</v>
      </c>
      <c r="E75" s="782">
        <v>3.0000000000000001E-3</v>
      </c>
      <c r="F75" s="782">
        <v>2.2499999999999998E-3</v>
      </c>
    </row>
    <row r="76" spans="1:7" ht="13.5" thickBot="1" x14ac:dyDescent="0.25">
      <c r="A76" s="837"/>
      <c r="B76" s="169" t="s">
        <v>892</v>
      </c>
      <c r="E76" s="784">
        <f>+E74*E75</f>
        <v>117058.65300000001</v>
      </c>
      <c r="F76" s="784">
        <f>+F74*F75</f>
        <v>82168.989749999993</v>
      </c>
    </row>
    <row r="77" spans="1:7" ht="14.25" thickTop="1" thickBot="1" x14ac:dyDescent="0.25">
      <c r="A77" s="837"/>
      <c r="B77" s="169" t="s">
        <v>893</v>
      </c>
      <c r="E77" s="785"/>
      <c r="F77" s="793">
        <f>+F76-E76</f>
        <v>-34889.663250000012</v>
      </c>
    </row>
    <row r="78" spans="1:7" ht="13.5" thickTop="1" x14ac:dyDescent="0.2">
      <c r="A78" s="837"/>
      <c r="B78" s="169"/>
      <c r="E78" s="785"/>
      <c r="F78" s="785"/>
    </row>
    <row r="79" spans="1:7" x14ac:dyDescent="0.2">
      <c r="A79" s="837"/>
    </row>
    <row r="80" spans="1:7" x14ac:dyDescent="0.2">
      <c r="A80" s="837">
        <v>8</v>
      </c>
      <c r="B80" s="169" t="s">
        <v>886</v>
      </c>
    </row>
    <row r="81" spans="1:6" x14ac:dyDescent="0.2">
      <c r="A81" s="837"/>
      <c r="E81" s="790" t="s">
        <v>888</v>
      </c>
      <c r="F81" s="788">
        <v>2008</v>
      </c>
    </row>
    <row r="82" spans="1:6" x14ac:dyDescent="0.2">
      <c r="A82" s="837"/>
      <c r="B82" s="169" t="s">
        <v>890</v>
      </c>
      <c r="E82" s="783">
        <v>49019551</v>
      </c>
      <c r="F82" s="783">
        <f>+E82</f>
        <v>49019551</v>
      </c>
    </row>
    <row r="83" spans="1:6" x14ac:dyDescent="0.2">
      <c r="A83" s="837"/>
      <c r="B83" s="169" t="s">
        <v>889</v>
      </c>
      <c r="E83" s="789">
        <v>-10000000</v>
      </c>
      <c r="F83" s="789">
        <v>-15000000</v>
      </c>
    </row>
    <row r="84" spans="1:6" x14ac:dyDescent="0.2">
      <c r="A84" s="837"/>
      <c r="B84" s="169" t="s">
        <v>895</v>
      </c>
      <c r="E84" s="783">
        <f>+E82+E83</f>
        <v>39019551</v>
      </c>
      <c r="F84" s="783">
        <f>+F82+F83</f>
        <v>34019551</v>
      </c>
    </row>
    <row r="85" spans="1:6" x14ac:dyDescent="0.2">
      <c r="A85" s="837"/>
      <c r="B85" s="169" t="s">
        <v>891</v>
      </c>
      <c r="E85" s="782">
        <v>3.0000000000000001E-3</v>
      </c>
      <c r="F85" s="782">
        <v>2.2499999999999998E-3</v>
      </c>
    </row>
    <row r="86" spans="1:6" ht="13.5" thickBot="1" x14ac:dyDescent="0.25">
      <c r="A86" s="837"/>
      <c r="B86" s="169" t="s">
        <v>892</v>
      </c>
      <c r="E86" s="784">
        <f>+E84*E85</f>
        <v>117058.65300000001</v>
      </c>
      <c r="F86" s="784">
        <f>+F84*F85</f>
        <v>76543.989749999993</v>
      </c>
    </row>
    <row r="87" spans="1:6" ht="14.25" thickTop="1" thickBot="1" x14ac:dyDescent="0.25">
      <c r="A87" s="837"/>
      <c r="B87" s="169" t="s">
        <v>893</v>
      </c>
      <c r="E87" s="785"/>
      <c r="F87" s="793">
        <f>+F86-E86</f>
        <v>-40514.663250000012</v>
      </c>
    </row>
    <row r="88" spans="1:6" ht="13.5" thickTop="1" x14ac:dyDescent="0.2">
      <c r="A88" s="837"/>
      <c r="B88" s="169"/>
      <c r="E88" s="785"/>
      <c r="F88" s="785"/>
    </row>
    <row r="89" spans="1:6" x14ac:dyDescent="0.2">
      <c r="A89" s="837"/>
    </row>
    <row r="90" spans="1:6" x14ac:dyDescent="0.2">
      <c r="A90" s="837">
        <v>9</v>
      </c>
      <c r="B90" s="169" t="s">
        <v>887</v>
      </c>
    </row>
    <row r="91" spans="1:6" x14ac:dyDescent="0.2">
      <c r="A91" s="837"/>
      <c r="E91" s="790" t="s">
        <v>888</v>
      </c>
      <c r="F91" s="788">
        <v>2009</v>
      </c>
    </row>
    <row r="92" spans="1:6" x14ac:dyDescent="0.2">
      <c r="A92" s="837"/>
      <c r="B92" s="169" t="s">
        <v>890</v>
      </c>
      <c r="E92" s="783">
        <v>49019551</v>
      </c>
      <c r="F92" s="783">
        <f>+E92</f>
        <v>49019551</v>
      </c>
    </row>
    <row r="93" spans="1:6" x14ac:dyDescent="0.2">
      <c r="A93" s="837"/>
      <c r="B93" s="169" t="s">
        <v>889</v>
      </c>
      <c r="E93" s="789">
        <v>-10000000</v>
      </c>
      <c r="F93" s="789">
        <v>-15000000</v>
      </c>
    </row>
    <row r="94" spans="1:6" x14ac:dyDescent="0.2">
      <c r="A94" s="837"/>
      <c r="B94" s="169" t="s">
        <v>895</v>
      </c>
      <c r="E94" s="783">
        <f>+E92+E93</f>
        <v>39019551</v>
      </c>
      <c r="F94" s="783">
        <f>+F92+F93</f>
        <v>34019551</v>
      </c>
    </row>
    <row r="95" spans="1:6" x14ac:dyDescent="0.2">
      <c r="A95" s="837"/>
      <c r="B95" s="169" t="s">
        <v>891</v>
      </c>
      <c r="E95" s="786">
        <v>3.0000000000000001E-3</v>
      </c>
      <c r="F95" s="786">
        <v>2.2499999999999998E-3</v>
      </c>
    </row>
    <row r="96" spans="1:6" x14ac:dyDescent="0.2">
      <c r="A96" s="837"/>
      <c r="B96" s="169" t="s">
        <v>892</v>
      </c>
      <c r="E96" s="785">
        <f>+E94*E95</f>
        <v>117058.65300000001</v>
      </c>
      <c r="F96" s="785">
        <f>+F94*F95</f>
        <v>76543.989749999993</v>
      </c>
    </row>
    <row r="97" spans="1:6" x14ac:dyDescent="0.2">
      <c r="A97" s="837"/>
      <c r="B97" s="169" t="s">
        <v>910</v>
      </c>
      <c r="E97" s="791" t="s">
        <v>896</v>
      </c>
      <c r="F97" s="791" t="s">
        <v>896</v>
      </c>
    </row>
    <row r="98" spans="1:6" ht="13.5" thickBot="1" x14ac:dyDescent="0.25">
      <c r="A98" s="837"/>
      <c r="B98" s="169" t="s">
        <v>897</v>
      </c>
      <c r="E98" s="784">
        <f>+E96/12*4</f>
        <v>39019.550999999999</v>
      </c>
      <c r="F98" s="784">
        <f>+F96/12*4</f>
        <v>25514.663249999998</v>
      </c>
    </row>
    <row r="99" spans="1:6" ht="14.25" thickTop="1" thickBot="1" x14ac:dyDescent="0.25">
      <c r="A99" s="837"/>
      <c r="B99" s="169" t="s">
        <v>898</v>
      </c>
      <c r="E99" s="785"/>
      <c r="F99" s="793">
        <f>+F98-E98</f>
        <v>-13504.887750000002</v>
      </c>
    </row>
    <row r="100" spans="1:6" ht="13.5" thickTop="1" x14ac:dyDescent="0.2">
      <c r="A100" s="837"/>
      <c r="B100" s="169"/>
      <c r="E100" s="785"/>
      <c r="F100" s="785"/>
    </row>
    <row r="101" spans="1:6" x14ac:dyDescent="0.2">
      <c r="A101" s="837"/>
      <c r="B101" s="169"/>
      <c r="E101" s="785"/>
      <c r="F101" s="785"/>
    </row>
    <row r="104" spans="1:6" x14ac:dyDescent="0.2">
      <c r="A104" s="837">
        <v>10</v>
      </c>
      <c r="B104" s="169" t="s">
        <v>909</v>
      </c>
    </row>
    <row r="105" spans="1:6" x14ac:dyDescent="0.2">
      <c r="A105" s="837"/>
      <c r="E105" s="790" t="s">
        <v>888</v>
      </c>
      <c r="F105" s="788">
        <v>2008</v>
      </c>
    </row>
    <row r="106" spans="1:6" x14ac:dyDescent="0.2">
      <c r="A106" s="837"/>
      <c r="B106" s="169" t="s">
        <v>907</v>
      </c>
      <c r="E106" s="783">
        <v>1831691</v>
      </c>
      <c r="F106" s="783">
        <f>+E106</f>
        <v>1831691</v>
      </c>
    </row>
    <row r="107" spans="1:6" x14ac:dyDescent="0.2">
      <c r="A107" s="837"/>
      <c r="B107" s="169" t="s">
        <v>899</v>
      </c>
      <c r="E107" s="792">
        <v>0.36120000000000002</v>
      </c>
      <c r="F107" s="792">
        <v>0.33500000000000002</v>
      </c>
    </row>
    <row r="108" spans="1:6" ht="13.5" thickBot="1" x14ac:dyDescent="0.25">
      <c r="A108" s="837"/>
      <c r="B108" s="169" t="s">
        <v>900</v>
      </c>
      <c r="E108" s="784">
        <f>+E106*E107</f>
        <v>661606.7892</v>
      </c>
      <c r="F108" s="784">
        <f>+F106*F107</f>
        <v>613616.48499999999</v>
      </c>
    </row>
    <row r="109" spans="1:6" ht="13.5" thickTop="1" x14ac:dyDescent="0.2">
      <c r="A109" s="837"/>
      <c r="B109" s="169"/>
      <c r="E109" s="783"/>
      <c r="F109" s="783"/>
    </row>
    <row r="110" spans="1:6" x14ac:dyDescent="0.2">
      <c r="A110" s="837"/>
      <c r="B110" s="169" t="s">
        <v>901</v>
      </c>
      <c r="E110" s="785">
        <f>+E108/(1-E107)</f>
        <v>1035702.550407013</v>
      </c>
      <c r="F110" s="785">
        <f>+F108/(1-F107)</f>
        <v>922731.55639097735</v>
      </c>
    </row>
    <row r="111" spans="1:6" x14ac:dyDescent="0.2">
      <c r="A111" s="837"/>
      <c r="B111" s="169" t="s">
        <v>910</v>
      </c>
      <c r="E111" s="791" t="s">
        <v>896</v>
      </c>
      <c r="F111" s="791" t="s">
        <v>896</v>
      </c>
    </row>
    <row r="112" spans="1:6" ht="13.5" thickBot="1" x14ac:dyDescent="0.25">
      <c r="A112" s="837"/>
      <c r="B112" s="169" t="s">
        <v>911</v>
      </c>
      <c r="E112" s="784">
        <f>+E110/12*4</f>
        <v>345234.18346900435</v>
      </c>
      <c r="F112" s="784">
        <f>+F110/12*4</f>
        <v>307577.18546365912</v>
      </c>
    </row>
    <row r="113" spans="1:6" ht="14.25" thickTop="1" thickBot="1" x14ac:dyDescent="0.25">
      <c r="A113" s="837"/>
      <c r="B113" s="169" t="s">
        <v>912</v>
      </c>
      <c r="E113" s="785"/>
      <c r="F113" s="793">
        <f>+F112-E112</f>
        <v>-37656.998005345231</v>
      </c>
    </row>
    <row r="114" spans="1:6" ht="13.5" thickTop="1" x14ac:dyDescent="0.2">
      <c r="A114" s="837"/>
      <c r="B114" s="169"/>
      <c r="E114" s="785"/>
      <c r="F114" s="785"/>
    </row>
    <row r="115" spans="1:6" x14ac:dyDescent="0.2">
      <c r="A115" s="837"/>
      <c r="E115" s="783"/>
      <c r="F115" s="783"/>
    </row>
    <row r="116" spans="1:6" x14ac:dyDescent="0.2">
      <c r="A116" s="837">
        <v>11</v>
      </c>
      <c r="B116" s="169" t="s">
        <v>908</v>
      </c>
    </row>
    <row r="117" spans="1:6" x14ac:dyDescent="0.2">
      <c r="A117" s="837"/>
      <c r="E117" s="790" t="s">
        <v>906</v>
      </c>
      <c r="F117" s="788">
        <v>2009</v>
      </c>
    </row>
    <row r="118" spans="1:6" x14ac:dyDescent="0.2">
      <c r="A118" s="837"/>
      <c r="B118" s="169" t="s">
        <v>907</v>
      </c>
      <c r="E118" s="783">
        <v>1831691</v>
      </c>
      <c r="F118" s="783">
        <f>+E118</f>
        <v>1831691</v>
      </c>
    </row>
    <row r="119" spans="1:6" x14ac:dyDescent="0.2">
      <c r="A119" s="837"/>
      <c r="B119" s="169" t="s">
        <v>899</v>
      </c>
      <c r="E119" s="792">
        <v>0.33500000000000002</v>
      </c>
      <c r="F119" s="792">
        <v>0.33</v>
      </c>
    </row>
    <row r="120" spans="1:6" ht="13.5" thickBot="1" x14ac:dyDescent="0.25">
      <c r="A120" s="837"/>
      <c r="B120" s="169" t="s">
        <v>900</v>
      </c>
      <c r="E120" s="784">
        <f>+E118*E119</f>
        <v>613616.48499999999</v>
      </c>
      <c r="F120" s="784">
        <f>+F118*F119</f>
        <v>604458.03</v>
      </c>
    </row>
    <row r="121" spans="1:6" ht="13.5" thickTop="1" x14ac:dyDescent="0.2">
      <c r="A121" s="837"/>
      <c r="B121" s="169"/>
      <c r="E121" s="783"/>
      <c r="F121" s="783"/>
    </row>
    <row r="122" spans="1:6" x14ac:dyDescent="0.2">
      <c r="A122" s="837"/>
      <c r="B122" s="169" t="s">
        <v>901</v>
      </c>
      <c r="E122" s="785">
        <f>+E120/(1-E119)</f>
        <v>922731.55639097735</v>
      </c>
      <c r="F122" s="785">
        <f>+F120/(1-F119)</f>
        <v>902176.16417910461</v>
      </c>
    </row>
    <row r="123" spans="1:6" x14ac:dyDescent="0.2">
      <c r="A123" s="837"/>
      <c r="B123" s="169" t="s">
        <v>910</v>
      </c>
      <c r="E123" s="791" t="s">
        <v>896</v>
      </c>
      <c r="F123" s="791" t="s">
        <v>896</v>
      </c>
    </row>
    <row r="124" spans="1:6" ht="13.5" thickBot="1" x14ac:dyDescent="0.25">
      <c r="A124" s="837"/>
      <c r="B124" s="169" t="s">
        <v>913</v>
      </c>
      <c r="E124" s="784">
        <f>+E122/12*4</f>
        <v>307577.18546365912</v>
      </c>
      <c r="F124" s="784">
        <f>+F122/12*4</f>
        <v>300725.38805970154</v>
      </c>
    </row>
    <row r="125" spans="1:6" ht="14.25" thickTop="1" thickBot="1" x14ac:dyDescent="0.25">
      <c r="A125" s="837"/>
      <c r="B125" s="169" t="s">
        <v>914</v>
      </c>
      <c r="E125" s="785"/>
      <c r="F125" s="793">
        <f>+F124-E124</f>
        <v>-6851.7974039575784</v>
      </c>
    </row>
    <row r="126" spans="1:6" ht="13.5" thickTop="1" x14ac:dyDescent="0.2"/>
    <row r="129" spans="6:6" x14ac:dyDescent="0.2">
      <c r="F129" s="797"/>
    </row>
  </sheetData>
  <mergeCells count="54">
    <mergeCell ref="A27:C27"/>
    <mergeCell ref="A28:C28"/>
    <mergeCell ref="A29:C29"/>
    <mergeCell ref="A30:C30"/>
    <mergeCell ref="B46:E46"/>
    <mergeCell ref="A37:B37"/>
    <mergeCell ref="E37:E38"/>
    <mergeCell ref="A38:C38"/>
    <mergeCell ref="A40:C40"/>
    <mergeCell ref="A44:A45"/>
    <mergeCell ref="B44:E45"/>
    <mergeCell ref="A48:A50"/>
    <mergeCell ref="B48:E48"/>
    <mergeCell ref="A51:A52"/>
    <mergeCell ref="B51:E52"/>
    <mergeCell ref="A9:E9"/>
    <mergeCell ref="A10:E10"/>
    <mergeCell ref="A12:E12"/>
    <mergeCell ref="A14:C16"/>
    <mergeCell ref="A17:C17"/>
    <mergeCell ref="E17:E18"/>
    <mergeCell ref="A20:C20"/>
    <mergeCell ref="E21:E22"/>
    <mergeCell ref="E19:E20"/>
    <mergeCell ref="A19:C19"/>
    <mergeCell ref="A21:C21"/>
    <mergeCell ref="A18:C18"/>
    <mergeCell ref="B49:E49"/>
    <mergeCell ref="E23:E24"/>
    <mergeCell ref="A22:C22"/>
    <mergeCell ref="A24:C24"/>
    <mergeCell ref="A26:C26"/>
    <mergeCell ref="E25:E26"/>
    <mergeCell ref="A23:C23"/>
    <mergeCell ref="A25:C25"/>
    <mergeCell ref="A31:C31"/>
    <mergeCell ref="A33:C33"/>
    <mergeCell ref="A32:C32"/>
    <mergeCell ref="A34:C34"/>
    <mergeCell ref="A36:C36"/>
    <mergeCell ref="A35:B35"/>
    <mergeCell ref="E35:E36"/>
    <mergeCell ref="A39:C39"/>
    <mergeCell ref="B53:E53"/>
    <mergeCell ref="A55:A56"/>
    <mergeCell ref="B55:E56"/>
    <mergeCell ref="B57:E57"/>
    <mergeCell ref="A59:A62"/>
    <mergeCell ref="B59:E62"/>
    <mergeCell ref="B63:E63"/>
    <mergeCell ref="A65:A66"/>
    <mergeCell ref="B65:E66"/>
    <mergeCell ref="A67:A68"/>
    <mergeCell ref="B67:E67"/>
  </mergeCells>
  <phoneticPr fontId="17" type="noConversion"/>
  <dataValidations count="1">
    <dataValidation allowBlank="1" showInputMessage="1" showErrorMessage="1" promptTitle="Date Format" prompt="E.g:  &quot;August 1, 2011&quot;" sqref="E7"/>
  </dataValidations>
  <pageMargins left="0.75" right="0.75" top="1" bottom="1" header="0.5" footer="0.5"/>
  <pageSetup scale="76" fitToHeight="6" orientation="portrait" r:id="rId1"/>
  <headerFooter alignWithMargins="0"/>
  <rowBreaks count="4" manualBreakCount="4">
    <brk id="44" max="5" man="1"/>
    <brk id="91" max="5" man="1"/>
    <brk id="150" max="5" man="1"/>
    <brk id="197"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O55"/>
  <sheetViews>
    <sheetView showGridLines="0" topLeftCell="D1" zoomScaleNormal="100" workbookViewId="0">
      <selection activeCell="D1" sqref="A1:XFD1048576"/>
    </sheetView>
  </sheetViews>
  <sheetFormatPr defaultRowHeight="12.75" x14ac:dyDescent="0.2"/>
  <cols>
    <col min="1" max="1" width="5" style="253" customWidth="1"/>
    <col min="2" max="2" width="47.42578125" style="253" customWidth="1"/>
    <col min="3" max="3" width="12.7109375" style="253" bestFit="1" customWidth="1"/>
    <col min="4" max="4" width="1.7109375" style="253" customWidth="1"/>
    <col min="5" max="10" width="15.7109375" style="253" customWidth="1"/>
    <col min="11" max="11" width="13.7109375" style="253" customWidth="1"/>
    <col min="12" max="12" width="19" style="253" bestFit="1" customWidth="1"/>
    <col min="13" max="14" width="13.7109375" style="253" customWidth="1"/>
    <col min="15" max="15" width="40.7109375" style="253" customWidth="1"/>
    <col min="16" max="258" width="9.140625" style="253"/>
    <col min="259" max="259" width="2.85546875" style="253" customWidth="1"/>
    <col min="260" max="260" width="5" style="253" customWidth="1"/>
    <col min="261" max="261" width="62" style="253" customWidth="1"/>
    <col min="262" max="262" width="12.7109375" style="253" bestFit="1" customWidth="1"/>
    <col min="263" max="263" width="1.7109375" style="253" customWidth="1"/>
    <col min="264" max="269" width="15.7109375" style="253" customWidth="1"/>
    <col min="270" max="270" width="13.7109375" style="253" customWidth="1"/>
    <col min="271" max="271" width="40.7109375" style="253" customWidth="1"/>
    <col min="272" max="514" width="9.140625" style="253"/>
    <col min="515" max="515" width="2.85546875" style="253" customWidth="1"/>
    <col min="516" max="516" width="5" style="253" customWidth="1"/>
    <col min="517" max="517" width="62" style="253" customWidth="1"/>
    <col min="518" max="518" width="12.7109375" style="253" bestFit="1" customWidth="1"/>
    <col min="519" max="519" width="1.7109375" style="253" customWidth="1"/>
    <col min="520" max="525" width="15.7109375" style="253" customWidth="1"/>
    <col min="526" max="526" width="13.7109375" style="253" customWidth="1"/>
    <col min="527" max="527" width="40.7109375" style="253" customWidth="1"/>
    <col min="528" max="770" width="9.140625" style="253"/>
    <col min="771" max="771" width="2.85546875" style="253" customWidth="1"/>
    <col min="772" max="772" width="5" style="253" customWidth="1"/>
    <col min="773" max="773" width="62" style="253" customWidth="1"/>
    <col min="774" max="774" width="12.7109375" style="253" bestFit="1" customWidth="1"/>
    <col min="775" max="775" width="1.7109375" style="253" customWidth="1"/>
    <col min="776" max="781" width="15.7109375" style="253" customWidth="1"/>
    <col min="782" max="782" width="13.7109375" style="253" customWidth="1"/>
    <col min="783" max="783" width="40.7109375" style="253" customWidth="1"/>
    <col min="784" max="1026" width="9.140625" style="253"/>
    <col min="1027" max="1027" width="2.85546875" style="253" customWidth="1"/>
    <col min="1028" max="1028" width="5" style="253" customWidth="1"/>
    <col min="1029" max="1029" width="62" style="253" customWidth="1"/>
    <col min="1030" max="1030" width="12.7109375" style="253" bestFit="1" customWidth="1"/>
    <col min="1031" max="1031" width="1.7109375" style="253" customWidth="1"/>
    <col min="1032" max="1037" width="15.7109375" style="253" customWidth="1"/>
    <col min="1038" max="1038" width="13.7109375" style="253" customWidth="1"/>
    <col min="1039" max="1039" width="40.7109375" style="253" customWidth="1"/>
    <col min="1040" max="1282" width="9.140625" style="253"/>
    <col min="1283" max="1283" width="2.85546875" style="253" customWidth="1"/>
    <col min="1284" max="1284" width="5" style="253" customWidth="1"/>
    <col min="1285" max="1285" width="62" style="253" customWidth="1"/>
    <col min="1286" max="1286" width="12.7109375" style="253" bestFit="1" customWidth="1"/>
    <col min="1287" max="1287" width="1.7109375" style="253" customWidth="1"/>
    <col min="1288" max="1293" width="15.7109375" style="253" customWidth="1"/>
    <col min="1294" max="1294" width="13.7109375" style="253" customWidth="1"/>
    <col min="1295" max="1295" width="40.7109375" style="253" customWidth="1"/>
    <col min="1296" max="1538" width="9.140625" style="253"/>
    <col min="1539" max="1539" width="2.85546875" style="253" customWidth="1"/>
    <col min="1540" max="1540" width="5" style="253" customWidth="1"/>
    <col min="1541" max="1541" width="62" style="253" customWidth="1"/>
    <col min="1542" max="1542" width="12.7109375" style="253" bestFit="1" customWidth="1"/>
    <col min="1543" max="1543" width="1.7109375" style="253" customWidth="1"/>
    <col min="1544" max="1549" width="15.7109375" style="253" customWidth="1"/>
    <col min="1550" max="1550" width="13.7109375" style="253" customWidth="1"/>
    <col min="1551" max="1551" width="40.7109375" style="253" customWidth="1"/>
    <col min="1552" max="1794" width="9.140625" style="253"/>
    <col min="1795" max="1795" width="2.85546875" style="253" customWidth="1"/>
    <col min="1796" max="1796" width="5" style="253" customWidth="1"/>
    <col min="1797" max="1797" width="62" style="253" customWidth="1"/>
    <col min="1798" max="1798" width="12.7109375" style="253" bestFit="1" customWidth="1"/>
    <col min="1799" max="1799" width="1.7109375" style="253" customWidth="1"/>
    <col min="1800" max="1805" width="15.7109375" style="253" customWidth="1"/>
    <col min="1806" max="1806" width="13.7109375" style="253" customWidth="1"/>
    <col min="1807" max="1807" width="40.7109375" style="253" customWidth="1"/>
    <col min="1808" max="2050" width="9.140625" style="253"/>
    <col min="2051" max="2051" width="2.85546875" style="253" customWidth="1"/>
    <col min="2052" max="2052" width="5" style="253" customWidth="1"/>
    <col min="2053" max="2053" width="62" style="253" customWidth="1"/>
    <col min="2054" max="2054" width="12.7109375" style="253" bestFit="1" customWidth="1"/>
    <col min="2055" max="2055" width="1.7109375" style="253" customWidth="1"/>
    <col min="2056" max="2061" width="15.7109375" style="253" customWidth="1"/>
    <col min="2062" max="2062" width="13.7109375" style="253" customWidth="1"/>
    <col min="2063" max="2063" width="40.7109375" style="253" customWidth="1"/>
    <col min="2064" max="2306" width="9.140625" style="253"/>
    <col min="2307" max="2307" width="2.85546875" style="253" customWidth="1"/>
    <col min="2308" max="2308" width="5" style="253" customWidth="1"/>
    <col min="2309" max="2309" width="62" style="253" customWidth="1"/>
    <col min="2310" max="2310" width="12.7109375" style="253" bestFit="1" customWidth="1"/>
    <col min="2311" max="2311" width="1.7109375" style="253" customWidth="1"/>
    <col min="2312" max="2317" width="15.7109375" style="253" customWidth="1"/>
    <col min="2318" max="2318" width="13.7109375" style="253" customWidth="1"/>
    <col min="2319" max="2319" width="40.7109375" style="253" customWidth="1"/>
    <col min="2320" max="2562" width="9.140625" style="253"/>
    <col min="2563" max="2563" width="2.85546875" style="253" customWidth="1"/>
    <col min="2564" max="2564" width="5" style="253" customWidth="1"/>
    <col min="2565" max="2565" width="62" style="253" customWidth="1"/>
    <col min="2566" max="2566" width="12.7109375" style="253" bestFit="1" customWidth="1"/>
    <col min="2567" max="2567" width="1.7109375" style="253" customWidth="1"/>
    <col min="2568" max="2573" width="15.7109375" style="253" customWidth="1"/>
    <col min="2574" max="2574" width="13.7109375" style="253" customWidth="1"/>
    <col min="2575" max="2575" width="40.7109375" style="253" customWidth="1"/>
    <col min="2576" max="2818" width="9.140625" style="253"/>
    <col min="2819" max="2819" width="2.85546875" style="253" customWidth="1"/>
    <col min="2820" max="2820" width="5" style="253" customWidth="1"/>
    <col min="2821" max="2821" width="62" style="253" customWidth="1"/>
    <col min="2822" max="2822" width="12.7109375" style="253" bestFit="1" customWidth="1"/>
    <col min="2823" max="2823" width="1.7109375" style="253" customWidth="1"/>
    <col min="2824" max="2829" width="15.7109375" style="253" customWidth="1"/>
    <col min="2830" max="2830" width="13.7109375" style="253" customWidth="1"/>
    <col min="2831" max="2831" width="40.7109375" style="253" customWidth="1"/>
    <col min="2832" max="3074" width="9.140625" style="253"/>
    <col min="3075" max="3075" width="2.85546875" style="253" customWidth="1"/>
    <col min="3076" max="3076" width="5" style="253" customWidth="1"/>
    <col min="3077" max="3077" width="62" style="253" customWidth="1"/>
    <col min="3078" max="3078" width="12.7109375" style="253" bestFit="1" customWidth="1"/>
    <col min="3079" max="3079" width="1.7109375" style="253" customWidth="1"/>
    <col min="3080" max="3085" width="15.7109375" style="253" customWidth="1"/>
    <col min="3086" max="3086" width="13.7109375" style="253" customWidth="1"/>
    <col min="3087" max="3087" width="40.7109375" style="253" customWidth="1"/>
    <col min="3088" max="3330" width="9.140625" style="253"/>
    <col min="3331" max="3331" width="2.85546875" style="253" customWidth="1"/>
    <col min="3332" max="3332" width="5" style="253" customWidth="1"/>
    <col min="3333" max="3333" width="62" style="253" customWidth="1"/>
    <col min="3334" max="3334" width="12.7109375" style="253" bestFit="1" customWidth="1"/>
    <col min="3335" max="3335" width="1.7109375" style="253" customWidth="1"/>
    <col min="3336" max="3341" width="15.7109375" style="253" customWidth="1"/>
    <col min="3342" max="3342" width="13.7109375" style="253" customWidth="1"/>
    <col min="3343" max="3343" width="40.7109375" style="253" customWidth="1"/>
    <col min="3344" max="3586" width="9.140625" style="253"/>
    <col min="3587" max="3587" width="2.85546875" style="253" customWidth="1"/>
    <col min="3588" max="3588" width="5" style="253" customWidth="1"/>
    <col min="3589" max="3589" width="62" style="253" customWidth="1"/>
    <col min="3590" max="3590" width="12.7109375" style="253" bestFit="1" customWidth="1"/>
    <col min="3591" max="3591" width="1.7109375" style="253" customWidth="1"/>
    <col min="3592" max="3597" width="15.7109375" style="253" customWidth="1"/>
    <col min="3598" max="3598" width="13.7109375" style="253" customWidth="1"/>
    <col min="3599" max="3599" width="40.7109375" style="253" customWidth="1"/>
    <col min="3600" max="3842" width="9.140625" style="253"/>
    <col min="3843" max="3843" width="2.85546875" style="253" customWidth="1"/>
    <col min="3844" max="3844" width="5" style="253" customWidth="1"/>
    <col min="3845" max="3845" width="62" style="253" customWidth="1"/>
    <col min="3846" max="3846" width="12.7109375" style="253" bestFit="1" customWidth="1"/>
    <col min="3847" max="3847" width="1.7109375" style="253" customWidth="1"/>
    <col min="3848" max="3853" width="15.7109375" style="253" customWidth="1"/>
    <col min="3854" max="3854" width="13.7109375" style="253" customWidth="1"/>
    <col min="3855" max="3855" width="40.7109375" style="253" customWidth="1"/>
    <col min="3856" max="4098" width="9.140625" style="253"/>
    <col min="4099" max="4099" width="2.85546875" style="253" customWidth="1"/>
    <col min="4100" max="4100" width="5" style="253" customWidth="1"/>
    <col min="4101" max="4101" width="62" style="253" customWidth="1"/>
    <col min="4102" max="4102" width="12.7109375" style="253" bestFit="1" customWidth="1"/>
    <col min="4103" max="4103" width="1.7109375" style="253" customWidth="1"/>
    <col min="4104" max="4109" width="15.7109375" style="253" customWidth="1"/>
    <col min="4110" max="4110" width="13.7109375" style="253" customWidth="1"/>
    <col min="4111" max="4111" width="40.7109375" style="253" customWidth="1"/>
    <col min="4112" max="4354" width="9.140625" style="253"/>
    <col min="4355" max="4355" width="2.85546875" style="253" customWidth="1"/>
    <col min="4356" max="4356" width="5" style="253" customWidth="1"/>
    <col min="4357" max="4357" width="62" style="253" customWidth="1"/>
    <col min="4358" max="4358" width="12.7109375" style="253" bestFit="1" customWidth="1"/>
    <col min="4359" max="4359" width="1.7109375" style="253" customWidth="1"/>
    <col min="4360" max="4365" width="15.7109375" style="253" customWidth="1"/>
    <col min="4366" max="4366" width="13.7109375" style="253" customWidth="1"/>
    <col min="4367" max="4367" width="40.7109375" style="253" customWidth="1"/>
    <col min="4368" max="4610" width="9.140625" style="253"/>
    <col min="4611" max="4611" width="2.85546875" style="253" customWidth="1"/>
    <col min="4612" max="4612" width="5" style="253" customWidth="1"/>
    <col min="4613" max="4613" width="62" style="253" customWidth="1"/>
    <col min="4614" max="4614" width="12.7109375" style="253" bestFit="1" customWidth="1"/>
    <col min="4615" max="4615" width="1.7109375" style="253" customWidth="1"/>
    <col min="4616" max="4621" width="15.7109375" style="253" customWidth="1"/>
    <col min="4622" max="4622" width="13.7109375" style="253" customWidth="1"/>
    <col min="4623" max="4623" width="40.7109375" style="253" customWidth="1"/>
    <col min="4624" max="4866" width="9.140625" style="253"/>
    <col min="4867" max="4867" width="2.85546875" style="253" customWidth="1"/>
    <col min="4868" max="4868" width="5" style="253" customWidth="1"/>
    <col min="4869" max="4869" width="62" style="253" customWidth="1"/>
    <col min="4870" max="4870" width="12.7109375" style="253" bestFit="1" customWidth="1"/>
    <col min="4871" max="4871" width="1.7109375" style="253" customWidth="1"/>
    <col min="4872" max="4877" width="15.7109375" style="253" customWidth="1"/>
    <col min="4878" max="4878" width="13.7109375" style="253" customWidth="1"/>
    <col min="4879" max="4879" width="40.7109375" style="253" customWidth="1"/>
    <col min="4880" max="5122" width="9.140625" style="253"/>
    <col min="5123" max="5123" width="2.85546875" style="253" customWidth="1"/>
    <col min="5124" max="5124" width="5" style="253" customWidth="1"/>
    <col min="5125" max="5125" width="62" style="253" customWidth="1"/>
    <col min="5126" max="5126" width="12.7109375" style="253" bestFit="1" customWidth="1"/>
    <col min="5127" max="5127" width="1.7109375" style="253" customWidth="1"/>
    <col min="5128" max="5133" width="15.7109375" style="253" customWidth="1"/>
    <col min="5134" max="5134" width="13.7109375" style="253" customWidth="1"/>
    <col min="5135" max="5135" width="40.7109375" style="253" customWidth="1"/>
    <col min="5136" max="5378" width="9.140625" style="253"/>
    <col min="5379" max="5379" width="2.85546875" style="253" customWidth="1"/>
    <col min="5380" max="5380" width="5" style="253" customWidth="1"/>
    <col min="5381" max="5381" width="62" style="253" customWidth="1"/>
    <col min="5382" max="5382" width="12.7109375" style="253" bestFit="1" customWidth="1"/>
    <col min="5383" max="5383" width="1.7109375" style="253" customWidth="1"/>
    <col min="5384" max="5389" width="15.7109375" style="253" customWidth="1"/>
    <col min="5390" max="5390" width="13.7109375" style="253" customWidth="1"/>
    <col min="5391" max="5391" width="40.7109375" style="253" customWidth="1"/>
    <col min="5392" max="5634" width="9.140625" style="253"/>
    <col min="5635" max="5635" width="2.85546875" style="253" customWidth="1"/>
    <col min="5636" max="5636" width="5" style="253" customWidth="1"/>
    <col min="5637" max="5637" width="62" style="253" customWidth="1"/>
    <col min="5638" max="5638" width="12.7109375" style="253" bestFit="1" customWidth="1"/>
    <col min="5639" max="5639" width="1.7109375" style="253" customWidth="1"/>
    <col min="5640" max="5645" width="15.7109375" style="253" customWidth="1"/>
    <col min="5646" max="5646" width="13.7109375" style="253" customWidth="1"/>
    <col min="5647" max="5647" width="40.7109375" style="253" customWidth="1"/>
    <col min="5648" max="5890" width="9.140625" style="253"/>
    <col min="5891" max="5891" width="2.85546875" style="253" customWidth="1"/>
    <col min="5892" max="5892" width="5" style="253" customWidth="1"/>
    <col min="5893" max="5893" width="62" style="253" customWidth="1"/>
    <col min="5894" max="5894" width="12.7109375" style="253" bestFit="1" customWidth="1"/>
    <col min="5895" max="5895" width="1.7109375" style="253" customWidth="1"/>
    <col min="5896" max="5901" width="15.7109375" style="253" customWidth="1"/>
    <col min="5902" max="5902" width="13.7109375" style="253" customWidth="1"/>
    <col min="5903" max="5903" width="40.7109375" style="253" customWidth="1"/>
    <col min="5904" max="6146" width="9.140625" style="253"/>
    <col min="6147" max="6147" width="2.85546875" style="253" customWidth="1"/>
    <col min="6148" max="6148" width="5" style="253" customWidth="1"/>
    <col min="6149" max="6149" width="62" style="253" customWidth="1"/>
    <col min="6150" max="6150" width="12.7109375" style="253" bestFit="1" customWidth="1"/>
    <col min="6151" max="6151" width="1.7109375" style="253" customWidth="1"/>
    <col min="6152" max="6157" width="15.7109375" style="253" customWidth="1"/>
    <col min="6158" max="6158" width="13.7109375" style="253" customWidth="1"/>
    <col min="6159" max="6159" width="40.7109375" style="253" customWidth="1"/>
    <col min="6160" max="6402" width="9.140625" style="253"/>
    <col min="6403" max="6403" width="2.85546875" style="253" customWidth="1"/>
    <col min="6404" max="6404" width="5" style="253" customWidth="1"/>
    <col min="6405" max="6405" width="62" style="253" customWidth="1"/>
    <col min="6406" max="6406" width="12.7109375" style="253" bestFit="1" customWidth="1"/>
    <col min="6407" max="6407" width="1.7109375" style="253" customWidth="1"/>
    <col min="6408" max="6413" width="15.7109375" style="253" customWidth="1"/>
    <col min="6414" max="6414" width="13.7109375" style="253" customWidth="1"/>
    <col min="6415" max="6415" width="40.7109375" style="253" customWidth="1"/>
    <col min="6416" max="6658" width="9.140625" style="253"/>
    <col min="6659" max="6659" width="2.85546875" style="253" customWidth="1"/>
    <col min="6660" max="6660" width="5" style="253" customWidth="1"/>
    <col min="6661" max="6661" width="62" style="253" customWidth="1"/>
    <col min="6662" max="6662" width="12.7109375" style="253" bestFit="1" customWidth="1"/>
    <col min="6663" max="6663" width="1.7109375" style="253" customWidth="1"/>
    <col min="6664" max="6669" width="15.7109375" style="253" customWidth="1"/>
    <col min="6670" max="6670" width="13.7109375" style="253" customWidth="1"/>
    <col min="6671" max="6671" width="40.7109375" style="253" customWidth="1"/>
    <col min="6672" max="6914" width="9.140625" style="253"/>
    <col min="6915" max="6915" width="2.85546875" style="253" customWidth="1"/>
    <col min="6916" max="6916" width="5" style="253" customWidth="1"/>
    <col min="6917" max="6917" width="62" style="253" customWidth="1"/>
    <col min="6918" max="6918" width="12.7109375" style="253" bestFit="1" customWidth="1"/>
    <col min="6919" max="6919" width="1.7109375" style="253" customWidth="1"/>
    <col min="6920" max="6925" width="15.7109375" style="253" customWidth="1"/>
    <col min="6926" max="6926" width="13.7109375" style="253" customWidth="1"/>
    <col min="6927" max="6927" width="40.7109375" style="253" customWidth="1"/>
    <col min="6928" max="7170" width="9.140625" style="253"/>
    <col min="7171" max="7171" width="2.85546875" style="253" customWidth="1"/>
    <col min="7172" max="7172" width="5" style="253" customWidth="1"/>
    <col min="7173" max="7173" width="62" style="253" customWidth="1"/>
    <col min="7174" max="7174" width="12.7109375" style="253" bestFit="1" customWidth="1"/>
    <col min="7175" max="7175" width="1.7109375" style="253" customWidth="1"/>
    <col min="7176" max="7181" width="15.7109375" style="253" customWidth="1"/>
    <col min="7182" max="7182" width="13.7109375" style="253" customWidth="1"/>
    <col min="7183" max="7183" width="40.7109375" style="253" customWidth="1"/>
    <col min="7184" max="7426" width="9.140625" style="253"/>
    <col min="7427" max="7427" width="2.85546875" style="253" customWidth="1"/>
    <col min="7428" max="7428" width="5" style="253" customWidth="1"/>
    <col min="7429" max="7429" width="62" style="253" customWidth="1"/>
    <col min="7430" max="7430" width="12.7109375" style="253" bestFit="1" customWidth="1"/>
    <col min="7431" max="7431" width="1.7109375" style="253" customWidth="1"/>
    <col min="7432" max="7437" width="15.7109375" style="253" customWidth="1"/>
    <col min="7438" max="7438" width="13.7109375" style="253" customWidth="1"/>
    <col min="7439" max="7439" width="40.7109375" style="253" customWidth="1"/>
    <col min="7440" max="7682" width="9.140625" style="253"/>
    <col min="7683" max="7683" width="2.85546875" style="253" customWidth="1"/>
    <col min="7684" max="7684" width="5" style="253" customWidth="1"/>
    <col min="7685" max="7685" width="62" style="253" customWidth="1"/>
    <col min="7686" max="7686" width="12.7109375" style="253" bestFit="1" customWidth="1"/>
    <col min="7687" max="7687" width="1.7109375" style="253" customWidth="1"/>
    <col min="7688" max="7693" width="15.7109375" style="253" customWidth="1"/>
    <col min="7694" max="7694" width="13.7109375" style="253" customWidth="1"/>
    <col min="7695" max="7695" width="40.7109375" style="253" customWidth="1"/>
    <col min="7696" max="7938" width="9.140625" style="253"/>
    <col min="7939" max="7939" width="2.85546875" style="253" customWidth="1"/>
    <col min="7940" max="7940" width="5" style="253" customWidth="1"/>
    <col min="7941" max="7941" width="62" style="253" customWidth="1"/>
    <col min="7942" max="7942" width="12.7109375" style="253" bestFit="1" customWidth="1"/>
    <col min="7943" max="7943" width="1.7109375" style="253" customWidth="1"/>
    <col min="7944" max="7949" width="15.7109375" style="253" customWidth="1"/>
    <col min="7950" max="7950" width="13.7109375" style="253" customWidth="1"/>
    <col min="7951" max="7951" width="40.7109375" style="253" customWidth="1"/>
    <col min="7952" max="8194" width="9.140625" style="253"/>
    <col min="8195" max="8195" width="2.85546875" style="253" customWidth="1"/>
    <col min="8196" max="8196" width="5" style="253" customWidth="1"/>
    <col min="8197" max="8197" width="62" style="253" customWidth="1"/>
    <col min="8198" max="8198" width="12.7109375" style="253" bestFit="1" customWidth="1"/>
    <col min="8199" max="8199" width="1.7109375" style="253" customWidth="1"/>
    <col min="8200" max="8205" width="15.7109375" style="253" customWidth="1"/>
    <col min="8206" max="8206" width="13.7109375" style="253" customWidth="1"/>
    <col min="8207" max="8207" width="40.7109375" style="253" customWidth="1"/>
    <col min="8208" max="8450" width="9.140625" style="253"/>
    <col min="8451" max="8451" width="2.85546875" style="253" customWidth="1"/>
    <col min="8452" max="8452" width="5" style="253" customWidth="1"/>
    <col min="8453" max="8453" width="62" style="253" customWidth="1"/>
    <col min="8454" max="8454" width="12.7109375" style="253" bestFit="1" customWidth="1"/>
    <col min="8455" max="8455" width="1.7109375" style="253" customWidth="1"/>
    <col min="8456" max="8461" width="15.7109375" style="253" customWidth="1"/>
    <col min="8462" max="8462" width="13.7109375" style="253" customWidth="1"/>
    <col min="8463" max="8463" width="40.7109375" style="253" customWidth="1"/>
    <col min="8464" max="8706" width="9.140625" style="253"/>
    <col min="8707" max="8707" width="2.85546875" style="253" customWidth="1"/>
    <col min="8708" max="8708" width="5" style="253" customWidth="1"/>
    <col min="8709" max="8709" width="62" style="253" customWidth="1"/>
    <col min="8710" max="8710" width="12.7109375" style="253" bestFit="1" customWidth="1"/>
    <col min="8711" max="8711" width="1.7109375" style="253" customWidth="1"/>
    <col min="8712" max="8717" width="15.7109375" style="253" customWidth="1"/>
    <col min="8718" max="8718" width="13.7109375" style="253" customWidth="1"/>
    <col min="8719" max="8719" width="40.7109375" style="253" customWidth="1"/>
    <col min="8720" max="8962" width="9.140625" style="253"/>
    <col min="8963" max="8963" width="2.85546875" style="253" customWidth="1"/>
    <col min="8964" max="8964" width="5" style="253" customWidth="1"/>
    <col min="8965" max="8965" width="62" style="253" customWidth="1"/>
    <col min="8966" max="8966" width="12.7109375" style="253" bestFit="1" customWidth="1"/>
    <col min="8967" max="8967" width="1.7109375" style="253" customWidth="1"/>
    <col min="8968" max="8973" width="15.7109375" style="253" customWidth="1"/>
    <col min="8974" max="8974" width="13.7109375" style="253" customWidth="1"/>
    <col min="8975" max="8975" width="40.7109375" style="253" customWidth="1"/>
    <col min="8976" max="9218" width="9.140625" style="253"/>
    <col min="9219" max="9219" width="2.85546875" style="253" customWidth="1"/>
    <col min="9220" max="9220" width="5" style="253" customWidth="1"/>
    <col min="9221" max="9221" width="62" style="253" customWidth="1"/>
    <col min="9222" max="9222" width="12.7109375" style="253" bestFit="1" customWidth="1"/>
    <col min="9223" max="9223" width="1.7109375" style="253" customWidth="1"/>
    <col min="9224" max="9229" width="15.7109375" style="253" customWidth="1"/>
    <col min="9230" max="9230" width="13.7109375" style="253" customWidth="1"/>
    <col min="9231" max="9231" width="40.7109375" style="253" customWidth="1"/>
    <col min="9232" max="9474" width="9.140625" style="253"/>
    <col min="9475" max="9475" width="2.85546875" style="253" customWidth="1"/>
    <col min="9476" max="9476" width="5" style="253" customWidth="1"/>
    <col min="9477" max="9477" width="62" style="253" customWidth="1"/>
    <col min="9478" max="9478" width="12.7109375" style="253" bestFit="1" customWidth="1"/>
    <col min="9479" max="9479" width="1.7109375" style="253" customWidth="1"/>
    <col min="9480" max="9485" width="15.7109375" style="253" customWidth="1"/>
    <col min="9486" max="9486" width="13.7109375" style="253" customWidth="1"/>
    <col min="9487" max="9487" width="40.7109375" style="253" customWidth="1"/>
    <col min="9488" max="9730" width="9.140625" style="253"/>
    <col min="9731" max="9731" width="2.85546875" style="253" customWidth="1"/>
    <col min="9732" max="9732" width="5" style="253" customWidth="1"/>
    <col min="9733" max="9733" width="62" style="253" customWidth="1"/>
    <col min="9734" max="9734" width="12.7109375" style="253" bestFit="1" customWidth="1"/>
    <col min="9735" max="9735" width="1.7109375" style="253" customWidth="1"/>
    <col min="9736" max="9741" width="15.7109375" style="253" customWidth="1"/>
    <col min="9742" max="9742" width="13.7109375" style="253" customWidth="1"/>
    <col min="9743" max="9743" width="40.7109375" style="253" customWidth="1"/>
    <col min="9744" max="9986" width="9.140625" style="253"/>
    <col min="9987" max="9987" width="2.85546875" style="253" customWidth="1"/>
    <col min="9988" max="9988" width="5" style="253" customWidth="1"/>
    <col min="9989" max="9989" width="62" style="253" customWidth="1"/>
    <col min="9990" max="9990" width="12.7109375" style="253" bestFit="1" customWidth="1"/>
    <col min="9991" max="9991" width="1.7109375" style="253" customWidth="1"/>
    <col min="9992" max="9997" width="15.7109375" style="253" customWidth="1"/>
    <col min="9998" max="9998" width="13.7109375" style="253" customWidth="1"/>
    <col min="9999" max="9999" width="40.7109375" style="253" customWidth="1"/>
    <col min="10000" max="10242" width="9.140625" style="253"/>
    <col min="10243" max="10243" width="2.85546875" style="253" customWidth="1"/>
    <col min="10244" max="10244" width="5" style="253" customWidth="1"/>
    <col min="10245" max="10245" width="62" style="253" customWidth="1"/>
    <col min="10246" max="10246" width="12.7109375" style="253" bestFit="1" customWidth="1"/>
    <col min="10247" max="10247" width="1.7109375" style="253" customWidth="1"/>
    <col min="10248" max="10253" width="15.7109375" style="253" customWidth="1"/>
    <col min="10254" max="10254" width="13.7109375" style="253" customWidth="1"/>
    <col min="10255" max="10255" width="40.7109375" style="253" customWidth="1"/>
    <col min="10256" max="10498" width="9.140625" style="253"/>
    <col min="10499" max="10499" width="2.85546875" style="253" customWidth="1"/>
    <col min="10500" max="10500" width="5" style="253" customWidth="1"/>
    <col min="10501" max="10501" width="62" style="253" customWidth="1"/>
    <col min="10502" max="10502" width="12.7109375" style="253" bestFit="1" customWidth="1"/>
    <col min="10503" max="10503" width="1.7109375" style="253" customWidth="1"/>
    <col min="10504" max="10509" width="15.7109375" style="253" customWidth="1"/>
    <col min="10510" max="10510" width="13.7109375" style="253" customWidth="1"/>
    <col min="10511" max="10511" width="40.7109375" style="253" customWidth="1"/>
    <col min="10512" max="10754" width="9.140625" style="253"/>
    <col min="10755" max="10755" width="2.85546875" style="253" customWidth="1"/>
    <col min="10756" max="10756" width="5" style="253" customWidth="1"/>
    <col min="10757" max="10757" width="62" style="253" customWidth="1"/>
    <col min="10758" max="10758" width="12.7109375" style="253" bestFit="1" customWidth="1"/>
    <col min="10759" max="10759" width="1.7109375" style="253" customWidth="1"/>
    <col min="10760" max="10765" width="15.7109375" style="253" customWidth="1"/>
    <col min="10766" max="10766" width="13.7109375" style="253" customWidth="1"/>
    <col min="10767" max="10767" width="40.7109375" style="253" customWidth="1"/>
    <col min="10768" max="11010" width="9.140625" style="253"/>
    <col min="11011" max="11011" width="2.85546875" style="253" customWidth="1"/>
    <col min="11012" max="11012" width="5" style="253" customWidth="1"/>
    <col min="11013" max="11013" width="62" style="253" customWidth="1"/>
    <col min="11014" max="11014" width="12.7109375" style="253" bestFit="1" customWidth="1"/>
    <col min="11015" max="11015" width="1.7109375" style="253" customWidth="1"/>
    <col min="11016" max="11021" width="15.7109375" style="253" customWidth="1"/>
    <col min="11022" max="11022" width="13.7109375" style="253" customWidth="1"/>
    <col min="11023" max="11023" width="40.7109375" style="253" customWidth="1"/>
    <col min="11024" max="11266" width="9.140625" style="253"/>
    <col min="11267" max="11267" width="2.85546875" style="253" customWidth="1"/>
    <col min="11268" max="11268" width="5" style="253" customWidth="1"/>
    <col min="11269" max="11269" width="62" style="253" customWidth="1"/>
    <col min="11270" max="11270" width="12.7109375" style="253" bestFit="1" customWidth="1"/>
    <col min="11271" max="11271" width="1.7109375" style="253" customWidth="1"/>
    <col min="11272" max="11277" width="15.7109375" style="253" customWidth="1"/>
    <col min="11278" max="11278" width="13.7109375" style="253" customWidth="1"/>
    <col min="11279" max="11279" width="40.7109375" style="253" customWidth="1"/>
    <col min="11280" max="11522" width="9.140625" style="253"/>
    <col min="11523" max="11523" width="2.85546875" style="253" customWidth="1"/>
    <col min="11524" max="11524" width="5" style="253" customWidth="1"/>
    <col min="11525" max="11525" width="62" style="253" customWidth="1"/>
    <col min="11526" max="11526" width="12.7109375" style="253" bestFit="1" customWidth="1"/>
    <col min="11527" max="11527" width="1.7109375" style="253" customWidth="1"/>
    <col min="11528" max="11533" width="15.7109375" style="253" customWidth="1"/>
    <col min="11534" max="11534" width="13.7109375" style="253" customWidth="1"/>
    <col min="11535" max="11535" width="40.7109375" style="253" customWidth="1"/>
    <col min="11536" max="11778" width="9.140625" style="253"/>
    <col min="11779" max="11779" width="2.85546875" style="253" customWidth="1"/>
    <col min="11780" max="11780" width="5" style="253" customWidth="1"/>
    <col min="11781" max="11781" width="62" style="253" customWidth="1"/>
    <col min="11782" max="11782" width="12.7109375" style="253" bestFit="1" customWidth="1"/>
    <col min="11783" max="11783" width="1.7109375" style="253" customWidth="1"/>
    <col min="11784" max="11789" width="15.7109375" style="253" customWidth="1"/>
    <col min="11790" max="11790" width="13.7109375" style="253" customWidth="1"/>
    <col min="11791" max="11791" width="40.7109375" style="253" customWidth="1"/>
    <col min="11792" max="12034" width="9.140625" style="253"/>
    <col min="12035" max="12035" width="2.85546875" style="253" customWidth="1"/>
    <col min="12036" max="12036" width="5" style="253" customWidth="1"/>
    <col min="12037" max="12037" width="62" style="253" customWidth="1"/>
    <col min="12038" max="12038" width="12.7109375" style="253" bestFit="1" customWidth="1"/>
    <col min="12039" max="12039" width="1.7109375" style="253" customWidth="1"/>
    <col min="12040" max="12045" width="15.7109375" style="253" customWidth="1"/>
    <col min="12046" max="12046" width="13.7109375" style="253" customWidth="1"/>
    <col min="12047" max="12047" width="40.7109375" style="253" customWidth="1"/>
    <col min="12048" max="12290" width="9.140625" style="253"/>
    <col min="12291" max="12291" width="2.85546875" style="253" customWidth="1"/>
    <col min="12292" max="12292" width="5" style="253" customWidth="1"/>
    <col min="12293" max="12293" width="62" style="253" customWidth="1"/>
    <col min="12294" max="12294" width="12.7109375" style="253" bestFit="1" customWidth="1"/>
    <col min="12295" max="12295" width="1.7109375" style="253" customWidth="1"/>
    <col min="12296" max="12301" width="15.7109375" style="253" customWidth="1"/>
    <col min="12302" max="12302" width="13.7109375" style="253" customWidth="1"/>
    <col min="12303" max="12303" width="40.7109375" style="253" customWidth="1"/>
    <col min="12304" max="12546" width="9.140625" style="253"/>
    <col min="12547" max="12547" width="2.85546875" style="253" customWidth="1"/>
    <col min="12548" max="12548" width="5" style="253" customWidth="1"/>
    <col min="12549" max="12549" width="62" style="253" customWidth="1"/>
    <col min="12550" max="12550" width="12.7109375" style="253" bestFit="1" customWidth="1"/>
    <col min="12551" max="12551" width="1.7109375" style="253" customWidth="1"/>
    <col min="12552" max="12557" width="15.7109375" style="253" customWidth="1"/>
    <col min="12558" max="12558" width="13.7109375" style="253" customWidth="1"/>
    <col min="12559" max="12559" width="40.7109375" style="253" customWidth="1"/>
    <col min="12560" max="12802" width="9.140625" style="253"/>
    <col min="12803" max="12803" width="2.85546875" style="253" customWidth="1"/>
    <col min="12804" max="12804" width="5" style="253" customWidth="1"/>
    <col min="12805" max="12805" width="62" style="253" customWidth="1"/>
    <col min="12806" max="12806" width="12.7109375" style="253" bestFit="1" customWidth="1"/>
    <col min="12807" max="12807" width="1.7109375" style="253" customWidth="1"/>
    <col min="12808" max="12813" width="15.7109375" style="253" customWidth="1"/>
    <col min="12814" max="12814" width="13.7109375" style="253" customWidth="1"/>
    <col min="12815" max="12815" width="40.7109375" style="253" customWidth="1"/>
    <col min="12816" max="13058" width="9.140625" style="253"/>
    <col min="13059" max="13059" width="2.85546875" style="253" customWidth="1"/>
    <col min="13060" max="13060" width="5" style="253" customWidth="1"/>
    <col min="13061" max="13061" width="62" style="253" customWidth="1"/>
    <col min="13062" max="13062" width="12.7109375" style="253" bestFit="1" customWidth="1"/>
    <col min="13063" max="13063" width="1.7109375" style="253" customWidth="1"/>
    <col min="13064" max="13069" width="15.7109375" style="253" customWidth="1"/>
    <col min="13070" max="13070" width="13.7109375" style="253" customWidth="1"/>
    <col min="13071" max="13071" width="40.7109375" style="253" customWidth="1"/>
    <col min="13072" max="13314" width="9.140625" style="253"/>
    <col min="13315" max="13315" width="2.85546875" style="253" customWidth="1"/>
    <col min="13316" max="13316" width="5" style="253" customWidth="1"/>
    <col min="13317" max="13317" width="62" style="253" customWidth="1"/>
    <col min="13318" max="13318" width="12.7109375" style="253" bestFit="1" customWidth="1"/>
    <col min="13319" max="13319" width="1.7109375" style="253" customWidth="1"/>
    <col min="13320" max="13325" width="15.7109375" style="253" customWidth="1"/>
    <col min="13326" max="13326" width="13.7109375" style="253" customWidth="1"/>
    <col min="13327" max="13327" width="40.7109375" style="253" customWidth="1"/>
    <col min="13328" max="13570" width="9.140625" style="253"/>
    <col min="13571" max="13571" width="2.85546875" style="253" customWidth="1"/>
    <col min="13572" max="13572" width="5" style="253" customWidth="1"/>
    <col min="13573" max="13573" width="62" style="253" customWidth="1"/>
    <col min="13574" max="13574" width="12.7109375" style="253" bestFit="1" customWidth="1"/>
    <col min="13575" max="13575" width="1.7109375" style="253" customWidth="1"/>
    <col min="13576" max="13581" width="15.7109375" style="253" customWidth="1"/>
    <col min="13582" max="13582" width="13.7109375" style="253" customWidth="1"/>
    <col min="13583" max="13583" width="40.7109375" style="253" customWidth="1"/>
    <col min="13584" max="13826" width="9.140625" style="253"/>
    <col min="13827" max="13827" width="2.85546875" style="253" customWidth="1"/>
    <col min="13828" max="13828" width="5" style="253" customWidth="1"/>
    <col min="13829" max="13829" width="62" style="253" customWidth="1"/>
    <col min="13830" max="13830" width="12.7109375" style="253" bestFit="1" customWidth="1"/>
    <col min="13831" max="13831" width="1.7109375" style="253" customWidth="1"/>
    <col min="13832" max="13837" width="15.7109375" style="253" customWidth="1"/>
    <col min="13838" max="13838" width="13.7109375" style="253" customWidth="1"/>
    <col min="13839" max="13839" width="40.7109375" style="253" customWidth="1"/>
    <col min="13840" max="14082" width="9.140625" style="253"/>
    <col min="14083" max="14083" width="2.85546875" style="253" customWidth="1"/>
    <col min="14084" max="14084" width="5" style="253" customWidth="1"/>
    <col min="14085" max="14085" width="62" style="253" customWidth="1"/>
    <col min="14086" max="14086" width="12.7109375" style="253" bestFit="1" customWidth="1"/>
    <col min="14087" max="14087" width="1.7109375" style="253" customWidth="1"/>
    <col min="14088" max="14093" width="15.7109375" style="253" customWidth="1"/>
    <col min="14094" max="14094" width="13.7109375" style="253" customWidth="1"/>
    <col min="14095" max="14095" width="40.7109375" style="253" customWidth="1"/>
    <col min="14096" max="14338" width="9.140625" style="253"/>
    <col min="14339" max="14339" width="2.85546875" style="253" customWidth="1"/>
    <col min="14340" max="14340" width="5" style="253" customWidth="1"/>
    <col min="14341" max="14341" width="62" style="253" customWidth="1"/>
    <col min="14342" max="14342" width="12.7109375" style="253" bestFit="1" customWidth="1"/>
    <col min="14343" max="14343" width="1.7109375" style="253" customWidth="1"/>
    <col min="14344" max="14349" width="15.7109375" style="253" customWidth="1"/>
    <col min="14350" max="14350" width="13.7109375" style="253" customWidth="1"/>
    <col min="14351" max="14351" width="40.7109375" style="253" customWidth="1"/>
    <col min="14352" max="14594" width="9.140625" style="253"/>
    <col min="14595" max="14595" width="2.85546875" style="253" customWidth="1"/>
    <col min="14596" max="14596" width="5" style="253" customWidth="1"/>
    <col min="14597" max="14597" width="62" style="253" customWidth="1"/>
    <col min="14598" max="14598" width="12.7109375" style="253" bestFit="1" customWidth="1"/>
    <col min="14599" max="14599" width="1.7109375" style="253" customWidth="1"/>
    <col min="14600" max="14605" width="15.7109375" style="253" customWidth="1"/>
    <col min="14606" max="14606" width="13.7109375" style="253" customWidth="1"/>
    <col min="14607" max="14607" width="40.7109375" style="253" customWidth="1"/>
    <col min="14608" max="14850" width="9.140625" style="253"/>
    <col min="14851" max="14851" width="2.85546875" style="253" customWidth="1"/>
    <col min="14852" max="14852" width="5" style="253" customWidth="1"/>
    <col min="14853" max="14853" width="62" style="253" customWidth="1"/>
    <col min="14854" max="14854" width="12.7109375" style="253" bestFit="1" customWidth="1"/>
    <col min="14855" max="14855" width="1.7109375" style="253" customWidth="1"/>
    <col min="14856" max="14861" width="15.7109375" style="253" customWidth="1"/>
    <col min="14862" max="14862" width="13.7109375" style="253" customWidth="1"/>
    <col min="14863" max="14863" width="40.7109375" style="253" customWidth="1"/>
    <col min="14864" max="15106" width="9.140625" style="253"/>
    <col min="15107" max="15107" width="2.85546875" style="253" customWidth="1"/>
    <col min="15108" max="15108" width="5" style="253" customWidth="1"/>
    <col min="15109" max="15109" width="62" style="253" customWidth="1"/>
    <col min="15110" max="15110" width="12.7109375" style="253" bestFit="1" customWidth="1"/>
    <col min="15111" max="15111" width="1.7109375" style="253" customWidth="1"/>
    <col min="15112" max="15117" width="15.7109375" style="253" customWidth="1"/>
    <col min="15118" max="15118" width="13.7109375" style="253" customWidth="1"/>
    <col min="15119" max="15119" width="40.7109375" style="253" customWidth="1"/>
    <col min="15120" max="15362" width="9.140625" style="253"/>
    <col min="15363" max="15363" width="2.85546875" style="253" customWidth="1"/>
    <col min="15364" max="15364" width="5" style="253" customWidth="1"/>
    <col min="15365" max="15365" width="62" style="253" customWidth="1"/>
    <col min="15366" max="15366" width="12.7109375" style="253" bestFit="1" customWidth="1"/>
    <col min="15367" max="15367" width="1.7109375" style="253" customWidth="1"/>
    <col min="15368" max="15373" width="15.7109375" style="253" customWidth="1"/>
    <col min="15374" max="15374" width="13.7109375" style="253" customWidth="1"/>
    <col min="15375" max="15375" width="40.7109375" style="253" customWidth="1"/>
    <col min="15376" max="15618" width="9.140625" style="253"/>
    <col min="15619" max="15619" width="2.85546875" style="253" customWidth="1"/>
    <col min="15620" max="15620" width="5" style="253" customWidth="1"/>
    <col min="15621" max="15621" width="62" style="253" customWidth="1"/>
    <col min="15622" max="15622" width="12.7109375" style="253" bestFit="1" customWidth="1"/>
    <col min="15623" max="15623" width="1.7109375" style="253" customWidth="1"/>
    <col min="15624" max="15629" width="15.7109375" style="253" customWidth="1"/>
    <col min="15630" max="15630" width="13.7109375" style="253" customWidth="1"/>
    <col min="15631" max="15631" width="40.7109375" style="253" customWidth="1"/>
    <col min="15632" max="15874" width="9.140625" style="253"/>
    <col min="15875" max="15875" width="2.85546875" style="253" customWidth="1"/>
    <col min="15876" max="15876" width="5" style="253" customWidth="1"/>
    <col min="15877" max="15877" width="62" style="253" customWidth="1"/>
    <col min="15878" max="15878" width="12.7109375" style="253" bestFit="1" customWidth="1"/>
    <col min="15879" max="15879" width="1.7109375" style="253" customWidth="1"/>
    <col min="15880" max="15885" width="15.7109375" style="253" customWidth="1"/>
    <col min="15886" max="15886" width="13.7109375" style="253" customWidth="1"/>
    <col min="15887" max="15887" width="40.7109375" style="253" customWidth="1"/>
    <col min="15888" max="16130" width="9.140625" style="253"/>
    <col min="16131" max="16131" width="2.85546875" style="253" customWidth="1"/>
    <col min="16132" max="16132" width="5" style="253" customWidth="1"/>
    <col min="16133" max="16133" width="62" style="253" customWidth="1"/>
    <col min="16134" max="16134" width="12.7109375" style="253" bestFit="1" customWidth="1"/>
    <col min="16135" max="16135" width="1.7109375" style="253" customWidth="1"/>
    <col min="16136" max="16141" width="15.7109375" style="253" customWidth="1"/>
    <col min="16142" max="16142" width="13.7109375" style="253" customWidth="1"/>
    <col min="16143" max="16143" width="40.7109375" style="253" customWidth="1"/>
    <col min="16144" max="16384" width="9.140625" style="253"/>
  </cols>
  <sheetData>
    <row r="1" spans="1:15" x14ac:dyDescent="0.2">
      <c r="J1" s="16" t="s">
        <v>444</v>
      </c>
      <c r="K1" s="250" t="str">
        <f>'LDC Info'!$E$18</f>
        <v>EB-2012-0107</v>
      </c>
      <c r="L1" s="250"/>
      <c r="M1" s="250"/>
      <c r="N1" s="250"/>
    </row>
    <row r="2" spans="1:15" x14ac:dyDescent="0.2">
      <c r="J2" s="16" t="s">
        <v>445</v>
      </c>
      <c r="K2" s="251">
        <v>9</v>
      </c>
      <c r="L2" s="739"/>
      <c r="M2" s="739"/>
      <c r="N2" s="739"/>
    </row>
    <row r="3" spans="1:15" x14ac:dyDescent="0.2">
      <c r="J3" s="16" t="s">
        <v>446</v>
      </c>
      <c r="K3" s="251">
        <v>2</v>
      </c>
      <c r="L3" s="739"/>
      <c r="M3" s="739"/>
      <c r="N3" s="739"/>
    </row>
    <row r="4" spans="1:15" x14ac:dyDescent="0.2">
      <c r="J4" s="16" t="s">
        <v>447</v>
      </c>
      <c r="K4" s="251">
        <v>1</v>
      </c>
      <c r="L4" s="739"/>
      <c r="M4" s="739"/>
      <c r="N4" s="739"/>
    </row>
    <row r="5" spans="1:15" x14ac:dyDescent="0.2">
      <c r="J5" s="329" t="s">
        <v>1036</v>
      </c>
      <c r="K5" s="252">
        <v>1</v>
      </c>
      <c r="L5" s="252"/>
      <c r="M5" s="252"/>
      <c r="N5" s="252"/>
    </row>
    <row r="6" spans="1:15" x14ac:dyDescent="0.2">
      <c r="J6" s="16"/>
      <c r="K6" s="250"/>
      <c r="L6" s="250"/>
      <c r="M6" s="250"/>
      <c r="N6" s="250"/>
    </row>
    <row r="7" spans="1:15" x14ac:dyDescent="0.2">
      <c r="J7" s="16" t="s">
        <v>449</v>
      </c>
      <c r="K7" s="934">
        <v>41200</v>
      </c>
      <c r="L7" s="252"/>
      <c r="M7" s="252"/>
      <c r="N7" s="252"/>
    </row>
    <row r="9" spans="1:15" ht="18" x14ac:dyDescent="0.25">
      <c r="A9" s="1282" t="s">
        <v>300</v>
      </c>
      <c r="B9" s="1363"/>
      <c r="C9" s="1363"/>
      <c r="D9" s="1363"/>
      <c r="E9" s="1363"/>
      <c r="F9" s="1363"/>
      <c r="G9" s="1363"/>
      <c r="H9" s="1363"/>
      <c r="I9" s="1363"/>
      <c r="J9" s="1363"/>
      <c r="K9" s="1363"/>
      <c r="L9" s="1363"/>
      <c r="M9" s="1363"/>
      <c r="N9" s="1363"/>
      <c r="O9" s="1363"/>
    </row>
    <row r="10" spans="1:15" ht="18" x14ac:dyDescent="0.25">
      <c r="A10" s="1282" t="s">
        <v>600</v>
      </c>
      <c r="B10" s="1364"/>
      <c r="C10" s="1364"/>
      <c r="D10" s="1364"/>
      <c r="E10" s="1364"/>
      <c r="F10" s="1364"/>
      <c r="G10" s="1364"/>
      <c r="H10" s="1364"/>
      <c r="I10" s="1364"/>
      <c r="J10" s="1364"/>
      <c r="K10" s="1364"/>
      <c r="L10" s="1364"/>
      <c r="M10" s="1364"/>
      <c r="N10" s="1364"/>
      <c r="O10" s="1364"/>
    </row>
    <row r="12" spans="1:15" ht="27" customHeight="1" x14ac:dyDescent="0.2">
      <c r="A12" s="1294" t="s">
        <v>601</v>
      </c>
      <c r="B12" s="1294"/>
      <c r="C12" s="1294"/>
      <c r="D12" s="1294"/>
      <c r="E12" s="1294"/>
      <c r="F12" s="1364"/>
      <c r="G12" s="1364"/>
      <c r="H12" s="1364"/>
      <c r="I12" s="1364"/>
      <c r="J12" s="1364"/>
      <c r="K12" s="1364"/>
      <c r="L12" s="1364"/>
      <c r="M12" s="1364"/>
      <c r="N12" s="1364"/>
      <c r="O12" s="1364"/>
    </row>
    <row r="13" spans="1:15" ht="13.5" thickBot="1" x14ac:dyDescent="0.25"/>
    <row r="14" spans="1:15" ht="14.25" x14ac:dyDescent="0.2">
      <c r="A14" s="1594" t="s">
        <v>602</v>
      </c>
      <c r="B14" s="1595"/>
      <c r="C14" s="1595"/>
      <c r="D14" s="289"/>
      <c r="E14" s="304" t="s">
        <v>603</v>
      </c>
      <c r="F14" s="304" t="s">
        <v>603</v>
      </c>
      <c r="G14" s="304" t="s">
        <v>603</v>
      </c>
      <c r="H14" s="304" t="s">
        <v>604</v>
      </c>
      <c r="I14" s="290" t="s">
        <v>605</v>
      </c>
      <c r="J14" s="304" t="s">
        <v>606</v>
      </c>
      <c r="K14" s="290" t="s">
        <v>556</v>
      </c>
      <c r="L14" s="304" t="s">
        <v>832</v>
      </c>
      <c r="M14" s="304" t="s">
        <v>834</v>
      </c>
      <c r="N14" s="290" t="s">
        <v>439</v>
      </c>
      <c r="O14" s="1598" t="s">
        <v>607</v>
      </c>
    </row>
    <row r="15" spans="1:15" x14ac:dyDescent="0.2">
      <c r="A15" s="1596"/>
      <c r="B15" s="1597"/>
      <c r="C15" s="1597"/>
      <c r="D15" s="291"/>
      <c r="E15" s="305" t="s">
        <v>608</v>
      </c>
      <c r="F15" s="305" t="s">
        <v>608</v>
      </c>
      <c r="G15" s="305" t="s">
        <v>608</v>
      </c>
      <c r="H15" s="305" t="s">
        <v>609</v>
      </c>
      <c r="I15" s="292" t="s">
        <v>610</v>
      </c>
      <c r="J15" s="305" t="s">
        <v>611</v>
      </c>
      <c r="K15" s="292"/>
      <c r="L15" s="305" t="s">
        <v>609</v>
      </c>
      <c r="M15" s="305" t="s">
        <v>835</v>
      </c>
      <c r="N15" s="292" t="s">
        <v>835</v>
      </c>
      <c r="O15" s="1599"/>
    </row>
    <row r="16" spans="1:15" ht="16.5" customHeight="1" x14ac:dyDescent="0.2">
      <c r="A16" s="1596"/>
      <c r="B16" s="1597"/>
      <c r="C16" s="1597"/>
      <c r="D16" s="291"/>
      <c r="E16" s="306">
        <v>2009</v>
      </c>
      <c r="F16" s="306">
        <v>2010</v>
      </c>
      <c r="G16" s="306">
        <v>2011</v>
      </c>
      <c r="H16" s="306" t="s">
        <v>612</v>
      </c>
      <c r="I16" s="307" t="s">
        <v>612</v>
      </c>
      <c r="J16" s="308">
        <v>40908</v>
      </c>
      <c r="K16" s="307"/>
      <c r="L16" s="306" t="s">
        <v>833</v>
      </c>
      <c r="M16" s="306" t="s">
        <v>836</v>
      </c>
      <c r="N16" s="307" t="s">
        <v>837</v>
      </c>
      <c r="O16" s="1600"/>
    </row>
    <row r="17" spans="1:15" x14ac:dyDescent="0.2">
      <c r="A17" s="1601" t="s">
        <v>613</v>
      </c>
      <c r="B17" s="1602"/>
      <c r="C17" s="1603"/>
      <c r="D17" s="294"/>
      <c r="E17" s="309">
        <f>35000+25000+18625</f>
        <v>78625</v>
      </c>
      <c r="F17" s="310">
        <v>2000</v>
      </c>
      <c r="G17" s="310">
        <v>5185</v>
      </c>
      <c r="H17" s="439">
        <f>(+I52/2*G52)+((I52+I53)/2*G53)+((I53+I54)/2*G54)</f>
        <v>2305.4863125000002</v>
      </c>
      <c r="I17" s="295">
        <f>SUM(E17:H17)</f>
        <v>88115.486312499997</v>
      </c>
      <c r="J17" s="380"/>
      <c r="K17" s="380"/>
      <c r="L17" s="748">
        <f>(I54*G55)+(I54*G55/12*4)</f>
        <v>1681.876</v>
      </c>
      <c r="M17" s="310"/>
      <c r="N17" s="295">
        <f>+I17+L17+M17</f>
        <v>89797.362312500001</v>
      </c>
      <c r="O17" s="310"/>
    </row>
    <row r="18" spans="1:15" x14ac:dyDescent="0.2">
      <c r="A18" s="1604" t="s">
        <v>614</v>
      </c>
      <c r="B18" s="1605"/>
      <c r="C18" s="1606"/>
      <c r="D18" s="294"/>
      <c r="E18" s="310">
        <v>1537</v>
      </c>
      <c r="F18" s="310"/>
      <c r="G18" s="310"/>
      <c r="H18" s="439">
        <f>(J52/2*G52)+((J52+J53)/2*G53)+((J53+J54)/2*G54)</f>
        <v>43.593162499999998</v>
      </c>
      <c r="I18" s="295">
        <f t="shared" ref="I18:I25" si="0">SUM(E18:H18)</f>
        <v>1580.5931625000001</v>
      </c>
      <c r="J18" s="381"/>
      <c r="K18" s="381"/>
      <c r="L18" s="749">
        <f>(J54*G55)+(J54*G55/12*4)</f>
        <v>30.125199999999996</v>
      </c>
      <c r="M18" s="310"/>
      <c r="N18" s="295">
        <f t="shared" ref="N18:N25" si="1">+I18+L18+M18</f>
        <v>1610.7183625</v>
      </c>
      <c r="O18" s="310"/>
    </row>
    <row r="19" spans="1:15" x14ac:dyDescent="0.2">
      <c r="A19" s="1601" t="s">
        <v>615</v>
      </c>
      <c r="B19" s="1602"/>
      <c r="C19" s="1603"/>
      <c r="D19" s="294"/>
      <c r="E19" s="310"/>
      <c r="F19" s="310"/>
      <c r="G19" s="310"/>
      <c r="H19" s="439"/>
      <c r="I19" s="295">
        <f t="shared" si="0"/>
        <v>0</v>
      </c>
      <c r="J19" s="381"/>
      <c r="K19" s="381"/>
      <c r="L19" s="749"/>
      <c r="M19" s="310"/>
      <c r="N19" s="295">
        <f t="shared" si="1"/>
        <v>0</v>
      </c>
      <c r="O19" s="310"/>
    </row>
    <row r="20" spans="1:15" x14ac:dyDescent="0.2">
      <c r="A20" s="1607" t="s">
        <v>616</v>
      </c>
      <c r="B20" s="1608"/>
      <c r="C20" s="1609"/>
      <c r="D20" s="294"/>
      <c r="E20" s="310">
        <v>693</v>
      </c>
      <c r="F20" s="310">
        <v>104</v>
      </c>
      <c r="G20" s="310">
        <v>916</v>
      </c>
      <c r="H20" s="439">
        <f>(K52/2*G52)+((K52+K53)/2*G53)+((K53+K54)/2*G54)</f>
        <v>28.331312499999999</v>
      </c>
      <c r="I20" s="295">
        <f t="shared" si="0"/>
        <v>1741.3313125</v>
      </c>
      <c r="J20" s="381"/>
      <c r="K20" s="381"/>
      <c r="L20" s="749">
        <f>(K54*G55)+(K54*G55/12*4)</f>
        <v>33.574800000000003</v>
      </c>
      <c r="M20" s="310"/>
      <c r="N20" s="295">
        <f t="shared" si="1"/>
        <v>1774.9061125000001</v>
      </c>
      <c r="O20" s="310"/>
    </row>
    <row r="21" spans="1:15" ht="24" customHeight="1" x14ac:dyDescent="0.2">
      <c r="A21" s="1604" t="s">
        <v>617</v>
      </c>
      <c r="B21" s="1605"/>
      <c r="C21" s="1606"/>
      <c r="D21" s="294"/>
      <c r="E21" s="310"/>
      <c r="F21" s="310"/>
      <c r="G21" s="310"/>
      <c r="H21" s="310"/>
      <c r="I21" s="295">
        <f t="shared" si="0"/>
        <v>0</v>
      </c>
      <c r="J21" s="381"/>
      <c r="K21" s="381"/>
      <c r="L21" s="310"/>
      <c r="M21" s="310"/>
      <c r="N21" s="295">
        <f t="shared" si="1"/>
        <v>0</v>
      </c>
      <c r="O21" s="310"/>
    </row>
    <row r="22" spans="1:15" x14ac:dyDescent="0.2">
      <c r="A22" s="1313"/>
      <c r="B22" s="1314"/>
      <c r="C22" s="1610"/>
      <c r="D22" s="294"/>
      <c r="E22" s="310"/>
      <c r="F22" s="310"/>
      <c r="G22" s="310"/>
      <c r="H22" s="310"/>
      <c r="I22" s="295">
        <f t="shared" si="0"/>
        <v>0</v>
      </c>
      <c r="J22" s="381"/>
      <c r="K22" s="381"/>
      <c r="L22" s="310"/>
      <c r="M22" s="310"/>
      <c r="N22" s="295">
        <f t="shared" si="1"/>
        <v>0</v>
      </c>
      <c r="O22" s="310"/>
    </row>
    <row r="23" spans="1:15" ht="24.95" customHeight="1" x14ac:dyDescent="0.2">
      <c r="A23" s="1325" t="s">
        <v>838</v>
      </c>
      <c r="B23" s="1326"/>
      <c r="C23" s="1593"/>
      <c r="D23" s="294"/>
      <c r="E23" s="310"/>
      <c r="F23" s="310"/>
      <c r="G23" s="310"/>
      <c r="H23" s="310"/>
      <c r="I23" s="295">
        <f t="shared" si="0"/>
        <v>0</v>
      </c>
      <c r="J23" s="381"/>
      <c r="K23" s="381"/>
      <c r="L23" s="310"/>
      <c r="M23" s="310">
        <v>28500</v>
      </c>
      <c r="N23" s="295">
        <f t="shared" si="1"/>
        <v>28500</v>
      </c>
      <c r="O23" s="310"/>
    </row>
    <row r="24" spans="1:15" ht="27" customHeight="1" x14ac:dyDescent="0.2">
      <c r="A24" s="1322"/>
      <c r="B24" s="1323"/>
      <c r="C24" s="1612"/>
      <c r="D24" s="294"/>
      <c r="E24" s="310"/>
      <c r="F24" s="310"/>
      <c r="G24" s="310"/>
      <c r="H24" s="310"/>
      <c r="I24" s="295">
        <f t="shared" si="0"/>
        <v>0</v>
      </c>
      <c r="J24" s="381"/>
      <c r="K24" s="381"/>
      <c r="L24" s="310"/>
      <c r="M24" s="310"/>
      <c r="N24" s="295">
        <f t="shared" si="1"/>
        <v>0</v>
      </c>
      <c r="O24" s="310"/>
    </row>
    <row r="25" spans="1:15" ht="13.5" thickBot="1" x14ac:dyDescent="0.25">
      <c r="A25" s="1346" t="s">
        <v>316</v>
      </c>
      <c r="B25" s="1347"/>
      <c r="C25" s="1613"/>
      <c r="D25" s="294"/>
      <c r="E25" s="311"/>
      <c r="F25" s="311"/>
      <c r="G25" s="311"/>
      <c r="H25" s="311"/>
      <c r="I25" s="295">
        <f t="shared" si="0"/>
        <v>0</v>
      </c>
      <c r="J25" s="381"/>
      <c r="K25" s="381"/>
      <c r="L25" s="311"/>
      <c r="M25" s="311"/>
      <c r="N25" s="295">
        <f t="shared" si="1"/>
        <v>0</v>
      </c>
      <c r="O25" s="311"/>
    </row>
    <row r="26" spans="1:15" ht="14.25" thickTop="1" thickBot="1" x14ac:dyDescent="0.25">
      <c r="A26" s="1349" t="s">
        <v>439</v>
      </c>
      <c r="B26" s="1350"/>
      <c r="C26" s="1614"/>
      <c r="D26" s="298"/>
      <c r="E26" s="121">
        <f>SUM(E17:E25)</f>
        <v>80855</v>
      </c>
      <c r="F26" s="121">
        <f>SUM(F17:F25)</f>
        <v>2104</v>
      </c>
      <c r="G26" s="121">
        <f>SUM(G17:G25)</f>
        <v>6101</v>
      </c>
      <c r="H26" s="121">
        <f>SUM(H17:H25)</f>
        <v>2377.4107875</v>
      </c>
      <c r="I26" s="121">
        <f>SUM(I17:I25)</f>
        <v>91437.41078749999</v>
      </c>
      <c r="J26" s="312">
        <v>645803</v>
      </c>
      <c r="K26" s="313">
        <f>+I26-J26</f>
        <v>-554365.58921250002</v>
      </c>
      <c r="L26" s="121">
        <f>SUM(L17:L25)</f>
        <v>1745.576</v>
      </c>
      <c r="M26" s="121">
        <f>SUM(M17:M25)</f>
        <v>28500</v>
      </c>
      <c r="N26" s="121">
        <f>SUM(N17:N25)</f>
        <v>121682.98678750001</v>
      </c>
      <c r="O26" s="314"/>
    </row>
    <row r="28" spans="1:15" x14ac:dyDescent="0.2">
      <c r="A28" s="254"/>
      <c r="B28" s="254"/>
      <c r="C28" s="254"/>
      <c r="D28" s="275"/>
      <c r="E28" s="275"/>
    </row>
    <row r="29" spans="1:15" x14ac:dyDescent="0.2">
      <c r="A29" s="254" t="s">
        <v>229</v>
      </c>
      <c r="B29" s="275"/>
      <c r="C29" s="275"/>
      <c r="D29" s="275"/>
      <c r="E29" s="275"/>
    </row>
    <row r="30" spans="1:15" ht="36" customHeight="1" x14ac:dyDescent="0.2">
      <c r="A30" s="1615">
        <v>1</v>
      </c>
      <c r="B30" s="1258" t="s">
        <v>618</v>
      </c>
      <c r="C30" s="1611"/>
      <c r="D30" s="1611"/>
      <c r="E30" s="1611"/>
      <c r="F30" s="1421"/>
      <c r="G30" s="1421"/>
      <c r="H30" s="1421"/>
      <c r="I30" s="1421"/>
      <c r="J30" s="1421"/>
      <c r="K30" s="1421"/>
      <c r="L30" s="1421"/>
      <c r="M30" s="1421"/>
      <c r="N30" s="1421"/>
      <c r="O30" s="1421"/>
    </row>
    <row r="31" spans="1:15" ht="4.5" customHeight="1" x14ac:dyDescent="0.2">
      <c r="A31" s="1615"/>
      <c r="B31" s="1611"/>
      <c r="C31" s="1611"/>
      <c r="D31" s="1611"/>
      <c r="E31" s="1611"/>
      <c r="F31" s="1421"/>
      <c r="G31" s="1421"/>
      <c r="H31" s="1421"/>
      <c r="I31" s="1421"/>
      <c r="J31" s="1421"/>
      <c r="K31" s="1421"/>
      <c r="L31" s="1421"/>
      <c r="M31" s="1421"/>
      <c r="N31" s="1421"/>
      <c r="O31" s="1421"/>
    </row>
    <row r="32" spans="1:15" x14ac:dyDescent="0.2">
      <c r="A32" s="336">
        <v>2</v>
      </c>
      <c r="B32" s="275" t="s">
        <v>619</v>
      </c>
      <c r="C32" s="275"/>
      <c r="D32" s="275"/>
      <c r="E32" s="275"/>
    </row>
    <row r="33" spans="1:10" x14ac:dyDescent="0.2">
      <c r="A33" s="1355"/>
      <c r="B33" s="1356"/>
      <c r="C33" s="1356"/>
      <c r="D33" s="1356"/>
      <c r="E33" s="1356"/>
      <c r="F33" s="303"/>
    </row>
    <row r="34" spans="1:10" x14ac:dyDescent="0.2">
      <c r="A34" s="1355"/>
      <c r="C34" s="275"/>
      <c r="D34" s="275"/>
      <c r="E34" s="275"/>
    </row>
    <row r="35" spans="1:10" ht="12.75" customHeight="1" x14ac:dyDescent="0.2">
      <c r="A35" s="1355"/>
      <c r="B35" s="1611"/>
      <c r="C35" s="1611"/>
      <c r="D35" s="1611"/>
      <c r="E35" s="1611"/>
      <c r="F35" s="278"/>
    </row>
    <row r="36" spans="1:10" x14ac:dyDescent="0.2">
      <c r="A36" s="1355"/>
      <c r="B36" s="1611"/>
      <c r="C36" s="1611"/>
      <c r="D36" s="1611"/>
      <c r="E36" s="1611"/>
      <c r="F36" s="278"/>
    </row>
    <row r="37" spans="1:10" x14ac:dyDescent="0.2">
      <c r="A37" s="288"/>
      <c r="B37" s="275"/>
      <c r="C37" s="275"/>
      <c r="D37" s="275"/>
      <c r="E37" s="275"/>
    </row>
    <row r="38" spans="1:10" ht="12.75" customHeight="1" x14ac:dyDescent="0.2">
      <c r="A38" s="1355"/>
      <c r="B38" s="1611"/>
      <c r="C38" s="1611"/>
      <c r="D38" s="1611"/>
      <c r="E38" s="1611"/>
      <c r="F38" s="278"/>
      <c r="G38" s="740" t="s">
        <v>839</v>
      </c>
      <c r="H38" s="741">
        <v>2.4500000000000001E-2</v>
      </c>
      <c r="I38" s="742" t="s">
        <v>840</v>
      </c>
      <c r="J38" s="743">
        <v>1.47E-2</v>
      </c>
    </row>
    <row r="39" spans="1:10" x14ac:dyDescent="0.2">
      <c r="A39" s="1355"/>
      <c r="B39" s="1357"/>
      <c r="C39" s="1357"/>
      <c r="D39" s="1357"/>
      <c r="E39" s="1357"/>
      <c r="F39" s="278"/>
      <c r="G39" s="740" t="s">
        <v>841</v>
      </c>
      <c r="H39" s="741">
        <v>0.01</v>
      </c>
      <c r="I39" s="742" t="s">
        <v>842</v>
      </c>
      <c r="J39" s="743">
        <v>1.47E-2</v>
      </c>
    </row>
    <row r="40" spans="1:10" ht="12.75" customHeight="1" x14ac:dyDescent="0.2">
      <c r="A40" s="288"/>
      <c r="B40" s="279"/>
      <c r="C40" s="279"/>
      <c r="D40" s="279"/>
      <c r="E40" s="279"/>
      <c r="F40" s="278"/>
      <c r="G40" s="740" t="s">
        <v>843</v>
      </c>
      <c r="H40" s="741">
        <v>5.4999999999999997E-3</v>
      </c>
      <c r="I40" s="742" t="s">
        <v>844</v>
      </c>
      <c r="J40" s="743">
        <v>1.47E-2</v>
      </c>
    </row>
    <row r="41" spans="1:10" x14ac:dyDescent="0.2">
      <c r="A41" s="1358"/>
      <c r="B41" s="1611"/>
      <c r="C41" s="1611"/>
      <c r="D41" s="1611"/>
      <c r="E41" s="1611"/>
      <c r="F41" s="278"/>
      <c r="G41" s="740" t="s">
        <v>845</v>
      </c>
      <c r="H41" s="741">
        <v>5.4999999999999997E-3</v>
      </c>
      <c r="I41" s="740" t="s">
        <v>846</v>
      </c>
      <c r="J41" s="741">
        <v>1.47E-2</v>
      </c>
    </row>
    <row r="42" spans="1:10" x14ac:dyDescent="0.2">
      <c r="A42" s="1358"/>
      <c r="B42" s="1611"/>
      <c r="C42" s="1611"/>
      <c r="D42" s="1611"/>
      <c r="E42" s="1611"/>
      <c r="F42" s="278"/>
      <c r="G42" s="742" t="s">
        <v>847</v>
      </c>
      <c r="H42" s="743">
        <v>5.4999999999999997E-3</v>
      </c>
      <c r="I42" s="742" t="s">
        <v>848</v>
      </c>
      <c r="J42" s="743">
        <v>1.47E-2</v>
      </c>
    </row>
    <row r="43" spans="1:10" x14ac:dyDescent="0.2">
      <c r="A43" s="1358"/>
      <c r="B43" s="1357"/>
      <c r="C43" s="1357"/>
      <c r="D43" s="1357"/>
      <c r="E43" s="1357"/>
      <c r="F43" s="278"/>
      <c r="G43" s="742" t="s">
        <v>849</v>
      </c>
      <c r="H43" s="743">
        <v>5.4999999999999997E-3</v>
      </c>
      <c r="I43" s="742" t="s">
        <v>850</v>
      </c>
      <c r="J43" s="741">
        <v>1.47E-2</v>
      </c>
    </row>
    <row r="44" spans="1:10" x14ac:dyDescent="0.2">
      <c r="A44" s="1358"/>
      <c r="B44" s="1357"/>
      <c r="C44" s="1357"/>
      <c r="D44" s="1357"/>
      <c r="E44" s="1357"/>
      <c r="F44" s="278"/>
      <c r="G44" s="742" t="s">
        <v>851</v>
      </c>
      <c r="H44" s="743">
        <v>8.8999999999999999E-3</v>
      </c>
      <c r="I44" s="742" t="s">
        <v>852</v>
      </c>
      <c r="J44" s="743">
        <v>1.47E-2</v>
      </c>
    </row>
    <row r="45" spans="1:10" x14ac:dyDescent="0.2">
      <c r="A45" s="288"/>
      <c r="B45" s="275"/>
      <c r="C45" s="275"/>
      <c r="D45" s="275"/>
      <c r="E45" s="275"/>
      <c r="G45" s="742" t="s">
        <v>853</v>
      </c>
      <c r="H45" s="743">
        <v>1.2E-2</v>
      </c>
      <c r="I45" s="740" t="s">
        <v>854</v>
      </c>
      <c r="J45" s="741">
        <v>1.47E-2</v>
      </c>
    </row>
    <row r="46" spans="1:10" ht="12.75" customHeight="1" x14ac:dyDescent="0.2">
      <c r="A46" s="1355"/>
      <c r="B46" s="1611"/>
      <c r="C46" s="1611"/>
      <c r="D46" s="1611"/>
      <c r="E46" s="1611"/>
      <c r="F46" s="278"/>
      <c r="I46" s="738"/>
      <c r="J46" s="738"/>
    </row>
    <row r="47" spans="1:10" x14ac:dyDescent="0.2">
      <c r="A47" s="1355"/>
      <c r="B47" s="1611"/>
      <c r="C47" s="1611"/>
      <c r="D47" s="1611"/>
      <c r="E47" s="1611"/>
      <c r="F47" s="278"/>
      <c r="I47" s="738"/>
      <c r="J47" s="738"/>
    </row>
    <row r="48" spans="1:10" x14ac:dyDescent="0.2">
      <c r="I48" s="738"/>
      <c r="J48" s="738"/>
    </row>
    <row r="49" spans="7:11" ht="12.75" customHeight="1" x14ac:dyDescent="0.2"/>
    <row r="50" spans="7:11" x14ac:dyDescent="0.2">
      <c r="G50" s="738"/>
      <c r="H50" s="738"/>
      <c r="I50" s="740" t="s">
        <v>855</v>
      </c>
      <c r="J50" s="740" t="s">
        <v>855</v>
      </c>
      <c r="K50" s="740" t="s">
        <v>855</v>
      </c>
    </row>
    <row r="51" spans="7:11" x14ac:dyDescent="0.2">
      <c r="G51" s="738"/>
      <c r="H51" s="738"/>
      <c r="I51" s="740" t="s">
        <v>856</v>
      </c>
      <c r="J51" s="740" t="s">
        <v>857</v>
      </c>
      <c r="K51" s="740" t="s">
        <v>858</v>
      </c>
    </row>
    <row r="52" spans="7:11" x14ac:dyDescent="0.2">
      <c r="G52" s="744">
        <f>AVERAGE(H38:H41)</f>
        <v>1.1375E-2</v>
      </c>
      <c r="H52" s="745" t="s">
        <v>859</v>
      </c>
      <c r="I52" s="746">
        <f>+E17</f>
        <v>78625</v>
      </c>
      <c r="J52" s="746">
        <f>+E18</f>
        <v>1537</v>
      </c>
      <c r="K52" s="746">
        <f>+E20</f>
        <v>693</v>
      </c>
    </row>
    <row r="53" spans="7:11" x14ac:dyDescent="0.2">
      <c r="G53" s="744">
        <f>AVERAGE(H42:H45)</f>
        <v>7.9749999999999995E-3</v>
      </c>
      <c r="H53" s="747" t="s">
        <v>860</v>
      </c>
      <c r="I53" s="746">
        <f>+I52+F17</f>
        <v>80625</v>
      </c>
      <c r="J53" s="746">
        <f>+J52+F18</f>
        <v>1537</v>
      </c>
      <c r="K53" s="746">
        <f>+K52+F20</f>
        <v>797</v>
      </c>
    </row>
    <row r="54" spans="7:11" x14ac:dyDescent="0.2">
      <c r="G54" s="744">
        <f>AVERAGE(J38:J41)</f>
        <v>1.47E-2</v>
      </c>
      <c r="H54" s="745" t="s">
        <v>861</v>
      </c>
      <c r="I54" s="746">
        <f>+I53+G17</f>
        <v>85810</v>
      </c>
      <c r="J54" s="746">
        <f>+J53+G18</f>
        <v>1537</v>
      </c>
      <c r="K54" s="746">
        <f>+K53+G20</f>
        <v>1713</v>
      </c>
    </row>
    <row r="55" spans="7:11" x14ac:dyDescent="0.2">
      <c r="G55" s="744">
        <f>AVERAGE(J42:J45)</f>
        <v>1.47E-2</v>
      </c>
      <c r="H55" s="745" t="s">
        <v>862</v>
      </c>
    </row>
  </sheetData>
  <mergeCells count="27">
    <mergeCell ref="A38:A39"/>
    <mergeCell ref="B38:E39"/>
    <mergeCell ref="A41:A44"/>
    <mergeCell ref="B41:E44"/>
    <mergeCell ref="A46:A47"/>
    <mergeCell ref="B46:E47"/>
    <mergeCell ref="A35:A36"/>
    <mergeCell ref="B35:E36"/>
    <mergeCell ref="A24:C24"/>
    <mergeCell ref="A25:C25"/>
    <mergeCell ref="A26:C26"/>
    <mergeCell ref="A30:A31"/>
    <mergeCell ref="B30:O31"/>
    <mergeCell ref="A33:A34"/>
    <mergeCell ref="B33:E33"/>
    <mergeCell ref="A23:C23"/>
    <mergeCell ref="A9:O9"/>
    <mergeCell ref="A10:O10"/>
    <mergeCell ref="A12:O12"/>
    <mergeCell ref="A14:C16"/>
    <mergeCell ref="O14:O16"/>
    <mergeCell ref="A17:C17"/>
    <mergeCell ref="A18:C18"/>
    <mergeCell ref="A19:C19"/>
    <mergeCell ref="A20:C20"/>
    <mergeCell ref="A21:C21"/>
    <mergeCell ref="A22:C22"/>
  </mergeCells>
  <dataValidations disablePrompts="1" count="1">
    <dataValidation allowBlank="1" showInputMessage="1" showErrorMessage="1" promptTitle="Date Format" prompt="E.g:  &quot;August 1, 2011&quot;" sqref="WVP983043 E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E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E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E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E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E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E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E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E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E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E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E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E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E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E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K7"/>
  </dataValidations>
  <pageMargins left="0.75" right="0.75" top="1" bottom="1" header="0.5" footer="0.5"/>
  <pageSetup scale="46"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38"/>
  <sheetViews>
    <sheetView showGridLines="0" zoomScaleNormal="100" workbookViewId="0">
      <selection sqref="A1:XFD1048576"/>
    </sheetView>
  </sheetViews>
  <sheetFormatPr defaultRowHeight="12.75" x14ac:dyDescent="0.2"/>
  <cols>
    <col min="1" max="1" width="23.85546875" customWidth="1"/>
    <col min="2" max="2" width="12.7109375" customWidth="1"/>
    <col min="3" max="4" width="11.7109375" customWidth="1"/>
    <col min="5" max="5" width="13.7109375" customWidth="1"/>
    <col min="6" max="7" width="12.7109375" customWidth="1"/>
    <col min="8" max="8" width="12.140625" customWidth="1"/>
    <col min="9" max="10" width="10.7109375" customWidth="1"/>
    <col min="11" max="11" width="15.5703125" customWidth="1"/>
    <col min="12" max="12" width="0.85546875" customWidth="1"/>
    <col min="13" max="16" width="13.5703125" customWidth="1"/>
  </cols>
  <sheetData>
    <row r="1" spans="1:16" x14ac:dyDescent="0.2">
      <c r="O1" s="16" t="s">
        <v>444</v>
      </c>
      <c r="P1" s="250" t="str">
        <f>'LDC Info'!$E$18</f>
        <v>EB-2012-0107</v>
      </c>
    </row>
    <row r="2" spans="1:16" x14ac:dyDescent="0.2">
      <c r="O2" s="16" t="s">
        <v>445</v>
      </c>
      <c r="P2" s="251">
        <v>8</v>
      </c>
    </row>
    <row r="3" spans="1:16" x14ac:dyDescent="0.2">
      <c r="O3" s="16" t="s">
        <v>446</v>
      </c>
      <c r="P3" s="251">
        <v>4</v>
      </c>
    </row>
    <row r="4" spans="1:16" x14ac:dyDescent="0.2">
      <c r="O4" s="16" t="s">
        <v>447</v>
      </c>
      <c r="P4" s="251">
        <v>1</v>
      </c>
    </row>
    <row r="5" spans="1:16" x14ac:dyDescent="0.2">
      <c r="O5" s="329" t="s">
        <v>1036</v>
      </c>
      <c r="P5" s="252">
        <v>1</v>
      </c>
    </row>
    <row r="6" spans="1:16" x14ac:dyDescent="0.2">
      <c r="O6" s="16"/>
      <c r="P6" s="250"/>
    </row>
    <row r="7" spans="1:16" x14ac:dyDescent="0.2">
      <c r="O7" s="16" t="s">
        <v>449</v>
      </c>
      <c r="P7" s="934">
        <v>41200</v>
      </c>
    </row>
    <row r="9" spans="1:16" ht="18" x14ac:dyDescent="0.25">
      <c r="A9" s="1385" t="s">
        <v>41</v>
      </c>
      <c r="B9" s="1385"/>
      <c r="C9" s="1385"/>
      <c r="D9" s="1385"/>
      <c r="E9" s="1385"/>
      <c r="F9" s="1385"/>
      <c r="G9" s="1385"/>
      <c r="H9" s="1385"/>
      <c r="I9" s="1385"/>
      <c r="J9" s="1385"/>
      <c r="K9" s="1385"/>
      <c r="L9" s="1385"/>
      <c r="M9" s="1385"/>
      <c r="N9" s="1385"/>
      <c r="O9" s="1385"/>
      <c r="P9" s="1385"/>
    </row>
    <row r="10" spans="1:16" ht="18" x14ac:dyDescent="0.25">
      <c r="A10" s="1385" t="s">
        <v>67</v>
      </c>
      <c r="B10" s="1385"/>
      <c r="C10" s="1385"/>
      <c r="D10" s="1385"/>
      <c r="E10" s="1385"/>
      <c r="F10" s="1385"/>
      <c r="G10" s="1385"/>
      <c r="H10" s="1385"/>
      <c r="I10" s="1385"/>
      <c r="J10" s="1385"/>
      <c r="K10" s="1385"/>
      <c r="L10" s="1385"/>
      <c r="M10" s="1385"/>
      <c r="N10" s="1385"/>
      <c r="O10" s="1385"/>
      <c r="P10" s="1385"/>
    </row>
    <row r="11" spans="1:16" ht="13.5" thickBot="1" x14ac:dyDescent="0.25"/>
    <row r="12" spans="1:16" ht="13.5" customHeight="1" thickBot="1" x14ac:dyDescent="0.25">
      <c r="A12" s="204" t="s">
        <v>68</v>
      </c>
      <c r="B12" s="1413" t="s">
        <v>69</v>
      </c>
      <c r="C12" s="1618" t="s">
        <v>70</v>
      </c>
      <c r="D12" s="1619"/>
      <c r="E12" s="1620"/>
      <c r="F12" s="1616" t="s">
        <v>71</v>
      </c>
      <c r="G12" s="1617"/>
      <c r="H12" s="1625" t="s">
        <v>72</v>
      </c>
      <c r="I12" s="1616"/>
      <c r="J12" s="1617"/>
      <c r="K12" s="1413" t="s">
        <v>73</v>
      </c>
      <c r="L12" s="163"/>
      <c r="M12" s="1413" t="s">
        <v>340</v>
      </c>
      <c r="N12" s="1413" t="s">
        <v>74</v>
      </c>
      <c r="O12" s="1413" t="s">
        <v>439</v>
      </c>
      <c r="P12" s="1621" t="s">
        <v>75</v>
      </c>
    </row>
    <row r="13" spans="1:16" ht="39" thickBot="1" x14ac:dyDescent="0.25">
      <c r="A13" s="205"/>
      <c r="B13" s="1414"/>
      <c r="C13" s="206" t="s">
        <v>76</v>
      </c>
      <c r="D13" s="206" t="s">
        <v>77</v>
      </c>
      <c r="E13" s="207" t="s">
        <v>78</v>
      </c>
      <c r="F13" s="207" t="s">
        <v>79</v>
      </c>
      <c r="G13" s="208" t="s">
        <v>80</v>
      </c>
      <c r="H13" s="206" t="s">
        <v>28</v>
      </c>
      <c r="I13" s="1623" t="s">
        <v>81</v>
      </c>
      <c r="J13" s="1624"/>
      <c r="K13" s="1414"/>
      <c r="L13" s="164"/>
      <c r="M13" s="1414"/>
      <c r="N13" s="1414"/>
      <c r="O13" s="1414"/>
      <c r="P13" s="1622"/>
    </row>
    <row r="14" spans="1:16" x14ac:dyDescent="0.2">
      <c r="A14" s="59"/>
      <c r="B14" s="59"/>
      <c r="C14" s="59"/>
      <c r="D14" s="59"/>
      <c r="E14" s="59"/>
      <c r="F14" s="59"/>
      <c r="G14" s="51"/>
      <c r="H14" s="59"/>
      <c r="I14" s="60" t="s">
        <v>79</v>
      </c>
      <c r="J14" s="60" t="s">
        <v>80</v>
      </c>
      <c r="K14" s="62"/>
      <c r="L14" s="165"/>
      <c r="M14" s="62"/>
      <c r="N14" s="62"/>
      <c r="O14" s="62"/>
      <c r="P14" s="51"/>
    </row>
    <row r="15" spans="1:16" x14ac:dyDescent="0.2">
      <c r="A15" s="59"/>
      <c r="B15" s="59"/>
      <c r="C15" s="59"/>
      <c r="D15" s="59"/>
      <c r="E15" s="59"/>
      <c r="F15" s="59"/>
      <c r="G15" s="51"/>
      <c r="H15" s="59"/>
      <c r="I15" s="59"/>
      <c r="J15" s="59"/>
      <c r="K15" s="59"/>
      <c r="L15" s="165"/>
      <c r="M15" s="59"/>
      <c r="N15" s="59"/>
      <c r="O15" s="59"/>
      <c r="P15" s="51"/>
    </row>
    <row r="16" spans="1:16" x14ac:dyDescent="0.2">
      <c r="A16" s="556" t="s">
        <v>82</v>
      </c>
      <c r="B16" s="562" t="s">
        <v>991</v>
      </c>
      <c r="C16" s="557"/>
      <c r="D16" s="557">
        <v>32122</v>
      </c>
      <c r="E16" s="68">
        <f t="shared" ref="E16:E29" si="0">IF(SUM(C16:D16)=0,0,AVERAGE(C16:D16))</f>
        <v>32122</v>
      </c>
      <c r="F16" s="558">
        <v>255687351</v>
      </c>
      <c r="G16" s="558"/>
      <c r="H16" s="932">
        <v>16.39</v>
      </c>
      <c r="I16" s="560">
        <v>2.23E-2</v>
      </c>
      <c r="J16" s="560"/>
      <c r="K16" s="69">
        <f t="shared" ref="K16:K29" si="1">H16*E16*12+I16*F16+J16*G16</f>
        <v>12019582.8873</v>
      </c>
      <c r="L16" s="165"/>
      <c r="M16" s="561">
        <f>12026198+1</f>
        <v>12026199</v>
      </c>
      <c r="N16" s="561">
        <v>0</v>
      </c>
      <c r="O16" s="70">
        <f t="shared" ref="O16:O29" si="2">SUM(M16:N16)</f>
        <v>12026199</v>
      </c>
      <c r="P16" s="71">
        <f t="shared" ref="P16:P29" si="3">O16-K16</f>
        <v>6616.1127000004053</v>
      </c>
    </row>
    <row r="17" spans="1:16" x14ac:dyDescent="0.2">
      <c r="A17" s="556" t="s">
        <v>83</v>
      </c>
      <c r="B17" s="562" t="s">
        <v>991</v>
      </c>
      <c r="C17" s="557"/>
      <c r="D17" s="557">
        <v>3544</v>
      </c>
      <c r="E17" s="68">
        <f t="shared" si="0"/>
        <v>3544</v>
      </c>
      <c r="F17" s="558">
        <v>97434167</v>
      </c>
      <c r="G17" s="558"/>
      <c r="H17" s="932">
        <v>28.16</v>
      </c>
      <c r="I17" s="560">
        <v>1.9699999999999999E-2</v>
      </c>
      <c r="J17" s="560"/>
      <c r="K17" s="69">
        <f t="shared" si="1"/>
        <v>3117041.5698999995</v>
      </c>
      <c r="L17" s="165"/>
      <c r="M17" s="561">
        <v>3118381</v>
      </c>
      <c r="N17" s="561">
        <v>0</v>
      </c>
      <c r="O17" s="70">
        <f t="shared" si="2"/>
        <v>3118381</v>
      </c>
      <c r="P17" s="71">
        <f t="shared" si="3"/>
        <v>1339.4301000004634</v>
      </c>
    </row>
    <row r="18" spans="1:16" x14ac:dyDescent="0.2">
      <c r="A18" s="931" t="s">
        <v>993</v>
      </c>
      <c r="B18" s="562" t="s">
        <v>991</v>
      </c>
      <c r="C18" s="557"/>
      <c r="D18" s="557">
        <v>438</v>
      </c>
      <c r="E18" s="68">
        <f t="shared" si="0"/>
        <v>438</v>
      </c>
      <c r="F18" s="558"/>
      <c r="G18" s="558">
        <v>627074</v>
      </c>
      <c r="H18" s="932">
        <v>142</v>
      </c>
      <c r="I18" s="560"/>
      <c r="J18" s="560">
        <v>4.4310999999999998</v>
      </c>
      <c r="K18" s="69">
        <f>H18*E18*12+I18*F18+J18*G18</f>
        <v>3524979.6014</v>
      </c>
      <c r="L18" s="165"/>
      <c r="M18" s="561">
        <v>3450825</v>
      </c>
      <c r="N18" s="561">
        <v>74130.599999999991</v>
      </c>
      <c r="O18" s="70">
        <f t="shared" si="2"/>
        <v>3524955.6</v>
      </c>
      <c r="P18" s="71">
        <f t="shared" si="3"/>
        <v>-24.001399999950081</v>
      </c>
    </row>
    <row r="19" spans="1:16" x14ac:dyDescent="0.2">
      <c r="A19" s="931" t="s">
        <v>994</v>
      </c>
      <c r="B19" s="562" t="s">
        <v>991</v>
      </c>
      <c r="C19" s="557"/>
      <c r="D19" s="557">
        <v>12</v>
      </c>
      <c r="E19" s="68">
        <f t="shared" si="0"/>
        <v>12</v>
      </c>
      <c r="F19" s="558"/>
      <c r="G19" s="558">
        <v>337859</v>
      </c>
      <c r="H19" s="932">
        <v>3121.63</v>
      </c>
      <c r="I19" s="560"/>
      <c r="J19" s="560">
        <v>1.8051999999999999</v>
      </c>
      <c r="K19" s="69">
        <f>H19*E19*12+I19*F19+J19*G19</f>
        <v>1059417.7867999999</v>
      </c>
      <c r="L19" s="165"/>
      <c r="M19" s="561">
        <v>871603</v>
      </c>
      <c r="N19" s="561">
        <v>187822.8</v>
      </c>
      <c r="O19" s="70">
        <f t="shared" si="2"/>
        <v>1059425.8</v>
      </c>
      <c r="P19" s="71">
        <f t="shared" si="3"/>
        <v>8.0132000001613051</v>
      </c>
    </row>
    <row r="20" spans="1:16" x14ac:dyDescent="0.2">
      <c r="A20" s="556" t="s">
        <v>84</v>
      </c>
      <c r="B20" s="562" t="s">
        <v>991</v>
      </c>
      <c r="C20" s="557"/>
      <c r="D20" s="557">
        <v>3</v>
      </c>
      <c r="E20" s="68">
        <f t="shared" si="0"/>
        <v>3</v>
      </c>
      <c r="F20" s="558"/>
      <c r="G20" s="558">
        <v>392393</v>
      </c>
      <c r="H20" s="932">
        <v>24427.599999999999</v>
      </c>
      <c r="I20" s="560"/>
      <c r="J20" s="560">
        <v>2.0411999999999999</v>
      </c>
      <c r="K20" s="69">
        <f>H20*E20*12+I20*F20+J20*G20</f>
        <v>1680346.1915999998</v>
      </c>
      <c r="L20" s="165"/>
      <c r="M20" s="561">
        <v>1441059</v>
      </c>
      <c r="N20" s="561">
        <v>239275.8</v>
      </c>
      <c r="O20" s="70">
        <f t="shared" si="2"/>
        <v>1680334.8</v>
      </c>
      <c r="P20" s="71">
        <f t="shared" si="3"/>
        <v>-11.39159999974072</v>
      </c>
    </row>
    <row r="21" spans="1:16" x14ac:dyDescent="0.2">
      <c r="A21" s="556" t="s">
        <v>87</v>
      </c>
      <c r="B21" s="562" t="s">
        <v>992</v>
      </c>
      <c r="C21" s="557"/>
      <c r="D21" s="557">
        <v>260</v>
      </c>
      <c r="E21" s="68">
        <f>IF(SUM(C21:D21)=0,0,AVERAGE(C21:D21))</f>
        <v>260</v>
      </c>
      <c r="F21" s="558">
        <v>2238935</v>
      </c>
      <c r="G21" s="558"/>
      <c r="H21" s="932">
        <v>13.45</v>
      </c>
      <c r="I21" s="560">
        <v>3.6499999999999998E-2</v>
      </c>
      <c r="J21" s="560"/>
      <c r="K21" s="69">
        <f>H21*E21*12+I21*F21+J21*G21</f>
        <v>123685.12749999999</v>
      </c>
      <c r="L21" s="165"/>
      <c r="M21" s="561">
        <v>123755</v>
      </c>
      <c r="N21" s="561">
        <v>0</v>
      </c>
      <c r="O21" s="70">
        <f>SUM(M21:N21)</f>
        <v>123755</v>
      </c>
      <c r="P21" s="71">
        <f>O21-K21</f>
        <v>69.872500000012224</v>
      </c>
    </row>
    <row r="22" spans="1:16" x14ac:dyDescent="0.2">
      <c r="A22" s="556" t="s">
        <v>86</v>
      </c>
      <c r="B22" s="562" t="s">
        <v>992</v>
      </c>
      <c r="C22" s="557"/>
      <c r="D22" s="557">
        <v>445</v>
      </c>
      <c r="E22" s="68">
        <f>IF(SUM(C22:D22)=0,0,AVERAGE(C22:D22))</f>
        <v>445</v>
      </c>
      <c r="F22" s="558"/>
      <c r="G22" s="558">
        <v>1452</v>
      </c>
      <c r="H22" s="932">
        <v>4.07</v>
      </c>
      <c r="I22" s="560"/>
      <c r="J22" s="560">
        <v>26.875699999999998</v>
      </c>
      <c r="K22" s="69">
        <f>H22*E22*12+I22*F22+J22*G22</f>
        <v>60757.316400000003</v>
      </c>
      <c r="L22" s="165"/>
      <c r="M22" s="561">
        <v>60776</v>
      </c>
      <c r="N22" s="561">
        <v>0</v>
      </c>
      <c r="O22" s="70">
        <f>SUM(M22:N22)</f>
        <v>60776</v>
      </c>
      <c r="P22" s="71">
        <f>O22-K22</f>
        <v>18.683599999996659</v>
      </c>
    </row>
    <row r="23" spans="1:16" x14ac:dyDescent="0.2">
      <c r="A23" s="556" t="s">
        <v>85</v>
      </c>
      <c r="B23" s="562" t="s">
        <v>992</v>
      </c>
      <c r="C23" s="557"/>
      <c r="D23" s="557">
        <v>10140</v>
      </c>
      <c r="E23" s="68">
        <f t="shared" si="0"/>
        <v>10140</v>
      </c>
      <c r="F23" s="558"/>
      <c r="G23" s="558">
        <v>24157</v>
      </c>
      <c r="H23" s="932">
        <v>2.54</v>
      </c>
      <c r="I23" s="560"/>
      <c r="J23" s="560">
        <v>19.656500000000001</v>
      </c>
      <c r="K23" s="69">
        <f t="shared" si="1"/>
        <v>783909.27049999998</v>
      </c>
      <c r="L23" s="165"/>
      <c r="M23" s="561">
        <v>784092</v>
      </c>
      <c r="N23" s="561">
        <v>0</v>
      </c>
      <c r="O23" s="70">
        <f t="shared" si="2"/>
        <v>784092</v>
      </c>
      <c r="P23" s="71">
        <f t="shared" si="3"/>
        <v>182.72950000001583</v>
      </c>
    </row>
    <row r="24" spans="1:16" x14ac:dyDescent="0.2">
      <c r="A24" s="556" t="s">
        <v>88</v>
      </c>
      <c r="B24" s="562"/>
      <c r="C24" s="557"/>
      <c r="D24" s="557"/>
      <c r="E24" s="68">
        <f t="shared" si="0"/>
        <v>0</v>
      </c>
      <c r="F24" s="558"/>
      <c r="G24" s="558"/>
      <c r="H24" s="550"/>
      <c r="I24" s="560"/>
      <c r="J24" s="560"/>
      <c r="K24" s="69">
        <f t="shared" si="1"/>
        <v>0</v>
      </c>
      <c r="L24" s="165"/>
      <c r="M24" s="561"/>
      <c r="N24" s="561"/>
      <c r="O24" s="70">
        <f t="shared" si="2"/>
        <v>0</v>
      </c>
      <c r="P24" s="71">
        <f t="shared" si="3"/>
        <v>0</v>
      </c>
    </row>
    <row r="25" spans="1:16" x14ac:dyDescent="0.2">
      <c r="A25" s="556" t="s">
        <v>402</v>
      </c>
      <c r="B25" s="562"/>
      <c r="C25" s="557"/>
      <c r="D25" s="557"/>
      <c r="E25" s="68">
        <f t="shared" si="0"/>
        <v>0</v>
      </c>
      <c r="F25" s="558"/>
      <c r="G25" s="559"/>
      <c r="H25" s="550"/>
      <c r="I25" s="560"/>
      <c r="J25" s="560"/>
      <c r="K25" s="69">
        <f t="shared" si="1"/>
        <v>0</v>
      </c>
      <c r="L25" s="165"/>
      <c r="M25" s="561"/>
      <c r="N25" s="561"/>
      <c r="O25" s="70">
        <f t="shared" si="2"/>
        <v>0</v>
      </c>
      <c r="P25" s="71">
        <f t="shared" si="3"/>
        <v>0</v>
      </c>
    </row>
    <row r="26" spans="1:16" x14ac:dyDescent="0.2">
      <c r="A26" s="556" t="s">
        <v>14</v>
      </c>
      <c r="B26" s="562"/>
      <c r="C26" s="557"/>
      <c r="D26" s="557"/>
      <c r="E26" s="68">
        <f t="shared" si="0"/>
        <v>0</v>
      </c>
      <c r="F26" s="558"/>
      <c r="G26" s="559"/>
      <c r="H26" s="550"/>
      <c r="I26" s="560"/>
      <c r="J26" s="560"/>
      <c r="K26" s="69">
        <f t="shared" si="1"/>
        <v>0</v>
      </c>
      <c r="L26" s="165"/>
      <c r="M26" s="561"/>
      <c r="N26" s="561"/>
      <c r="O26" s="70">
        <f t="shared" si="2"/>
        <v>0</v>
      </c>
      <c r="P26" s="71">
        <f t="shared" si="3"/>
        <v>0</v>
      </c>
    </row>
    <row r="27" spans="1:16" x14ac:dyDescent="0.2">
      <c r="A27" s="556"/>
      <c r="B27" s="562"/>
      <c r="C27" s="557"/>
      <c r="D27" s="557"/>
      <c r="E27" s="68">
        <f t="shared" si="0"/>
        <v>0</v>
      </c>
      <c r="F27" s="558"/>
      <c r="G27" s="559"/>
      <c r="H27" s="550"/>
      <c r="I27" s="560"/>
      <c r="J27" s="560"/>
      <c r="K27" s="69">
        <f t="shared" si="1"/>
        <v>0</v>
      </c>
      <c r="L27" s="165"/>
      <c r="M27" s="561"/>
      <c r="N27" s="561"/>
      <c r="O27" s="70">
        <f t="shared" si="2"/>
        <v>0</v>
      </c>
      <c r="P27" s="71">
        <f t="shared" si="3"/>
        <v>0</v>
      </c>
    </row>
    <row r="28" spans="1:16" x14ac:dyDescent="0.2">
      <c r="A28" s="556"/>
      <c r="B28" s="562"/>
      <c r="C28" s="557"/>
      <c r="D28" s="557"/>
      <c r="E28" s="68">
        <f t="shared" si="0"/>
        <v>0</v>
      </c>
      <c r="F28" s="558"/>
      <c r="G28" s="559"/>
      <c r="H28" s="550"/>
      <c r="I28" s="560"/>
      <c r="J28" s="560"/>
      <c r="K28" s="69">
        <f t="shared" si="1"/>
        <v>0</v>
      </c>
      <c r="L28" s="165"/>
      <c r="M28" s="561"/>
      <c r="N28" s="561"/>
      <c r="O28" s="70">
        <f t="shared" si="2"/>
        <v>0</v>
      </c>
      <c r="P28" s="71">
        <f t="shared" si="3"/>
        <v>0</v>
      </c>
    </row>
    <row r="29" spans="1:16" ht="13.5" thickBot="1" x14ac:dyDescent="0.25">
      <c r="A29" s="556"/>
      <c r="B29" s="562"/>
      <c r="C29" s="557"/>
      <c r="D29" s="557"/>
      <c r="E29" s="68">
        <f t="shared" si="0"/>
        <v>0</v>
      </c>
      <c r="F29" s="558"/>
      <c r="G29" s="559"/>
      <c r="H29" s="550"/>
      <c r="I29" s="560"/>
      <c r="J29" s="560"/>
      <c r="K29" s="72">
        <f t="shared" si="1"/>
        <v>0</v>
      </c>
      <c r="L29" s="165"/>
      <c r="M29" s="561"/>
      <c r="N29" s="561"/>
      <c r="O29" s="73">
        <f t="shared" si="2"/>
        <v>0</v>
      </c>
      <c r="P29" s="73">
        <f t="shared" si="3"/>
        <v>0</v>
      </c>
    </row>
    <row r="30" spans="1:16" ht="13.5" thickTop="1" x14ac:dyDescent="0.2">
      <c r="A30" s="59"/>
      <c r="B30" s="59"/>
      <c r="C30" s="59"/>
      <c r="D30" s="59"/>
      <c r="E30" s="59"/>
      <c r="F30" s="59"/>
      <c r="G30" s="51"/>
      <c r="H30" s="59"/>
      <c r="I30" s="59"/>
      <c r="J30" s="59"/>
      <c r="K30" s="64"/>
      <c r="L30" s="165"/>
      <c r="M30" s="74"/>
      <c r="N30" s="74"/>
      <c r="O30" s="59"/>
      <c r="P30" s="51"/>
    </row>
    <row r="31" spans="1:16" ht="13.5" thickBot="1" x14ac:dyDescent="0.25">
      <c r="A31" s="63" t="s">
        <v>439</v>
      </c>
      <c r="B31" s="58"/>
      <c r="C31" s="58"/>
      <c r="D31" s="58"/>
      <c r="E31" s="58"/>
      <c r="F31" s="58"/>
      <c r="G31" s="52"/>
      <c r="H31" s="58"/>
      <c r="I31" s="58"/>
      <c r="J31" s="58"/>
      <c r="K31" s="65">
        <f>SUM(K16:K29)</f>
        <v>22369719.751399998</v>
      </c>
      <c r="L31" s="166"/>
      <c r="M31" s="75">
        <f>SUM(M16:M29)</f>
        <v>21876690</v>
      </c>
      <c r="N31" s="75">
        <f>SUM(N16:N29)</f>
        <v>501229.19999999995</v>
      </c>
      <c r="O31" s="75">
        <f>M31+N31</f>
        <v>22377919.199999999</v>
      </c>
      <c r="P31" s="76">
        <f>O31-K31</f>
        <v>8199.4486000016332</v>
      </c>
    </row>
    <row r="33" spans="1:14" x14ac:dyDescent="0.2">
      <c r="A33" s="563" t="s">
        <v>106</v>
      </c>
      <c r="B33" s="430"/>
      <c r="C33" s="430"/>
      <c r="D33" s="430"/>
      <c r="E33" s="430"/>
      <c r="F33" s="430"/>
      <c r="G33" s="430"/>
      <c r="H33" s="430"/>
      <c r="I33" s="430"/>
      <c r="J33" s="430"/>
      <c r="K33" s="430"/>
    </row>
    <row r="34" spans="1:14" x14ac:dyDescent="0.2">
      <c r="A34" s="430"/>
      <c r="B34" s="430"/>
      <c r="C34" s="430"/>
      <c r="D34" s="430"/>
      <c r="E34" s="430"/>
      <c r="F34" s="430"/>
      <c r="G34" s="430"/>
      <c r="H34" s="430"/>
      <c r="I34" s="430"/>
      <c r="J34" s="430"/>
      <c r="K34" s="430"/>
    </row>
    <row r="35" spans="1:14" x14ac:dyDescent="0.2">
      <c r="A35" s="1371" t="s">
        <v>697</v>
      </c>
      <c r="B35" s="1371"/>
      <c r="C35" s="1371"/>
      <c r="D35" s="1371"/>
      <c r="E35" s="1371"/>
      <c r="F35" s="1371"/>
      <c r="G35" s="1371"/>
      <c r="H35" s="1371"/>
      <c r="I35" s="1371"/>
      <c r="J35" s="1371"/>
      <c r="K35" s="1371"/>
      <c r="L35" s="1371"/>
      <c r="M35" s="1371"/>
      <c r="N35" s="1371"/>
    </row>
    <row r="36" spans="1:14" x14ac:dyDescent="0.2">
      <c r="A36" s="1371"/>
      <c r="B36" s="1371"/>
      <c r="C36" s="1371"/>
      <c r="D36" s="1371"/>
      <c r="E36" s="1371"/>
      <c r="F36" s="1371"/>
      <c r="G36" s="1371"/>
      <c r="H36" s="1371"/>
      <c r="I36" s="1371"/>
      <c r="J36" s="1371"/>
      <c r="K36" s="1371"/>
      <c r="L36" s="1371"/>
      <c r="M36" s="1371"/>
      <c r="N36" s="1371"/>
    </row>
    <row r="37" spans="1:14" x14ac:dyDescent="0.2">
      <c r="A37" s="169" t="s">
        <v>995</v>
      </c>
    </row>
    <row r="38" spans="1:14" x14ac:dyDescent="0.2">
      <c r="A38" s="169" t="s">
        <v>996</v>
      </c>
    </row>
  </sheetData>
  <mergeCells count="13">
    <mergeCell ref="A35:N36"/>
    <mergeCell ref="A9:P9"/>
    <mergeCell ref="K12:K13"/>
    <mergeCell ref="A10:P10"/>
    <mergeCell ref="F12:G12"/>
    <mergeCell ref="C12:E12"/>
    <mergeCell ref="M12:M13"/>
    <mergeCell ref="N12:N13"/>
    <mergeCell ref="O12:O13"/>
    <mergeCell ref="P12:P13"/>
    <mergeCell ref="B12:B13"/>
    <mergeCell ref="I13:J13"/>
    <mergeCell ref="H12:J12"/>
  </mergeCells>
  <phoneticPr fontId="17" type="noConversion"/>
  <dataValidations count="2">
    <dataValidation type="list" allowBlank="1" showInputMessage="1" showErrorMessage="1" sqref="B16:B29">
      <formula1>"Customers, Connections"</formula1>
    </dataValidation>
    <dataValidation allowBlank="1" showInputMessage="1" showErrorMessage="1" promptTitle="Date Format" prompt="E.g:  &quot;August 1, 2011&quot;" sqref="P7"/>
  </dataValidations>
  <pageMargins left="0.75" right="0.75" top="1" bottom="1" header="0.5" footer="0.5"/>
  <pageSetup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88"/>
  <sheetViews>
    <sheetView showGridLines="0" zoomScale="95" zoomScaleNormal="95" workbookViewId="0">
      <selection activeCell="E28" sqref="E28"/>
    </sheetView>
  </sheetViews>
  <sheetFormatPr defaultRowHeight="12.75" x14ac:dyDescent="0.2"/>
  <cols>
    <col min="1" max="1" width="7.7109375" style="1" customWidth="1"/>
    <col min="2" max="2" width="6.42578125" style="1" customWidth="1"/>
    <col min="3" max="3" width="37.85546875" customWidth="1"/>
    <col min="4" max="4" width="14" customWidth="1"/>
    <col min="5" max="5" width="14.42578125" customWidth="1"/>
    <col min="6" max="6" width="13" customWidth="1"/>
    <col min="7" max="7" width="11.7109375" customWidth="1"/>
    <col min="8" max="8" width="13.5703125" customWidth="1"/>
    <col min="9" max="9" width="1.7109375" style="3" customWidth="1"/>
    <col min="10" max="10" width="14.28515625" customWidth="1"/>
    <col min="11" max="11" width="13.42578125" customWidth="1"/>
    <col min="12" max="12" width="11.85546875" customWidth="1"/>
    <col min="13" max="13" width="14.5703125" bestFit="1" customWidth="1"/>
    <col min="14" max="14" width="14.140625" bestFit="1" customWidth="1"/>
    <col min="15" max="15" width="13.57031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v>2009</v>
      </c>
      <c r="H12" s="6"/>
    </row>
    <row r="14" spans="1:14" x14ac:dyDescent="0.2">
      <c r="D14" s="15"/>
      <c r="E14" s="1264" t="s">
        <v>405</v>
      </c>
      <c r="F14" s="1265"/>
      <c r="G14" s="1265"/>
      <c r="H14" s="1266"/>
      <c r="J14" s="181"/>
      <c r="K14" s="180" t="s">
        <v>406</v>
      </c>
      <c r="L14" s="180"/>
      <c r="M14" s="182"/>
      <c r="N14" s="3"/>
    </row>
    <row r="15" spans="1:14" ht="25.5" x14ac:dyDescent="0.2">
      <c r="A15" s="173" t="s">
        <v>393</v>
      </c>
      <c r="B15" s="174" t="s">
        <v>394</v>
      </c>
      <c r="C15" s="175" t="s">
        <v>395</v>
      </c>
      <c r="D15" s="173" t="s">
        <v>440</v>
      </c>
      <c r="E15" s="173" t="s">
        <v>396</v>
      </c>
      <c r="F15" s="174" t="s">
        <v>397</v>
      </c>
      <c r="G15" s="174" t="s">
        <v>403</v>
      </c>
      <c r="H15" s="173" t="s">
        <v>404</v>
      </c>
      <c r="I15" s="176"/>
      <c r="J15" s="177" t="s">
        <v>396</v>
      </c>
      <c r="K15" s="178" t="s">
        <v>397</v>
      </c>
      <c r="L15" s="178" t="s">
        <v>403</v>
      </c>
      <c r="M15" s="179" t="s">
        <v>404</v>
      </c>
      <c r="N15" s="173" t="s">
        <v>443</v>
      </c>
    </row>
    <row r="16" spans="1:14" ht="25.5" x14ac:dyDescent="0.2">
      <c r="A16" s="347">
        <v>12</v>
      </c>
      <c r="B16" s="347">
        <v>1611</v>
      </c>
      <c r="C16" s="351" t="s">
        <v>548</v>
      </c>
      <c r="D16" s="215"/>
      <c r="E16" s="246">
        <v>4971242</v>
      </c>
      <c r="F16" s="246">
        <f>722170+-85561</f>
        <v>636609</v>
      </c>
      <c r="G16" s="246">
        <f>363564+-363563</f>
        <v>1</v>
      </c>
      <c r="H16" s="10">
        <f>E16+F16+G16</f>
        <v>5607852</v>
      </c>
      <c r="I16" s="4"/>
      <c r="J16" s="248">
        <v>-3335830</v>
      </c>
      <c r="K16" s="246">
        <f>-894787+111154</f>
        <v>-783633</v>
      </c>
      <c r="L16" s="246"/>
      <c r="M16" s="10">
        <f>J16+K16+L16</f>
        <v>-4119463</v>
      </c>
      <c r="N16" s="11">
        <f>H16+M16</f>
        <v>1488389</v>
      </c>
    </row>
    <row r="17" spans="1:14" ht="25.5" x14ac:dyDescent="0.2">
      <c r="A17" s="347" t="s">
        <v>415</v>
      </c>
      <c r="B17" s="347">
        <v>1612</v>
      </c>
      <c r="C17" s="354" t="s">
        <v>863</v>
      </c>
      <c r="D17" s="215"/>
      <c r="E17" s="246">
        <v>283160</v>
      </c>
      <c r="F17" s="246"/>
      <c r="G17" s="246"/>
      <c r="H17" s="10">
        <f>E17+F17+G17</f>
        <v>283160</v>
      </c>
      <c r="I17" s="4"/>
      <c r="J17" s="248">
        <v>-263766</v>
      </c>
      <c r="K17" s="246">
        <f>-14292+13100</f>
        <v>-1192</v>
      </c>
      <c r="L17" s="246"/>
      <c r="M17" s="10">
        <f>J17+K17+L17</f>
        <v>-264958</v>
      </c>
      <c r="N17" s="11">
        <f>H17+M17</f>
        <v>18202</v>
      </c>
    </row>
    <row r="18" spans="1:14" x14ac:dyDescent="0.2">
      <c r="A18" s="348" t="s">
        <v>407</v>
      </c>
      <c r="B18" s="348">
        <v>1805</v>
      </c>
      <c r="C18" s="352" t="s">
        <v>408</v>
      </c>
      <c r="D18" s="215"/>
      <c r="E18" s="246">
        <v>445817</v>
      </c>
      <c r="F18" s="246"/>
      <c r="G18" s="246">
        <f>0+-3</f>
        <v>-3</v>
      </c>
      <c r="H18" s="10">
        <f>E18+F18+G18</f>
        <v>445814</v>
      </c>
      <c r="I18" s="4"/>
      <c r="J18" s="248"/>
      <c r="K18" s="246"/>
      <c r="L18" s="246"/>
      <c r="M18" s="10">
        <f>J18+K18+L18</f>
        <v>0</v>
      </c>
      <c r="N18" s="11">
        <f>H18+M18</f>
        <v>445814</v>
      </c>
    </row>
    <row r="19" spans="1:14" x14ac:dyDescent="0.2">
      <c r="A19" s="347">
        <v>47</v>
      </c>
      <c r="B19" s="347">
        <v>1808</v>
      </c>
      <c r="C19" s="353" t="s">
        <v>409</v>
      </c>
      <c r="D19" s="215"/>
      <c r="E19" s="246"/>
      <c r="F19" s="246"/>
      <c r="G19" s="246"/>
      <c r="H19" s="10">
        <f t="shared" ref="H19:H53" si="0">E19+F19+G19</f>
        <v>0</v>
      </c>
      <c r="I19" s="4"/>
      <c r="J19" s="248"/>
      <c r="K19" s="246"/>
      <c r="L19" s="246"/>
      <c r="M19" s="10">
        <f t="shared" ref="M19:M53" si="1">J19+K19+L19</f>
        <v>0</v>
      </c>
      <c r="N19" s="11">
        <f t="shared" ref="N19:N53" si="2">H19+M19</f>
        <v>0</v>
      </c>
    </row>
    <row r="20" spans="1:14" x14ac:dyDescent="0.2">
      <c r="A20" s="347">
        <v>13</v>
      </c>
      <c r="B20" s="347">
        <v>1810</v>
      </c>
      <c r="C20" s="353" t="s">
        <v>442</v>
      </c>
      <c r="D20" s="215"/>
      <c r="E20" s="246"/>
      <c r="F20" s="246"/>
      <c r="G20" s="246"/>
      <c r="H20" s="10">
        <f t="shared" si="0"/>
        <v>0</v>
      </c>
      <c r="I20" s="4"/>
      <c r="J20" s="248"/>
      <c r="K20" s="246"/>
      <c r="L20" s="246"/>
      <c r="M20" s="10">
        <f t="shared" si="1"/>
        <v>0</v>
      </c>
      <c r="N20" s="11">
        <f t="shared" si="2"/>
        <v>0</v>
      </c>
    </row>
    <row r="21" spans="1:14" x14ac:dyDescent="0.2">
      <c r="A21" s="347">
        <v>47</v>
      </c>
      <c r="B21" s="347">
        <v>1815</v>
      </c>
      <c r="C21" s="353" t="s">
        <v>410</v>
      </c>
      <c r="D21" s="215"/>
      <c r="E21" s="246"/>
      <c r="F21" s="246"/>
      <c r="G21" s="246"/>
      <c r="H21" s="10">
        <f t="shared" si="0"/>
        <v>0</v>
      </c>
      <c r="I21" s="4"/>
      <c r="J21" s="248"/>
      <c r="K21" s="246"/>
      <c r="L21" s="246"/>
      <c r="M21" s="10">
        <f t="shared" si="1"/>
        <v>0</v>
      </c>
      <c r="N21" s="11">
        <f t="shared" si="2"/>
        <v>0</v>
      </c>
    </row>
    <row r="22" spans="1:14" x14ac:dyDescent="0.2">
      <c r="A22" s="347">
        <v>47</v>
      </c>
      <c r="B22" s="347">
        <v>1820</v>
      </c>
      <c r="C22" s="354" t="s">
        <v>356</v>
      </c>
      <c r="D22" s="215"/>
      <c r="E22" s="246">
        <v>5584771</v>
      </c>
      <c r="F22" s="246">
        <f>130491+52767</f>
        <v>183258</v>
      </c>
      <c r="G22" s="246">
        <f>51442+-51442</f>
        <v>0</v>
      </c>
      <c r="H22" s="10">
        <f t="shared" si="0"/>
        <v>5768029</v>
      </c>
      <c r="I22" s="4"/>
      <c r="J22" s="248">
        <v>-2782036</v>
      </c>
      <c r="K22" s="246">
        <f>-141591+6899</f>
        <v>-134692</v>
      </c>
      <c r="L22" s="246"/>
      <c r="M22" s="10">
        <f t="shared" si="1"/>
        <v>-2916728</v>
      </c>
      <c r="N22" s="11">
        <f t="shared" si="2"/>
        <v>2851301</v>
      </c>
    </row>
    <row r="23" spans="1:14" x14ac:dyDescent="0.2">
      <c r="A23" s="347">
        <v>47</v>
      </c>
      <c r="B23" s="347">
        <v>1825</v>
      </c>
      <c r="C23" s="353" t="s">
        <v>411</v>
      </c>
      <c r="D23" s="215"/>
      <c r="E23" s="246"/>
      <c r="F23" s="246"/>
      <c r="G23" s="246"/>
      <c r="H23" s="10">
        <f t="shared" si="0"/>
        <v>0</v>
      </c>
      <c r="I23" s="4"/>
      <c r="J23" s="248"/>
      <c r="K23" s="246"/>
      <c r="L23" s="246"/>
      <c r="M23" s="10">
        <f t="shared" si="1"/>
        <v>0</v>
      </c>
      <c r="N23" s="11">
        <f t="shared" si="2"/>
        <v>0</v>
      </c>
    </row>
    <row r="24" spans="1:14" x14ac:dyDescent="0.2">
      <c r="A24" s="347">
        <v>47</v>
      </c>
      <c r="B24" s="347">
        <v>1830</v>
      </c>
      <c r="C24" s="353" t="s">
        <v>412</v>
      </c>
      <c r="D24" s="215"/>
      <c r="E24" s="246">
        <v>935849</v>
      </c>
      <c r="F24" s="246">
        <f>733494+-428768</f>
        <v>304726</v>
      </c>
      <c r="G24" s="246">
        <f>272304+-272303</f>
        <v>1</v>
      </c>
      <c r="H24" s="10">
        <f t="shared" si="0"/>
        <v>1240576</v>
      </c>
      <c r="I24" s="4"/>
      <c r="J24" s="248">
        <v>-63847</v>
      </c>
      <c r="K24" s="246">
        <f>-62282+19785</f>
        <v>-42497</v>
      </c>
      <c r="L24" s="246"/>
      <c r="M24" s="10">
        <f t="shared" si="1"/>
        <v>-106344</v>
      </c>
      <c r="N24" s="11">
        <f t="shared" si="2"/>
        <v>1134232</v>
      </c>
    </row>
    <row r="25" spans="1:14" x14ac:dyDescent="0.2">
      <c r="A25" s="347">
        <v>47</v>
      </c>
      <c r="B25" s="347">
        <v>1835</v>
      </c>
      <c r="C25" s="353" t="s">
        <v>357</v>
      </c>
      <c r="D25" s="215"/>
      <c r="E25" s="246">
        <v>25696976</v>
      </c>
      <c r="F25" s="246">
        <f>783429+-51199</f>
        <v>732230</v>
      </c>
      <c r="G25" s="246">
        <f>440726+-440726</f>
        <v>0</v>
      </c>
      <c r="H25" s="10">
        <f t="shared" si="0"/>
        <v>26429206</v>
      </c>
      <c r="I25" s="4"/>
      <c r="J25" s="248">
        <v>-14866580</v>
      </c>
      <c r="K25" s="246">
        <f>-829078+3325</f>
        <v>-825753</v>
      </c>
      <c r="L25" s="246"/>
      <c r="M25" s="10">
        <f t="shared" si="1"/>
        <v>-15692333</v>
      </c>
      <c r="N25" s="11">
        <f t="shared" si="2"/>
        <v>10736873</v>
      </c>
    </row>
    <row r="26" spans="1:14" x14ac:dyDescent="0.2">
      <c r="A26" s="347">
        <v>47</v>
      </c>
      <c r="B26" s="347">
        <v>1840</v>
      </c>
      <c r="C26" s="353" t="s">
        <v>358</v>
      </c>
      <c r="D26" s="215"/>
      <c r="E26" s="246">
        <v>385252</v>
      </c>
      <c r="F26" s="246">
        <f>96978+274325</f>
        <v>371303</v>
      </c>
      <c r="G26" s="246">
        <f>-535490+535490</f>
        <v>0</v>
      </c>
      <c r="H26" s="10">
        <f t="shared" si="0"/>
        <v>756555</v>
      </c>
      <c r="I26" s="4"/>
      <c r="J26" s="248">
        <v>-8067</v>
      </c>
      <c r="K26" s="246">
        <f>-1760+-22897</f>
        <v>-24657</v>
      </c>
      <c r="L26" s="246">
        <f>89164+-89164</f>
        <v>0</v>
      </c>
      <c r="M26" s="10">
        <f t="shared" si="1"/>
        <v>-32724</v>
      </c>
      <c r="N26" s="11">
        <f t="shared" si="2"/>
        <v>723831</v>
      </c>
    </row>
    <row r="27" spans="1:14" x14ac:dyDescent="0.2">
      <c r="A27" s="347">
        <v>47</v>
      </c>
      <c r="B27" s="347">
        <v>1845</v>
      </c>
      <c r="C27" s="353" t="s">
        <v>359</v>
      </c>
      <c r="D27" s="215"/>
      <c r="E27" s="246">
        <v>18786838</v>
      </c>
      <c r="F27" s="246">
        <f>570078+17227</f>
        <v>587305</v>
      </c>
      <c r="G27" s="246">
        <f>-176978+176978</f>
        <v>0</v>
      </c>
      <c r="H27" s="10">
        <f t="shared" si="0"/>
        <v>19374143</v>
      </c>
      <c r="I27" s="4"/>
      <c r="J27" s="248">
        <v>-9980353</v>
      </c>
      <c r="K27" s="246">
        <f>-725401+-5088-21</f>
        <v>-730510</v>
      </c>
      <c r="L27" s="246">
        <f>45000+-45000</f>
        <v>0</v>
      </c>
      <c r="M27" s="10">
        <f t="shared" si="1"/>
        <v>-10710863</v>
      </c>
      <c r="N27" s="11">
        <f t="shared" si="2"/>
        <v>8663280</v>
      </c>
    </row>
    <row r="28" spans="1:14" x14ac:dyDescent="0.2">
      <c r="A28" s="347">
        <v>47</v>
      </c>
      <c r="B28" s="347">
        <v>1850</v>
      </c>
      <c r="C28" s="353" t="s">
        <v>413</v>
      </c>
      <c r="D28" s="215"/>
      <c r="E28" s="246">
        <v>13113481</v>
      </c>
      <c r="F28" s="246">
        <f>445502+177302</f>
        <v>622804</v>
      </c>
      <c r="G28" s="246">
        <f>-872557+872557</f>
        <v>0</v>
      </c>
      <c r="H28" s="10">
        <f t="shared" si="0"/>
        <v>13736285</v>
      </c>
      <c r="I28" s="4"/>
      <c r="J28" s="248">
        <v>-7141665</v>
      </c>
      <c r="K28" s="246">
        <f>-505588+-19028</f>
        <v>-524616</v>
      </c>
      <c r="L28" s="246">
        <f>249648+-249648</f>
        <v>0</v>
      </c>
      <c r="M28" s="10">
        <f t="shared" si="1"/>
        <v>-7666281</v>
      </c>
      <c r="N28" s="11">
        <f t="shared" si="2"/>
        <v>6070004</v>
      </c>
    </row>
    <row r="29" spans="1:14" x14ac:dyDescent="0.2">
      <c r="A29" s="347">
        <v>47</v>
      </c>
      <c r="B29" s="347">
        <v>1855</v>
      </c>
      <c r="C29" s="353" t="s">
        <v>360</v>
      </c>
      <c r="D29" s="215"/>
      <c r="E29" s="246">
        <v>262216</v>
      </c>
      <c r="F29" s="246">
        <f>163459+-98339</f>
        <v>65120</v>
      </c>
      <c r="G29" s="246">
        <f>20289+-20289</f>
        <v>0</v>
      </c>
      <c r="H29" s="10">
        <f t="shared" si="0"/>
        <v>327336</v>
      </c>
      <c r="I29" s="4"/>
      <c r="J29" s="248">
        <v>-11268</v>
      </c>
      <c r="K29" s="246">
        <f>-14360+2986</f>
        <v>-11374</v>
      </c>
      <c r="L29" s="246"/>
      <c r="M29" s="10">
        <f t="shared" si="1"/>
        <v>-22642</v>
      </c>
      <c r="N29" s="11">
        <f t="shared" si="2"/>
        <v>304694</v>
      </c>
    </row>
    <row r="30" spans="1:14" x14ac:dyDescent="0.2">
      <c r="A30" s="347">
        <v>47</v>
      </c>
      <c r="B30" s="347">
        <v>1860</v>
      </c>
      <c r="C30" s="353" t="s">
        <v>414</v>
      </c>
      <c r="D30" s="215"/>
      <c r="E30" s="246">
        <v>6925821</v>
      </c>
      <c r="F30" s="246">
        <f>698030+-370346</f>
        <v>327684</v>
      </c>
      <c r="G30" s="246">
        <f>73866+-73866</f>
        <v>0</v>
      </c>
      <c r="H30" s="10">
        <f t="shared" si="0"/>
        <v>7253505</v>
      </c>
      <c r="I30" s="4"/>
      <c r="J30" s="248">
        <v>-4162932</v>
      </c>
      <c r="K30" s="246">
        <f>-248155+12693</f>
        <v>-235462</v>
      </c>
      <c r="L30" s="246"/>
      <c r="M30" s="10">
        <f t="shared" si="1"/>
        <v>-4398394</v>
      </c>
      <c r="N30" s="11">
        <f t="shared" si="2"/>
        <v>2855111</v>
      </c>
    </row>
    <row r="31" spans="1:14" x14ac:dyDescent="0.2">
      <c r="A31" s="347">
        <v>8</v>
      </c>
      <c r="B31" s="348">
        <v>1860</v>
      </c>
      <c r="C31" s="352" t="s">
        <v>361</v>
      </c>
      <c r="D31" s="215"/>
      <c r="E31" s="246"/>
      <c r="F31" s="246"/>
      <c r="G31" s="246"/>
      <c r="H31" s="10">
        <f t="shared" si="0"/>
        <v>0</v>
      </c>
      <c r="I31" s="4"/>
      <c r="J31" s="248"/>
      <c r="K31" s="246"/>
      <c r="L31" s="246"/>
      <c r="M31" s="10">
        <f t="shared" si="1"/>
        <v>0</v>
      </c>
      <c r="N31" s="11">
        <f t="shared" si="2"/>
        <v>0</v>
      </c>
    </row>
    <row r="32" spans="1:14" x14ac:dyDescent="0.2">
      <c r="A32" s="348" t="s">
        <v>407</v>
      </c>
      <c r="B32" s="348">
        <v>1905</v>
      </c>
      <c r="C32" s="352" t="s">
        <v>408</v>
      </c>
      <c r="D32" s="215"/>
      <c r="E32" s="246"/>
      <c r="F32" s="246"/>
      <c r="G32" s="246"/>
      <c r="H32" s="10">
        <f t="shared" si="0"/>
        <v>0</v>
      </c>
      <c r="I32" s="4"/>
      <c r="J32" s="248"/>
      <c r="K32" s="246"/>
      <c r="L32" s="246"/>
      <c r="M32" s="10">
        <f t="shared" si="1"/>
        <v>0</v>
      </c>
      <c r="N32" s="11">
        <f t="shared" si="2"/>
        <v>0</v>
      </c>
    </row>
    <row r="33" spans="1:14" x14ac:dyDescent="0.2">
      <c r="A33" s="347">
        <v>47</v>
      </c>
      <c r="B33" s="347">
        <v>1908</v>
      </c>
      <c r="C33" s="353" t="s">
        <v>416</v>
      </c>
      <c r="D33" s="215"/>
      <c r="E33" s="246">
        <v>4699672</v>
      </c>
      <c r="F33" s="246">
        <f>204317+-25324</f>
        <v>178993</v>
      </c>
      <c r="G33" s="246">
        <f>-61973+61973</f>
        <v>0</v>
      </c>
      <c r="H33" s="10">
        <f t="shared" si="0"/>
        <v>4878665</v>
      </c>
      <c r="I33" s="4"/>
      <c r="J33" s="248">
        <v>-1710817</v>
      </c>
      <c r="K33" s="246">
        <f>-73139+6660</f>
        <v>-66479</v>
      </c>
      <c r="L33" s="246"/>
      <c r="M33" s="10">
        <f t="shared" si="1"/>
        <v>-1777296</v>
      </c>
      <c r="N33" s="11">
        <f t="shared" si="2"/>
        <v>3101369</v>
      </c>
    </row>
    <row r="34" spans="1:14" x14ac:dyDescent="0.2">
      <c r="A34" s="347">
        <v>13</v>
      </c>
      <c r="B34" s="347">
        <v>1910</v>
      </c>
      <c r="C34" s="353" t="s">
        <v>442</v>
      </c>
      <c r="D34" s="215"/>
      <c r="E34" s="246"/>
      <c r="F34" s="246"/>
      <c r="G34" s="246"/>
      <c r="H34" s="10">
        <f t="shared" si="0"/>
        <v>0</v>
      </c>
      <c r="I34" s="4"/>
      <c r="J34" s="248"/>
      <c r="K34" s="246"/>
      <c r="L34" s="246"/>
      <c r="M34" s="10">
        <f t="shared" si="1"/>
        <v>0</v>
      </c>
      <c r="N34" s="11">
        <f t="shared" si="2"/>
        <v>0</v>
      </c>
    </row>
    <row r="35" spans="1:14" x14ac:dyDescent="0.2">
      <c r="A35" s="347">
        <v>8</v>
      </c>
      <c r="B35" s="347">
        <v>1915</v>
      </c>
      <c r="C35" s="353" t="s">
        <v>362</v>
      </c>
      <c r="D35" s="215"/>
      <c r="E35" s="246">
        <v>796418</v>
      </c>
      <c r="F35" s="246">
        <f>4036+27846</f>
        <v>31882</v>
      </c>
      <c r="G35" s="246">
        <f>-76491+76491</f>
        <v>0</v>
      </c>
      <c r="H35" s="10">
        <f t="shared" si="0"/>
        <v>828300</v>
      </c>
      <c r="I35" s="4"/>
      <c r="J35" s="248">
        <v>-593748</v>
      </c>
      <c r="K35" s="246">
        <f>-29182+-8180</f>
        <v>-37362</v>
      </c>
      <c r="L35" s="246"/>
      <c r="M35" s="10">
        <f t="shared" si="1"/>
        <v>-631110</v>
      </c>
      <c r="N35" s="11">
        <f t="shared" si="2"/>
        <v>197190</v>
      </c>
    </row>
    <row r="36" spans="1:14" x14ac:dyDescent="0.2">
      <c r="A36" s="347">
        <v>8</v>
      </c>
      <c r="B36" s="347">
        <v>1915</v>
      </c>
      <c r="C36" s="353" t="s">
        <v>363</v>
      </c>
      <c r="D36" s="215"/>
      <c r="E36" s="246"/>
      <c r="F36" s="246"/>
      <c r="G36" s="246"/>
      <c r="H36" s="10">
        <f t="shared" si="0"/>
        <v>0</v>
      </c>
      <c r="I36" s="4"/>
      <c r="J36" s="248"/>
      <c r="K36" s="246"/>
      <c r="L36" s="246"/>
      <c r="M36" s="10">
        <f t="shared" si="1"/>
        <v>0</v>
      </c>
      <c r="N36" s="11">
        <f t="shared" si="2"/>
        <v>0</v>
      </c>
    </row>
    <row r="37" spans="1:14" x14ac:dyDescent="0.2">
      <c r="A37" s="347">
        <v>10</v>
      </c>
      <c r="B37" s="347">
        <v>1920</v>
      </c>
      <c r="C37" s="353" t="s">
        <v>364</v>
      </c>
      <c r="D37" s="215"/>
      <c r="E37" s="246">
        <v>3624077</v>
      </c>
      <c r="F37" s="246">
        <f>465762+278106</f>
        <v>743868</v>
      </c>
      <c r="G37" s="246">
        <f>-223206+223206</f>
        <v>0</v>
      </c>
      <c r="H37" s="10">
        <f t="shared" si="0"/>
        <v>4367945</v>
      </c>
      <c r="I37" s="4"/>
      <c r="J37" s="248">
        <v>-2688012</v>
      </c>
      <c r="K37" s="246">
        <f>-360020+-30060</f>
        <v>-390080</v>
      </c>
      <c r="L37" s="246"/>
      <c r="M37" s="10">
        <f t="shared" si="1"/>
        <v>-3078092</v>
      </c>
      <c r="N37" s="11">
        <f t="shared" si="2"/>
        <v>1289853</v>
      </c>
    </row>
    <row r="38" spans="1:14" ht="25.5" x14ac:dyDescent="0.2">
      <c r="A38" s="347">
        <v>45</v>
      </c>
      <c r="B38" s="349">
        <v>1920</v>
      </c>
      <c r="C38" s="354" t="s">
        <v>366</v>
      </c>
      <c r="D38" s="215"/>
      <c r="E38" s="246"/>
      <c r="F38" s="246"/>
      <c r="G38" s="246"/>
      <c r="H38" s="10">
        <f t="shared" si="0"/>
        <v>0</v>
      </c>
      <c r="I38" s="4"/>
      <c r="J38" s="248"/>
      <c r="K38" s="246"/>
      <c r="L38" s="246"/>
      <c r="M38" s="10">
        <f t="shared" si="1"/>
        <v>0</v>
      </c>
      <c r="N38" s="11">
        <f t="shared" si="2"/>
        <v>0</v>
      </c>
    </row>
    <row r="39" spans="1:14" ht="25.5" x14ac:dyDescent="0.2">
      <c r="A39" s="347">
        <v>45.1</v>
      </c>
      <c r="B39" s="349">
        <v>1920</v>
      </c>
      <c r="C39" s="354" t="s">
        <v>365</v>
      </c>
      <c r="D39" s="215"/>
      <c r="E39" s="246"/>
      <c r="F39" s="246"/>
      <c r="G39" s="246"/>
      <c r="H39" s="10">
        <f t="shared" si="0"/>
        <v>0</v>
      </c>
      <c r="I39" s="4"/>
      <c r="J39" s="248"/>
      <c r="K39" s="246"/>
      <c r="L39" s="246"/>
      <c r="M39" s="10">
        <f t="shared" si="1"/>
        <v>0</v>
      </c>
      <c r="N39" s="11">
        <f t="shared" si="2"/>
        <v>0</v>
      </c>
    </row>
    <row r="40" spans="1:14" x14ac:dyDescent="0.2">
      <c r="A40" s="347">
        <v>10</v>
      </c>
      <c r="B40" s="347">
        <v>1930</v>
      </c>
      <c r="C40" s="353" t="s">
        <v>430</v>
      </c>
      <c r="D40" s="215"/>
      <c r="E40" s="246">
        <v>3691853</v>
      </c>
      <c r="F40" s="246">
        <f>565599+-452567</f>
        <v>113032</v>
      </c>
      <c r="G40" s="246">
        <f>-528808+113912</f>
        <v>-414896</v>
      </c>
      <c r="H40" s="10">
        <f t="shared" si="0"/>
        <v>3389989</v>
      </c>
      <c r="I40" s="4"/>
      <c r="J40" s="248">
        <v>-2526969</v>
      </c>
      <c r="K40" s="246">
        <f>-200330+5072</f>
        <v>-195258</v>
      </c>
      <c r="L40" s="246">
        <f>230139+-47881</f>
        <v>182258</v>
      </c>
      <c r="M40" s="10">
        <f t="shared" si="1"/>
        <v>-2539969</v>
      </c>
      <c r="N40" s="11">
        <f t="shared" si="2"/>
        <v>850020</v>
      </c>
    </row>
    <row r="41" spans="1:14" x14ac:dyDescent="0.2">
      <c r="A41" s="347">
        <v>8</v>
      </c>
      <c r="B41" s="347">
        <v>1935</v>
      </c>
      <c r="C41" s="353" t="s">
        <v>431</v>
      </c>
      <c r="D41" s="215"/>
      <c r="E41" s="246">
        <v>81138</v>
      </c>
      <c r="F41" s="246"/>
      <c r="G41" s="246">
        <f>-534+534</f>
        <v>0</v>
      </c>
      <c r="H41" s="10">
        <f t="shared" si="0"/>
        <v>81138</v>
      </c>
      <c r="I41" s="4"/>
      <c r="J41" s="248">
        <v>-55177</v>
      </c>
      <c r="K41" s="246">
        <f>-48254+41983</f>
        <v>-6271</v>
      </c>
      <c r="L41" s="246"/>
      <c r="M41" s="10">
        <f t="shared" si="1"/>
        <v>-61448</v>
      </c>
      <c r="N41" s="11">
        <f t="shared" si="2"/>
        <v>19690</v>
      </c>
    </row>
    <row r="42" spans="1:14" x14ac:dyDescent="0.2">
      <c r="A42" s="347">
        <v>8</v>
      </c>
      <c r="B42" s="347">
        <v>1940</v>
      </c>
      <c r="C42" s="353" t="s">
        <v>432</v>
      </c>
      <c r="D42" s="215"/>
      <c r="E42" s="246">
        <v>732097</v>
      </c>
      <c r="F42" s="246">
        <f>68473+-22698</f>
        <v>45775</v>
      </c>
      <c r="G42" s="246">
        <f>-1027+1026</f>
        <v>-1</v>
      </c>
      <c r="H42" s="10">
        <f t="shared" si="0"/>
        <v>777871</v>
      </c>
      <c r="I42" s="4"/>
      <c r="J42" s="248">
        <v>-556027</v>
      </c>
      <c r="K42" s="246">
        <f>-29590+2387</f>
        <v>-27203</v>
      </c>
      <c r="L42" s="246"/>
      <c r="M42" s="10">
        <f t="shared" si="1"/>
        <v>-583230</v>
      </c>
      <c r="N42" s="11">
        <f t="shared" si="2"/>
        <v>194641</v>
      </c>
    </row>
    <row r="43" spans="1:14" x14ac:dyDescent="0.2">
      <c r="A43" s="347">
        <v>8</v>
      </c>
      <c r="B43" s="347">
        <v>1945</v>
      </c>
      <c r="C43" s="353" t="s">
        <v>433</v>
      </c>
      <c r="D43" s="215"/>
      <c r="E43" s="246">
        <v>229399</v>
      </c>
      <c r="F43" s="246"/>
      <c r="G43" s="246"/>
      <c r="H43" s="10">
        <f t="shared" si="0"/>
        <v>229399</v>
      </c>
      <c r="I43" s="4"/>
      <c r="J43" s="248">
        <v>-207087</v>
      </c>
      <c r="K43" s="246">
        <f>-3527+0</f>
        <v>-3527</v>
      </c>
      <c r="L43" s="246"/>
      <c r="M43" s="10">
        <f t="shared" si="1"/>
        <v>-210614</v>
      </c>
      <c r="N43" s="11">
        <f t="shared" si="2"/>
        <v>18785</v>
      </c>
    </row>
    <row r="44" spans="1:14" x14ac:dyDescent="0.2">
      <c r="A44" s="347">
        <v>8</v>
      </c>
      <c r="B44" s="347">
        <v>1950</v>
      </c>
      <c r="C44" s="353" t="s">
        <v>367</v>
      </c>
      <c r="D44" s="215"/>
      <c r="E44" s="246"/>
      <c r="F44" s="246"/>
      <c r="G44" s="246"/>
      <c r="H44" s="10">
        <f t="shared" si="0"/>
        <v>0</v>
      </c>
      <c r="I44" s="4"/>
      <c r="J44" s="249"/>
      <c r="K44" s="246"/>
      <c r="L44" s="246"/>
      <c r="M44" s="10">
        <f t="shared" si="1"/>
        <v>0</v>
      </c>
      <c r="N44" s="11">
        <f t="shared" si="2"/>
        <v>0</v>
      </c>
    </row>
    <row r="45" spans="1:14" x14ac:dyDescent="0.2">
      <c r="A45" s="347">
        <v>8</v>
      </c>
      <c r="B45" s="347">
        <v>1955</v>
      </c>
      <c r="C45" s="353" t="s">
        <v>434</v>
      </c>
      <c r="D45" s="215"/>
      <c r="E45" s="246">
        <v>162458</v>
      </c>
      <c r="F45" s="246"/>
      <c r="G45" s="246">
        <f>-2062+2062</f>
        <v>0</v>
      </c>
      <c r="H45" s="10">
        <f t="shared" si="0"/>
        <v>162458</v>
      </c>
      <c r="I45" s="4"/>
      <c r="J45" s="248">
        <v>-136740</v>
      </c>
      <c r="K45" s="246">
        <f>-8987+3669</f>
        <v>-5318</v>
      </c>
      <c r="L45" s="246"/>
      <c r="M45" s="10">
        <f t="shared" si="1"/>
        <v>-142058</v>
      </c>
      <c r="N45" s="11">
        <f t="shared" si="2"/>
        <v>20400</v>
      </c>
    </row>
    <row r="46" spans="1:14" x14ac:dyDescent="0.2">
      <c r="A46" s="350">
        <v>8</v>
      </c>
      <c r="B46" s="350">
        <v>1955</v>
      </c>
      <c r="C46" s="355" t="s">
        <v>368</v>
      </c>
      <c r="D46" s="215"/>
      <c r="E46" s="246"/>
      <c r="F46" s="246"/>
      <c r="G46" s="246"/>
      <c r="H46" s="10">
        <f t="shared" si="0"/>
        <v>0</v>
      </c>
      <c r="I46" s="4"/>
      <c r="J46" s="248"/>
      <c r="K46" s="246"/>
      <c r="L46" s="246"/>
      <c r="M46" s="10">
        <f t="shared" si="1"/>
        <v>0</v>
      </c>
      <c r="N46" s="11">
        <f t="shared" si="2"/>
        <v>0</v>
      </c>
    </row>
    <row r="47" spans="1:14" x14ac:dyDescent="0.2">
      <c r="A47" s="349">
        <v>8</v>
      </c>
      <c r="B47" s="349">
        <v>1960</v>
      </c>
      <c r="C47" s="354" t="s">
        <v>369</v>
      </c>
      <c r="D47" s="215"/>
      <c r="E47" s="246">
        <v>784532</v>
      </c>
      <c r="F47" s="246"/>
      <c r="G47" s="246">
        <f>50506+-50506</f>
        <v>0</v>
      </c>
      <c r="H47" s="10">
        <f t="shared" si="0"/>
        <v>784532</v>
      </c>
      <c r="I47" s="4"/>
      <c r="J47" s="248">
        <v>-608224</v>
      </c>
      <c r="K47" s="246">
        <f>-50873+4860</f>
        <v>-46013</v>
      </c>
      <c r="L47" s="246"/>
      <c r="M47" s="10">
        <f t="shared" si="1"/>
        <v>-654237</v>
      </c>
      <c r="N47" s="11">
        <f t="shared" si="2"/>
        <v>130295</v>
      </c>
    </row>
    <row r="48" spans="1:14" ht="25.5" x14ac:dyDescent="0.2">
      <c r="A48" s="347">
        <v>47</v>
      </c>
      <c r="B48" s="347">
        <v>1975</v>
      </c>
      <c r="C48" s="353" t="s">
        <v>435</v>
      </c>
      <c r="D48" s="215"/>
      <c r="E48" s="246"/>
      <c r="F48" s="246"/>
      <c r="G48" s="246"/>
      <c r="H48" s="10">
        <f t="shared" si="0"/>
        <v>0</v>
      </c>
      <c r="I48" s="4"/>
      <c r="J48" s="248"/>
      <c r="K48" s="246"/>
      <c r="L48" s="246"/>
      <c r="M48" s="10">
        <f t="shared" si="1"/>
        <v>0</v>
      </c>
      <c r="N48" s="11">
        <f t="shared" si="2"/>
        <v>0</v>
      </c>
    </row>
    <row r="49" spans="1:15" x14ac:dyDescent="0.2">
      <c r="A49" s="347">
        <v>47</v>
      </c>
      <c r="B49" s="347">
        <v>1980</v>
      </c>
      <c r="C49" s="353" t="s">
        <v>436</v>
      </c>
      <c r="D49" s="215"/>
      <c r="E49" s="246">
        <v>1210302</v>
      </c>
      <c r="F49" s="246"/>
      <c r="G49" s="246">
        <f>-8892+8892</f>
        <v>0</v>
      </c>
      <c r="H49" s="10">
        <f t="shared" si="0"/>
        <v>1210302</v>
      </c>
      <c r="I49" s="4"/>
      <c r="J49" s="248">
        <v>-644386</v>
      </c>
      <c r="K49" s="246">
        <f>-48054+-1779</f>
        <v>-49833</v>
      </c>
      <c r="L49" s="246"/>
      <c r="M49" s="10">
        <f t="shared" si="1"/>
        <v>-694219</v>
      </c>
      <c r="N49" s="11">
        <f t="shared" si="2"/>
        <v>516083</v>
      </c>
    </row>
    <row r="50" spans="1:15" x14ac:dyDescent="0.2">
      <c r="A50" s="347">
        <v>47</v>
      </c>
      <c r="B50" s="347">
        <v>1985</v>
      </c>
      <c r="C50" s="353" t="s">
        <v>437</v>
      </c>
      <c r="D50" s="215"/>
      <c r="E50" s="246"/>
      <c r="F50" s="246"/>
      <c r="G50" s="246"/>
      <c r="H50" s="10">
        <f t="shared" si="0"/>
        <v>0</v>
      </c>
      <c r="I50" s="4"/>
      <c r="J50" s="248"/>
      <c r="K50" s="246"/>
      <c r="L50" s="246"/>
      <c r="M50" s="10">
        <f t="shared" si="1"/>
        <v>0</v>
      </c>
      <c r="N50" s="11">
        <f t="shared" si="2"/>
        <v>0</v>
      </c>
    </row>
    <row r="51" spans="1:15" x14ac:dyDescent="0.2">
      <c r="A51" s="347">
        <v>47</v>
      </c>
      <c r="B51" s="347">
        <v>1995</v>
      </c>
      <c r="C51" s="353" t="s">
        <v>438</v>
      </c>
      <c r="D51" s="215"/>
      <c r="E51" s="246">
        <v>-4081434</v>
      </c>
      <c r="F51" s="246">
        <f>-727190+-543563</f>
        <v>-1270753</v>
      </c>
      <c r="G51" s="246"/>
      <c r="H51" s="10">
        <f>E51+F51+G51</f>
        <v>-5352187</v>
      </c>
      <c r="I51" s="4"/>
      <c r="J51" s="248">
        <v>785274</v>
      </c>
      <c r="K51" s="246">
        <v>182930</v>
      </c>
      <c r="L51" s="246"/>
      <c r="M51" s="10">
        <f t="shared" si="1"/>
        <v>968204</v>
      </c>
      <c r="N51" s="11">
        <f t="shared" si="2"/>
        <v>-4383983</v>
      </c>
      <c r="O51" s="841"/>
    </row>
    <row r="52" spans="1:15" ht="25.5" x14ac:dyDescent="0.2">
      <c r="A52" s="347"/>
      <c r="B52" s="347">
        <v>1970</v>
      </c>
      <c r="C52" s="354" t="s">
        <v>864</v>
      </c>
      <c r="D52" s="215"/>
      <c r="E52" s="246">
        <v>464917</v>
      </c>
      <c r="F52" s="246"/>
      <c r="G52" s="246"/>
      <c r="H52" s="10">
        <f>E52+F52+G52</f>
        <v>464917</v>
      </c>
      <c r="J52" s="246">
        <v>-455704</v>
      </c>
      <c r="K52" s="246">
        <f>-11739+2526</f>
        <v>-9213</v>
      </c>
      <c r="L52" s="246"/>
      <c r="M52" s="10">
        <f t="shared" si="1"/>
        <v>-464917</v>
      </c>
      <c r="N52" s="11">
        <f t="shared" si="2"/>
        <v>0</v>
      </c>
    </row>
    <row r="53" spans="1:15" x14ac:dyDescent="0.2">
      <c r="A53" s="5"/>
      <c r="B53" s="5">
        <v>1990</v>
      </c>
      <c r="C53" s="168" t="s">
        <v>982</v>
      </c>
      <c r="D53" s="215"/>
      <c r="E53" s="246">
        <v>622174</v>
      </c>
      <c r="F53" s="246">
        <v>-30675</v>
      </c>
      <c r="G53" s="246"/>
      <c r="H53" s="10">
        <f t="shared" si="0"/>
        <v>591499</v>
      </c>
      <c r="J53" s="246"/>
      <c r="K53" s="246"/>
      <c r="L53" s="246"/>
      <c r="M53" s="10">
        <f t="shared" si="1"/>
        <v>0</v>
      </c>
      <c r="N53" s="11">
        <f t="shared" si="2"/>
        <v>591499</v>
      </c>
    </row>
    <row r="54" spans="1:15" x14ac:dyDescent="0.2">
      <c r="A54" s="5"/>
      <c r="B54" s="5"/>
      <c r="C54" s="2"/>
      <c r="D54" s="215"/>
      <c r="E54" s="247"/>
      <c r="F54" s="247"/>
      <c r="G54" s="247"/>
      <c r="H54" s="2"/>
      <c r="J54" s="247"/>
      <c r="K54" s="247"/>
      <c r="L54" s="247"/>
      <c r="M54" s="2"/>
      <c r="N54" s="2"/>
    </row>
    <row r="55" spans="1:15" x14ac:dyDescent="0.2">
      <c r="A55" s="5"/>
      <c r="B55" s="5"/>
      <c r="C55" s="9" t="s">
        <v>439</v>
      </c>
      <c r="D55" s="9"/>
      <c r="E55" s="14">
        <f>SUM(E16:E54)</f>
        <v>90409026</v>
      </c>
      <c r="F55" s="14">
        <f t="shared" ref="F55:G55" si="3">SUM(F16:F54)</f>
        <v>3643161</v>
      </c>
      <c r="G55" s="14">
        <f t="shared" si="3"/>
        <v>-414898</v>
      </c>
      <c r="H55" s="14">
        <f>SUM(H16:H54)</f>
        <v>93637289</v>
      </c>
      <c r="I55" s="14"/>
      <c r="J55" s="14">
        <f>SUM(J16:J54)</f>
        <v>-52013961</v>
      </c>
      <c r="K55" s="14">
        <f t="shared" ref="K55:N55" si="4">SUM(K16:K54)</f>
        <v>-3968013</v>
      </c>
      <c r="L55" s="14">
        <f t="shared" si="4"/>
        <v>182258</v>
      </c>
      <c r="M55" s="14">
        <f>SUM(M16:M54)</f>
        <v>-55799716</v>
      </c>
      <c r="N55" s="14">
        <f t="shared" si="4"/>
        <v>37837573</v>
      </c>
    </row>
    <row r="57" spans="1:15" x14ac:dyDescent="0.2">
      <c r="D57" s="3"/>
      <c r="E57" s="922" t="s">
        <v>977</v>
      </c>
      <c r="F57" s="856">
        <f>-F51</f>
        <v>1270753</v>
      </c>
      <c r="N57" s="841"/>
    </row>
    <row r="58" spans="1:15" x14ac:dyDescent="0.2">
      <c r="A58" s="924"/>
      <c r="B58" s="924"/>
      <c r="D58" s="3"/>
      <c r="E58" s="922" t="s">
        <v>978</v>
      </c>
      <c r="F58" s="858">
        <f>-F53</f>
        <v>30675</v>
      </c>
      <c r="G58" s="169" t="s">
        <v>984</v>
      </c>
    </row>
    <row r="59" spans="1:15" x14ac:dyDescent="0.2">
      <c r="A59" s="924"/>
      <c r="B59" s="924"/>
      <c r="E59" s="922" t="s">
        <v>981</v>
      </c>
      <c r="F59" s="856">
        <f>SUM(F55:F58)</f>
        <v>4944589</v>
      </c>
    </row>
    <row r="60" spans="1:15" x14ac:dyDescent="0.2">
      <c r="E60" s="925" t="s">
        <v>979</v>
      </c>
      <c r="F60" s="857">
        <v>-557143</v>
      </c>
    </row>
    <row r="61" spans="1:15" x14ac:dyDescent="0.2">
      <c r="E61" s="922" t="s">
        <v>980</v>
      </c>
      <c r="F61" s="857">
        <v>981909</v>
      </c>
    </row>
    <row r="62" spans="1:15" ht="13.5" thickBot="1" x14ac:dyDescent="0.25">
      <c r="A62" s="924"/>
      <c r="B62" s="924"/>
      <c r="C62" s="100"/>
      <c r="D62" s="100"/>
      <c r="E62" s="927" t="s">
        <v>987</v>
      </c>
      <c r="F62" s="855">
        <f>SUM(F59:F61)</f>
        <v>5369355</v>
      </c>
      <c r="G62" s="169" t="s">
        <v>983</v>
      </c>
    </row>
    <row r="63" spans="1:15" ht="13.5" thickTop="1" x14ac:dyDescent="0.2">
      <c r="A63" s="924"/>
      <c r="B63" s="924"/>
      <c r="F63" s="857"/>
    </row>
    <row r="64" spans="1:15" ht="13.5" thickBot="1" x14ac:dyDescent="0.25">
      <c r="E64" s="922" t="s">
        <v>986</v>
      </c>
      <c r="F64" s="926">
        <f>+F62-F58</f>
        <v>5338680</v>
      </c>
      <c r="G64" s="169" t="s">
        <v>985</v>
      </c>
    </row>
    <row r="65" spans="1:14" ht="13.5" thickTop="1" x14ac:dyDescent="0.2">
      <c r="A65" s="924"/>
      <c r="B65" s="924"/>
      <c r="F65" s="842"/>
    </row>
    <row r="66" spans="1:14" x14ac:dyDescent="0.2">
      <c r="A66" s="155" t="s">
        <v>16</v>
      </c>
      <c r="B66" s="924"/>
      <c r="F66" s="842"/>
    </row>
    <row r="67" spans="1:14" x14ac:dyDescent="0.2">
      <c r="A67" s="924"/>
      <c r="B67" s="924"/>
      <c r="F67" s="842"/>
    </row>
    <row r="68" spans="1:14" x14ac:dyDescent="0.2">
      <c r="A68" s="1">
        <v>1</v>
      </c>
      <c r="B68" s="1263" t="s">
        <v>337</v>
      </c>
      <c r="C68" s="1263"/>
      <c r="D68" s="1263"/>
      <c r="E68" s="1263"/>
      <c r="F68" s="1263"/>
      <c r="G68" s="1263"/>
      <c r="H68" s="1263"/>
      <c r="I68" s="1263"/>
      <c r="J68" s="1263"/>
      <c r="K68" s="1263"/>
      <c r="L68" s="1263"/>
      <c r="M68" s="1263"/>
      <c r="N68" s="1263"/>
    </row>
    <row r="69" spans="1:14" x14ac:dyDescent="0.2">
      <c r="B69" s="1263"/>
      <c r="C69" s="1263"/>
      <c r="D69" s="1263"/>
      <c r="E69" s="1263"/>
      <c r="F69" s="1263"/>
      <c r="G69" s="1263"/>
      <c r="H69" s="1263"/>
      <c r="I69" s="1263"/>
      <c r="J69" s="1263"/>
      <c r="K69" s="1263"/>
      <c r="L69" s="1263"/>
      <c r="M69" s="1263"/>
      <c r="N69" s="1263"/>
    </row>
    <row r="70" spans="1:14" ht="12.75" customHeight="1" x14ac:dyDescent="0.2"/>
    <row r="71" spans="1:14" x14ac:dyDescent="0.2">
      <c r="A71" s="1">
        <v>2</v>
      </c>
      <c r="B71" s="1267" t="s">
        <v>66</v>
      </c>
      <c r="C71" s="1267"/>
      <c r="D71" s="1267"/>
      <c r="E71" s="1267"/>
      <c r="F71" s="1267"/>
      <c r="G71" s="1267"/>
      <c r="H71" s="1267"/>
      <c r="I71" s="1267"/>
      <c r="J71" s="1267"/>
      <c r="K71" s="1267"/>
      <c r="L71" s="1267"/>
      <c r="M71" s="1267"/>
      <c r="N71" s="1267"/>
    </row>
    <row r="72" spans="1:14" x14ac:dyDescent="0.2">
      <c r="B72" s="1267"/>
      <c r="C72" s="1267"/>
      <c r="D72" s="1267"/>
      <c r="E72" s="1267"/>
      <c r="F72" s="1267"/>
      <c r="G72" s="1267"/>
      <c r="H72" s="1267"/>
      <c r="I72" s="1267"/>
      <c r="J72" s="1267"/>
      <c r="K72" s="1267"/>
      <c r="L72" s="1267"/>
      <c r="M72" s="1267"/>
      <c r="N72" s="1267"/>
    </row>
    <row r="74" spans="1:14" x14ac:dyDescent="0.2">
      <c r="A74" s="1">
        <v>3</v>
      </c>
      <c r="B74" s="1242" t="s">
        <v>341</v>
      </c>
      <c r="C74" s="1242"/>
      <c r="D74" s="1242"/>
      <c r="E74" s="1242"/>
      <c r="F74" s="1242"/>
      <c r="G74" s="1242"/>
      <c r="H74" s="1242"/>
      <c r="I74" s="1242"/>
      <c r="J74" s="1242"/>
      <c r="K74" s="1242"/>
      <c r="L74" s="1242"/>
      <c r="M74" s="1242"/>
      <c r="N74" s="1242"/>
    </row>
    <row r="76" spans="1:14" x14ac:dyDescent="0.2">
      <c r="A76" s="1">
        <v>4</v>
      </c>
      <c r="B76" s="328" t="s">
        <v>648</v>
      </c>
    </row>
    <row r="79" spans="1:14" x14ac:dyDescent="0.2">
      <c r="D79" s="883"/>
      <c r="E79" s="752"/>
    </row>
    <row r="80" spans="1:14" x14ac:dyDescent="0.2">
      <c r="D80" s="883"/>
      <c r="E80" s="752"/>
    </row>
    <row r="81" spans="4:4" x14ac:dyDescent="0.2">
      <c r="D81" s="883"/>
    </row>
    <row r="82" spans="4:4" x14ac:dyDescent="0.2">
      <c r="D82" s="883"/>
    </row>
    <row r="83" spans="4:4" x14ac:dyDescent="0.2">
      <c r="D83" s="883"/>
    </row>
    <row r="84" spans="4:4" x14ac:dyDescent="0.2">
      <c r="D84" s="883"/>
    </row>
    <row r="85" spans="4:4" x14ac:dyDescent="0.2">
      <c r="D85" s="883"/>
    </row>
    <row r="86" spans="4:4" x14ac:dyDescent="0.2">
      <c r="D86" s="883"/>
    </row>
    <row r="87" spans="4:4" x14ac:dyDescent="0.2">
      <c r="D87" s="883"/>
    </row>
    <row r="88" spans="4:4" x14ac:dyDescent="0.2">
      <c r="D88" s="883"/>
    </row>
  </sheetData>
  <mergeCells count="6">
    <mergeCell ref="A10:N10"/>
    <mergeCell ref="A9:N9"/>
    <mergeCell ref="B68:N69"/>
    <mergeCell ref="B74:N74"/>
    <mergeCell ref="E14:H14"/>
    <mergeCell ref="B71:N72"/>
  </mergeCells>
  <phoneticPr fontId="17" type="noConversion"/>
  <printOptions horizontalCentered="1"/>
  <pageMargins left="0.5" right="0.5" top="0.5" bottom="0.5" header="0.511811023622047" footer="0.511811023622047"/>
  <pageSetup scale="50" orientation="landscape" r:id="rId1"/>
  <headerFooter alignWithMargins="0"/>
  <rowBreaks count="1" manualBreakCount="1">
    <brk id="64" max="1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P2130"/>
  <sheetViews>
    <sheetView showZeros="0" tabSelected="1" zoomScaleNormal="100" workbookViewId="0">
      <selection activeCell="O7" sqref="O7"/>
    </sheetView>
  </sheetViews>
  <sheetFormatPr defaultRowHeight="12.75" x14ac:dyDescent="0.2"/>
  <cols>
    <col min="1" max="1" width="1.28515625" customWidth="1"/>
    <col min="2" max="2" width="26.5703125" customWidth="1"/>
    <col min="3" max="3" width="1.28515625" customWidth="1"/>
    <col min="4" max="4" width="11.28515625" customWidth="1"/>
    <col min="5" max="5" width="1.28515625" customWidth="1"/>
    <col min="6" max="6" width="13.42578125" bestFit="1" customWidth="1"/>
    <col min="7" max="7" width="9" bestFit="1" customWidth="1"/>
    <col min="8" max="8" width="14" bestFit="1" customWidth="1"/>
    <col min="9" max="9" width="2.85546875" customWidth="1"/>
    <col min="10" max="10" width="13.42578125" bestFit="1" customWidth="1"/>
    <col min="11" max="11" width="9" bestFit="1" customWidth="1"/>
    <col min="12" max="12" width="14" bestFit="1" customWidth="1"/>
    <col min="13" max="13" width="2.85546875" customWidth="1"/>
    <col min="14" max="14" width="12.7109375" customWidth="1"/>
    <col min="15" max="15" width="10.85546875" customWidth="1"/>
    <col min="16" max="16" width="3.85546875" customWidth="1"/>
    <col min="257" max="257" width="1.28515625" customWidth="1"/>
    <col min="258" max="258" width="26.5703125" customWidth="1"/>
    <col min="259" max="259" width="1.28515625" customWidth="1"/>
    <col min="260" max="260" width="11.28515625" customWidth="1"/>
    <col min="261" max="261" width="1.28515625" customWidth="1"/>
    <col min="262" max="262" width="13.42578125" bestFit="1" customWidth="1"/>
    <col min="263" max="263" width="9" bestFit="1" customWidth="1"/>
    <col min="264" max="264" width="14" bestFit="1" customWidth="1"/>
    <col min="265" max="265" width="2.85546875" customWidth="1"/>
    <col min="266" max="266" width="13.42578125" bestFit="1" customWidth="1"/>
    <col min="267" max="267" width="9" bestFit="1" customWidth="1"/>
    <col min="268" max="268" width="14" bestFit="1" customWidth="1"/>
    <col min="269" max="269" width="2.85546875" customWidth="1"/>
    <col min="270" max="270" width="12.7109375" customWidth="1"/>
    <col min="271" max="271" width="10.85546875" customWidth="1"/>
    <col min="272" max="272" width="3.85546875" customWidth="1"/>
    <col min="513" max="513" width="1.28515625" customWidth="1"/>
    <col min="514" max="514" width="26.5703125" customWidth="1"/>
    <col min="515" max="515" width="1.28515625" customWidth="1"/>
    <col min="516" max="516" width="11.28515625" customWidth="1"/>
    <col min="517" max="517" width="1.28515625" customWidth="1"/>
    <col min="518" max="518" width="13.42578125" bestFit="1" customWidth="1"/>
    <col min="519" max="519" width="9" bestFit="1" customWidth="1"/>
    <col min="520" max="520" width="14" bestFit="1" customWidth="1"/>
    <col min="521" max="521" width="2.85546875" customWidth="1"/>
    <col min="522" max="522" width="13.42578125" bestFit="1" customWidth="1"/>
    <col min="523" max="523" width="9" bestFit="1" customWidth="1"/>
    <col min="524" max="524" width="14" bestFit="1" customWidth="1"/>
    <col min="525" max="525" width="2.85546875" customWidth="1"/>
    <col min="526" max="526" width="12.7109375" customWidth="1"/>
    <col min="527" max="527" width="10.85546875" customWidth="1"/>
    <col min="528" max="528" width="3.85546875" customWidth="1"/>
    <col min="769" max="769" width="1.28515625" customWidth="1"/>
    <col min="770" max="770" width="26.5703125" customWidth="1"/>
    <col min="771" max="771" width="1.28515625" customWidth="1"/>
    <col min="772" max="772" width="11.28515625" customWidth="1"/>
    <col min="773" max="773" width="1.28515625" customWidth="1"/>
    <col min="774" max="774" width="13.42578125" bestFit="1" customWidth="1"/>
    <col min="775" max="775" width="9" bestFit="1" customWidth="1"/>
    <col min="776" max="776" width="14" bestFit="1" customWidth="1"/>
    <col min="777" max="777" width="2.85546875" customWidth="1"/>
    <col min="778" max="778" width="13.42578125" bestFit="1" customWidth="1"/>
    <col min="779" max="779" width="9" bestFit="1" customWidth="1"/>
    <col min="780" max="780" width="14" bestFit="1" customWidth="1"/>
    <col min="781" max="781" width="2.85546875" customWidth="1"/>
    <col min="782" max="782" width="12.7109375" customWidth="1"/>
    <col min="783" max="783" width="10.85546875" customWidth="1"/>
    <col min="784" max="784" width="3.85546875" customWidth="1"/>
    <col min="1025" max="1025" width="1.28515625" customWidth="1"/>
    <col min="1026" max="1026" width="26.5703125" customWidth="1"/>
    <col min="1027" max="1027" width="1.28515625" customWidth="1"/>
    <col min="1028" max="1028" width="11.28515625" customWidth="1"/>
    <col min="1029" max="1029" width="1.28515625" customWidth="1"/>
    <col min="1030" max="1030" width="13.42578125" bestFit="1" customWidth="1"/>
    <col min="1031" max="1031" width="9" bestFit="1" customWidth="1"/>
    <col min="1032" max="1032" width="14" bestFit="1" customWidth="1"/>
    <col min="1033" max="1033" width="2.85546875" customWidth="1"/>
    <col min="1034" max="1034" width="13.42578125" bestFit="1" customWidth="1"/>
    <col min="1035" max="1035" width="9" bestFit="1" customWidth="1"/>
    <col min="1036" max="1036" width="14" bestFit="1" customWidth="1"/>
    <col min="1037" max="1037" width="2.85546875" customWidth="1"/>
    <col min="1038" max="1038" width="12.7109375" customWidth="1"/>
    <col min="1039" max="1039" width="10.85546875" customWidth="1"/>
    <col min="1040" max="1040" width="3.85546875" customWidth="1"/>
    <col min="1281" max="1281" width="1.28515625" customWidth="1"/>
    <col min="1282" max="1282" width="26.5703125" customWidth="1"/>
    <col min="1283" max="1283" width="1.28515625" customWidth="1"/>
    <col min="1284" max="1284" width="11.28515625" customWidth="1"/>
    <col min="1285" max="1285" width="1.28515625" customWidth="1"/>
    <col min="1286" max="1286" width="13.42578125" bestFit="1" customWidth="1"/>
    <col min="1287" max="1287" width="9" bestFit="1" customWidth="1"/>
    <col min="1288" max="1288" width="14" bestFit="1" customWidth="1"/>
    <col min="1289" max="1289" width="2.85546875" customWidth="1"/>
    <col min="1290" max="1290" width="13.42578125" bestFit="1" customWidth="1"/>
    <col min="1291" max="1291" width="9" bestFit="1" customWidth="1"/>
    <col min="1292" max="1292" width="14" bestFit="1" customWidth="1"/>
    <col min="1293" max="1293" width="2.85546875" customWidth="1"/>
    <col min="1294" max="1294" width="12.7109375" customWidth="1"/>
    <col min="1295" max="1295" width="10.85546875" customWidth="1"/>
    <col min="1296" max="1296" width="3.85546875" customWidth="1"/>
    <col min="1537" max="1537" width="1.28515625" customWidth="1"/>
    <col min="1538" max="1538" width="26.5703125" customWidth="1"/>
    <col min="1539" max="1539" width="1.28515625" customWidth="1"/>
    <col min="1540" max="1540" width="11.28515625" customWidth="1"/>
    <col min="1541" max="1541" width="1.28515625" customWidth="1"/>
    <col min="1542" max="1542" width="13.42578125" bestFit="1" customWidth="1"/>
    <col min="1543" max="1543" width="9" bestFit="1" customWidth="1"/>
    <col min="1544" max="1544" width="14" bestFit="1" customWidth="1"/>
    <col min="1545" max="1545" width="2.85546875" customWidth="1"/>
    <col min="1546" max="1546" width="13.42578125" bestFit="1" customWidth="1"/>
    <col min="1547" max="1547" width="9" bestFit="1" customWidth="1"/>
    <col min="1548" max="1548" width="14" bestFit="1" customWidth="1"/>
    <col min="1549" max="1549" width="2.85546875" customWidth="1"/>
    <col min="1550" max="1550" width="12.7109375" customWidth="1"/>
    <col min="1551" max="1551" width="10.85546875" customWidth="1"/>
    <col min="1552" max="1552" width="3.85546875" customWidth="1"/>
    <col min="1793" max="1793" width="1.28515625" customWidth="1"/>
    <col min="1794" max="1794" width="26.5703125" customWidth="1"/>
    <col min="1795" max="1795" width="1.28515625" customWidth="1"/>
    <col min="1796" max="1796" width="11.28515625" customWidth="1"/>
    <col min="1797" max="1797" width="1.28515625" customWidth="1"/>
    <col min="1798" max="1798" width="13.42578125" bestFit="1" customWidth="1"/>
    <col min="1799" max="1799" width="9" bestFit="1" customWidth="1"/>
    <col min="1800" max="1800" width="14" bestFit="1" customWidth="1"/>
    <col min="1801" max="1801" width="2.85546875" customWidth="1"/>
    <col min="1802" max="1802" width="13.42578125" bestFit="1" customWidth="1"/>
    <col min="1803" max="1803" width="9" bestFit="1" customWidth="1"/>
    <col min="1804" max="1804" width="14" bestFit="1" customWidth="1"/>
    <col min="1805" max="1805" width="2.85546875" customWidth="1"/>
    <col min="1806" max="1806" width="12.7109375" customWidth="1"/>
    <col min="1807" max="1807" width="10.85546875" customWidth="1"/>
    <col min="1808" max="1808" width="3.85546875" customWidth="1"/>
    <col min="2049" max="2049" width="1.28515625" customWidth="1"/>
    <col min="2050" max="2050" width="26.5703125" customWidth="1"/>
    <col min="2051" max="2051" width="1.28515625" customWidth="1"/>
    <col min="2052" max="2052" width="11.28515625" customWidth="1"/>
    <col min="2053" max="2053" width="1.28515625" customWidth="1"/>
    <col min="2054" max="2054" width="13.42578125" bestFit="1" customWidth="1"/>
    <col min="2055" max="2055" width="9" bestFit="1" customWidth="1"/>
    <col min="2056" max="2056" width="14" bestFit="1" customWidth="1"/>
    <col min="2057" max="2057" width="2.85546875" customWidth="1"/>
    <col min="2058" max="2058" width="13.42578125" bestFit="1" customWidth="1"/>
    <col min="2059" max="2059" width="9" bestFit="1" customWidth="1"/>
    <col min="2060" max="2060" width="14" bestFit="1" customWidth="1"/>
    <col min="2061" max="2061" width="2.85546875" customWidth="1"/>
    <col min="2062" max="2062" width="12.7109375" customWidth="1"/>
    <col min="2063" max="2063" width="10.85546875" customWidth="1"/>
    <col min="2064" max="2064" width="3.85546875" customWidth="1"/>
    <col min="2305" max="2305" width="1.28515625" customWidth="1"/>
    <col min="2306" max="2306" width="26.5703125" customWidth="1"/>
    <col min="2307" max="2307" width="1.28515625" customWidth="1"/>
    <col min="2308" max="2308" width="11.28515625" customWidth="1"/>
    <col min="2309" max="2309" width="1.28515625" customWidth="1"/>
    <col min="2310" max="2310" width="13.42578125" bestFit="1" customWidth="1"/>
    <col min="2311" max="2311" width="9" bestFit="1" customWidth="1"/>
    <col min="2312" max="2312" width="14" bestFit="1" customWidth="1"/>
    <col min="2313" max="2313" width="2.85546875" customWidth="1"/>
    <col min="2314" max="2314" width="13.42578125" bestFit="1" customWidth="1"/>
    <col min="2315" max="2315" width="9" bestFit="1" customWidth="1"/>
    <col min="2316" max="2316" width="14" bestFit="1" customWidth="1"/>
    <col min="2317" max="2317" width="2.85546875" customWidth="1"/>
    <col min="2318" max="2318" width="12.7109375" customWidth="1"/>
    <col min="2319" max="2319" width="10.85546875" customWidth="1"/>
    <col min="2320" max="2320" width="3.85546875" customWidth="1"/>
    <col min="2561" max="2561" width="1.28515625" customWidth="1"/>
    <col min="2562" max="2562" width="26.5703125" customWidth="1"/>
    <col min="2563" max="2563" width="1.28515625" customWidth="1"/>
    <col min="2564" max="2564" width="11.28515625" customWidth="1"/>
    <col min="2565" max="2565" width="1.28515625" customWidth="1"/>
    <col min="2566" max="2566" width="13.42578125" bestFit="1" customWidth="1"/>
    <col min="2567" max="2567" width="9" bestFit="1" customWidth="1"/>
    <col min="2568" max="2568" width="14" bestFit="1" customWidth="1"/>
    <col min="2569" max="2569" width="2.85546875" customWidth="1"/>
    <col min="2570" max="2570" width="13.42578125" bestFit="1" customWidth="1"/>
    <col min="2571" max="2571" width="9" bestFit="1" customWidth="1"/>
    <col min="2572" max="2572" width="14" bestFit="1" customWidth="1"/>
    <col min="2573" max="2573" width="2.85546875" customWidth="1"/>
    <col min="2574" max="2574" width="12.7109375" customWidth="1"/>
    <col min="2575" max="2575" width="10.85546875" customWidth="1"/>
    <col min="2576" max="2576" width="3.85546875" customWidth="1"/>
    <col min="2817" max="2817" width="1.28515625" customWidth="1"/>
    <col min="2818" max="2818" width="26.5703125" customWidth="1"/>
    <col min="2819" max="2819" width="1.28515625" customWidth="1"/>
    <col min="2820" max="2820" width="11.28515625" customWidth="1"/>
    <col min="2821" max="2821" width="1.28515625" customWidth="1"/>
    <col min="2822" max="2822" width="13.42578125" bestFit="1" customWidth="1"/>
    <col min="2823" max="2823" width="9" bestFit="1" customWidth="1"/>
    <col min="2824" max="2824" width="14" bestFit="1" customWidth="1"/>
    <col min="2825" max="2825" width="2.85546875" customWidth="1"/>
    <col min="2826" max="2826" width="13.42578125" bestFit="1" customWidth="1"/>
    <col min="2827" max="2827" width="9" bestFit="1" customWidth="1"/>
    <col min="2828" max="2828" width="14" bestFit="1" customWidth="1"/>
    <col min="2829" max="2829" width="2.85546875" customWidth="1"/>
    <col min="2830" max="2830" width="12.7109375" customWidth="1"/>
    <col min="2831" max="2831" width="10.85546875" customWidth="1"/>
    <col min="2832" max="2832" width="3.85546875" customWidth="1"/>
    <col min="3073" max="3073" width="1.28515625" customWidth="1"/>
    <col min="3074" max="3074" width="26.5703125" customWidth="1"/>
    <col min="3075" max="3075" width="1.28515625" customWidth="1"/>
    <col min="3076" max="3076" width="11.28515625" customWidth="1"/>
    <col min="3077" max="3077" width="1.28515625" customWidth="1"/>
    <col min="3078" max="3078" width="13.42578125" bestFit="1" customWidth="1"/>
    <col min="3079" max="3079" width="9" bestFit="1" customWidth="1"/>
    <col min="3080" max="3080" width="14" bestFit="1" customWidth="1"/>
    <col min="3081" max="3081" width="2.85546875" customWidth="1"/>
    <col min="3082" max="3082" width="13.42578125" bestFit="1" customWidth="1"/>
    <col min="3083" max="3083" width="9" bestFit="1" customWidth="1"/>
    <col min="3084" max="3084" width="14" bestFit="1" customWidth="1"/>
    <col min="3085" max="3085" width="2.85546875" customWidth="1"/>
    <col min="3086" max="3086" width="12.7109375" customWidth="1"/>
    <col min="3087" max="3087" width="10.85546875" customWidth="1"/>
    <col min="3088" max="3088" width="3.85546875" customWidth="1"/>
    <col min="3329" max="3329" width="1.28515625" customWidth="1"/>
    <col min="3330" max="3330" width="26.5703125" customWidth="1"/>
    <col min="3331" max="3331" width="1.28515625" customWidth="1"/>
    <col min="3332" max="3332" width="11.28515625" customWidth="1"/>
    <col min="3333" max="3333" width="1.28515625" customWidth="1"/>
    <col min="3334" max="3334" width="13.42578125" bestFit="1" customWidth="1"/>
    <col min="3335" max="3335" width="9" bestFit="1" customWidth="1"/>
    <col min="3336" max="3336" width="14" bestFit="1" customWidth="1"/>
    <col min="3337" max="3337" width="2.85546875" customWidth="1"/>
    <col min="3338" max="3338" width="13.42578125" bestFit="1" customWidth="1"/>
    <col min="3339" max="3339" width="9" bestFit="1" customWidth="1"/>
    <col min="3340" max="3340" width="14" bestFit="1" customWidth="1"/>
    <col min="3341" max="3341" width="2.85546875" customWidth="1"/>
    <col min="3342" max="3342" width="12.7109375" customWidth="1"/>
    <col min="3343" max="3343" width="10.85546875" customWidth="1"/>
    <col min="3344" max="3344" width="3.85546875" customWidth="1"/>
    <col min="3585" max="3585" width="1.28515625" customWidth="1"/>
    <col min="3586" max="3586" width="26.5703125" customWidth="1"/>
    <col min="3587" max="3587" width="1.28515625" customWidth="1"/>
    <col min="3588" max="3588" width="11.28515625" customWidth="1"/>
    <col min="3589" max="3589" width="1.28515625" customWidth="1"/>
    <col min="3590" max="3590" width="13.42578125" bestFit="1" customWidth="1"/>
    <col min="3591" max="3591" width="9" bestFit="1" customWidth="1"/>
    <col min="3592" max="3592" width="14" bestFit="1" customWidth="1"/>
    <col min="3593" max="3593" width="2.85546875" customWidth="1"/>
    <col min="3594" max="3594" width="13.42578125" bestFit="1" customWidth="1"/>
    <col min="3595" max="3595" width="9" bestFit="1" customWidth="1"/>
    <col min="3596" max="3596" width="14" bestFit="1" customWidth="1"/>
    <col min="3597" max="3597" width="2.85546875" customWidth="1"/>
    <col min="3598" max="3598" width="12.7109375" customWidth="1"/>
    <col min="3599" max="3599" width="10.85546875" customWidth="1"/>
    <col min="3600" max="3600" width="3.85546875" customWidth="1"/>
    <col min="3841" max="3841" width="1.28515625" customWidth="1"/>
    <col min="3842" max="3842" width="26.5703125" customWidth="1"/>
    <col min="3843" max="3843" width="1.28515625" customWidth="1"/>
    <col min="3844" max="3844" width="11.28515625" customWidth="1"/>
    <col min="3845" max="3845" width="1.28515625" customWidth="1"/>
    <col min="3846" max="3846" width="13.42578125" bestFit="1" customWidth="1"/>
    <col min="3847" max="3847" width="9" bestFit="1" customWidth="1"/>
    <col min="3848" max="3848" width="14" bestFit="1" customWidth="1"/>
    <col min="3849" max="3849" width="2.85546875" customWidth="1"/>
    <col min="3850" max="3850" width="13.42578125" bestFit="1" customWidth="1"/>
    <col min="3851" max="3851" width="9" bestFit="1" customWidth="1"/>
    <col min="3852" max="3852" width="14" bestFit="1" customWidth="1"/>
    <col min="3853" max="3853" width="2.85546875" customWidth="1"/>
    <col min="3854" max="3854" width="12.7109375" customWidth="1"/>
    <col min="3855" max="3855" width="10.85546875" customWidth="1"/>
    <col min="3856" max="3856" width="3.85546875" customWidth="1"/>
    <col min="4097" max="4097" width="1.28515625" customWidth="1"/>
    <col min="4098" max="4098" width="26.5703125" customWidth="1"/>
    <col min="4099" max="4099" width="1.28515625" customWidth="1"/>
    <col min="4100" max="4100" width="11.28515625" customWidth="1"/>
    <col min="4101" max="4101" width="1.28515625" customWidth="1"/>
    <col min="4102" max="4102" width="13.42578125" bestFit="1" customWidth="1"/>
    <col min="4103" max="4103" width="9" bestFit="1" customWidth="1"/>
    <col min="4104" max="4104" width="14" bestFit="1" customWidth="1"/>
    <col min="4105" max="4105" width="2.85546875" customWidth="1"/>
    <col min="4106" max="4106" width="13.42578125" bestFit="1" customWidth="1"/>
    <col min="4107" max="4107" width="9" bestFit="1" customWidth="1"/>
    <col min="4108" max="4108" width="14" bestFit="1" customWidth="1"/>
    <col min="4109" max="4109" width="2.85546875" customWidth="1"/>
    <col min="4110" max="4110" width="12.7109375" customWidth="1"/>
    <col min="4111" max="4111" width="10.85546875" customWidth="1"/>
    <col min="4112" max="4112" width="3.85546875" customWidth="1"/>
    <col min="4353" max="4353" width="1.28515625" customWidth="1"/>
    <col min="4354" max="4354" width="26.5703125" customWidth="1"/>
    <col min="4355" max="4355" width="1.28515625" customWidth="1"/>
    <col min="4356" max="4356" width="11.28515625" customWidth="1"/>
    <col min="4357" max="4357" width="1.28515625" customWidth="1"/>
    <col min="4358" max="4358" width="13.42578125" bestFit="1" customWidth="1"/>
    <col min="4359" max="4359" width="9" bestFit="1" customWidth="1"/>
    <col min="4360" max="4360" width="14" bestFit="1" customWidth="1"/>
    <col min="4361" max="4361" width="2.85546875" customWidth="1"/>
    <col min="4362" max="4362" width="13.42578125" bestFit="1" customWidth="1"/>
    <col min="4363" max="4363" width="9" bestFit="1" customWidth="1"/>
    <col min="4364" max="4364" width="14" bestFit="1" customWidth="1"/>
    <col min="4365" max="4365" width="2.85546875" customWidth="1"/>
    <col min="4366" max="4366" width="12.7109375" customWidth="1"/>
    <col min="4367" max="4367" width="10.85546875" customWidth="1"/>
    <col min="4368" max="4368" width="3.85546875" customWidth="1"/>
    <col min="4609" max="4609" width="1.28515625" customWidth="1"/>
    <col min="4610" max="4610" width="26.5703125" customWidth="1"/>
    <col min="4611" max="4611" width="1.28515625" customWidth="1"/>
    <col min="4612" max="4612" width="11.28515625" customWidth="1"/>
    <col min="4613" max="4613" width="1.28515625" customWidth="1"/>
    <col min="4614" max="4614" width="13.42578125" bestFit="1" customWidth="1"/>
    <col min="4615" max="4615" width="9" bestFit="1" customWidth="1"/>
    <col min="4616" max="4616" width="14" bestFit="1" customWidth="1"/>
    <col min="4617" max="4617" width="2.85546875" customWidth="1"/>
    <col min="4618" max="4618" width="13.42578125" bestFit="1" customWidth="1"/>
    <col min="4619" max="4619" width="9" bestFit="1" customWidth="1"/>
    <col min="4620" max="4620" width="14" bestFit="1" customWidth="1"/>
    <col min="4621" max="4621" width="2.85546875" customWidth="1"/>
    <col min="4622" max="4622" width="12.7109375" customWidth="1"/>
    <col min="4623" max="4623" width="10.85546875" customWidth="1"/>
    <col min="4624" max="4624" width="3.85546875" customWidth="1"/>
    <col min="4865" max="4865" width="1.28515625" customWidth="1"/>
    <col min="4866" max="4866" width="26.5703125" customWidth="1"/>
    <col min="4867" max="4867" width="1.28515625" customWidth="1"/>
    <col min="4868" max="4868" width="11.28515625" customWidth="1"/>
    <col min="4869" max="4869" width="1.28515625" customWidth="1"/>
    <col min="4870" max="4870" width="13.42578125" bestFit="1" customWidth="1"/>
    <col min="4871" max="4871" width="9" bestFit="1" customWidth="1"/>
    <col min="4872" max="4872" width="14" bestFit="1" customWidth="1"/>
    <col min="4873" max="4873" width="2.85546875" customWidth="1"/>
    <col min="4874" max="4874" width="13.42578125" bestFit="1" customWidth="1"/>
    <col min="4875" max="4875" width="9" bestFit="1" customWidth="1"/>
    <col min="4876" max="4876" width="14" bestFit="1" customWidth="1"/>
    <col min="4877" max="4877" width="2.85546875" customWidth="1"/>
    <col min="4878" max="4878" width="12.7109375" customWidth="1"/>
    <col min="4879" max="4879" width="10.85546875" customWidth="1"/>
    <col min="4880" max="4880" width="3.85546875" customWidth="1"/>
    <col min="5121" max="5121" width="1.28515625" customWidth="1"/>
    <col min="5122" max="5122" width="26.5703125" customWidth="1"/>
    <col min="5123" max="5123" width="1.28515625" customWidth="1"/>
    <col min="5124" max="5124" width="11.28515625" customWidth="1"/>
    <col min="5125" max="5125" width="1.28515625" customWidth="1"/>
    <col min="5126" max="5126" width="13.42578125" bestFit="1" customWidth="1"/>
    <col min="5127" max="5127" width="9" bestFit="1" customWidth="1"/>
    <col min="5128" max="5128" width="14" bestFit="1" customWidth="1"/>
    <col min="5129" max="5129" width="2.85546875" customWidth="1"/>
    <col min="5130" max="5130" width="13.42578125" bestFit="1" customWidth="1"/>
    <col min="5131" max="5131" width="9" bestFit="1" customWidth="1"/>
    <col min="5132" max="5132" width="14" bestFit="1" customWidth="1"/>
    <col min="5133" max="5133" width="2.85546875" customWidth="1"/>
    <col min="5134" max="5134" width="12.7109375" customWidth="1"/>
    <col min="5135" max="5135" width="10.85546875" customWidth="1"/>
    <col min="5136" max="5136" width="3.85546875" customWidth="1"/>
    <col min="5377" max="5377" width="1.28515625" customWidth="1"/>
    <col min="5378" max="5378" width="26.5703125" customWidth="1"/>
    <col min="5379" max="5379" width="1.28515625" customWidth="1"/>
    <col min="5380" max="5380" width="11.28515625" customWidth="1"/>
    <col min="5381" max="5381" width="1.28515625" customWidth="1"/>
    <col min="5382" max="5382" width="13.42578125" bestFit="1" customWidth="1"/>
    <col min="5383" max="5383" width="9" bestFit="1" customWidth="1"/>
    <col min="5384" max="5384" width="14" bestFit="1" customWidth="1"/>
    <col min="5385" max="5385" width="2.85546875" customWidth="1"/>
    <col min="5386" max="5386" width="13.42578125" bestFit="1" customWidth="1"/>
    <col min="5387" max="5387" width="9" bestFit="1" customWidth="1"/>
    <col min="5388" max="5388" width="14" bestFit="1" customWidth="1"/>
    <col min="5389" max="5389" width="2.85546875" customWidth="1"/>
    <col min="5390" max="5390" width="12.7109375" customWidth="1"/>
    <col min="5391" max="5391" width="10.85546875" customWidth="1"/>
    <col min="5392" max="5392" width="3.85546875" customWidth="1"/>
    <col min="5633" max="5633" width="1.28515625" customWidth="1"/>
    <col min="5634" max="5634" width="26.5703125" customWidth="1"/>
    <col min="5635" max="5635" width="1.28515625" customWidth="1"/>
    <col min="5636" max="5636" width="11.28515625" customWidth="1"/>
    <col min="5637" max="5637" width="1.28515625" customWidth="1"/>
    <col min="5638" max="5638" width="13.42578125" bestFit="1" customWidth="1"/>
    <col min="5639" max="5639" width="9" bestFit="1" customWidth="1"/>
    <col min="5640" max="5640" width="14" bestFit="1" customWidth="1"/>
    <col min="5641" max="5641" width="2.85546875" customWidth="1"/>
    <col min="5642" max="5642" width="13.42578125" bestFit="1" customWidth="1"/>
    <col min="5643" max="5643" width="9" bestFit="1" customWidth="1"/>
    <col min="5644" max="5644" width="14" bestFit="1" customWidth="1"/>
    <col min="5645" max="5645" width="2.85546875" customWidth="1"/>
    <col min="5646" max="5646" width="12.7109375" customWidth="1"/>
    <col min="5647" max="5647" width="10.85546875" customWidth="1"/>
    <col min="5648" max="5648" width="3.85546875" customWidth="1"/>
    <col min="5889" max="5889" width="1.28515625" customWidth="1"/>
    <col min="5890" max="5890" width="26.5703125" customWidth="1"/>
    <col min="5891" max="5891" width="1.28515625" customWidth="1"/>
    <col min="5892" max="5892" width="11.28515625" customWidth="1"/>
    <col min="5893" max="5893" width="1.28515625" customWidth="1"/>
    <col min="5894" max="5894" width="13.42578125" bestFit="1" customWidth="1"/>
    <col min="5895" max="5895" width="9" bestFit="1" customWidth="1"/>
    <col min="5896" max="5896" width="14" bestFit="1" customWidth="1"/>
    <col min="5897" max="5897" width="2.85546875" customWidth="1"/>
    <col min="5898" max="5898" width="13.42578125" bestFit="1" customWidth="1"/>
    <col min="5899" max="5899" width="9" bestFit="1" customWidth="1"/>
    <col min="5900" max="5900" width="14" bestFit="1" customWidth="1"/>
    <col min="5901" max="5901" width="2.85546875" customWidth="1"/>
    <col min="5902" max="5902" width="12.7109375" customWidth="1"/>
    <col min="5903" max="5903" width="10.85546875" customWidth="1"/>
    <col min="5904" max="5904" width="3.85546875" customWidth="1"/>
    <col min="6145" max="6145" width="1.28515625" customWidth="1"/>
    <col min="6146" max="6146" width="26.5703125" customWidth="1"/>
    <col min="6147" max="6147" width="1.28515625" customWidth="1"/>
    <col min="6148" max="6148" width="11.28515625" customWidth="1"/>
    <col min="6149" max="6149" width="1.28515625" customWidth="1"/>
    <col min="6150" max="6150" width="13.42578125" bestFit="1" customWidth="1"/>
    <col min="6151" max="6151" width="9" bestFit="1" customWidth="1"/>
    <col min="6152" max="6152" width="14" bestFit="1" customWidth="1"/>
    <col min="6153" max="6153" width="2.85546875" customWidth="1"/>
    <col min="6154" max="6154" width="13.42578125" bestFit="1" customWidth="1"/>
    <col min="6155" max="6155" width="9" bestFit="1" customWidth="1"/>
    <col min="6156" max="6156" width="14" bestFit="1" customWidth="1"/>
    <col min="6157" max="6157" width="2.85546875" customWidth="1"/>
    <col min="6158" max="6158" width="12.7109375" customWidth="1"/>
    <col min="6159" max="6159" width="10.85546875" customWidth="1"/>
    <col min="6160" max="6160" width="3.85546875" customWidth="1"/>
    <col min="6401" max="6401" width="1.28515625" customWidth="1"/>
    <col min="6402" max="6402" width="26.5703125" customWidth="1"/>
    <col min="6403" max="6403" width="1.28515625" customWidth="1"/>
    <col min="6404" max="6404" width="11.28515625" customWidth="1"/>
    <col min="6405" max="6405" width="1.28515625" customWidth="1"/>
    <col min="6406" max="6406" width="13.42578125" bestFit="1" customWidth="1"/>
    <col min="6407" max="6407" width="9" bestFit="1" customWidth="1"/>
    <col min="6408" max="6408" width="14" bestFit="1" customWidth="1"/>
    <col min="6409" max="6409" width="2.85546875" customWidth="1"/>
    <col min="6410" max="6410" width="13.42578125" bestFit="1" customWidth="1"/>
    <col min="6411" max="6411" width="9" bestFit="1" customWidth="1"/>
    <col min="6412" max="6412" width="14" bestFit="1" customWidth="1"/>
    <col min="6413" max="6413" width="2.85546875" customWidth="1"/>
    <col min="6414" max="6414" width="12.7109375" customWidth="1"/>
    <col min="6415" max="6415" width="10.85546875" customWidth="1"/>
    <col min="6416" max="6416" width="3.85546875" customWidth="1"/>
    <col min="6657" max="6657" width="1.28515625" customWidth="1"/>
    <col min="6658" max="6658" width="26.5703125" customWidth="1"/>
    <col min="6659" max="6659" width="1.28515625" customWidth="1"/>
    <col min="6660" max="6660" width="11.28515625" customWidth="1"/>
    <col min="6661" max="6661" width="1.28515625" customWidth="1"/>
    <col min="6662" max="6662" width="13.42578125" bestFit="1" customWidth="1"/>
    <col min="6663" max="6663" width="9" bestFit="1" customWidth="1"/>
    <col min="6664" max="6664" width="14" bestFit="1" customWidth="1"/>
    <col min="6665" max="6665" width="2.85546875" customWidth="1"/>
    <col min="6666" max="6666" width="13.42578125" bestFit="1" customWidth="1"/>
    <col min="6667" max="6667" width="9" bestFit="1" customWidth="1"/>
    <col min="6668" max="6668" width="14" bestFit="1" customWidth="1"/>
    <col min="6669" max="6669" width="2.85546875" customWidth="1"/>
    <col min="6670" max="6670" width="12.7109375" customWidth="1"/>
    <col min="6671" max="6671" width="10.85546875" customWidth="1"/>
    <col min="6672" max="6672" width="3.85546875" customWidth="1"/>
    <col min="6913" max="6913" width="1.28515625" customWidth="1"/>
    <col min="6914" max="6914" width="26.5703125" customWidth="1"/>
    <col min="6915" max="6915" width="1.28515625" customWidth="1"/>
    <col min="6916" max="6916" width="11.28515625" customWidth="1"/>
    <col min="6917" max="6917" width="1.28515625" customWidth="1"/>
    <col min="6918" max="6918" width="13.42578125" bestFit="1" customWidth="1"/>
    <col min="6919" max="6919" width="9" bestFit="1" customWidth="1"/>
    <col min="6920" max="6920" width="14" bestFit="1" customWidth="1"/>
    <col min="6921" max="6921" width="2.85546875" customWidth="1"/>
    <col min="6922" max="6922" width="13.42578125" bestFit="1" customWidth="1"/>
    <col min="6923" max="6923" width="9" bestFit="1" customWidth="1"/>
    <col min="6924" max="6924" width="14" bestFit="1" customWidth="1"/>
    <col min="6925" max="6925" width="2.85546875" customWidth="1"/>
    <col min="6926" max="6926" width="12.7109375" customWidth="1"/>
    <col min="6927" max="6927" width="10.85546875" customWidth="1"/>
    <col min="6928" max="6928" width="3.85546875" customWidth="1"/>
    <col min="7169" max="7169" width="1.28515625" customWidth="1"/>
    <col min="7170" max="7170" width="26.5703125" customWidth="1"/>
    <col min="7171" max="7171" width="1.28515625" customWidth="1"/>
    <col min="7172" max="7172" width="11.28515625" customWidth="1"/>
    <col min="7173" max="7173" width="1.28515625" customWidth="1"/>
    <col min="7174" max="7174" width="13.42578125" bestFit="1" customWidth="1"/>
    <col min="7175" max="7175" width="9" bestFit="1" customWidth="1"/>
    <col min="7176" max="7176" width="14" bestFit="1" customWidth="1"/>
    <col min="7177" max="7177" width="2.85546875" customWidth="1"/>
    <col min="7178" max="7178" width="13.42578125" bestFit="1" customWidth="1"/>
    <col min="7179" max="7179" width="9" bestFit="1" customWidth="1"/>
    <col min="7180" max="7180" width="14" bestFit="1" customWidth="1"/>
    <col min="7181" max="7181" width="2.85546875" customWidth="1"/>
    <col min="7182" max="7182" width="12.7109375" customWidth="1"/>
    <col min="7183" max="7183" width="10.85546875" customWidth="1"/>
    <col min="7184" max="7184" width="3.85546875" customWidth="1"/>
    <col min="7425" max="7425" width="1.28515625" customWidth="1"/>
    <col min="7426" max="7426" width="26.5703125" customWidth="1"/>
    <col min="7427" max="7427" width="1.28515625" customWidth="1"/>
    <col min="7428" max="7428" width="11.28515625" customWidth="1"/>
    <col min="7429" max="7429" width="1.28515625" customWidth="1"/>
    <col min="7430" max="7430" width="13.42578125" bestFit="1" customWidth="1"/>
    <col min="7431" max="7431" width="9" bestFit="1" customWidth="1"/>
    <col min="7432" max="7432" width="14" bestFit="1" customWidth="1"/>
    <col min="7433" max="7433" width="2.85546875" customWidth="1"/>
    <col min="7434" max="7434" width="13.42578125" bestFit="1" customWidth="1"/>
    <col min="7435" max="7435" width="9" bestFit="1" customWidth="1"/>
    <col min="7436" max="7436" width="14" bestFit="1" customWidth="1"/>
    <col min="7437" max="7437" width="2.85546875" customWidth="1"/>
    <col min="7438" max="7438" width="12.7109375" customWidth="1"/>
    <col min="7439" max="7439" width="10.85546875" customWidth="1"/>
    <col min="7440" max="7440" width="3.85546875" customWidth="1"/>
    <col min="7681" max="7681" width="1.28515625" customWidth="1"/>
    <col min="7682" max="7682" width="26.5703125" customWidth="1"/>
    <col min="7683" max="7683" width="1.28515625" customWidth="1"/>
    <col min="7684" max="7684" width="11.28515625" customWidth="1"/>
    <col min="7685" max="7685" width="1.28515625" customWidth="1"/>
    <col min="7686" max="7686" width="13.42578125" bestFit="1" customWidth="1"/>
    <col min="7687" max="7687" width="9" bestFit="1" customWidth="1"/>
    <col min="7688" max="7688" width="14" bestFit="1" customWidth="1"/>
    <col min="7689" max="7689" width="2.85546875" customWidth="1"/>
    <col min="7690" max="7690" width="13.42578125" bestFit="1" customWidth="1"/>
    <col min="7691" max="7691" width="9" bestFit="1" customWidth="1"/>
    <col min="7692" max="7692" width="14" bestFit="1" customWidth="1"/>
    <col min="7693" max="7693" width="2.85546875" customWidth="1"/>
    <col min="7694" max="7694" width="12.7109375" customWidth="1"/>
    <col min="7695" max="7695" width="10.85546875" customWidth="1"/>
    <col min="7696" max="7696" width="3.85546875" customWidth="1"/>
    <col min="7937" max="7937" width="1.28515625" customWidth="1"/>
    <col min="7938" max="7938" width="26.5703125" customWidth="1"/>
    <col min="7939" max="7939" width="1.28515625" customWidth="1"/>
    <col min="7940" max="7940" width="11.28515625" customWidth="1"/>
    <col min="7941" max="7941" width="1.28515625" customWidth="1"/>
    <col min="7942" max="7942" width="13.42578125" bestFit="1" customWidth="1"/>
    <col min="7943" max="7943" width="9" bestFit="1" customWidth="1"/>
    <col min="7944" max="7944" width="14" bestFit="1" customWidth="1"/>
    <col min="7945" max="7945" width="2.85546875" customWidth="1"/>
    <col min="7946" max="7946" width="13.42578125" bestFit="1" customWidth="1"/>
    <col min="7947" max="7947" width="9" bestFit="1" customWidth="1"/>
    <col min="7948" max="7948" width="14" bestFit="1" customWidth="1"/>
    <col min="7949" max="7949" width="2.85546875" customWidth="1"/>
    <col min="7950" max="7950" width="12.7109375" customWidth="1"/>
    <col min="7951" max="7951" width="10.85546875" customWidth="1"/>
    <col min="7952" max="7952" width="3.85546875" customWidth="1"/>
    <col min="8193" max="8193" width="1.28515625" customWidth="1"/>
    <col min="8194" max="8194" width="26.5703125" customWidth="1"/>
    <col min="8195" max="8195" width="1.28515625" customWidth="1"/>
    <col min="8196" max="8196" width="11.28515625" customWidth="1"/>
    <col min="8197" max="8197" width="1.28515625" customWidth="1"/>
    <col min="8198" max="8198" width="13.42578125" bestFit="1" customWidth="1"/>
    <col min="8199" max="8199" width="9" bestFit="1" customWidth="1"/>
    <col min="8200" max="8200" width="14" bestFit="1" customWidth="1"/>
    <col min="8201" max="8201" width="2.85546875" customWidth="1"/>
    <col min="8202" max="8202" width="13.42578125" bestFit="1" customWidth="1"/>
    <col min="8203" max="8203" width="9" bestFit="1" customWidth="1"/>
    <col min="8204" max="8204" width="14" bestFit="1" customWidth="1"/>
    <col min="8205" max="8205" width="2.85546875" customWidth="1"/>
    <col min="8206" max="8206" width="12.7109375" customWidth="1"/>
    <col min="8207" max="8207" width="10.85546875" customWidth="1"/>
    <col min="8208" max="8208" width="3.85546875" customWidth="1"/>
    <col min="8449" max="8449" width="1.28515625" customWidth="1"/>
    <col min="8450" max="8450" width="26.5703125" customWidth="1"/>
    <col min="8451" max="8451" width="1.28515625" customWidth="1"/>
    <col min="8452" max="8452" width="11.28515625" customWidth="1"/>
    <col min="8453" max="8453" width="1.28515625" customWidth="1"/>
    <col min="8454" max="8454" width="13.42578125" bestFit="1" customWidth="1"/>
    <col min="8455" max="8455" width="9" bestFit="1" customWidth="1"/>
    <col min="8456" max="8456" width="14" bestFit="1" customWidth="1"/>
    <col min="8457" max="8457" width="2.85546875" customWidth="1"/>
    <col min="8458" max="8458" width="13.42578125" bestFit="1" customWidth="1"/>
    <col min="8459" max="8459" width="9" bestFit="1" customWidth="1"/>
    <col min="8460" max="8460" width="14" bestFit="1" customWidth="1"/>
    <col min="8461" max="8461" width="2.85546875" customWidth="1"/>
    <col min="8462" max="8462" width="12.7109375" customWidth="1"/>
    <col min="8463" max="8463" width="10.85546875" customWidth="1"/>
    <col min="8464" max="8464" width="3.85546875" customWidth="1"/>
    <col min="8705" max="8705" width="1.28515625" customWidth="1"/>
    <col min="8706" max="8706" width="26.5703125" customWidth="1"/>
    <col min="8707" max="8707" width="1.28515625" customWidth="1"/>
    <col min="8708" max="8708" width="11.28515625" customWidth="1"/>
    <col min="8709" max="8709" width="1.28515625" customWidth="1"/>
    <col min="8710" max="8710" width="13.42578125" bestFit="1" customWidth="1"/>
    <col min="8711" max="8711" width="9" bestFit="1" customWidth="1"/>
    <col min="8712" max="8712" width="14" bestFit="1" customWidth="1"/>
    <col min="8713" max="8713" width="2.85546875" customWidth="1"/>
    <col min="8714" max="8714" width="13.42578125" bestFit="1" customWidth="1"/>
    <col min="8715" max="8715" width="9" bestFit="1" customWidth="1"/>
    <col min="8716" max="8716" width="14" bestFit="1" customWidth="1"/>
    <col min="8717" max="8717" width="2.85546875" customWidth="1"/>
    <col min="8718" max="8718" width="12.7109375" customWidth="1"/>
    <col min="8719" max="8719" width="10.85546875" customWidth="1"/>
    <col min="8720" max="8720" width="3.85546875" customWidth="1"/>
    <col min="8961" max="8961" width="1.28515625" customWidth="1"/>
    <col min="8962" max="8962" width="26.5703125" customWidth="1"/>
    <col min="8963" max="8963" width="1.28515625" customWidth="1"/>
    <col min="8964" max="8964" width="11.28515625" customWidth="1"/>
    <col min="8965" max="8965" width="1.28515625" customWidth="1"/>
    <col min="8966" max="8966" width="13.42578125" bestFit="1" customWidth="1"/>
    <col min="8967" max="8967" width="9" bestFit="1" customWidth="1"/>
    <col min="8968" max="8968" width="14" bestFit="1" customWidth="1"/>
    <col min="8969" max="8969" width="2.85546875" customWidth="1"/>
    <col min="8970" max="8970" width="13.42578125" bestFit="1" customWidth="1"/>
    <col min="8971" max="8971" width="9" bestFit="1" customWidth="1"/>
    <col min="8972" max="8972" width="14" bestFit="1" customWidth="1"/>
    <col min="8973" max="8973" width="2.85546875" customWidth="1"/>
    <col min="8974" max="8974" width="12.7109375" customWidth="1"/>
    <col min="8975" max="8975" width="10.85546875" customWidth="1"/>
    <col min="8976" max="8976" width="3.85546875" customWidth="1"/>
    <col min="9217" max="9217" width="1.28515625" customWidth="1"/>
    <col min="9218" max="9218" width="26.5703125" customWidth="1"/>
    <col min="9219" max="9219" width="1.28515625" customWidth="1"/>
    <col min="9220" max="9220" width="11.28515625" customWidth="1"/>
    <col min="9221" max="9221" width="1.28515625" customWidth="1"/>
    <col min="9222" max="9222" width="13.42578125" bestFit="1" customWidth="1"/>
    <col min="9223" max="9223" width="9" bestFit="1" customWidth="1"/>
    <col min="9224" max="9224" width="14" bestFit="1" customWidth="1"/>
    <col min="9225" max="9225" width="2.85546875" customWidth="1"/>
    <col min="9226" max="9226" width="13.42578125" bestFit="1" customWidth="1"/>
    <col min="9227" max="9227" width="9" bestFit="1" customWidth="1"/>
    <col min="9228" max="9228" width="14" bestFit="1" customWidth="1"/>
    <col min="9229" max="9229" width="2.85546875" customWidth="1"/>
    <col min="9230" max="9230" width="12.7109375" customWidth="1"/>
    <col min="9231" max="9231" width="10.85546875" customWidth="1"/>
    <col min="9232" max="9232" width="3.85546875" customWidth="1"/>
    <col min="9473" max="9473" width="1.28515625" customWidth="1"/>
    <col min="9474" max="9474" width="26.5703125" customWidth="1"/>
    <col min="9475" max="9475" width="1.28515625" customWidth="1"/>
    <col min="9476" max="9476" width="11.28515625" customWidth="1"/>
    <col min="9477" max="9477" width="1.28515625" customWidth="1"/>
    <col min="9478" max="9478" width="13.42578125" bestFit="1" customWidth="1"/>
    <col min="9479" max="9479" width="9" bestFit="1" customWidth="1"/>
    <col min="9480" max="9480" width="14" bestFit="1" customWidth="1"/>
    <col min="9481" max="9481" width="2.85546875" customWidth="1"/>
    <col min="9482" max="9482" width="13.42578125" bestFit="1" customWidth="1"/>
    <col min="9483" max="9483" width="9" bestFit="1" customWidth="1"/>
    <col min="9484" max="9484" width="14" bestFit="1" customWidth="1"/>
    <col min="9485" max="9485" width="2.85546875" customWidth="1"/>
    <col min="9486" max="9486" width="12.7109375" customWidth="1"/>
    <col min="9487" max="9487" width="10.85546875" customWidth="1"/>
    <col min="9488" max="9488" width="3.85546875" customWidth="1"/>
    <col min="9729" max="9729" width="1.28515625" customWidth="1"/>
    <col min="9730" max="9730" width="26.5703125" customWidth="1"/>
    <col min="9731" max="9731" width="1.28515625" customWidth="1"/>
    <col min="9732" max="9732" width="11.28515625" customWidth="1"/>
    <col min="9733" max="9733" width="1.28515625" customWidth="1"/>
    <col min="9734" max="9734" width="13.42578125" bestFit="1" customWidth="1"/>
    <col min="9735" max="9735" width="9" bestFit="1" customWidth="1"/>
    <col min="9736" max="9736" width="14" bestFit="1" customWidth="1"/>
    <col min="9737" max="9737" width="2.85546875" customWidth="1"/>
    <col min="9738" max="9738" width="13.42578125" bestFit="1" customWidth="1"/>
    <col min="9739" max="9739" width="9" bestFit="1" customWidth="1"/>
    <col min="9740" max="9740" width="14" bestFit="1" customWidth="1"/>
    <col min="9741" max="9741" width="2.85546875" customWidth="1"/>
    <col min="9742" max="9742" width="12.7109375" customWidth="1"/>
    <col min="9743" max="9743" width="10.85546875" customWidth="1"/>
    <col min="9744" max="9744" width="3.85546875" customWidth="1"/>
    <col min="9985" max="9985" width="1.28515625" customWidth="1"/>
    <col min="9986" max="9986" width="26.5703125" customWidth="1"/>
    <col min="9987" max="9987" width="1.28515625" customWidth="1"/>
    <col min="9988" max="9988" width="11.28515625" customWidth="1"/>
    <col min="9989" max="9989" width="1.28515625" customWidth="1"/>
    <col min="9990" max="9990" width="13.42578125" bestFit="1" customWidth="1"/>
    <col min="9991" max="9991" width="9" bestFit="1" customWidth="1"/>
    <col min="9992" max="9992" width="14" bestFit="1" customWidth="1"/>
    <col min="9993" max="9993" width="2.85546875" customWidth="1"/>
    <col min="9994" max="9994" width="13.42578125" bestFit="1" customWidth="1"/>
    <col min="9995" max="9995" width="9" bestFit="1" customWidth="1"/>
    <col min="9996" max="9996" width="14" bestFit="1" customWidth="1"/>
    <col min="9997" max="9997" width="2.85546875" customWidth="1"/>
    <col min="9998" max="9998" width="12.7109375" customWidth="1"/>
    <col min="9999" max="9999" width="10.85546875" customWidth="1"/>
    <col min="10000" max="10000" width="3.85546875" customWidth="1"/>
    <col min="10241" max="10241" width="1.28515625" customWidth="1"/>
    <col min="10242" max="10242" width="26.5703125" customWidth="1"/>
    <col min="10243" max="10243" width="1.28515625" customWidth="1"/>
    <col min="10244" max="10244" width="11.28515625" customWidth="1"/>
    <col min="10245" max="10245" width="1.28515625" customWidth="1"/>
    <col min="10246" max="10246" width="13.42578125" bestFit="1" customWidth="1"/>
    <col min="10247" max="10247" width="9" bestFit="1" customWidth="1"/>
    <col min="10248" max="10248" width="14" bestFit="1" customWidth="1"/>
    <col min="10249" max="10249" width="2.85546875" customWidth="1"/>
    <col min="10250" max="10250" width="13.42578125" bestFit="1" customWidth="1"/>
    <col min="10251" max="10251" width="9" bestFit="1" customWidth="1"/>
    <col min="10252" max="10252" width="14" bestFit="1" customWidth="1"/>
    <col min="10253" max="10253" width="2.85546875" customWidth="1"/>
    <col min="10254" max="10254" width="12.7109375" customWidth="1"/>
    <col min="10255" max="10255" width="10.85546875" customWidth="1"/>
    <col min="10256" max="10256" width="3.85546875" customWidth="1"/>
    <col min="10497" max="10497" width="1.28515625" customWidth="1"/>
    <col min="10498" max="10498" width="26.5703125" customWidth="1"/>
    <col min="10499" max="10499" width="1.28515625" customWidth="1"/>
    <col min="10500" max="10500" width="11.28515625" customWidth="1"/>
    <col min="10501" max="10501" width="1.28515625" customWidth="1"/>
    <col min="10502" max="10502" width="13.42578125" bestFit="1" customWidth="1"/>
    <col min="10503" max="10503" width="9" bestFit="1" customWidth="1"/>
    <col min="10504" max="10504" width="14" bestFit="1" customWidth="1"/>
    <col min="10505" max="10505" width="2.85546875" customWidth="1"/>
    <col min="10506" max="10506" width="13.42578125" bestFit="1" customWidth="1"/>
    <col min="10507" max="10507" width="9" bestFit="1" customWidth="1"/>
    <col min="10508" max="10508" width="14" bestFit="1" customWidth="1"/>
    <col min="10509" max="10509" width="2.85546875" customWidth="1"/>
    <col min="10510" max="10510" width="12.7109375" customWidth="1"/>
    <col min="10511" max="10511" width="10.85546875" customWidth="1"/>
    <col min="10512" max="10512" width="3.85546875" customWidth="1"/>
    <col min="10753" max="10753" width="1.28515625" customWidth="1"/>
    <col min="10754" max="10754" width="26.5703125" customWidth="1"/>
    <col min="10755" max="10755" width="1.28515625" customWidth="1"/>
    <col min="10756" max="10756" width="11.28515625" customWidth="1"/>
    <col min="10757" max="10757" width="1.28515625" customWidth="1"/>
    <col min="10758" max="10758" width="13.42578125" bestFit="1" customWidth="1"/>
    <col min="10759" max="10759" width="9" bestFit="1" customWidth="1"/>
    <col min="10760" max="10760" width="14" bestFit="1" customWidth="1"/>
    <col min="10761" max="10761" width="2.85546875" customWidth="1"/>
    <col min="10762" max="10762" width="13.42578125" bestFit="1" customWidth="1"/>
    <col min="10763" max="10763" width="9" bestFit="1" customWidth="1"/>
    <col min="10764" max="10764" width="14" bestFit="1" customWidth="1"/>
    <col min="10765" max="10765" width="2.85546875" customWidth="1"/>
    <col min="10766" max="10766" width="12.7109375" customWidth="1"/>
    <col min="10767" max="10767" width="10.85546875" customWidth="1"/>
    <col min="10768" max="10768" width="3.85546875" customWidth="1"/>
    <col min="11009" max="11009" width="1.28515625" customWidth="1"/>
    <col min="11010" max="11010" width="26.5703125" customWidth="1"/>
    <col min="11011" max="11011" width="1.28515625" customWidth="1"/>
    <col min="11012" max="11012" width="11.28515625" customWidth="1"/>
    <col min="11013" max="11013" width="1.28515625" customWidth="1"/>
    <col min="11014" max="11014" width="13.42578125" bestFit="1" customWidth="1"/>
    <col min="11015" max="11015" width="9" bestFit="1" customWidth="1"/>
    <col min="11016" max="11016" width="14" bestFit="1" customWidth="1"/>
    <col min="11017" max="11017" width="2.85546875" customWidth="1"/>
    <col min="11018" max="11018" width="13.42578125" bestFit="1" customWidth="1"/>
    <col min="11019" max="11019" width="9" bestFit="1" customWidth="1"/>
    <col min="11020" max="11020" width="14" bestFit="1" customWidth="1"/>
    <col min="11021" max="11021" width="2.85546875" customWidth="1"/>
    <col min="11022" max="11022" width="12.7109375" customWidth="1"/>
    <col min="11023" max="11023" width="10.85546875" customWidth="1"/>
    <col min="11024" max="11024" width="3.85546875" customWidth="1"/>
    <col min="11265" max="11265" width="1.28515625" customWidth="1"/>
    <col min="11266" max="11266" width="26.5703125" customWidth="1"/>
    <col min="11267" max="11267" width="1.28515625" customWidth="1"/>
    <col min="11268" max="11268" width="11.28515625" customWidth="1"/>
    <col min="11269" max="11269" width="1.28515625" customWidth="1"/>
    <col min="11270" max="11270" width="13.42578125" bestFit="1" customWidth="1"/>
    <col min="11271" max="11271" width="9" bestFit="1" customWidth="1"/>
    <col min="11272" max="11272" width="14" bestFit="1" customWidth="1"/>
    <col min="11273" max="11273" width="2.85546875" customWidth="1"/>
    <col min="11274" max="11274" width="13.42578125" bestFit="1" customWidth="1"/>
    <col min="11275" max="11275" width="9" bestFit="1" customWidth="1"/>
    <col min="11276" max="11276" width="14" bestFit="1" customWidth="1"/>
    <col min="11277" max="11277" width="2.85546875" customWidth="1"/>
    <col min="11278" max="11278" width="12.7109375" customWidth="1"/>
    <col min="11279" max="11279" width="10.85546875" customWidth="1"/>
    <col min="11280" max="11280" width="3.85546875" customWidth="1"/>
    <col min="11521" max="11521" width="1.28515625" customWidth="1"/>
    <col min="11522" max="11522" width="26.5703125" customWidth="1"/>
    <col min="11523" max="11523" width="1.28515625" customWidth="1"/>
    <col min="11524" max="11524" width="11.28515625" customWidth="1"/>
    <col min="11525" max="11525" width="1.28515625" customWidth="1"/>
    <col min="11526" max="11526" width="13.42578125" bestFit="1" customWidth="1"/>
    <col min="11527" max="11527" width="9" bestFit="1" customWidth="1"/>
    <col min="11528" max="11528" width="14" bestFit="1" customWidth="1"/>
    <col min="11529" max="11529" width="2.85546875" customWidth="1"/>
    <col min="11530" max="11530" width="13.42578125" bestFit="1" customWidth="1"/>
    <col min="11531" max="11531" width="9" bestFit="1" customWidth="1"/>
    <col min="11532" max="11532" width="14" bestFit="1" customWidth="1"/>
    <col min="11533" max="11533" width="2.85546875" customWidth="1"/>
    <col min="11534" max="11534" width="12.7109375" customWidth="1"/>
    <col min="11535" max="11535" width="10.85546875" customWidth="1"/>
    <col min="11536" max="11536" width="3.85546875" customWidth="1"/>
    <col min="11777" max="11777" width="1.28515625" customWidth="1"/>
    <col min="11778" max="11778" width="26.5703125" customWidth="1"/>
    <col min="11779" max="11779" width="1.28515625" customWidth="1"/>
    <col min="11780" max="11780" width="11.28515625" customWidth="1"/>
    <col min="11781" max="11781" width="1.28515625" customWidth="1"/>
    <col min="11782" max="11782" width="13.42578125" bestFit="1" customWidth="1"/>
    <col min="11783" max="11783" width="9" bestFit="1" customWidth="1"/>
    <col min="11784" max="11784" width="14" bestFit="1" customWidth="1"/>
    <col min="11785" max="11785" width="2.85546875" customWidth="1"/>
    <col min="11786" max="11786" width="13.42578125" bestFit="1" customWidth="1"/>
    <col min="11787" max="11787" width="9" bestFit="1" customWidth="1"/>
    <col min="11788" max="11788" width="14" bestFit="1" customWidth="1"/>
    <col min="11789" max="11789" width="2.85546875" customWidth="1"/>
    <col min="11790" max="11790" width="12.7109375" customWidth="1"/>
    <col min="11791" max="11791" width="10.85546875" customWidth="1"/>
    <col min="11792" max="11792" width="3.85546875" customWidth="1"/>
    <col min="12033" max="12033" width="1.28515625" customWidth="1"/>
    <col min="12034" max="12034" width="26.5703125" customWidth="1"/>
    <col min="12035" max="12035" width="1.28515625" customWidth="1"/>
    <col min="12036" max="12036" width="11.28515625" customWidth="1"/>
    <col min="12037" max="12037" width="1.28515625" customWidth="1"/>
    <col min="12038" max="12038" width="13.42578125" bestFit="1" customWidth="1"/>
    <col min="12039" max="12039" width="9" bestFit="1" customWidth="1"/>
    <col min="12040" max="12040" width="14" bestFit="1" customWidth="1"/>
    <col min="12041" max="12041" width="2.85546875" customWidth="1"/>
    <col min="12042" max="12042" width="13.42578125" bestFit="1" customWidth="1"/>
    <col min="12043" max="12043" width="9" bestFit="1" customWidth="1"/>
    <col min="12044" max="12044" width="14" bestFit="1" customWidth="1"/>
    <col min="12045" max="12045" width="2.85546875" customWidth="1"/>
    <col min="12046" max="12046" width="12.7109375" customWidth="1"/>
    <col min="12047" max="12047" width="10.85546875" customWidth="1"/>
    <col min="12048" max="12048" width="3.85546875" customWidth="1"/>
    <col min="12289" max="12289" width="1.28515625" customWidth="1"/>
    <col min="12290" max="12290" width="26.5703125" customWidth="1"/>
    <col min="12291" max="12291" width="1.28515625" customWidth="1"/>
    <col min="12292" max="12292" width="11.28515625" customWidth="1"/>
    <col min="12293" max="12293" width="1.28515625" customWidth="1"/>
    <col min="12294" max="12294" width="13.42578125" bestFit="1" customWidth="1"/>
    <col min="12295" max="12295" width="9" bestFit="1" customWidth="1"/>
    <col min="12296" max="12296" width="14" bestFit="1" customWidth="1"/>
    <col min="12297" max="12297" width="2.85546875" customWidth="1"/>
    <col min="12298" max="12298" width="13.42578125" bestFit="1" customWidth="1"/>
    <col min="12299" max="12299" width="9" bestFit="1" customWidth="1"/>
    <col min="12300" max="12300" width="14" bestFit="1" customWidth="1"/>
    <col min="12301" max="12301" width="2.85546875" customWidth="1"/>
    <col min="12302" max="12302" width="12.7109375" customWidth="1"/>
    <col min="12303" max="12303" width="10.85546875" customWidth="1"/>
    <col min="12304" max="12304" width="3.85546875" customWidth="1"/>
    <col min="12545" max="12545" width="1.28515625" customWidth="1"/>
    <col min="12546" max="12546" width="26.5703125" customWidth="1"/>
    <col min="12547" max="12547" width="1.28515625" customWidth="1"/>
    <col min="12548" max="12548" width="11.28515625" customWidth="1"/>
    <col min="12549" max="12549" width="1.28515625" customWidth="1"/>
    <col min="12550" max="12550" width="13.42578125" bestFit="1" customWidth="1"/>
    <col min="12551" max="12551" width="9" bestFit="1" customWidth="1"/>
    <col min="12552" max="12552" width="14" bestFit="1" customWidth="1"/>
    <col min="12553" max="12553" width="2.85546875" customWidth="1"/>
    <col min="12554" max="12554" width="13.42578125" bestFit="1" customWidth="1"/>
    <col min="12555" max="12555" width="9" bestFit="1" customWidth="1"/>
    <col min="12556" max="12556" width="14" bestFit="1" customWidth="1"/>
    <col min="12557" max="12557" width="2.85546875" customWidth="1"/>
    <col min="12558" max="12558" width="12.7109375" customWidth="1"/>
    <col min="12559" max="12559" width="10.85546875" customWidth="1"/>
    <col min="12560" max="12560" width="3.85546875" customWidth="1"/>
    <col min="12801" max="12801" width="1.28515625" customWidth="1"/>
    <col min="12802" max="12802" width="26.5703125" customWidth="1"/>
    <col min="12803" max="12803" width="1.28515625" customWidth="1"/>
    <col min="12804" max="12804" width="11.28515625" customWidth="1"/>
    <col min="12805" max="12805" width="1.28515625" customWidth="1"/>
    <col min="12806" max="12806" width="13.42578125" bestFit="1" customWidth="1"/>
    <col min="12807" max="12807" width="9" bestFit="1" customWidth="1"/>
    <col min="12808" max="12808" width="14" bestFit="1" customWidth="1"/>
    <col min="12809" max="12809" width="2.85546875" customWidth="1"/>
    <col min="12810" max="12810" width="13.42578125" bestFit="1" customWidth="1"/>
    <col min="12811" max="12811" width="9" bestFit="1" customWidth="1"/>
    <col min="12812" max="12812" width="14" bestFit="1" customWidth="1"/>
    <col min="12813" max="12813" width="2.85546875" customWidth="1"/>
    <col min="12814" max="12814" width="12.7109375" customWidth="1"/>
    <col min="12815" max="12815" width="10.85546875" customWidth="1"/>
    <col min="12816" max="12816" width="3.85546875" customWidth="1"/>
    <col min="13057" max="13057" width="1.28515625" customWidth="1"/>
    <col min="13058" max="13058" width="26.5703125" customWidth="1"/>
    <col min="13059" max="13059" width="1.28515625" customWidth="1"/>
    <col min="13060" max="13060" width="11.28515625" customWidth="1"/>
    <col min="13061" max="13061" width="1.28515625" customWidth="1"/>
    <col min="13062" max="13062" width="13.42578125" bestFit="1" customWidth="1"/>
    <col min="13063" max="13063" width="9" bestFit="1" customWidth="1"/>
    <col min="13064" max="13064" width="14" bestFit="1" customWidth="1"/>
    <col min="13065" max="13065" width="2.85546875" customWidth="1"/>
    <col min="13066" max="13066" width="13.42578125" bestFit="1" customWidth="1"/>
    <col min="13067" max="13067" width="9" bestFit="1" customWidth="1"/>
    <col min="13068" max="13068" width="14" bestFit="1" customWidth="1"/>
    <col min="13069" max="13069" width="2.85546875" customWidth="1"/>
    <col min="13070" max="13070" width="12.7109375" customWidth="1"/>
    <col min="13071" max="13071" width="10.85546875" customWidth="1"/>
    <col min="13072" max="13072" width="3.85546875" customWidth="1"/>
    <col min="13313" max="13313" width="1.28515625" customWidth="1"/>
    <col min="13314" max="13314" width="26.5703125" customWidth="1"/>
    <col min="13315" max="13315" width="1.28515625" customWidth="1"/>
    <col min="13316" max="13316" width="11.28515625" customWidth="1"/>
    <col min="13317" max="13317" width="1.28515625" customWidth="1"/>
    <col min="13318" max="13318" width="13.42578125" bestFit="1" customWidth="1"/>
    <col min="13319" max="13319" width="9" bestFit="1" customWidth="1"/>
    <col min="13320" max="13320" width="14" bestFit="1" customWidth="1"/>
    <col min="13321" max="13321" width="2.85546875" customWidth="1"/>
    <col min="13322" max="13322" width="13.42578125" bestFit="1" customWidth="1"/>
    <col min="13323" max="13323" width="9" bestFit="1" customWidth="1"/>
    <col min="13324" max="13324" width="14" bestFit="1" customWidth="1"/>
    <col min="13325" max="13325" width="2.85546875" customWidth="1"/>
    <col min="13326" max="13326" width="12.7109375" customWidth="1"/>
    <col min="13327" max="13327" width="10.85546875" customWidth="1"/>
    <col min="13328" max="13328" width="3.85546875" customWidth="1"/>
    <col min="13569" max="13569" width="1.28515625" customWidth="1"/>
    <col min="13570" max="13570" width="26.5703125" customWidth="1"/>
    <col min="13571" max="13571" width="1.28515625" customWidth="1"/>
    <col min="13572" max="13572" width="11.28515625" customWidth="1"/>
    <col min="13573" max="13573" width="1.28515625" customWidth="1"/>
    <col min="13574" max="13574" width="13.42578125" bestFit="1" customWidth="1"/>
    <col min="13575" max="13575" width="9" bestFit="1" customWidth="1"/>
    <col min="13576" max="13576" width="14" bestFit="1" customWidth="1"/>
    <col min="13577" max="13577" width="2.85546875" customWidth="1"/>
    <col min="13578" max="13578" width="13.42578125" bestFit="1" customWidth="1"/>
    <col min="13579" max="13579" width="9" bestFit="1" customWidth="1"/>
    <col min="13580" max="13580" width="14" bestFit="1" customWidth="1"/>
    <col min="13581" max="13581" width="2.85546875" customWidth="1"/>
    <col min="13582" max="13582" width="12.7109375" customWidth="1"/>
    <col min="13583" max="13583" width="10.85546875" customWidth="1"/>
    <col min="13584" max="13584" width="3.85546875" customWidth="1"/>
    <col min="13825" max="13825" width="1.28515625" customWidth="1"/>
    <col min="13826" max="13826" width="26.5703125" customWidth="1"/>
    <col min="13827" max="13827" width="1.28515625" customWidth="1"/>
    <col min="13828" max="13828" width="11.28515625" customWidth="1"/>
    <col min="13829" max="13829" width="1.28515625" customWidth="1"/>
    <col min="13830" max="13830" width="13.42578125" bestFit="1" customWidth="1"/>
    <col min="13831" max="13831" width="9" bestFit="1" customWidth="1"/>
    <col min="13832" max="13832" width="14" bestFit="1" customWidth="1"/>
    <col min="13833" max="13833" width="2.85546875" customWidth="1"/>
    <col min="13834" max="13834" width="13.42578125" bestFit="1" customWidth="1"/>
    <col min="13835" max="13835" width="9" bestFit="1" customWidth="1"/>
    <col min="13836" max="13836" width="14" bestFit="1" customWidth="1"/>
    <col min="13837" max="13837" width="2.85546875" customWidth="1"/>
    <col min="13838" max="13838" width="12.7109375" customWidth="1"/>
    <col min="13839" max="13839" width="10.85546875" customWidth="1"/>
    <col min="13840" max="13840" width="3.85546875" customWidth="1"/>
    <col min="14081" max="14081" width="1.28515625" customWidth="1"/>
    <col min="14082" max="14082" width="26.5703125" customWidth="1"/>
    <col min="14083" max="14083" width="1.28515625" customWidth="1"/>
    <col min="14084" max="14084" width="11.28515625" customWidth="1"/>
    <col min="14085" max="14085" width="1.28515625" customWidth="1"/>
    <col min="14086" max="14086" width="13.42578125" bestFit="1" customWidth="1"/>
    <col min="14087" max="14087" width="9" bestFit="1" customWidth="1"/>
    <col min="14088" max="14088" width="14" bestFit="1" customWidth="1"/>
    <col min="14089" max="14089" width="2.85546875" customWidth="1"/>
    <col min="14090" max="14090" width="13.42578125" bestFit="1" customWidth="1"/>
    <col min="14091" max="14091" width="9" bestFit="1" customWidth="1"/>
    <col min="14092" max="14092" width="14" bestFit="1" customWidth="1"/>
    <col min="14093" max="14093" width="2.85546875" customWidth="1"/>
    <col min="14094" max="14094" width="12.7109375" customWidth="1"/>
    <col min="14095" max="14095" width="10.85546875" customWidth="1"/>
    <col min="14096" max="14096" width="3.85546875" customWidth="1"/>
    <col min="14337" max="14337" width="1.28515625" customWidth="1"/>
    <col min="14338" max="14338" width="26.5703125" customWidth="1"/>
    <col min="14339" max="14339" width="1.28515625" customWidth="1"/>
    <col min="14340" max="14340" width="11.28515625" customWidth="1"/>
    <col min="14341" max="14341" width="1.28515625" customWidth="1"/>
    <col min="14342" max="14342" width="13.42578125" bestFit="1" customWidth="1"/>
    <col min="14343" max="14343" width="9" bestFit="1" customWidth="1"/>
    <col min="14344" max="14344" width="14" bestFit="1" customWidth="1"/>
    <col min="14345" max="14345" width="2.85546875" customWidth="1"/>
    <col min="14346" max="14346" width="13.42578125" bestFit="1" customWidth="1"/>
    <col min="14347" max="14347" width="9" bestFit="1" customWidth="1"/>
    <col min="14348" max="14348" width="14" bestFit="1" customWidth="1"/>
    <col min="14349" max="14349" width="2.85546875" customWidth="1"/>
    <col min="14350" max="14350" width="12.7109375" customWidth="1"/>
    <col min="14351" max="14351" width="10.85546875" customWidth="1"/>
    <col min="14352" max="14352" width="3.85546875" customWidth="1"/>
    <col min="14593" max="14593" width="1.28515625" customWidth="1"/>
    <col min="14594" max="14594" width="26.5703125" customWidth="1"/>
    <col min="14595" max="14595" width="1.28515625" customWidth="1"/>
    <col min="14596" max="14596" width="11.28515625" customWidth="1"/>
    <col min="14597" max="14597" width="1.28515625" customWidth="1"/>
    <col min="14598" max="14598" width="13.42578125" bestFit="1" customWidth="1"/>
    <col min="14599" max="14599" width="9" bestFit="1" customWidth="1"/>
    <col min="14600" max="14600" width="14" bestFit="1" customWidth="1"/>
    <col min="14601" max="14601" width="2.85546875" customWidth="1"/>
    <col min="14602" max="14602" width="13.42578125" bestFit="1" customWidth="1"/>
    <col min="14603" max="14603" width="9" bestFit="1" customWidth="1"/>
    <col min="14604" max="14604" width="14" bestFit="1" customWidth="1"/>
    <col min="14605" max="14605" width="2.85546875" customWidth="1"/>
    <col min="14606" max="14606" width="12.7109375" customWidth="1"/>
    <col min="14607" max="14607" width="10.85546875" customWidth="1"/>
    <col min="14608" max="14608" width="3.85546875" customWidth="1"/>
    <col min="14849" max="14849" width="1.28515625" customWidth="1"/>
    <col min="14850" max="14850" width="26.5703125" customWidth="1"/>
    <col min="14851" max="14851" width="1.28515625" customWidth="1"/>
    <col min="14852" max="14852" width="11.28515625" customWidth="1"/>
    <col min="14853" max="14853" width="1.28515625" customWidth="1"/>
    <col min="14854" max="14854" width="13.42578125" bestFit="1" customWidth="1"/>
    <col min="14855" max="14855" width="9" bestFit="1" customWidth="1"/>
    <col min="14856" max="14856" width="14" bestFit="1" customWidth="1"/>
    <col min="14857" max="14857" width="2.85546875" customWidth="1"/>
    <col min="14858" max="14858" width="13.42578125" bestFit="1" customWidth="1"/>
    <col min="14859" max="14859" width="9" bestFit="1" customWidth="1"/>
    <col min="14860" max="14860" width="14" bestFit="1" customWidth="1"/>
    <col min="14861" max="14861" width="2.85546875" customWidth="1"/>
    <col min="14862" max="14862" width="12.7109375" customWidth="1"/>
    <col min="14863" max="14863" width="10.85546875" customWidth="1"/>
    <col min="14864" max="14864" width="3.85546875" customWidth="1"/>
    <col min="15105" max="15105" width="1.28515625" customWidth="1"/>
    <col min="15106" max="15106" width="26.5703125" customWidth="1"/>
    <col min="15107" max="15107" width="1.28515625" customWidth="1"/>
    <col min="15108" max="15108" width="11.28515625" customWidth="1"/>
    <col min="15109" max="15109" width="1.28515625" customWidth="1"/>
    <col min="15110" max="15110" width="13.42578125" bestFit="1" customWidth="1"/>
    <col min="15111" max="15111" width="9" bestFit="1" customWidth="1"/>
    <col min="15112" max="15112" width="14" bestFit="1" customWidth="1"/>
    <col min="15113" max="15113" width="2.85546875" customWidth="1"/>
    <col min="15114" max="15114" width="13.42578125" bestFit="1" customWidth="1"/>
    <col min="15115" max="15115" width="9" bestFit="1" customWidth="1"/>
    <col min="15116" max="15116" width="14" bestFit="1" customWidth="1"/>
    <col min="15117" max="15117" width="2.85546875" customWidth="1"/>
    <col min="15118" max="15118" width="12.7109375" customWidth="1"/>
    <col min="15119" max="15119" width="10.85546875" customWidth="1"/>
    <col min="15120" max="15120" width="3.85546875" customWidth="1"/>
    <col min="15361" max="15361" width="1.28515625" customWidth="1"/>
    <col min="15362" max="15362" width="26.5703125" customWidth="1"/>
    <col min="15363" max="15363" width="1.28515625" customWidth="1"/>
    <col min="15364" max="15364" width="11.28515625" customWidth="1"/>
    <col min="15365" max="15365" width="1.28515625" customWidth="1"/>
    <col min="15366" max="15366" width="13.42578125" bestFit="1" customWidth="1"/>
    <col min="15367" max="15367" width="9" bestFit="1" customWidth="1"/>
    <col min="15368" max="15368" width="14" bestFit="1" customWidth="1"/>
    <col min="15369" max="15369" width="2.85546875" customWidth="1"/>
    <col min="15370" max="15370" width="13.42578125" bestFit="1" customWidth="1"/>
    <col min="15371" max="15371" width="9" bestFit="1" customWidth="1"/>
    <col min="15372" max="15372" width="14" bestFit="1" customWidth="1"/>
    <col min="15373" max="15373" width="2.85546875" customWidth="1"/>
    <col min="15374" max="15374" width="12.7109375" customWidth="1"/>
    <col min="15375" max="15375" width="10.85546875" customWidth="1"/>
    <col min="15376" max="15376" width="3.85546875" customWidth="1"/>
    <col min="15617" max="15617" width="1.28515625" customWidth="1"/>
    <col min="15618" max="15618" width="26.5703125" customWidth="1"/>
    <col min="15619" max="15619" width="1.28515625" customWidth="1"/>
    <col min="15620" max="15620" width="11.28515625" customWidth="1"/>
    <col min="15621" max="15621" width="1.28515625" customWidth="1"/>
    <col min="15622" max="15622" width="13.42578125" bestFit="1" customWidth="1"/>
    <col min="15623" max="15623" width="9" bestFit="1" customWidth="1"/>
    <col min="15624" max="15624" width="14" bestFit="1" customWidth="1"/>
    <col min="15625" max="15625" width="2.85546875" customWidth="1"/>
    <col min="15626" max="15626" width="13.42578125" bestFit="1" customWidth="1"/>
    <col min="15627" max="15627" width="9" bestFit="1" customWidth="1"/>
    <col min="15628" max="15628" width="14" bestFit="1" customWidth="1"/>
    <col min="15629" max="15629" width="2.85546875" customWidth="1"/>
    <col min="15630" max="15630" width="12.7109375" customWidth="1"/>
    <col min="15631" max="15631" width="10.85546875" customWidth="1"/>
    <col min="15632" max="15632" width="3.85546875" customWidth="1"/>
    <col min="15873" max="15873" width="1.28515625" customWidth="1"/>
    <col min="15874" max="15874" width="26.5703125" customWidth="1"/>
    <col min="15875" max="15875" width="1.28515625" customWidth="1"/>
    <col min="15876" max="15876" width="11.28515625" customWidth="1"/>
    <col min="15877" max="15877" width="1.28515625" customWidth="1"/>
    <col min="15878" max="15878" width="13.42578125" bestFit="1" customWidth="1"/>
    <col min="15879" max="15879" width="9" bestFit="1" customWidth="1"/>
    <col min="15880" max="15880" width="14" bestFit="1" customWidth="1"/>
    <col min="15881" max="15881" width="2.85546875" customWidth="1"/>
    <col min="15882" max="15882" width="13.42578125" bestFit="1" customWidth="1"/>
    <col min="15883" max="15883" width="9" bestFit="1" customWidth="1"/>
    <col min="15884" max="15884" width="14" bestFit="1" customWidth="1"/>
    <col min="15885" max="15885" width="2.85546875" customWidth="1"/>
    <col min="15886" max="15886" width="12.7109375" customWidth="1"/>
    <col min="15887" max="15887" width="10.85546875" customWidth="1"/>
    <col min="15888" max="15888" width="3.85546875" customWidth="1"/>
    <col min="16129" max="16129" width="1.28515625" customWidth="1"/>
    <col min="16130" max="16130" width="26.5703125" customWidth="1"/>
    <col min="16131" max="16131" width="1.28515625" customWidth="1"/>
    <col min="16132" max="16132" width="11.28515625" customWidth="1"/>
    <col min="16133" max="16133" width="1.28515625" customWidth="1"/>
    <col min="16134" max="16134" width="13.42578125" bestFit="1" customWidth="1"/>
    <col min="16135" max="16135" width="9" bestFit="1" customWidth="1"/>
    <col min="16136" max="16136" width="14" bestFit="1" customWidth="1"/>
    <col min="16137" max="16137" width="2.85546875" customWidth="1"/>
    <col min="16138" max="16138" width="13.42578125" bestFit="1" customWidth="1"/>
    <col min="16139" max="16139" width="9" bestFit="1" customWidth="1"/>
    <col min="16140" max="16140" width="14" bestFit="1" customWidth="1"/>
    <col min="16141" max="16141" width="2.85546875" customWidth="1"/>
    <col min="16142" max="16142" width="12.7109375" customWidth="1"/>
    <col min="16143" max="16143" width="10.85546875" customWidth="1"/>
    <col min="16144" max="16144" width="3.85546875" customWidth="1"/>
  </cols>
  <sheetData>
    <row r="1" spans="1:16" ht="21.75" x14ac:dyDescent="0.2">
      <c r="A1" s="41"/>
      <c r="B1" s="41"/>
      <c r="C1" s="41"/>
      <c r="D1" s="41"/>
      <c r="E1" s="41"/>
      <c r="F1" s="41"/>
      <c r="G1" s="41"/>
      <c r="H1" s="41"/>
      <c r="I1" s="41"/>
      <c r="J1" s="41"/>
      <c r="K1" s="41"/>
      <c r="L1" s="37"/>
      <c r="M1" s="37"/>
      <c r="N1" s="16" t="s">
        <v>444</v>
      </c>
      <c r="O1" s="250" t="s">
        <v>866</v>
      </c>
    </row>
    <row r="2" spans="1:16" ht="18" x14ac:dyDescent="0.25">
      <c r="A2" s="40"/>
      <c r="B2" s="40"/>
      <c r="C2" s="40"/>
      <c r="D2" s="40"/>
      <c r="E2" s="40"/>
      <c r="F2" s="40"/>
      <c r="G2" s="40"/>
      <c r="H2" s="40"/>
      <c r="I2" s="40"/>
      <c r="J2" s="40"/>
      <c r="K2" s="40"/>
      <c r="L2" s="37"/>
      <c r="M2" s="37"/>
      <c r="N2" s="16" t="s">
        <v>445</v>
      </c>
      <c r="O2" s="1001">
        <v>8</v>
      </c>
    </row>
    <row r="3" spans="1:16" x14ac:dyDescent="0.2">
      <c r="A3" s="1626"/>
      <c r="B3" s="1626"/>
      <c r="C3" s="1626"/>
      <c r="D3" s="1626"/>
      <c r="E3" s="1626"/>
      <c r="F3" s="1626"/>
      <c r="G3" s="1626"/>
      <c r="H3" s="1626"/>
      <c r="I3" s="1626"/>
      <c r="J3" s="1626"/>
      <c r="K3" s="1626"/>
      <c r="L3" s="37"/>
      <c r="M3" s="37"/>
      <c r="N3" s="16" t="s">
        <v>446</v>
      </c>
      <c r="O3" s="1001">
        <v>4</v>
      </c>
    </row>
    <row r="4" spans="1:16" ht="18" x14ac:dyDescent="0.25">
      <c r="A4" s="40"/>
      <c r="B4" s="40"/>
      <c r="C4" s="40"/>
      <c r="D4" s="40"/>
      <c r="E4" s="40"/>
      <c r="F4" s="40"/>
      <c r="G4" s="40"/>
      <c r="H4" s="40"/>
      <c r="I4" s="38"/>
      <c r="J4" s="38"/>
      <c r="K4" s="38"/>
      <c r="L4" s="37"/>
      <c r="M4" s="37"/>
      <c r="N4" s="16" t="s">
        <v>447</v>
      </c>
      <c r="O4" s="1001">
        <v>3</v>
      </c>
    </row>
    <row r="5" spans="1:16" ht="15.75" x14ac:dyDescent="0.25">
      <c r="A5" s="37"/>
      <c r="B5" s="37"/>
      <c r="C5" s="39"/>
      <c r="D5" s="39"/>
      <c r="E5" s="39"/>
      <c r="F5" s="37"/>
      <c r="G5" s="37"/>
      <c r="H5" s="37"/>
      <c r="I5" s="37"/>
      <c r="J5" s="37"/>
      <c r="K5" s="37"/>
      <c r="L5" s="37"/>
      <c r="M5" s="37"/>
      <c r="N5" s="16" t="s">
        <v>448</v>
      </c>
      <c r="O5" s="1002" t="s">
        <v>1129</v>
      </c>
    </row>
    <row r="6" spans="1:16" x14ac:dyDescent="0.2">
      <c r="A6" s="37"/>
      <c r="B6" s="37"/>
      <c r="C6" s="37"/>
      <c r="D6" s="37"/>
      <c r="E6" s="37"/>
      <c r="F6" s="37"/>
      <c r="G6" s="37"/>
      <c r="H6" s="37"/>
      <c r="I6" s="37"/>
      <c r="J6" s="37"/>
      <c r="K6" s="37"/>
      <c r="L6" s="37"/>
      <c r="M6" s="37"/>
      <c r="N6" s="16"/>
      <c r="O6" s="250"/>
    </row>
    <row r="7" spans="1:16" x14ac:dyDescent="0.2">
      <c r="A7" s="37"/>
      <c r="B7" s="37"/>
      <c r="C7" s="37"/>
      <c r="D7" s="37"/>
      <c r="E7" s="37"/>
      <c r="F7" s="37"/>
      <c r="G7" s="37"/>
      <c r="H7" s="37"/>
      <c r="I7" s="37"/>
      <c r="J7" s="37"/>
      <c r="K7" s="37"/>
      <c r="L7" s="37"/>
      <c r="M7" s="37"/>
      <c r="N7" s="16" t="s">
        <v>449</v>
      </c>
      <c r="O7" s="1081"/>
    </row>
    <row r="8" spans="1:16" x14ac:dyDescent="0.2">
      <c r="A8" s="37"/>
      <c r="B8" s="37"/>
      <c r="C8" s="37"/>
      <c r="D8" s="37"/>
      <c r="E8" s="37"/>
      <c r="F8" s="37"/>
      <c r="G8" s="37"/>
      <c r="H8" s="37"/>
      <c r="I8" s="37"/>
      <c r="J8" s="37"/>
      <c r="K8" s="37"/>
      <c r="L8" s="37"/>
      <c r="M8" s="37"/>
      <c r="N8" s="7"/>
    </row>
    <row r="9" spans="1:16" x14ac:dyDescent="0.2">
      <c r="A9" s="7"/>
      <c r="B9" s="7"/>
      <c r="C9" s="7"/>
      <c r="D9" s="7"/>
      <c r="E9" s="7"/>
      <c r="F9" s="7"/>
      <c r="G9" s="7"/>
      <c r="H9" s="7"/>
      <c r="I9" s="7"/>
      <c r="J9" s="7"/>
      <c r="K9" s="7"/>
    </row>
    <row r="10" spans="1:16" x14ac:dyDescent="0.2">
      <c r="A10" s="7"/>
      <c r="B10" s="1626" t="s">
        <v>695</v>
      </c>
      <c r="C10" s="1626"/>
      <c r="D10" s="1626"/>
      <c r="E10" s="1626"/>
      <c r="F10" s="1626"/>
      <c r="G10" s="1626"/>
      <c r="H10" s="1626"/>
      <c r="I10" s="1626"/>
      <c r="J10" s="1626"/>
      <c r="K10" s="1626"/>
      <c r="L10" s="1626"/>
      <c r="M10" s="1626"/>
      <c r="N10" s="1626"/>
      <c r="O10" s="1626"/>
    </row>
    <row r="11" spans="1:16" x14ac:dyDescent="0.2">
      <c r="A11" s="7"/>
      <c r="B11" s="1626" t="s">
        <v>63</v>
      </c>
      <c r="C11" s="1626"/>
      <c r="D11" s="1626"/>
      <c r="E11" s="1626"/>
      <c r="F11" s="1626"/>
      <c r="G11" s="1626"/>
      <c r="H11" s="1626"/>
      <c r="I11" s="1626"/>
      <c r="J11" s="1626"/>
      <c r="K11" s="1626"/>
      <c r="L11" s="1626"/>
      <c r="M11" s="1626"/>
      <c r="N11" s="1626"/>
      <c r="O11" s="1626"/>
    </row>
    <row r="12" spans="1:16" x14ac:dyDescent="0.2">
      <c r="A12" s="7"/>
      <c r="B12" s="7"/>
      <c r="C12" s="7"/>
      <c r="D12" s="7"/>
      <c r="E12" s="7"/>
      <c r="F12" s="7"/>
      <c r="G12" s="7"/>
      <c r="H12" s="7"/>
      <c r="I12" s="7"/>
      <c r="J12" s="7"/>
      <c r="K12" s="7"/>
    </row>
    <row r="13" spans="1:16" x14ac:dyDescent="0.2">
      <c r="A13" s="7"/>
      <c r="B13" s="7"/>
      <c r="C13" s="7"/>
      <c r="D13" s="7"/>
      <c r="E13" s="7"/>
      <c r="F13" s="7"/>
      <c r="G13" s="7"/>
      <c r="H13" s="7"/>
      <c r="I13" s="7"/>
      <c r="J13" s="7"/>
      <c r="K13" s="7"/>
    </row>
    <row r="14" spans="1:16" x14ac:dyDescent="0.2">
      <c r="A14" s="7"/>
      <c r="B14" s="43" t="s">
        <v>40</v>
      </c>
      <c r="C14" s="7"/>
      <c r="D14" s="1626" t="s">
        <v>82</v>
      </c>
      <c r="E14" s="1626"/>
      <c r="F14" s="1626"/>
      <c r="G14" s="1626"/>
      <c r="H14" s="1626"/>
      <c r="I14" s="1626"/>
      <c r="J14" s="1626"/>
      <c r="K14" s="1626"/>
      <c r="L14" s="1626"/>
      <c r="M14" s="1626"/>
      <c r="N14" s="1626"/>
      <c r="O14" s="1626"/>
      <c r="P14" s="7"/>
    </row>
    <row r="15" spans="1:16" ht="15.75" x14ac:dyDescent="0.25">
      <c r="A15" s="7"/>
      <c r="B15" s="1003"/>
      <c r="C15" s="7"/>
      <c r="D15" s="42"/>
      <c r="E15" s="42"/>
      <c r="F15" s="42"/>
      <c r="G15" s="42"/>
      <c r="H15" s="42"/>
      <c r="I15" s="42"/>
      <c r="J15" s="42"/>
      <c r="K15" s="42"/>
      <c r="L15" s="42"/>
      <c r="M15" s="42"/>
      <c r="N15" s="42"/>
      <c r="O15" s="42"/>
      <c r="P15" s="7"/>
    </row>
    <row r="16" spans="1:16" x14ac:dyDescent="0.2">
      <c r="A16" s="7"/>
      <c r="B16" s="647"/>
      <c r="C16" s="7"/>
      <c r="D16" s="8" t="s">
        <v>17</v>
      </c>
      <c r="E16" s="8"/>
      <c r="F16" s="1004">
        <v>500</v>
      </c>
      <c r="G16" s="8" t="s">
        <v>18</v>
      </c>
      <c r="H16" s="7"/>
      <c r="I16" s="7"/>
      <c r="J16" s="7"/>
      <c r="K16" s="7"/>
      <c r="L16" s="7"/>
      <c r="M16" s="7"/>
      <c r="N16" s="7"/>
      <c r="O16" s="7"/>
      <c r="P16" s="7"/>
    </row>
    <row r="17" spans="1:16" x14ac:dyDescent="0.2">
      <c r="A17" s="7"/>
      <c r="B17" s="647"/>
      <c r="C17" s="7"/>
      <c r="D17" s="7"/>
      <c r="E17" s="7"/>
      <c r="F17" s="7"/>
      <c r="G17" s="7"/>
      <c r="H17" s="7"/>
      <c r="I17" s="7"/>
      <c r="J17" s="7"/>
      <c r="K17" s="7"/>
      <c r="L17" s="7"/>
      <c r="M17" s="7"/>
      <c r="N17" s="7"/>
      <c r="O17" s="7"/>
      <c r="P17" s="7"/>
    </row>
    <row r="18" spans="1:16" x14ac:dyDescent="0.2">
      <c r="A18" s="7"/>
      <c r="B18" s="647"/>
      <c r="C18" s="7"/>
      <c r="D18" s="19"/>
      <c r="E18" s="19"/>
      <c r="F18" s="1626" t="s">
        <v>19</v>
      </c>
      <c r="G18" s="1626"/>
      <c r="H18" s="1626"/>
      <c r="I18" s="7"/>
      <c r="J18" s="1626" t="s">
        <v>20</v>
      </c>
      <c r="K18" s="1626"/>
      <c r="L18" s="1626"/>
      <c r="M18" s="7"/>
      <c r="N18" s="1626" t="s">
        <v>21</v>
      </c>
      <c r="O18" s="1626"/>
      <c r="P18" s="7"/>
    </row>
    <row r="19" spans="1:16" ht="12.75" customHeight="1" x14ac:dyDescent="0.2">
      <c r="A19" s="7"/>
      <c r="B19" s="647"/>
      <c r="C19" s="7"/>
      <c r="D19" s="1626" t="s">
        <v>22</v>
      </c>
      <c r="E19" s="20"/>
      <c r="F19" s="21" t="s">
        <v>23</v>
      </c>
      <c r="G19" s="21" t="s">
        <v>24</v>
      </c>
      <c r="H19" s="21" t="s">
        <v>25</v>
      </c>
      <c r="I19" s="7"/>
      <c r="J19" s="21" t="s">
        <v>23</v>
      </c>
      <c r="K19" s="23" t="s">
        <v>24</v>
      </c>
      <c r="L19" s="21" t="s">
        <v>25</v>
      </c>
      <c r="M19" s="7"/>
      <c r="N19" s="1627" t="s">
        <v>26</v>
      </c>
      <c r="O19" s="1627" t="s">
        <v>27</v>
      </c>
      <c r="P19" s="7"/>
    </row>
    <row r="20" spans="1:16" x14ac:dyDescent="0.2">
      <c r="A20" s="7"/>
      <c r="B20" s="647"/>
      <c r="C20" s="7"/>
      <c r="D20" s="1626"/>
      <c r="E20" s="20"/>
      <c r="F20" s="24" t="s">
        <v>452</v>
      </c>
      <c r="G20" s="24"/>
      <c r="H20" s="24" t="s">
        <v>452</v>
      </c>
      <c r="I20" s="7"/>
      <c r="J20" s="24" t="s">
        <v>452</v>
      </c>
      <c r="K20" s="25"/>
      <c r="L20" s="24" t="s">
        <v>452</v>
      </c>
      <c r="M20" s="7"/>
      <c r="N20" s="1628"/>
      <c r="O20" s="1628"/>
      <c r="P20" s="7"/>
    </row>
    <row r="21" spans="1:16" x14ac:dyDescent="0.2">
      <c r="A21" s="7"/>
      <c r="B21" s="26" t="s">
        <v>28</v>
      </c>
      <c r="C21" s="26"/>
      <c r="D21" s="1005" t="s">
        <v>1130</v>
      </c>
      <c r="E21" s="27"/>
      <c r="F21" s="1006">
        <v>13.8</v>
      </c>
      <c r="G21" s="32">
        <v>1</v>
      </c>
      <c r="H21" s="1007">
        <f>G21*F21</f>
        <v>13.8</v>
      </c>
      <c r="I21" s="30"/>
      <c r="J21" s="1008">
        <v>16.39</v>
      </c>
      <c r="K21" s="33">
        <v>1</v>
      </c>
      <c r="L21" s="1007">
        <f>K21*J21</f>
        <v>16.39</v>
      </c>
      <c r="M21" s="30"/>
      <c r="N21" s="34">
        <f>L21-H21</f>
        <v>2.59</v>
      </c>
      <c r="O21" s="202">
        <f>IF((H21)=0,"",(N21/H21))</f>
        <v>0.18768115942028984</v>
      </c>
      <c r="P21" s="7"/>
    </row>
    <row r="22" spans="1:16" x14ac:dyDescent="0.2">
      <c r="A22" s="7"/>
      <c r="B22" s="26" t="s">
        <v>29</v>
      </c>
      <c r="C22" s="26"/>
      <c r="D22" s="1005" t="s">
        <v>1130</v>
      </c>
      <c r="E22" s="27"/>
      <c r="F22" s="1006">
        <v>2.42</v>
      </c>
      <c r="G22" s="32">
        <v>1</v>
      </c>
      <c r="H22" s="1007">
        <f t="shared" ref="H22:H30" si="0">G22*F22</f>
        <v>2.42</v>
      </c>
      <c r="I22" s="30"/>
      <c r="J22" s="1008">
        <v>0</v>
      </c>
      <c r="K22" s="33">
        <v>1</v>
      </c>
      <c r="L22" s="1007">
        <f>K22*J22</f>
        <v>0</v>
      </c>
      <c r="M22" s="30"/>
      <c r="N22" s="34">
        <f>L22-H22</f>
        <v>-2.42</v>
      </c>
      <c r="O22" s="202">
        <f>IF((H22)=0,"",(N22/H22))</f>
        <v>-1</v>
      </c>
      <c r="P22" s="7"/>
    </row>
    <row r="23" spans="1:16" x14ac:dyDescent="0.2">
      <c r="A23" s="7"/>
      <c r="B23" s="1009" t="s">
        <v>1131</v>
      </c>
      <c r="C23" s="26"/>
      <c r="D23" s="1005" t="s">
        <v>79</v>
      </c>
      <c r="E23" s="27"/>
      <c r="F23" s="1006">
        <v>-5.0000000000000001E-4</v>
      </c>
      <c r="G23" s="32">
        <f>F16</f>
        <v>500</v>
      </c>
      <c r="H23" s="1007">
        <f t="shared" si="0"/>
        <v>-0.25</v>
      </c>
      <c r="I23" s="30"/>
      <c r="J23" s="1008">
        <v>0</v>
      </c>
      <c r="K23" s="33">
        <f>F16</f>
        <v>500</v>
      </c>
      <c r="L23" s="1007">
        <f t="shared" ref="L23:L30" si="1">K23*J23</f>
        <v>0</v>
      </c>
      <c r="M23" s="30"/>
      <c r="N23" s="34">
        <f t="shared" ref="N23:N61" si="2">L23-H23</f>
        <v>0.25</v>
      </c>
      <c r="O23" s="202">
        <f t="shared" ref="O23:O31" si="3">IF((H23)=0,"",(N23/H23))</f>
        <v>-1</v>
      </c>
      <c r="P23" s="7"/>
    </row>
    <row r="24" spans="1:16" x14ac:dyDescent="0.2">
      <c r="A24" s="7"/>
      <c r="B24" s="1009" t="s">
        <v>36</v>
      </c>
      <c r="C24" s="26"/>
      <c r="D24" s="1005" t="s">
        <v>1130</v>
      </c>
      <c r="E24" s="27"/>
      <c r="F24" s="1006">
        <v>0.25</v>
      </c>
      <c r="G24" s="32">
        <v>1</v>
      </c>
      <c r="H24" s="1007">
        <f t="shared" si="0"/>
        <v>0.25</v>
      </c>
      <c r="I24" s="30"/>
      <c r="J24" s="1008">
        <v>0.25</v>
      </c>
      <c r="K24" s="33">
        <v>1</v>
      </c>
      <c r="L24" s="1007">
        <f t="shared" si="1"/>
        <v>0.25</v>
      </c>
      <c r="M24" s="30"/>
      <c r="N24" s="34">
        <f t="shared" si="2"/>
        <v>0</v>
      </c>
      <c r="O24" s="202">
        <f t="shared" si="3"/>
        <v>0</v>
      </c>
      <c r="P24" s="7"/>
    </row>
    <row r="25" spans="1:16" x14ac:dyDescent="0.2">
      <c r="A25" s="7"/>
      <c r="B25" s="26" t="s">
        <v>30</v>
      </c>
      <c r="C25" s="26"/>
      <c r="D25" s="1005" t="s">
        <v>79</v>
      </c>
      <c r="E25" s="27"/>
      <c r="F25" s="1006">
        <v>1.8800000000000001E-2</v>
      </c>
      <c r="G25" s="32">
        <f>F16</f>
        <v>500</v>
      </c>
      <c r="H25" s="1007">
        <f t="shared" si="0"/>
        <v>9.4</v>
      </c>
      <c r="I25" s="30"/>
      <c r="J25" s="1008">
        <v>2.23E-2</v>
      </c>
      <c r="K25" s="32">
        <f>F16</f>
        <v>500</v>
      </c>
      <c r="L25" s="1007">
        <f t="shared" si="1"/>
        <v>11.15</v>
      </c>
      <c r="M25" s="30"/>
      <c r="N25" s="34">
        <f t="shared" si="2"/>
        <v>1.75</v>
      </c>
      <c r="O25" s="202">
        <f t="shared" si="3"/>
        <v>0.18617021276595744</v>
      </c>
      <c r="P25" s="7"/>
    </row>
    <row r="26" spans="1:16" x14ac:dyDescent="0.2">
      <c r="A26" s="7"/>
      <c r="B26" s="26" t="s">
        <v>31</v>
      </c>
      <c r="C26" s="26"/>
      <c r="D26" s="1005"/>
      <c r="E26" s="27"/>
      <c r="F26" s="1006"/>
      <c r="G26" s="32"/>
      <c r="H26" s="1007">
        <f t="shared" si="0"/>
        <v>0</v>
      </c>
      <c r="I26" s="30"/>
      <c r="J26" s="1008"/>
      <c r="K26" s="32"/>
      <c r="L26" s="1007">
        <f t="shared" si="1"/>
        <v>0</v>
      </c>
      <c r="M26" s="30"/>
      <c r="N26" s="34">
        <f t="shared" si="2"/>
        <v>0</v>
      </c>
      <c r="O26" s="202" t="str">
        <f t="shared" si="3"/>
        <v/>
      </c>
      <c r="P26" s="7"/>
    </row>
    <row r="27" spans="1:16" x14ac:dyDescent="0.2">
      <c r="A27" s="7"/>
      <c r="B27" s="26" t="s">
        <v>1132</v>
      </c>
      <c r="C27" s="26"/>
      <c r="D27" s="1005" t="s">
        <v>80</v>
      </c>
      <c r="E27" s="27"/>
      <c r="F27" s="1006">
        <v>4.0000000000000002E-4</v>
      </c>
      <c r="G27" s="32">
        <f>F16</f>
        <v>500</v>
      </c>
      <c r="H27" s="1007">
        <f t="shared" si="0"/>
        <v>0.2</v>
      </c>
      <c r="I27" s="30"/>
      <c r="J27" s="1008">
        <v>0</v>
      </c>
      <c r="K27" s="32">
        <f>F16</f>
        <v>500</v>
      </c>
      <c r="L27" s="1007">
        <f t="shared" si="1"/>
        <v>0</v>
      </c>
      <c r="M27" s="30"/>
      <c r="N27" s="34">
        <f t="shared" si="2"/>
        <v>-0.2</v>
      </c>
      <c r="O27" s="202">
        <f t="shared" si="3"/>
        <v>-1</v>
      </c>
      <c r="P27" s="7"/>
    </row>
    <row r="28" spans="1:16" x14ac:dyDescent="0.2">
      <c r="A28" s="7"/>
      <c r="B28" s="26" t="s">
        <v>1133</v>
      </c>
      <c r="C28" s="26"/>
      <c r="D28" s="1005" t="s">
        <v>80</v>
      </c>
      <c r="E28" s="27"/>
      <c r="F28" s="1006">
        <v>2.0000000000000001E-4</v>
      </c>
      <c r="G28" s="32">
        <f>F16</f>
        <v>500</v>
      </c>
      <c r="H28" s="1007">
        <f t="shared" si="0"/>
        <v>0.1</v>
      </c>
      <c r="I28" s="30"/>
      <c r="J28" s="1008">
        <v>2.0000000000000001E-4</v>
      </c>
      <c r="K28" s="32">
        <f>F16</f>
        <v>500</v>
      </c>
      <c r="L28" s="1007">
        <f t="shared" si="1"/>
        <v>0.1</v>
      </c>
      <c r="M28" s="30"/>
      <c r="N28" s="34">
        <f t="shared" si="2"/>
        <v>0</v>
      </c>
      <c r="O28" s="202">
        <f t="shared" si="3"/>
        <v>0</v>
      </c>
      <c r="P28" s="7"/>
    </row>
    <row r="29" spans="1:16" x14ac:dyDescent="0.2">
      <c r="A29" s="7"/>
      <c r="B29" s="26" t="s">
        <v>1134</v>
      </c>
      <c r="C29" s="26"/>
      <c r="D29" s="1005" t="s">
        <v>80</v>
      </c>
      <c r="E29" s="27"/>
      <c r="F29" s="1006">
        <v>0</v>
      </c>
      <c r="G29" s="32">
        <f>F16</f>
        <v>500</v>
      </c>
      <c r="H29" s="1007">
        <f t="shared" si="0"/>
        <v>0</v>
      </c>
      <c r="I29" s="30"/>
      <c r="J29" s="1008">
        <v>2.9999999999999997E-4</v>
      </c>
      <c r="K29" s="32">
        <f>F16</f>
        <v>500</v>
      </c>
      <c r="L29" s="1007">
        <f t="shared" si="1"/>
        <v>0.15</v>
      </c>
      <c r="M29" s="30"/>
      <c r="N29" s="34">
        <f t="shared" si="2"/>
        <v>0.15</v>
      </c>
      <c r="O29" s="202" t="str">
        <f t="shared" si="3"/>
        <v/>
      </c>
      <c r="P29" s="7"/>
    </row>
    <row r="30" spans="1:16" x14ac:dyDescent="0.2">
      <c r="A30" s="7"/>
      <c r="B30" s="1010" t="s">
        <v>1135</v>
      </c>
      <c r="C30" s="26"/>
      <c r="D30" s="1005" t="s">
        <v>1130</v>
      </c>
      <c r="E30" s="27"/>
      <c r="F30" s="1006">
        <v>0</v>
      </c>
      <c r="G30" s="32">
        <v>1</v>
      </c>
      <c r="H30" s="1007">
        <f t="shared" si="0"/>
        <v>0</v>
      </c>
      <c r="I30" s="30"/>
      <c r="J30" s="1008">
        <v>2.25</v>
      </c>
      <c r="K30" s="32">
        <v>1</v>
      </c>
      <c r="L30" s="1007">
        <f t="shared" si="1"/>
        <v>2.25</v>
      </c>
      <c r="M30" s="30"/>
      <c r="N30" s="34">
        <f t="shared" si="2"/>
        <v>2.25</v>
      </c>
      <c r="O30" s="202" t="str">
        <f t="shared" si="3"/>
        <v/>
      </c>
      <c r="P30" s="7"/>
    </row>
    <row r="31" spans="1:16" x14ac:dyDescent="0.2">
      <c r="A31" s="29"/>
      <c r="B31" s="1011" t="s">
        <v>698</v>
      </c>
      <c r="C31" s="1012"/>
      <c r="D31" s="1013"/>
      <c r="E31" s="1012"/>
      <c r="F31" s="1014"/>
      <c r="G31" s="1015"/>
      <c r="H31" s="1016">
        <f>SUM(H21:H30)</f>
        <v>25.919999999999998</v>
      </c>
      <c r="I31" s="1017"/>
      <c r="J31" s="1018"/>
      <c r="K31" s="1019"/>
      <c r="L31" s="1016">
        <f>SUM(L21:L30)</f>
        <v>30.29</v>
      </c>
      <c r="M31" s="1017"/>
      <c r="N31" s="1020">
        <f t="shared" si="2"/>
        <v>4.370000000000001</v>
      </c>
      <c r="O31" s="1021">
        <f t="shared" si="3"/>
        <v>0.16859567901234573</v>
      </c>
      <c r="P31" s="29"/>
    </row>
    <row r="32" spans="1:16" ht="38.25" x14ac:dyDescent="0.2">
      <c r="A32" s="7"/>
      <c r="B32" s="1022" t="s">
        <v>1136</v>
      </c>
      <c r="C32" s="26"/>
      <c r="D32" s="1005" t="s">
        <v>80</v>
      </c>
      <c r="E32" s="27"/>
      <c r="F32" s="1006">
        <v>1.1999999999999999E-3</v>
      </c>
      <c r="G32" s="32">
        <f>F16</f>
        <v>500</v>
      </c>
      <c r="H32" s="1007">
        <f>G32*F32</f>
        <v>0.6</v>
      </c>
      <c r="I32" s="30"/>
      <c r="J32" s="1008">
        <v>0</v>
      </c>
      <c r="K32" s="32">
        <f>F16</f>
        <v>500</v>
      </c>
      <c r="L32" s="1007">
        <f>K32*J32</f>
        <v>0</v>
      </c>
      <c r="M32" s="30"/>
      <c r="N32" s="34">
        <f t="shared" si="2"/>
        <v>-0.6</v>
      </c>
      <c r="O32" s="202">
        <f>IF((H32)=0,"",(N32/H32))</f>
        <v>-1</v>
      </c>
      <c r="P32" s="7"/>
    </row>
    <row r="33" spans="1:16" ht="38.25" x14ac:dyDescent="0.2">
      <c r="A33" s="7"/>
      <c r="B33" s="1022" t="s">
        <v>1137</v>
      </c>
      <c r="C33" s="26"/>
      <c r="D33" s="1005" t="s">
        <v>80</v>
      </c>
      <c r="E33" s="27"/>
      <c r="F33" s="1006">
        <v>-1.6999999999999999E-3</v>
      </c>
      <c r="G33" s="32">
        <f>F16</f>
        <v>500</v>
      </c>
      <c r="H33" s="1007">
        <f>G33*F33</f>
        <v>-0.85</v>
      </c>
      <c r="I33" s="30"/>
      <c r="J33" s="1008">
        <v>-1.6999999999999999E-3</v>
      </c>
      <c r="K33" s="32">
        <f>F16</f>
        <v>500</v>
      </c>
      <c r="L33" s="1007">
        <f>K33*J33</f>
        <v>-0.85</v>
      </c>
      <c r="M33" s="30"/>
      <c r="N33" s="34">
        <f t="shared" si="2"/>
        <v>0</v>
      </c>
      <c r="O33" s="202">
        <f>IF((H33)=0,"",(N33/H33))</f>
        <v>0</v>
      </c>
      <c r="P33" s="7"/>
    </row>
    <row r="34" spans="1:16" ht="51" x14ac:dyDescent="0.2">
      <c r="A34" s="7"/>
      <c r="B34" s="1022" t="s">
        <v>1138</v>
      </c>
      <c r="C34" s="26"/>
      <c r="D34" s="1005" t="s">
        <v>80</v>
      </c>
      <c r="E34" s="27"/>
      <c r="F34" s="1006">
        <v>0</v>
      </c>
      <c r="G34" s="32">
        <f>F16</f>
        <v>500</v>
      </c>
      <c r="H34" s="1007">
        <f>G34*F34</f>
        <v>0</v>
      </c>
      <c r="I34" s="30"/>
      <c r="J34" s="1008">
        <v>-1.1999999999999999E-3</v>
      </c>
      <c r="K34" s="32">
        <f>F16</f>
        <v>500</v>
      </c>
      <c r="L34" s="1007">
        <f>K34*J34</f>
        <v>-0.6</v>
      </c>
      <c r="M34" s="30"/>
      <c r="N34" s="34">
        <f t="shared" si="2"/>
        <v>-0.6</v>
      </c>
      <c r="O34" s="202" t="str">
        <f>IF((H34)=0,"",(N34/H34))</f>
        <v/>
      </c>
      <c r="P34" s="7"/>
    </row>
    <row r="35" spans="1:16" x14ac:dyDescent="0.2">
      <c r="A35" s="7"/>
      <c r="B35" s="564" t="s">
        <v>808</v>
      </c>
      <c r="C35" s="26"/>
      <c r="D35" s="1005" t="s">
        <v>79</v>
      </c>
      <c r="E35" s="27"/>
      <c r="F35" s="1006">
        <v>2.0000000000000001E-4</v>
      </c>
      <c r="G35" s="32">
        <f>F16</f>
        <v>500</v>
      </c>
      <c r="H35" s="1007">
        <f>G35*F35</f>
        <v>0.1</v>
      </c>
      <c r="I35" s="30"/>
      <c r="J35" s="1008">
        <v>2.0000000000000001E-4</v>
      </c>
      <c r="K35" s="32">
        <f>F16</f>
        <v>500</v>
      </c>
      <c r="L35" s="1007">
        <f>K35*J35</f>
        <v>0.1</v>
      </c>
      <c r="M35" s="30"/>
      <c r="N35" s="34">
        <f t="shared" si="2"/>
        <v>0</v>
      </c>
      <c r="O35" s="202">
        <f>IF((H35)=0,"",(N35/H35))</f>
        <v>0</v>
      </c>
      <c r="P35" s="7"/>
    </row>
    <row r="36" spans="1:16" x14ac:dyDescent="0.2">
      <c r="A36" s="7"/>
      <c r="B36" s="564" t="s">
        <v>701</v>
      </c>
      <c r="C36" s="26"/>
      <c r="D36" s="1005"/>
      <c r="E36" s="27"/>
      <c r="F36" s="1023"/>
      <c r="G36" s="1024"/>
      <c r="H36" s="1025"/>
      <c r="I36" s="30"/>
      <c r="J36" s="1008"/>
      <c r="K36" s="32">
        <f>F16</f>
        <v>500</v>
      </c>
      <c r="L36" s="1007">
        <f>K36*J36</f>
        <v>0</v>
      </c>
      <c r="M36" s="30"/>
      <c r="N36" s="34">
        <f t="shared" si="2"/>
        <v>0</v>
      </c>
      <c r="O36" s="202"/>
      <c r="P36" s="7"/>
    </row>
    <row r="37" spans="1:16" ht="25.5" x14ac:dyDescent="0.2">
      <c r="A37" s="7"/>
      <c r="B37" s="1026" t="s">
        <v>699</v>
      </c>
      <c r="C37" s="1027"/>
      <c r="D37" s="1027"/>
      <c r="E37" s="1027"/>
      <c r="F37" s="1028"/>
      <c r="G37" s="1029"/>
      <c r="H37" s="1030">
        <f>SUM(H31:H36)</f>
        <v>25.77</v>
      </c>
      <c r="I37" s="1017"/>
      <c r="J37" s="1029"/>
      <c r="K37" s="1031"/>
      <c r="L37" s="1030">
        <f>SUM(L31:L36)</f>
        <v>28.939999999999998</v>
      </c>
      <c r="M37" s="1017"/>
      <c r="N37" s="1020">
        <f t="shared" si="2"/>
        <v>3.1699999999999982</v>
      </c>
      <c r="O37" s="1021">
        <f t="shared" ref="O37:O61" si="4">IF((H37)=0,"",(N37/H37))</f>
        <v>0.12301125339542096</v>
      </c>
      <c r="P37" s="7"/>
    </row>
    <row r="38" spans="1:16" x14ac:dyDescent="0.2">
      <c r="A38" s="7"/>
      <c r="B38" s="30" t="s">
        <v>32</v>
      </c>
      <c r="C38" s="30"/>
      <c r="D38" s="1032" t="s">
        <v>79</v>
      </c>
      <c r="E38" s="31"/>
      <c r="F38" s="1008">
        <v>6.7999999999999996E-3</v>
      </c>
      <c r="G38" s="667">
        <f>F16*(1+F64)</f>
        <v>517.80000000000007</v>
      </c>
      <c r="H38" s="1007">
        <f>G38*F38</f>
        <v>3.5210400000000002</v>
      </c>
      <c r="I38" s="30"/>
      <c r="J38" s="1008">
        <v>6.3E-3</v>
      </c>
      <c r="K38" s="668">
        <f>F16*(1+J64)</f>
        <v>521.02703213950758</v>
      </c>
      <c r="L38" s="1007">
        <f>K38*J38</f>
        <v>3.2824703024788979</v>
      </c>
      <c r="M38" s="30"/>
      <c r="N38" s="34">
        <f t="shared" si="2"/>
        <v>-0.23856969752110224</v>
      </c>
      <c r="O38" s="202">
        <f t="shared" si="4"/>
        <v>-6.7755463590615905E-2</v>
      </c>
      <c r="P38" s="7"/>
    </row>
    <row r="39" spans="1:16" ht="25.5" x14ac:dyDescent="0.2">
      <c r="A39" s="7"/>
      <c r="B39" s="35" t="s">
        <v>33</v>
      </c>
      <c r="C39" s="30"/>
      <c r="D39" s="1032" t="s">
        <v>79</v>
      </c>
      <c r="E39" s="31"/>
      <c r="F39" s="1008">
        <v>5.7000000000000002E-3</v>
      </c>
      <c r="G39" s="667">
        <f>G38</f>
        <v>517.80000000000007</v>
      </c>
      <c r="H39" s="1007">
        <f>G39*F39</f>
        <v>2.9514600000000004</v>
      </c>
      <c r="I39" s="30"/>
      <c r="J39" s="1008">
        <v>5.4999999999999997E-3</v>
      </c>
      <c r="K39" s="668">
        <f>K38</f>
        <v>521.02703213950758</v>
      </c>
      <c r="L39" s="1007">
        <f>K39*J39</f>
        <v>2.8656486767672917</v>
      </c>
      <c r="M39" s="30"/>
      <c r="N39" s="34">
        <f t="shared" si="2"/>
        <v>-8.5811323232708681E-2</v>
      </c>
      <c r="O39" s="202">
        <f t="shared" si="4"/>
        <v>-2.9074194884128081E-2</v>
      </c>
      <c r="P39" s="7"/>
    </row>
    <row r="40" spans="1:16" ht="25.5" x14ac:dyDescent="0.2">
      <c r="A40" s="7"/>
      <c r="B40" s="1026" t="s">
        <v>700</v>
      </c>
      <c r="C40" s="1012"/>
      <c r="D40" s="1012"/>
      <c r="E40" s="1012"/>
      <c r="F40" s="1033"/>
      <c r="G40" s="1029"/>
      <c r="H40" s="1030">
        <f>SUM(H37:H39)</f>
        <v>32.2425</v>
      </c>
      <c r="I40" s="1034"/>
      <c r="J40" s="1035"/>
      <c r="K40" s="1036"/>
      <c r="L40" s="1030">
        <f>SUM(L37:L39)</f>
        <v>35.08811897924619</v>
      </c>
      <c r="M40" s="1034"/>
      <c r="N40" s="1020">
        <f t="shared" si="2"/>
        <v>2.8456189792461899</v>
      </c>
      <c r="O40" s="1021">
        <f t="shared" si="4"/>
        <v>8.8256772249242152E-2</v>
      </c>
      <c r="P40" s="7"/>
    </row>
    <row r="41" spans="1:16" ht="25.5" x14ac:dyDescent="0.2">
      <c r="A41" s="7"/>
      <c r="B41" s="28" t="s">
        <v>34</v>
      </c>
      <c r="C41" s="26"/>
      <c r="D41" s="1005" t="s">
        <v>79</v>
      </c>
      <c r="E41" s="27"/>
      <c r="F41" s="1037">
        <v>5.1999999999999998E-3</v>
      </c>
      <c r="G41" s="667">
        <f>F16*(1+F64)</f>
        <v>517.80000000000007</v>
      </c>
      <c r="H41" s="1038">
        <f t="shared" ref="H41:H49" si="5">G41*F41</f>
        <v>2.6925600000000003</v>
      </c>
      <c r="I41" s="30"/>
      <c r="J41" s="1039">
        <v>5.1999999999999998E-3</v>
      </c>
      <c r="K41" s="668">
        <f>F16*(1+J64)</f>
        <v>521.02703213950758</v>
      </c>
      <c r="L41" s="1038">
        <f t="shared" ref="L41:L49" si="6">K41*J41</f>
        <v>2.7093405671254391</v>
      </c>
      <c r="M41" s="30"/>
      <c r="N41" s="34">
        <f t="shared" si="2"/>
        <v>1.678056712543885E-2</v>
      </c>
      <c r="O41" s="565">
        <f t="shared" si="4"/>
        <v>6.2321980291762669E-3</v>
      </c>
      <c r="P41" s="7"/>
    </row>
    <row r="42" spans="1:16" ht="25.5" x14ac:dyDescent="0.2">
      <c r="A42" s="7"/>
      <c r="B42" s="28" t="s">
        <v>35</v>
      </c>
      <c r="C42" s="26"/>
      <c r="D42" s="1005" t="s">
        <v>79</v>
      </c>
      <c r="E42" s="27"/>
      <c r="F42" s="1037">
        <v>1.1000000000000001E-3</v>
      </c>
      <c r="G42" s="667">
        <f>F16*(1+F64)</f>
        <v>517.80000000000007</v>
      </c>
      <c r="H42" s="1038">
        <f t="shared" si="5"/>
        <v>0.56958000000000009</v>
      </c>
      <c r="I42" s="30"/>
      <c r="J42" s="1039">
        <v>1.1000000000000001E-3</v>
      </c>
      <c r="K42" s="668">
        <f>F16*(1+J64)</f>
        <v>521.02703213950758</v>
      </c>
      <c r="L42" s="1038">
        <f t="shared" si="6"/>
        <v>0.57312973535345835</v>
      </c>
      <c r="M42" s="30"/>
      <c r="N42" s="34">
        <f t="shared" si="2"/>
        <v>3.549735353458261E-3</v>
      </c>
      <c r="O42" s="565">
        <f t="shared" si="4"/>
        <v>6.2321980291763415E-3</v>
      </c>
      <c r="P42" s="7"/>
    </row>
    <row r="43" spans="1:16" x14ac:dyDescent="0.2">
      <c r="A43" s="7"/>
      <c r="B43" s="26" t="s">
        <v>36</v>
      </c>
      <c r="C43" s="26"/>
      <c r="D43" s="1005"/>
      <c r="E43" s="27"/>
      <c r="F43" s="1037"/>
      <c r="G43" s="32">
        <v>1</v>
      </c>
      <c r="H43" s="1038">
        <f t="shared" si="5"/>
        <v>0</v>
      </c>
      <c r="I43" s="30"/>
      <c r="J43" s="1039"/>
      <c r="K43" s="33">
        <v>1</v>
      </c>
      <c r="L43" s="1038">
        <f t="shared" si="6"/>
        <v>0</v>
      </c>
      <c r="M43" s="30"/>
      <c r="N43" s="34">
        <f t="shared" si="2"/>
        <v>0</v>
      </c>
      <c r="O43" s="565" t="str">
        <f t="shared" si="4"/>
        <v/>
      </c>
      <c r="P43" s="7"/>
    </row>
    <row r="44" spans="1:16" x14ac:dyDescent="0.2">
      <c r="A44" s="7"/>
      <c r="B44" s="26" t="s">
        <v>37</v>
      </c>
      <c r="C44" s="26"/>
      <c r="D44" s="1005" t="s">
        <v>79</v>
      </c>
      <c r="E44" s="27"/>
      <c r="F44" s="1037">
        <v>7.0000000000000001E-3</v>
      </c>
      <c r="G44" s="667">
        <f>F16</f>
        <v>500</v>
      </c>
      <c r="H44" s="1038">
        <f t="shared" si="5"/>
        <v>3.5</v>
      </c>
      <c r="I44" s="30"/>
      <c r="J44" s="1039">
        <v>7.0000000000000001E-3</v>
      </c>
      <c r="K44" s="668">
        <f>F16</f>
        <v>500</v>
      </c>
      <c r="L44" s="1038">
        <f t="shared" si="6"/>
        <v>3.5</v>
      </c>
      <c r="M44" s="30"/>
      <c r="N44" s="34">
        <f t="shared" si="2"/>
        <v>0</v>
      </c>
      <c r="O44" s="565">
        <f t="shared" si="4"/>
        <v>0</v>
      </c>
      <c r="P44" s="7"/>
    </row>
    <row r="45" spans="1:16" x14ac:dyDescent="0.2">
      <c r="A45" s="7"/>
      <c r="B45" s="564" t="s">
        <v>777</v>
      </c>
      <c r="C45" s="26"/>
      <c r="D45" s="1005" t="s">
        <v>79</v>
      </c>
      <c r="E45" s="27"/>
      <c r="F45" s="1040">
        <v>7.4999999999999997E-2</v>
      </c>
      <c r="G45" s="667">
        <f>IF($G$41&gt;=0,0,$G$41)</f>
        <v>0</v>
      </c>
      <c r="H45" s="1038">
        <f>G45*F45</f>
        <v>0</v>
      </c>
      <c r="I45" s="30"/>
      <c r="J45" s="1037">
        <v>7.4999999999999997E-2</v>
      </c>
      <c r="K45" s="667">
        <f>IF($K$41&gt;=0,0,$K$41)</f>
        <v>0</v>
      </c>
      <c r="L45" s="1038">
        <f>K45*J45</f>
        <v>0</v>
      </c>
      <c r="M45" s="30"/>
      <c r="N45" s="34">
        <f t="shared" si="2"/>
        <v>0</v>
      </c>
      <c r="O45" s="565" t="str">
        <f t="shared" si="4"/>
        <v/>
      </c>
      <c r="P45" s="7"/>
    </row>
    <row r="46" spans="1:16" x14ac:dyDescent="0.2">
      <c r="A46" s="7"/>
      <c r="B46" s="564" t="s">
        <v>778</v>
      </c>
      <c r="C46" s="26"/>
      <c r="D46" s="1005" t="s">
        <v>79</v>
      </c>
      <c r="E46" s="27"/>
      <c r="F46" s="1040">
        <v>8.7999999999999995E-2</v>
      </c>
      <c r="G46" s="667">
        <f>IF($G$41&gt;=0,$G$41-0,0)</f>
        <v>517.80000000000007</v>
      </c>
      <c r="H46" s="1038">
        <f>G46*F46</f>
        <v>45.566400000000002</v>
      </c>
      <c r="I46" s="30"/>
      <c r="J46" s="1037">
        <v>8.7999999999999995E-2</v>
      </c>
      <c r="K46" s="667">
        <f>IF($K$41&gt;=0,$K$41-0,0)</f>
        <v>521.02703213950758</v>
      </c>
      <c r="L46" s="1038">
        <f>K46*J46</f>
        <v>45.850378828276668</v>
      </c>
      <c r="M46" s="30"/>
      <c r="N46" s="34">
        <f t="shared" si="2"/>
        <v>0.28397882827666621</v>
      </c>
      <c r="O46" s="565">
        <f t="shared" si="4"/>
        <v>6.2321980291764585E-3</v>
      </c>
      <c r="P46" s="7"/>
    </row>
    <row r="47" spans="1:16" x14ac:dyDescent="0.2">
      <c r="A47" s="7"/>
      <c r="B47" s="564" t="s">
        <v>779</v>
      </c>
      <c r="C47" s="26"/>
      <c r="D47" s="1005" t="s">
        <v>79</v>
      </c>
      <c r="E47" s="27"/>
      <c r="F47" s="1040">
        <v>6.5000000000000002E-2</v>
      </c>
      <c r="G47" s="669">
        <f>0.64*$G$41</f>
        <v>331.39200000000005</v>
      </c>
      <c r="H47" s="1038">
        <f t="shared" si="5"/>
        <v>21.540480000000006</v>
      </c>
      <c r="I47" s="30"/>
      <c r="J47" s="1037">
        <v>6.5000000000000002E-2</v>
      </c>
      <c r="K47" s="1041">
        <f>0.64*$K$41</f>
        <v>333.45730056928488</v>
      </c>
      <c r="L47" s="1038">
        <f t="shared" si="6"/>
        <v>21.674724537003517</v>
      </c>
      <c r="M47" s="30"/>
      <c r="N47" s="34">
        <f t="shared" si="2"/>
        <v>0.1342445370035108</v>
      </c>
      <c r="O47" s="565">
        <f t="shared" si="4"/>
        <v>6.2321980291762651E-3</v>
      </c>
      <c r="P47" s="7"/>
    </row>
    <row r="48" spans="1:16" x14ac:dyDescent="0.2">
      <c r="A48" s="7"/>
      <c r="B48" s="564" t="s">
        <v>780</v>
      </c>
      <c r="C48" s="26"/>
      <c r="D48" s="1005" t="s">
        <v>79</v>
      </c>
      <c r="E48" s="27"/>
      <c r="F48" s="1040">
        <v>0.1</v>
      </c>
      <c r="G48" s="669">
        <f>0.18*$G$41</f>
        <v>93.204000000000008</v>
      </c>
      <c r="H48" s="1038">
        <f t="shared" si="5"/>
        <v>9.3204000000000011</v>
      </c>
      <c r="I48" s="30"/>
      <c r="J48" s="1037">
        <v>0.1</v>
      </c>
      <c r="K48" s="1041">
        <f>0.18*$K$41</f>
        <v>93.784865785111364</v>
      </c>
      <c r="L48" s="1038">
        <f t="shared" si="6"/>
        <v>9.3784865785111364</v>
      </c>
      <c r="M48" s="30"/>
      <c r="N48" s="34">
        <f t="shared" si="2"/>
        <v>5.8086578511135301E-2</v>
      </c>
      <c r="O48" s="565">
        <f t="shared" si="4"/>
        <v>6.2321980291763545E-3</v>
      </c>
      <c r="P48" s="7"/>
    </row>
    <row r="49" spans="1:16" ht="13.5" thickBot="1" x14ac:dyDescent="0.25">
      <c r="A49" s="7"/>
      <c r="B49" s="647" t="s">
        <v>781</v>
      </c>
      <c r="C49" s="26"/>
      <c r="D49" s="1005" t="s">
        <v>79</v>
      </c>
      <c r="E49" s="27"/>
      <c r="F49" s="1040">
        <v>0.11700000000000001</v>
      </c>
      <c r="G49" s="669">
        <f>0.18*$G$41</f>
        <v>93.204000000000008</v>
      </c>
      <c r="H49" s="1038">
        <f t="shared" si="5"/>
        <v>10.904868000000002</v>
      </c>
      <c r="I49" s="30"/>
      <c r="J49" s="1037">
        <v>0.11700000000000001</v>
      </c>
      <c r="K49" s="1041">
        <f>0.18*$K$41</f>
        <v>93.784865785111364</v>
      </c>
      <c r="L49" s="1038">
        <f t="shared" si="6"/>
        <v>10.972829296858031</v>
      </c>
      <c r="M49" s="30"/>
      <c r="N49" s="34">
        <f t="shared" si="2"/>
        <v>6.7961296858028319E-2</v>
      </c>
      <c r="O49" s="565">
        <f t="shared" si="4"/>
        <v>6.2321980291763553E-3</v>
      </c>
      <c r="P49" s="7"/>
    </row>
    <row r="50" spans="1:16" ht="13.5" thickBot="1" x14ac:dyDescent="0.25">
      <c r="A50" s="7"/>
      <c r="B50" s="1042"/>
      <c r="C50" s="1043"/>
      <c r="D50" s="1044"/>
      <c r="E50" s="1043"/>
      <c r="F50" s="1045"/>
      <c r="G50" s="1046"/>
      <c r="H50" s="1047"/>
      <c r="I50" s="1048"/>
      <c r="J50" s="1045"/>
      <c r="K50" s="1049"/>
      <c r="L50" s="1047"/>
      <c r="M50" s="1048"/>
      <c r="N50" s="1050"/>
      <c r="O50" s="1051"/>
      <c r="P50" s="7"/>
    </row>
    <row r="51" spans="1:16" x14ac:dyDescent="0.2">
      <c r="A51" s="7"/>
      <c r="B51" s="36" t="s">
        <v>782</v>
      </c>
      <c r="C51" s="26"/>
      <c r="D51" s="26"/>
      <c r="E51" s="26"/>
      <c r="F51" s="662"/>
      <c r="G51" s="652"/>
      <c r="H51" s="656">
        <f>SUM(H40:H46)</f>
        <v>84.571040000000011</v>
      </c>
      <c r="I51" s="660"/>
      <c r="J51" s="661"/>
      <c r="K51" s="661"/>
      <c r="L51" s="655">
        <f>SUM(L40:L46)</f>
        <v>87.720968110001763</v>
      </c>
      <c r="M51" s="654"/>
      <c r="N51" s="659">
        <f t="shared" si="2"/>
        <v>3.1499281100017527</v>
      </c>
      <c r="O51" s="657">
        <f t="shared" si="4"/>
        <v>3.7245942700973672E-2</v>
      </c>
      <c r="P51" s="7"/>
    </row>
    <row r="52" spans="1:16" x14ac:dyDescent="0.2">
      <c r="A52" s="7"/>
      <c r="B52" s="650" t="s">
        <v>38</v>
      </c>
      <c r="C52" s="26"/>
      <c r="D52" s="26"/>
      <c r="E52" s="26"/>
      <c r="F52" s="649">
        <v>0.13</v>
      </c>
      <c r="G52" s="652"/>
      <c r="H52" s="670">
        <f>H51*F52</f>
        <v>10.994235200000002</v>
      </c>
      <c r="I52" s="648"/>
      <c r="J52" s="676">
        <v>0.13</v>
      </c>
      <c r="K52" s="677"/>
      <c r="L52" s="672">
        <f>L51*J52</f>
        <v>11.40372585430023</v>
      </c>
      <c r="M52" s="673"/>
      <c r="N52" s="674">
        <f t="shared" si="2"/>
        <v>0.40949065430022813</v>
      </c>
      <c r="O52" s="675">
        <f t="shared" si="4"/>
        <v>3.7245942700973693E-2</v>
      </c>
      <c r="P52" s="7"/>
    </row>
    <row r="53" spans="1:16" x14ac:dyDescent="0.2">
      <c r="A53" s="7"/>
      <c r="B53" s="651" t="s">
        <v>1139</v>
      </c>
      <c r="C53" s="26"/>
      <c r="D53" s="26"/>
      <c r="E53" s="26"/>
      <c r="F53" s="658"/>
      <c r="G53" s="653"/>
      <c r="H53" s="670">
        <f>H51+H52</f>
        <v>95.565275200000016</v>
      </c>
      <c r="I53" s="648"/>
      <c r="J53" s="648"/>
      <c r="K53" s="648"/>
      <c r="L53" s="672">
        <f>L51+L52</f>
        <v>99.124693964301997</v>
      </c>
      <c r="M53" s="673"/>
      <c r="N53" s="674">
        <f t="shared" si="2"/>
        <v>3.5594187643019808</v>
      </c>
      <c r="O53" s="675">
        <f t="shared" si="4"/>
        <v>3.7245942700973672E-2</v>
      </c>
      <c r="P53" s="7"/>
    </row>
    <row r="54" spans="1:16" ht="12.75" customHeight="1" x14ac:dyDescent="0.2">
      <c r="A54" s="7"/>
      <c r="B54" s="1626" t="s">
        <v>1140</v>
      </c>
      <c r="C54" s="1626"/>
      <c r="D54" s="1626"/>
      <c r="E54" s="26"/>
      <c r="F54" s="658"/>
      <c r="G54" s="653"/>
      <c r="H54" s="1052">
        <f>ROUND(-H53*10%,2)</f>
        <v>-9.56</v>
      </c>
      <c r="I54" s="648"/>
      <c r="J54" s="648"/>
      <c r="K54" s="648"/>
      <c r="L54" s="1053">
        <f>ROUND(-L53*10%,2)</f>
        <v>-9.91</v>
      </c>
      <c r="M54" s="673"/>
      <c r="N54" s="1054">
        <f t="shared" si="2"/>
        <v>-0.34999999999999964</v>
      </c>
      <c r="O54" s="1055">
        <f t="shared" si="4"/>
        <v>3.661087866108783E-2</v>
      </c>
      <c r="P54" s="7"/>
    </row>
    <row r="55" spans="1:16" ht="13.5" customHeight="1" thickBot="1" x14ac:dyDescent="0.25">
      <c r="A55" s="7"/>
      <c r="B55" s="1626" t="s">
        <v>785</v>
      </c>
      <c r="C55" s="1626"/>
      <c r="D55" s="1626"/>
      <c r="E55" s="1056"/>
      <c r="F55" s="1057"/>
      <c r="G55" s="1058"/>
      <c r="H55" s="1059">
        <f>SUM(H53:H54)</f>
        <v>86.005275200000014</v>
      </c>
      <c r="I55" s="1060"/>
      <c r="J55" s="1060"/>
      <c r="K55" s="1060"/>
      <c r="L55" s="1061">
        <f>SUM(L53:L54)</f>
        <v>89.214693964302</v>
      </c>
      <c r="M55" s="1062"/>
      <c r="N55" s="1063">
        <f t="shared" si="2"/>
        <v>3.2094187643019865</v>
      </c>
      <c r="O55" s="1064">
        <f t="shared" si="4"/>
        <v>3.7316533861890204E-2</v>
      </c>
      <c r="P55" s="7"/>
    </row>
    <row r="56" spans="1:16" ht="13.5" thickBot="1" x14ac:dyDescent="0.25">
      <c r="A56" s="7"/>
      <c r="B56" s="1042"/>
      <c r="C56" s="1043"/>
      <c r="D56" s="1044"/>
      <c r="E56" s="1043"/>
      <c r="F56" s="1065"/>
      <c r="G56" s="1066"/>
      <c r="H56" s="1067"/>
      <c r="I56" s="1068"/>
      <c r="J56" s="1065"/>
      <c r="K56" s="1046"/>
      <c r="L56" s="1069"/>
      <c r="M56" s="1048"/>
      <c r="N56" s="1070"/>
      <c r="O56" s="1051"/>
      <c r="P56" s="7"/>
    </row>
    <row r="57" spans="1:16" x14ac:dyDescent="0.2">
      <c r="A57" s="7"/>
      <c r="B57" s="36" t="s">
        <v>783</v>
      </c>
      <c r="C57" s="26"/>
      <c r="D57" s="26"/>
      <c r="E57" s="26"/>
      <c r="F57" s="662"/>
      <c r="G57" s="652"/>
      <c r="H57" s="656">
        <f>SUM(H40:H44,H47:H49)</f>
        <v>80.770388000000025</v>
      </c>
      <c r="I57" s="660"/>
      <c r="J57" s="661"/>
      <c r="K57" s="661"/>
      <c r="L57" s="666">
        <f>SUM(L40:L44,L47:L49)</f>
        <v>83.896629694097783</v>
      </c>
      <c r="M57" s="654"/>
      <c r="N57" s="659">
        <f>L57-H57</f>
        <v>3.1262416940977573</v>
      </c>
      <c r="O57" s="657">
        <f>IF((H57)=0,"",(N57/H57))</f>
        <v>3.8705294991250458E-2</v>
      </c>
      <c r="P57" s="7"/>
    </row>
    <row r="58" spans="1:16" x14ac:dyDescent="0.2">
      <c r="A58" s="7"/>
      <c r="B58" s="650" t="s">
        <v>38</v>
      </c>
      <c r="C58" s="26"/>
      <c r="D58" s="26"/>
      <c r="E58" s="26"/>
      <c r="F58" s="649">
        <v>0.13</v>
      </c>
      <c r="G58" s="653"/>
      <c r="H58" s="670">
        <f>H57*F58</f>
        <v>10.500150440000004</v>
      </c>
      <c r="I58" s="648"/>
      <c r="J58" s="671">
        <v>0.13</v>
      </c>
      <c r="K58" s="648"/>
      <c r="L58" s="672">
        <f>L57*J58</f>
        <v>10.906561860232712</v>
      </c>
      <c r="M58" s="673"/>
      <c r="N58" s="674">
        <f t="shared" si="2"/>
        <v>0.4064114202327076</v>
      </c>
      <c r="O58" s="675">
        <f t="shared" si="4"/>
        <v>3.8705294991250375E-2</v>
      </c>
      <c r="P58" s="7"/>
    </row>
    <row r="59" spans="1:16" x14ac:dyDescent="0.2">
      <c r="A59" s="7"/>
      <c r="B59" s="651" t="s">
        <v>1139</v>
      </c>
      <c r="C59" s="26"/>
      <c r="D59" s="26"/>
      <c r="E59" s="26"/>
      <c r="F59" s="658"/>
      <c r="G59" s="653"/>
      <c r="H59" s="670">
        <f>H57+H58</f>
        <v>91.270538440000024</v>
      </c>
      <c r="I59" s="648"/>
      <c r="J59" s="648"/>
      <c r="K59" s="648"/>
      <c r="L59" s="672">
        <f>L57+L58</f>
        <v>94.803191554330496</v>
      </c>
      <c r="M59" s="673"/>
      <c r="N59" s="674">
        <f t="shared" si="2"/>
        <v>3.532653114330472</v>
      </c>
      <c r="O59" s="675">
        <f t="shared" si="4"/>
        <v>3.8705294991250534E-2</v>
      </c>
      <c r="P59" s="7"/>
    </row>
    <row r="60" spans="1:16" ht="12.75" customHeight="1" x14ac:dyDescent="0.2">
      <c r="A60" s="7"/>
      <c r="B60" s="1626" t="s">
        <v>1140</v>
      </c>
      <c r="C60" s="1626"/>
      <c r="D60" s="1626"/>
      <c r="E60" s="26"/>
      <c r="F60" s="658"/>
      <c r="G60" s="653"/>
      <c r="H60" s="1052">
        <f>ROUND(-H59*10%,2)</f>
        <v>-9.1300000000000008</v>
      </c>
      <c r="I60" s="648"/>
      <c r="J60" s="648"/>
      <c r="K60" s="648"/>
      <c r="L60" s="1053">
        <f>ROUND(-L59*10%,2)</f>
        <v>-9.48</v>
      </c>
      <c r="M60" s="673"/>
      <c r="N60" s="1054">
        <f t="shared" si="2"/>
        <v>-0.34999999999999964</v>
      </c>
      <c r="O60" s="1055">
        <f t="shared" si="4"/>
        <v>3.8335158817086483E-2</v>
      </c>
      <c r="P60" s="7"/>
    </row>
    <row r="61" spans="1:16" ht="13.5" customHeight="1" thickBot="1" x14ac:dyDescent="0.25">
      <c r="A61" s="7"/>
      <c r="B61" s="1626" t="s">
        <v>784</v>
      </c>
      <c r="C61" s="1626"/>
      <c r="D61" s="1626"/>
      <c r="E61" s="1056"/>
      <c r="F61" s="1071"/>
      <c r="G61" s="1072"/>
      <c r="H61" s="1073">
        <f>H59+H60</f>
        <v>82.140538440000029</v>
      </c>
      <c r="I61" s="1074"/>
      <c r="J61" s="1074"/>
      <c r="K61" s="1074"/>
      <c r="L61" s="1075">
        <f>L59+L60</f>
        <v>85.323191554330492</v>
      </c>
      <c r="M61" s="1076"/>
      <c r="N61" s="1077">
        <f t="shared" si="2"/>
        <v>3.1826531143304635</v>
      </c>
      <c r="O61" s="1078">
        <f t="shared" si="4"/>
        <v>3.8746435983679953E-2</v>
      </c>
      <c r="P61" s="7"/>
    </row>
    <row r="62" spans="1:16" ht="13.5" thickBot="1" x14ac:dyDescent="0.25">
      <c r="A62" s="7"/>
      <c r="B62" s="1042"/>
      <c r="C62" s="1043"/>
      <c r="D62" s="1044"/>
      <c r="E62" s="1043"/>
      <c r="F62" s="1065"/>
      <c r="G62" s="1066"/>
      <c r="H62" s="1067"/>
      <c r="I62" s="1068"/>
      <c r="J62" s="1065"/>
      <c r="K62" s="1046"/>
      <c r="L62" s="1069"/>
      <c r="M62" s="1048"/>
      <c r="N62" s="1070"/>
      <c r="O62" s="1051"/>
      <c r="P62" s="7"/>
    </row>
    <row r="63" spans="1:16" x14ac:dyDescent="0.2">
      <c r="A63" s="7"/>
      <c r="B63" s="7"/>
      <c r="C63" s="7"/>
      <c r="D63" s="7"/>
      <c r="E63" s="7"/>
      <c r="F63" s="7"/>
      <c r="G63" s="7"/>
      <c r="H63" s="7"/>
      <c r="I63" s="7"/>
      <c r="J63" s="7"/>
      <c r="K63" s="7"/>
      <c r="L63" s="678"/>
      <c r="M63" s="7"/>
      <c r="N63" s="7"/>
      <c r="O63" s="7"/>
      <c r="P63" s="7"/>
    </row>
    <row r="64" spans="1:16" x14ac:dyDescent="0.2">
      <c r="A64" s="7"/>
      <c r="B64" s="8" t="s">
        <v>39</v>
      </c>
      <c r="C64" s="7"/>
      <c r="D64" s="7"/>
      <c r="E64" s="7"/>
      <c r="F64" s="1079">
        <v>3.5600000000000076E-2</v>
      </c>
      <c r="G64" s="7"/>
      <c r="H64" s="7"/>
      <c r="I64" s="7"/>
      <c r="J64" s="1079">
        <v>4.2054064279015257E-2</v>
      </c>
      <c r="K64" s="7"/>
      <c r="L64" s="7"/>
      <c r="M64" s="7"/>
      <c r="N64" s="7"/>
      <c r="O64" s="7"/>
      <c r="P64" s="7"/>
    </row>
    <row r="65" spans="1:16" x14ac:dyDescent="0.2">
      <c r="A65" s="7"/>
      <c r="B65" s="7"/>
      <c r="C65" s="7"/>
      <c r="D65" s="7"/>
      <c r="E65" s="7"/>
      <c r="F65" s="7"/>
      <c r="G65" s="7"/>
      <c r="H65" s="7"/>
      <c r="I65" s="7"/>
      <c r="J65" s="7"/>
      <c r="K65" s="7"/>
      <c r="L65" s="7"/>
      <c r="M65" s="7"/>
      <c r="N65" s="7"/>
      <c r="O65" s="7"/>
      <c r="P65" s="7"/>
    </row>
    <row r="66" spans="1:16" ht="14.25" x14ac:dyDescent="0.2">
      <c r="A66" s="214" t="s">
        <v>1141</v>
      </c>
      <c r="B66" s="7"/>
      <c r="C66" s="7"/>
      <c r="D66" s="7"/>
      <c r="E66" s="7"/>
      <c r="F66" s="7"/>
      <c r="G66" s="7"/>
      <c r="H66" s="7"/>
      <c r="I66" s="7"/>
      <c r="J66" s="7"/>
      <c r="K66" s="7"/>
      <c r="L66" s="7"/>
      <c r="M66" s="7"/>
      <c r="N66" s="7"/>
      <c r="O66" s="7"/>
      <c r="P66" s="7"/>
    </row>
    <row r="67" spans="1:16" x14ac:dyDescent="0.2">
      <c r="A67" s="7"/>
      <c r="B67" s="7"/>
      <c r="C67" s="7"/>
      <c r="D67" s="7"/>
      <c r="E67" s="7"/>
      <c r="F67" s="7"/>
      <c r="G67" s="7"/>
      <c r="H67" s="7"/>
      <c r="I67" s="7"/>
      <c r="J67" s="7"/>
      <c r="K67" s="7"/>
      <c r="L67" s="7"/>
      <c r="M67" s="7"/>
      <c r="N67" s="7"/>
      <c r="O67" s="7"/>
      <c r="P67" s="7"/>
    </row>
    <row r="68" spans="1:16" x14ac:dyDescent="0.2">
      <c r="A68" s="7" t="s">
        <v>107</v>
      </c>
      <c r="B68" s="7"/>
      <c r="C68" s="7"/>
      <c r="D68" s="7"/>
      <c r="E68" s="7"/>
      <c r="F68" s="7"/>
      <c r="G68" s="7"/>
      <c r="H68" s="7"/>
      <c r="I68" s="7"/>
      <c r="J68" s="7"/>
      <c r="K68" s="7"/>
      <c r="L68" s="7"/>
      <c r="M68" s="7"/>
      <c r="N68" s="7"/>
      <c r="O68" s="7"/>
      <c r="P68" s="7"/>
    </row>
    <row r="69" spans="1:16" x14ac:dyDescent="0.2">
      <c r="A69" s="7" t="s">
        <v>108</v>
      </c>
      <c r="B69" s="7"/>
      <c r="C69" s="7"/>
      <c r="D69" s="7"/>
      <c r="E69" s="7"/>
      <c r="F69" s="7"/>
      <c r="G69" s="7"/>
      <c r="H69" s="7"/>
      <c r="I69" s="7"/>
      <c r="J69" s="7"/>
      <c r="K69" s="7"/>
      <c r="L69" s="7"/>
      <c r="M69" s="7"/>
      <c r="N69" s="7"/>
      <c r="O69" s="7"/>
      <c r="P69" s="7"/>
    </row>
    <row r="70" spans="1:16" x14ac:dyDescent="0.2">
      <c r="A70" s="7"/>
      <c r="B70" s="7"/>
      <c r="C70" s="7"/>
      <c r="D70" s="7"/>
      <c r="E70" s="7"/>
      <c r="F70" s="7"/>
      <c r="G70" s="7"/>
      <c r="H70" s="7"/>
      <c r="I70" s="7"/>
      <c r="J70" s="7"/>
      <c r="K70" s="7"/>
      <c r="L70" s="7"/>
      <c r="M70" s="7"/>
      <c r="N70" s="7"/>
      <c r="O70" s="7"/>
      <c r="P70" s="7"/>
    </row>
    <row r="71" spans="1:16" x14ac:dyDescent="0.2">
      <c r="A71" s="7" t="s">
        <v>331</v>
      </c>
      <c r="B71" s="7"/>
      <c r="C71" s="7"/>
      <c r="D71" s="7"/>
      <c r="E71" s="7"/>
      <c r="F71" s="7"/>
      <c r="G71" s="7"/>
      <c r="H71" s="7"/>
      <c r="I71" s="7"/>
      <c r="J71" s="7"/>
      <c r="K71" s="7"/>
      <c r="L71" s="7"/>
      <c r="M71" s="7"/>
      <c r="N71" s="7"/>
      <c r="O71" s="7"/>
      <c r="P71" s="7"/>
    </row>
    <row r="72" spans="1:16" x14ac:dyDescent="0.2">
      <c r="A72" s="7" t="s">
        <v>109</v>
      </c>
      <c r="B72" s="7"/>
      <c r="C72" s="7"/>
      <c r="D72" s="7"/>
      <c r="E72" s="7"/>
      <c r="F72" s="7"/>
      <c r="G72" s="7"/>
      <c r="H72" s="7"/>
      <c r="I72" s="7"/>
      <c r="J72" s="7"/>
      <c r="K72" s="7"/>
      <c r="L72" s="7"/>
      <c r="M72" s="7"/>
      <c r="N72" s="7"/>
      <c r="O72" s="7"/>
      <c r="P72" s="7"/>
    </row>
    <row r="73" spans="1:16" x14ac:dyDescent="0.2">
      <c r="A73" s="7"/>
      <c r="B73" s="7"/>
      <c r="C73" s="7"/>
      <c r="D73" s="7"/>
      <c r="E73" s="7"/>
      <c r="F73" s="7"/>
      <c r="G73" s="7"/>
      <c r="H73" s="7"/>
      <c r="I73" s="7"/>
      <c r="J73" s="7"/>
      <c r="K73" s="7"/>
      <c r="L73" s="7"/>
      <c r="M73" s="7"/>
      <c r="N73" s="7"/>
      <c r="O73" s="7"/>
      <c r="P73" s="7"/>
    </row>
    <row r="74" spans="1:16" x14ac:dyDescent="0.2">
      <c r="A74" s="7" t="s">
        <v>110</v>
      </c>
      <c r="B74" s="7"/>
      <c r="C74" s="7"/>
      <c r="D74" s="7"/>
      <c r="E74" s="7"/>
      <c r="F74" s="7"/>
      <c r="G74" s="7"/>
      <c r="H74" s="7"/>
      <c r="I74" s="7"/>
      <c r="J74" s="7"/>
      <c r="K74" s="7"/>
      <c r="L74" s="7"/>
      <c r="M74" s="7"/>
      <c r="N74" s="7"/>
      <c r="O74" s="7"/>
      <c r="P74" s="7"/>
    </row>
    <row r="75" spans="1:16" x14ac:dyDescent="0.2">
      <c r="A75" s="7" t="s">
        <v>111</v>
      </c>
      <c r="B75" s="7"/>
      <c r="C75" s="7"/>
      <c r="D75" s="7"/>
      <c r="E75" s="7"/>
      <c r="F75" s="7"/>
      <c r="G75" s="7"/>
      <c r="H75" s="7"/>
      <c r="I75" s="7"/>
      <c r="J75" s="7"/>
      <c r="K75" s="7"/>
      <c r="L75" s="7"/>
      <c r="M75" s="7"/>
      <c r="N75" s="7"/>
      <c r="O75" s="7"/>
      <c r="P75" s="7"/>
    </row>
    <row r="76" spans="1:16" x14ac:dyDescent="0.2">
      <c r="A76" s="7" t="s">
        <v>112</v>
      </c>
      <c r="B76" s="7"/>
      <c r="C76" s="7"/>
      <c r="D76" s="7"/>
      <c r="E76" s="7"/>
      <c r="F76" s="7"/>
      <c r="G76" s="7"/>
      <c r="H76" s="7"/>
      <c r="I76" s="7"/>
      <c r="J76" s="7"/>
      <c r="K76" s="7"/>
      <c r="L76" s="7"/>
      <c r="M76" s="7"/>
      <c r="N76" s="7"/>
      <c r="O76" s="7"/>
      <c r="P76" s="7"/>
    </row>
    <row r="77" spans="1:16" x14ac:dyDescent="0.2">
      <c r="A77" s="7" t="s">
        <v>113</v>
      </c>
      <c r="B77" s="7"/>
      <c r="C77" s="7"/>
      <c r="D77" s="7"/>
      <c r="E77" s="7"/>
      <c r="F77" s="7"/>
      <c r="G77" s="7"/>
      <c r="H77" s="7"/>
      <c r="I77" s="7"/>
      <c r="J77" s="7"/>
      <c r="K77" s="7"/>
      <c r="L77" s="7"/>
      <c r="M77" s="7"/>
      <c r="N77" s="7"/>
      <c r="O77" s="7"/>
      <c r="P77" s="7"/>
    </row>
    <row r="78" spans="1:16" x14ac:dyDescent="0.2">
      <c r="A78" s="7" t="s">
        <v>114</v>
      </c>
      <c r="B78" s="7"/>
      <c r="C78" s="7"/>
      <c r="D78" s="7"/>
      <c r="E78" s="7"/>
      <c r="F78" s="7"/>
      <c r="G78" s="7"/>
      <c r="H78" s="7"/>
      <c r="I78" s="7"/>
      <c r="J78" s="7"/>
      <c r="K78" s="7"/>
      <c r="L78" s="7"/>
      <c r="M78" s="7"/>
      <c r="N78" s="7"/>
      <c r="O78" s="7"/>
      <c r="P78" s="7"/>
    </row>
    <row r="80" spans="1:16" ht="21.75" x14ac:dyDescent="0.2">
      <c r="A80" s="41"/>
      <c r="B80" s="41"/>
      <c r="C80" s="41"/>
      <c r="D80" s="41"/>
      <c r="E80" s="41"/>
      <c r="F80" s="41"/>
      <c r="G80" s="41"/>
      <c r="H80" s="41"/>
      <c r="I80" s="41"/>
      <c r="J80" s="41"/>
      <c r="K80" s="41"/>
      <c r="L80" s="37"/>
      <c r="M80" s="37"/>
      <c r="N80" s="16" t="s">
        <v>444</v>
      </c>
      <c r="O80" s="250" t="s">
        <v>866</v>
      </c>
    </row>
    <row r="81" spans="1:16" ht="18" x14ac:dyDescent="0.25">
      <c r="A81" s="40"/>
      <c r="B81" s="40"/>
      <c r="C81" s="40"/>
      <c r="D81" s="40"/>
      <c r="E81" s="40"/>
      <c r="F81" s="40"/>
      <c r="G81" s="40"/>
      <c r="H81" s="40"/>
      <c r="I81" s="40"/>
      <c r="J81" s="40"/>
      <c r="K81" s="40"/>
      <c r="L81" s="37"/>
      <c r="M81" s="37"/>
      <c r="N81" s="16" t="s">
        <v>445</v>
      </c>
      <c r="O81" s="1001"/>
    </row>
    <row r="82" spans="1:16" x14ac:dyDescent="0.2">
      <c r="A82" s="1626"/>
      <c r="B82" s="1626"/>
      <c r="C82" s="1626"/>
      <c r="D82" s="1626"/>
      <c r="E82" s="1626"/>
      <c r="F82" s="1626"/>
      <c r="G82" s="1626"/>
      <c r="H82" s="1626"/>
      <c r="I82" s="1626"/>
      <c r="J82" s="1626"/>
      <c r="K82" s="1626"/>
      <c r="L82" s="37"/>
      <c r="M82" s="37"/>
      <c r="N82" s="16" t="s">
        <v>446</v>
      </c>
      <c r="O82" s="1001"/>
    </row>
    <row r="83" spans="1:16" ht="18" x14ac:dyDescent="0.25">
      <c r="A83" s="40"/>
      <c r="B83" s="40"/>
      <c r="C83" s="40"/>
      <c r="D83" s="40"/>
      <c r="E83" s="40"/>
      <c r="F83" s="40"/>
      <c r="G83" s="40"/>
      <c r="H83" s="40"/>
      <c r="I83" s="38"/>
      <c r="J83" s="38"/>
      <c r="K83" s="38"/>
      <c r="L83" s="37"/>
      <c r="M83" s="37"/>
      <c r="N83" s="16" t="s">
        <v>447</v>
      </c>
      <c r="O83" s="1001"/>
    </row>
    <row r="84" spans="1:16" ht="15.75" x14ac:dyDescent="0.25">
      <c r="A84" s="37"/>
      <c r="B84" s="37"/>
      <c r="C84" s="39"/>
      <c r="D84" s="39"/>
      <c r="E84" s="39"/>
      <c r="F84" s="37"/>
      <c r="G84" s="37"/>
      <c r="H84" s="37"/>
      <c r="I84" s="37"/>
      <c r="J84" s="37"/>
      <c r="K84" s="37"/>
      <c r="L84" s="37"/>
      <c r="M84" s="37"/>
      <c r="N84" s="16" t="s">
        <v>448</v>
      </c>
      <c r="O84" s="1002" t="s">
        <v>1142</v>
      </c>
    </row>
    <row r="85" spans="1:16" x14ac:dyDescent="0.2">
      <c r="A85" s="37"/>
      <c r="B85" s="37"/>
      <c r="C85" s="37"/>
      <c r="D85" s="37"/>
      <c r="E85" s="37"/>
      <c r="F85" s="37"/>
      <c r="G85" s="37"/>
      <c r="H85" s="37"/>
      <c r="I85" s="37"/>
      <c r="J85" s="37"/>
      <c r="K85" s="37"/>
      <c r="L85" s="37"/>
      <c r="M85" s="37"/>
      <c r="N85" s="16"/>
      <c r="O85" s="250"/>
    </row>
    <row r="86" spans="1:16" x14ac:dyDescent="0.2">
      <c r="A86" s="37"/>
      <c r="B86" s="37"/>
      <c r="C86" s="37"/>
      <c r="D86" s="37"/>
      <c r="E86" s="37"/>
      <c r="F86" s="37"/>
      <c r="G86" s="37"/>
      <c r="H86" s="37"/>
      <c r="I86" s="37"/>
      <c r="J86" s="37"/>
      <c r="K86" s="37"/>
      <c r="L86" s="37"/>
      <c r="M86" s="37"/>
      <c r="N86" s="16" t="s">
        <v>449</v>
      </c>
      <c r="O86" s="1002"/>
    </row>
    <row r="87" spans="1:16" x14ac:dyDescent="0.2">
      <c r="A87" s="37"/>
      <c r="B87" s="37"/>
      <c r="C87" s="37"/>
      <c r="D87" s="37"/>
      <c r="E87" s="37"/>
      <c r="F87" s="37"/>
      <c r="G87" s="37"/>
      <c r="H87" s="37"/>
      <c r="I87" s="37"/>
      <c r="J87" s="37"/>
      <c r="K87" s="37"/>
      <c r="L87" s="37"/>
      <c r="M87" s="37"/>
      <c r="N87" s="7"/>
    </row>
    <row r="88" spans="1:16" x14ac:dyDescent="0.2">
      <c r="A88" s="7"/>
      <c r="B88" s="7"/>
      <c r="C88" s="7"/>
      <c r="D88" s="7"/>
      <c r="E88" s="7"/>
      <c r="F88" s="7"/>
      <c r="G88" s="7"/>
      <c r="H88" s="7"/>
      <c r="I88" s="7"/>
      <c r="J88" s="7"/>
      <c r="K88" s="7"/>
    </row>
    <row r="89" spans="1:16" x14ac:dyDescent="0.2">
      <c r="A89" s="7"/>
      <c r="B89" s="1626" t="s">
        <v>695</v>
      </c>
      <c r="C89" s="1626"/>
      <c r="D89" s="1626"/>
      <c r="E89" s="1626"/>
      <c r="F89" s="1626"/>
      <c r="G89" s="1626"/>
      <c r="H89" s="1626"/>
      <c r="I89" s="1626"/>
      <c r="J89" s="1626"/>
      <c r="K89" s="1626"/>
      <c r="L89" s="1626"/>
      <c r="M89" s="1626"/>
      <c r="N89" s="1626"/>
      <c r="O89" s="1626"/>
    </row>
    <row r="90" spans="1:16" x14ac:dyDescent="0.2">
      <c r="A90" s="7"/>
      <c r="B90" s="1626" t="s">
        <v>63</v>
      </c>
      <c r="C90" s="1626"/>
      <c r="D90" s="1626"/>
      <c r="E90" s="1626"/>
      <c r="F90" s="1626"/>
      <c r="G90" s="1626"/>
      <c r="H90" s="1626"/>
      <c r="I90" s="1626"/>
      <c r="J90" s="1626"/>
      <c r="K90" s="1626"/>
      <c r="L90" s="1626"/>
      <c r="M90" s="1626"/>
      <c r="N90" s="1626"/>
      <c r="O90" s="1626"/>
    </row>
    <row r="91" spans="1:16" x14ac:dyDescent="0.2">
      <c r="A91" s="7"/>
      <c r="B91" s="7"/>
      <c r="C91" s="7"/>
      <c r="D91" s="7"/>
      <c r="E91" s="7"/>
      <c r="F91" s="7"/>
      <c r="G91" s="7"/>
      <c r="H91" s="7"/>
      <c r="I91" s="7"/>
      <c r="J91" s="7"/>
      <c r="K91" s="7"/>
    </row>
    <row r="92" spans="1:16" x14ac:dyDescent="0.2">
      <c r="A92" s="7"/>
      <c r="B92" s="7"/>
      <c r="C92" s="7"/>
      <c r="D92" s="7"/>
      <c r="E92" s="7"/>
      <c r="F92" s="7"/>
      <c r="G92" s="7"/>
      <c r="H92" s="7"/>
      <c r="I92" s="7"/>
      <c r="J92" s="7"/>
      <c r="K92" s="7"/>
    </row>
    <row r="93" spans="1:16" x14ac:dyDescent="0.2">
      <c r="A93" s="7"/>
      <c r="B93" s="43" t="s">
        <v>40</v>
      </c>
      <c r="C93" s="7"/>
      <c r="D93" s="1626" t="s">
        <v>82</v>
      </c>
      <c r="E93" s="1626"/>
      <c r="F93" s="1626"/>
      <c r="G93" s="1626"/>
      <c r="H93" s="1626"/>
      <c r="I93" s="1626"/>
      <c r="J93" s="1626"/>
      <c r="K93" s="1626"/>
      <c r="L93" s="1626"/>
      <c r="M93" s="1626"/>
      <c r="N93" s="1626"/>
      <c r="O93" s="1626"/>
      <c r="P93" s="7"/>
    </row>
    <row r="94" spans="1:16" ht="15.75" x14ac:dyDescent="0.25">
      <c r="A94" s="7"/>
      <c r="B94" s="1003"/>
      <c r="C94" s="7"/>
      <c r="D94" s="42"/>
      <c r="E94" s="42"/>
      <c r="F94" s="42"/>
      <c r="G94" s="42"/>
      <c r="H94" s="42"/>
      <c r="I94" s="42"/>
      <c r="J94" s="42"/>
      <c r="K94" s="42"/>
      <c r="L94" s="42"/>
      <c r="M94" s="42"/>
      <c r="N94" s="42"/>
      <c r="O94" s="42"/>
      <c r="P94" s="7"/>
    </row>
    <row r="95" spans="1:16" x14ac:dyDescent="0.2">
      <c r="A95" s="7"/>
      <c r="B95" s="647"/>
      <c r="C95" s="7"/>
      <c r="D95" s="8" t="s">
        <v>17</v>
      </c>
      <c r="E95" s="8"/>
      <c r="F95" s="1004">
        <v>800</v>
      </c>
      <c r="G95" s="8" t="s">
        <v>18</v>
      </c>
      <c r="H95" s="7"/>
      <c r="I95" s="7"/>
      <c r="J95" s="7"/>
      <c r="K95" s="7"/>
      <c r="L95" s="7"/>
      <c r="M95" s="7"/>
      <c r="N95" s="7"/>
      <c r="O95" s="7"/>
      <c r="P95" s="7"/>
    </row>
    <row r="96" spans="1:16" x14ac:dyDescent="0.2">
      <c r="A96" s="7"/>
      <c r="B96" s="647"/>
      <c r="C96" s="7"/>
      <c r="D96" s="7"/>
      <c r="E96" s="7"/>
      <c r="F96" s="7"/>
      <c r="G96" s="7"/>
      <c r="H96" s="7"/>
      <c r="I96" s="7"/>
      <c r="J96" s="7"/>
      <c r="K96" s="7"/>
      <c r="L96" s="7"/>
      <c r="M96" s="7"/>
      <c r="N96" s="7"/>
      <c r="O96" s="7"/>
      <c r="P96" s="7"/>
    </row>
    <row r="97" spans="1:16" x14ac:dyDescent="0.2">
      <c r="A97" s="7"/>
      <c r="B97" s="647"/>
      <c r="C97" s="7"/>
      <c r="D97" s="19"/>
      <c r="E97" s="19"/>
      <c r="F97" s="1626" t="s">
        <v>19</v>
      </c>
      <c r="G97" s="1626"/>
      <c r="H97" s="1626"/>
      <c r="I97" s="7"/>
      <c r="J97" s="1626" t="s">
        <v>20</v>
      </c>
      <c r="K97" s="1626"/>
      <c r="L97" s="1626"/>
      <c r="M97" s="7"/>
      <c r="N97" s="1626" t="s">
        <v>21</v>
      </c>
      <c r="O97" s="1626"/>
      <c r="P97" s="7"/>
    </row>
    <row r="98" spans="1:16" ht="12.75" customHeight="1" x14ac:dyDescent="0.2">
      <c r="A98" s="7"/>
      <c r="B98" s="647"/>
      <c r="C98" s="7"/>
      <c r="D98" s="1626" t="s">
        <v>22</v>
      </c>
      <c r="E98" s="20"/>
      <c r="F98" s="21" t="s">
        <v>23</v>
      </c>
      <c r="G98" s="21" t="s">
        <v>24</v>
      </c>
      <c r="H98" s="22" t="s">
        <v>25</v>
      </c>
      <c r="I98" s="7"/>
      <c r="J98" s="21" t="s">
        <v>23</v>
      </c>
      <c r="K98" s="23" t="s">
        <v>24</v>
      </c>
      <c r="L98" s="22" t="s">
        <v>25</v>
      </c>
      <c r="M98" s="7"/>
      <c r="N98" s="1626" t="s">
        <v>26</v>
      </c>
      <c r="O98" s="1626" t="s">
        <v>27</v>
      </c>
      <c r="P98" s="7"/>
    </row>
    <row r="99" spans="1:16" x14ac:dyDescent="0.2">
      <c r="A99" s="7"/>
      <c r="B99" s="647"/>
      <c r="C99" s="7"/>
      <c r="D99" s="1626"/>
      <c r="E99" s="20"/>
      <c r="F99" s="24" t="s">
        <v>452</v>
      </c>
      <c r="G99" s="24"/>
      <c r="H99" s="25" t="s">
        <v>452</v>
      </c>
      <c r="I99" s="7"/>
      <c r="J99" s="24" t="s">
        <v>452</v>
      </c>
      <c r="K99" s="25"/>
      <c r="L99" s="25" t="s">
        <v>452</v>
      </c>
      <c r="M99" s="7"/>
      <c r="N99" s="1626"/>
      <c r="O99" s="1626"/>
      <c r="P99" s="7"/>
    </row>
    <row r="100" spans="1:16" x14ac:dyDescent="0.2">
      <c r="A100" s="7"/>
      <c r="B100" s="26" t="s">
        <v>28</v>
      </c>
      <c r="C100" s="26"/>
      <c r="D100" s="1005" t="s">
        <v>1130</v>
      </c>
      <c r="E100" s="27"/>
      <c r="F100" s="1006">
        <v>13.8</v>
      </c>
      <c r="G100" s="32">
        <v>1</v>
      </c>
      <c r="H100" s="1007">
        <f>G100*F100</f>
        <v>13.8</v>
      </c>
      <c r="I100" s="30"/>
      <c r="J100" s="1008">
        <v>16.39</v>
      </c>
      <c r="K100" s="33">
        <v>1</v>
      </c>
      <c r="L100" s="1007">
        <f>K100*J100</f>
        <v>16.39</v>
      </c>
      <c r="M100" s="30"/>
      <c r="N100" s="34">
        <f>L100-H100</f>
        <v>2.59</v>
      </c>
      <c r="O100" s="202">
        <f>IF((H100)=0,"",(N100/H100))</f>
        <v>0.18768115942028984</v>
      </c>
      <c r="P100" s="7"/>
    </row>
    <row r="101" spans="1:16" x14ac:dyDescent="0.2">
      <c r="A101" s="7"/>
      <c r="B101" s="26" t="s">
        <v>29</v>
      </c>
      <c r="C101" s="26"/>
      <c r="D101" s="1005" t="s">
        <v>1130</v>
      </c>
      <c r="E101" s="27"/>
      <c r="F101" s="1006">
        <v>2.42</v>
      </c>
      <c r="G101" s="32">
        <v>1</v>
      </c>
      <c r="H101" s="1007">
        <f t="shared" ref="H101:H109" si="7">G101*F101</f>
        <v>2.42</v>
      </c>
      <c r="I101" s="30"/>
      <c r="J101" s="1008">
        <v>0</v>
      </c>
      <c r="K101" s="33">
        <v>1</v>
      </c>
      <c r="L101" s="1007">
        <f>K101*J101</f>
        <v>0</v>
      </c>
      <c r="M101" s="30"/>
      <c r="N101" s="34">
        <f>L101-H101</f>
        <v>-2.42</v>
      </c>
      <c r="O101" s="202">
        <f>IF((H101)=0,"",(N101/H101))</f>
        <v>-1</v>
      </c>
      <c r="P101" s="7"/>
    </row>
    <row r="102" spans="1:16" x14ac:dyDescent="0.2">
      <c r="A102" s="7"/>
      <c r="B102" s="1009" t="s">
        <v>1131</v>
      </c>
      <c r="C102" s="26"/>
      <c r="D102" s="1005" t="s">
        <v>79</v>
      </c>
      <c r="E102" s="27"/>
      <c r="F102" s="1006">
        <v>-5.0000000000000001E-4</v>
      </c>
      <c r="G102" s="32">
        <f>F95</f>
        <v>800</v>
      </c>
      <c r="H102" s="1007">
        <f t="shared" si="7"/>
        <v>-0.4</v>
      </c>
      <c r="I102" s="30"/>
      <c r="J102" s="1008">
        <v>0</v>
      </c>
      <c r="K102" s="33">
        <f>F95</f>
        <v>800</v>
      </c>
      <c r="L102" s="1007">
        <f t="shared" ref="L102:L109" si="8">K102*J102</f>
        <v>0</v>
      </c>
      <c r="M102" s="30"/>
      <c r="N102" s="34">
        <f t="shared" ref="N102:N140" si="9">L102-H102</f>
        <v>0.4</v>
      </c>
      <c r="O102" s="202">
        <f t="shared" ref="O102:O110" si="10">IF((H102)=0,"",(N102/H102))</f>
        <v>-1</v>
      </c>
      <c r="P102" s="7"/>
    </row>
    <row r="103" spans="1:16" x14ac:dyDescent="0.2">
      <c r="A103" s="7"/>
      <c r="B103" s="1009" t="s">
        <v>36</v>
      </c>
      <c r="C103" s="26"/>
      <c r="D103" s="1005" t="s">
        <v>1130</v>
      </c>
      <c r="E103" s="27"/>
      <c r="F103" s="1006">
        <v>0.25</v>
      </c>
      <c r="G103" s="32">
        <v>1</v>
      </c>
      <c r="H103" s="1007">
        <f t="shared" si="7"/>
        <v>0.25</v>
      </c>
      <c r="I103" s="30"/>
      <c r="J103" s="1008">
        <v>0.25</v>
      </c>
      <c r="K103" s="33">
        <v>1</v>
      </c>
      <c r="L103" s="1007">
        <f t="shared" si="8"/>
        <v>0.25</v>
      </c>
      <c r="M103" s="30"/>
      <c r="N103" s="34">
        <f t="shared" si="9"/>
        <v>0</v>
      </c>
      <c r="O103" s="202">
        <f t="shared" si="10"/>
        <v>0</v>
      </c>
      <c r="P103" s="7"/>
    </row>
    <row r="104" spans="1:16" x14ac:dyDescent="0.2">
      <c r="A104" s="7"/>
      <c r="B104" s="26" t="s">
        <v>30</v>
      </c>
      <c r="C104" s="26"/>
      <c r="D104" s="1005" t="s">
        <v>79</v>
      </c>
      <c r="E104" s="27"/>
      <c r="F104" s="1006">
        <v>1.8800000000000001E-2</v>
      </c>
      <c r="G104" s="32">
        <f>F95</f>
        <v>800</v>
      </c>
      <c r="H104" s="1007">
        <f t="shared" si="7"/>
        <v>15.040000000000001</v>
      </c>
      <c r="I104" s="30"/>
      <c r="J104" s="1008">
        <v>2.23E-2</v>
      </c>
      <c r="K104" s="32">
        <f>F95</f>
        <v>800</v>
      </c>
      <c r="L104" s="1007">
        <f t="shared" si="8"/>
        <v>17.84</v>
      </c>
      <c r="M104" s="30"/>
      <c r="N104" s="34">
        <f t="shared" si="9"/>
        <v>2.7999999999999989</v>
      </c>
      <c r="O104" s="202">
        <f t="shared" si="10"/>
        <v>0.18617021276595735</v>
      </c>
      <c r="P104" s="7"/>
    </row>
    <row r="105" spans="1:16" x14ac:dyDescent="0.2">
      <c r="A105" s="7"/>
      <c r="B105" s="26" t="s">
        <v>31</v>
      </c>
      <c r="C105" s="26"/>
      <c r="D105" s="1005"/>
      <c r="E105" s="27"/>
      <c r="F105" s="1006"/>
      <c r="G105" s="32"/>
      <c r="H105" s="1007">
        <f t="shared" si="7"/>
        <v>0</v>
      </c>
      <c r="I105" s="30"/>
      <c r="J105" s="1008"/>
      <c r="K105" s="32"/>
      <c r="L105" s="1007">
        <f t="shared" si="8"/>
        <v>0</v>
      </c>
      <c r="M105" s="30"/>
      <c r="N105" s="34">
        <f t="shared" si="9"/>
        <v>0</v>
      </c>
      <c r="O105" s="202" t="str">
        <f t="shared" si="10"/>
        <v/>
      </c>
      <c r="P105" s="7"/>
    </row>
    <row r="106" spans="1:16" x14ac:dyDescent="0.2">
      <c r="A106" s="7"/>
      <c r="B106" s="26" t="s">
        <v>1132</v>
      </c>
      <c r="C106" s="26"/>
      <c r="D106" s="1005" t="s">
        <v>80</v>
      </c>
      <c r="E106" s="27"/>
      <c r="F106" s="1006">
        <v>4.0000000000000002E-4</v>
      </c>
      <c r="G106" s="32">
        <f>F95</f>
        <v>800</v>
      </c>
      <c r="H106" s="1007">
        <f t="shared" si="7"/>
        <v>0.32</v>
      </c>
      <c r="I106" s="30"/>
      <c r="J106" s="1008">
        <v>0</v>
      </c>
      <c r="K106" s="32">
        <f>F95</f>
        <v>800</v>
      </c>
      <c r="L106" s="1007">
        <f t="shared" si="8"/>
        <v>0</v>
      </c>
      <c r="M106" s="30"/>
      <c r="N106" s="34">
        <f t="shared" si="9"/>
        <v>-0.32</v>
      </c>
      <c r="O106" s="202">
        <f t="shared" si="10"/>
        <v>-1</v>
      </c>
      <c r="P106" s="7"/>
    </row>
    <row r="107" spans="1:16" x14ac:dyDescent="0.2">
      <c r="A107" s="7"/>
      <c r="B107" s="26" t="s">
        <v>1133</v>
      </c>
      <c r="C107" s="26"/>
      <c r="D107" s="1005" t="s">
        <v>80</v>
      </c>
      <c r="E107" s="27"/>
      <c r="F107" s="1006">
        <v>2.0000000000000001E-4</v>
      </c>
      <c r="G107" s="32">
        <f>F95</f>
        <v>800</v>
      </c>
      <c r="H107" s="1007">
        <f t="shared" si="7"/>
        <v>0.16</v>
      </c>
      <c r="I107" s="30"/>
      <c r="J107" s="1008">
        <v>2.0000000000000001E-4</v>
      </c>
      <c r="K107" s="32">
        <f>F95</f>
        <v>800</v>
      </c>
      <c r="L107" s="1007">
        <f t="shared" si="8"/>
        <v>0.16</v>
      </c>
      <c r="M107" s="30"/>
      <c r="N107" s="34">
        <f t="shared" si="9"/>
        <v>0</v>
      </c>
      <c r="O107" s="202">
        <f t="shared" si="10"/>
        <v>0</v>
      </c>
      <c r="P107" s="7"/>
    </row>
    <row r="108" spans="1:16" x14ac:dyDescent="0.2">
      <c r="A108" s="7"/>
      <c r="B108" s="26" t="s">
        <v>1134</v>
      </c>
      <c r="C108" s="26"/>
      <c r="D108" s="1005" t="s">
        <v>80</v>
      </c>
      <c r="E108" s="27"/>
      <c r="F108" s="1006">
        <v>0</v>
      </c>
      <c r="G108" s="32">
        <f>F95</f>
        <v>800</v>
      </c>
      <c r="H108" s="1007">
        <f t="shared" si="7"/>
        <v>0</v>
      </c>
      <c r="I108" s="30"/>
      <c r="J108" s="1008">
        <v>2.9999999999999997E-4</v>
      </c>
      <c r="K108" s="32">
        <f>F95</f>
        <v>800</v>
      </c>
      <c r="L108" s="1007">
        <f t="shared" si="8"/>
        <v>0.24</v>
      </c>
      <c r="M108" s="30"/>
      <c r="N108" s="34">
        <f t="shared" si="9"/>
        <v>0.24</v>
      </c>
      <c r="O108" s="202" t="str">
        <f t="shared" si="10"/>
        <v/>
      </c>
      <c r="P108" s="7"/>
    </row>
    <row r="109" spans="1:16" x14ac:dyDescent="0.2">
      <c r="A109" s="7"/>
      <c r="B109" s="1010" t="s">
        <v>1135</v>
      </c>
      <c r="C109" s="26"/>
      <c r="D109" s="1005" t="s">
        <v>1130</v>
      </c>
      <c r="E109" s="27"/>
      <c r="F109" s="1006">
        <v>0</v>
      </c>
      <c r="G109" s="32">
        <v>1</v>
      </c>
      <c r="H109" s="1007">
        <f t="shared" si="7"/>
        <v>0</v>
      </c>
      <c r="I109" s="30"/>
      <c r="J109" s="1008">
        <v>2.25</v>
      </c>
      <c r="K109" s="32">
        <v>1</v>
      </c>
      <c r="L109" s="1007">
        <f t="shared" si="8"/>
        <v>2.25</v>
      </c>
      <c r="M109" s="30"/>
      <c r="N109" s="34">
        <f t="shared" si="9"/>
        <v>2.25</v>
      </c>
      <c r="O109" s="202" t="str">
        <f t="shared" si="10"/>
        <v/>
      </c>
      <c r="P109" s="7"/>
    </row>
    <row r="110" spans="1:16" x14ac:dyDescent="0.2">
      <c r="A110" s="29"/>
      <c r="B110" s="1011" t="s">
        <v>698</v>
      </c>
      <c r="C110" s="1012"/>
      <c r="D110" s="1013"/>
      <c r="E110" s="1012"/>
      <c r="F110" s="1014"/>
      <c r="G110" s="1015"/>
      <c r="H110" s="1016">
        <f>SUM(H100:H109)</f>
        <v>31.59</v>
      </c>
      <c r="I110" s="1017"/>
      <c r="J110" s="1018"/>
      <c r="K110" s="1019"/>
      <c r="L110" s="1016">
        <f>SUM(L100:L109)</f>
        <v>37.130000000000003</v>
      </c>
      <c r="M110" s="1017"/>
      <c r="N110" s="1020">
        <f t="shared" si="9"/>
        <v>5.5400000000000027</v>
      </c>
      <c r="O110" s="1021">
        <f t="shared" si="10"/>
        <v>0.175371953149731</v>
      </c>
      <c r="P110" s="29"/>
    </row>
    <row r="111" spans="1:16" ht="38.25" x14ac:dyDescent="0.2">
      <c r="A111" s="7"/>
      <c r="B111" s="1022" t="s">
        <v>1136</v>
      </c>
      <c r="C111" s="26"/>
      <c r="D111" s="1005" t="s">
        <v>80</v>
      </c>
      <c r="E111" s="27"/>
      <c r="F111" s="1006">
        <v>1.1999999999999999E-3</v>
      </c>
      <c r="G111" s="32">
        <f>F95</f>
        <v>800</v>
      </c>
      <c r="H111" s="1007">
        <f>G111*F111</f>
        <v>0.96</v>
      </c>
      <c r="I111" s="30"/>
      <c r="J111" s="1008">
        <v>0</v>
      </c>
      <c r="K111" s="32">
        <f>F95</f>
        <v>800</v>
      </c>
      <c r="L111" s="1007">
        <f>K111*J111</f>
        <v>0</v>
      </c>
      <c r="M111" s="30"/>
      <c r="N111" s="34">
        <f t="shared" si="9"/>
        <v>-0.96</v>
      </c>
      <c r="O111" s="202">
        <f>IF((H111)=0,"",(N111/H111))</f>
        <v>-1</v>
      </c>
      <c r="P111" s="7"/>
    </row>
    <row r="112" spans="1:16" ht="38.25" x14ac:dyDescent="0.2">
      <c r="A112" s="7"/>
      <c r="B112" s="1022" t="s">
        <v>1137</v>
      </c>
      <c r="C112" s="26"/>
      <c r="D112" s="1005" t="s">
        <v>80</v>
      </c>
      <c r="E112" s="27"/>
      <c r="F112" s="1006">
        <v>-1.6999999999999999E-3</v>
      </c>
      <c r="G112" s="32">
        <f>F95</f>
        <v>800</v>
      </c>
      <c r="H112" s="1007">
        <f>G112*F112</f>
        <v>-1.3599999999999999</v>
      </c>
      <c r="I112" s="30"/>
      <c r="J112" s="1008">
        <v>-1.6999999999999999E-3</v>
      </c>
      <c r="K112" s="32">
        <f>F95</f>
        <v>800</v>
      </c>
      <c r="L112" s="1007">
        <f>K112*J112</f>
        <v>-1.3599999999999999</v>
      </c>
      <c r="M112" s="30"/>
      <c r="N112" s="34">
        <f t="shared" si="9"/>
        <v>0</v>
      </c>
      <c r="O112" s="202">
        <f>IF((H112)=0,"",(N112/H112))</f>
        <v>0</v>
      </c>
      <c r="P112" s="7"/>
    </row>
    <row r="113" spans="1:16" ht="51" x14ac:dyDescent="0.2">
      <c r="A113" s="7"/>
      <c r="B113" s="1022" t="s">
        <v>1138</v>
      </c>
      <c r="C113" s="26"/>
      <c r="D113" s="1005" t="s">
        <v>80</v>
      </c>
      <c r="E113" s="27"/>
      <c r="F113" s="1006">
        <v>0</v>
      </c>
      <c r="G113" s="32">
        <f>F95</f>
        <v>800</v>
      </c>
      <c r="H113" s="1007">
        <f>G113*F113</f>
        <v>0</v>
      </c>
      <c r="I113" s="30"/>
      <c r="J113" s="1008">
        <v>-1.1999999999999999E-3</v>
      </c>
      <c r="K113" s="32">
        <f>F95</f>
        <v>800</v>
      </c>
      <c r="L113" s="1007">
        <f>K113*J113</f>
        <v>-0.96</v>
      </c>
      <c r="M113" s="30"/>
      <c r="N113" s="34">
        <f t="shared" si="9"/>
        <v>-0.96</v>
      </c>
      <c r="O113" s="202" t="str">
        <f>IF((H113)=0,"",(N113/H113))</f>
        <v/>
      </c>
      <c r="P113" s="7"/>
    </row>
    <row r="114" spans="1:16" x14ac:dyDescent="0.2">
      <c r="A114" s="7"/>
      <c r="B114" s="564" t="s">
        <v>808</v>
      </c>
      <c r="C114" s="26"/>
      <c r="D114" s="1005" t="s">
        <v>79</v>
      </c>
      <c r="E114" s="27"/>
      <c r="F114" s="1006">
        <v>2.0000000000000001E-4</v>
      </c>
      <c r="G114" s="32">
        <f>F95</f>
        <v>800</v>
      </c>
      <c r="H114" s="1007">
        <f>G114*F114</f>
        <v>0.16</v>
      </c>
      <c r="I114" s="30"/>
      <c r="J114" s="1008">
        <v>2.0000000000000001E-4</v>
      </c>
      <c r="K114" s="32">
        <f>F95</f>
        <v>800</v>
      </c>
      <c r="L114" s="1007">
        <f>K114*J114</f>
        <v>0.16</v>
      </c>
      <c r="M114" s="30"/>
      <c r="N114" s="34">
        <f t="shared" si="9"/>
        <v>0</v>
      </c>
      <c r="O114" s="202">
        <f>IF((H114)=0,"",(N114/H114))</f>
        <v>0</v>
      </c>
      <c r="P114" s="7"/>
    </row>
    <row r="115" spans="1:16" x14ac:dyDescent="0.2">
      <c r="A115" s="7"/>
      <c r="B115" s="564" t="s">
        <v>701</v>
      </c>
      <c r="C115" s="26"/>
      <c r="D115" s="1005"/>
      <c r="E115" s="27"/>
      <c r="F115" s="1023"/>
      <c r="G115" s="1024"/>
      <c r="H115" s="1025"/>
      <c r="I115" s="30"/>
      <c r="J115" s="1008"/>
      <c r="K115" s="32">
        <f>F95</f>
        <v>800</v>
      </c>
      <c r="L115" s="1007">
        <f>K115*J115</f>
        <v>0</v>
      </c>
      <c r="M115" s="30"/>
      <c r="N115" s="34">
        <f t="shared" si="9"/>
        <v>0</v>
      </c>
      <c r="O115" s="202"/>
      <c r="P115" s="7"/>
    </row>
    <row r="116" spans="1:16" ht="25.5" x14ac:dyDescent="0.2">
      <c r="A116" s="7"/>
      <c r="B116" s="1026" t="s">
        <v>699</v>
      </c>
      <c r="C116" s="1027"/>
      <c r="D116" s="1027"/>
      <c r="E116" s="1027"/>
      <c r="F116" s="1028"/>
      <c r="G116" s="1029"/>
      <c r="H116" s="1030">
        <f>SUM(H110:H115)</f>
        <v>31.349999999999998</v>
      </c>
      <c r="I116" s="1017"/>
      <c r="J116" s="1029"/>
      <c r="K116" s="1031"/>
      <c r="L116" s="1030">
        <f>SUM(L110:L115)</f>
        <v>34.97</v>
      </c>
      <c r="M116" s="1017"/>
      <c r="N116" s="1020">
        <f t="shared" si="9"/>
        <v>3.620000000000001</v>
      </c>
      <c r="O116" s="1021">
        <f t="shared" ref="O116:O140" si="11">IF((H116)=0,"",(N116/H116))</f>
        <v>0.11547049441786288</v>
      </c>
      <c r="P116" s="7"/>
    </row>
    <row r="117" spans="1:16" x14ac:dyDescent="0.2">
      <c r="A117" s="7"/>
      <c r="B117" s="30" t="s">
        <v>32</v>
      </c>
      <c r="C117" s="30"/>
      <c r="D117" s="1032" t="s">
        <v>79</v>
      </c>
      <c r="E117" s="31"/>
      <c r="F117" s="1008">
        <v>6.7999999999999996E-3</v>
      </c>
      <c r="G117" s="667">
        <f>F95*(1+F143)</f>
        <v>828.48</v>
      </c>
      <c r="H117" s="1007">
        <f>G117*F117</f>
        <v>5.6336639999999996</v>
      </c>
      <c r="I117" s="30"/>
      <c r="J117" s="1008">
        <v>6.3E-3</v>
      </c>
      <c r="K117" s="668">
        <f>F95*(1+J143)</f>
        <v>833.64325142321218</v>
      </c>
      <c r="L117" s="1007">
        <f>K117*J117</f>
        <v>5.251952483966237</v>
      </c>
      <c r="M117" s="30"/>
      <c r="N117" s="34">
        <f t="shared" si="9"/>
        <v>-0.38171151603376252</v>
      </c>
      <c r="O117" s="202">
        <f t="shared" si="11"/>
        <v>-6.7755463590615725E-2</v>
      </c>
      <c r="P117" s="7"/>
    </row>
    <row r="118" spans="1:16" ht="25.5" x14ac:dyDescent="0.2">
      <c r="A118" s="7"/>
      <c r="B118" s="35" t="s">
        <v>33</v>
      </c>
      <c r="C118" s="30"/>
      <c r="D118" s="1032" t="s">
        <v>79</v>
      </c>
      <c r="E118" s="31"/>
      <c r="F118" s="1008">
        <v>5.7000000000000002E-3</v>
      </c>
      <c r="G118" s="667">
        <f>G117</f>
        <v>828.48</v>
      </c>
      <c r="H118" s="1007">
        <f>G118*F118</f>
        <v>4.7223360000000003</v>
      </c>
      <c r="I118" s="30"/>
      <c r="J118" s="1008">
        <v>5.4999999999999997E-3</v>
      </c>
      <c r="K118" s="668">
        <f>K117</f>
        <v>833.64325142321218</v>
      </c>
      <c r="L118" s="1007">
        <f>K118*J118</f>
        <v>4.5850378828276668</v>
      </c>
      <c r="M118" s="30"/>
      <c r="N118" s="34">
        <f t="shared" si="9"/>
        <v>-0.13729811717233353</v>
      </c>
      <c r="O118" s="202">
        <f t="shared" si="11"/>
        <v>-2.9074194884128008E-2</v>
      </c>
      <c r="P118" s="7"/>
    </row>
    <row r="119" spans="1:16" ht="25.5" x14ac:dyDescent="0.2">
      <c r="A119" s="7"/>
      <c r="B119" s="1026" t="s">
        <v>700</v>
      </c>
      <c r="C119" s="1012"/>
      <c r="D119" s="1012"/>
      <c r="E119" s="1012"/>
      <c r="F119" s="1033"/>
      <c r="G119" s="1029"/>
      <c r="H119" s="1030">
        <f>SUM(H116:H118)</f>
        <v>41.705999999999996</v>
      </c>
      <c r="I119" s="1034"/>
      <c r="J119" s="1035"/>
      <c r="K119" s="1036"/>
      <c r="L119" s="1030">
        <f>SUM(L116:L118)</f>
        <v>44.806990366793897</v>
      </c>
      <c r="M119" s="1034"/>
      <c r="N119" s="1020">
        <f t="shared" si="9"/>
        <v>3.1009903667939014</v>
      </c>
      <c r="O119" s="1021">
        <f t="shared" si="11"/>
        <v>7.4353579024454552E-2</v>
      </c>
      <c r="P119" s="7"/>
    </row>
    <row r="120" spans="1:16" ht="25.5" x14ac:dyDescent="0.2">
      <c r="A120" s="7"/>
      <c r="B120" s="28" t="s">
        <v>34</v>
      </c>
      <c r="C120" s="26"/>
      <c r="D120" s="1005" t="s">
        <v>79</v>
      </c>
      <c r="E120" s="27"/>
      <c r="F120" s="1037">
        <v>5.1999999999999998E-3</v>
      </c>
      <c r="G120" s="667">
        <f>F95*(1+F143)</f>
        <v>828.48</v>
      </c>
      <c r="H120" s="1038">
        <f t="shared" ref="H120:H128" si="12">G120*F120</f>
        <v>4.3080959999999999</v>
      </c>
      <c r="I120" s="30"/>
      <c r="J120" s="1039">
        <v>5.1999999999999998E-3</v>
      </c>
      <c r="K120" s="668">
        <f>F95*(1+J143)</f>
        <v>833.64325142321218</v>
      </c>
      <c r="L120" s="1038">
        <f t="shared" ref="L120:L128" si="13">K120*J120</f>
        <v>4.3349449074007032</v>
      </c>
      <c r="M120" s="30"/>
      <c r="N120" s="34">
        <f t="shared" si="9"/>
        <v>2.6848907400703226E-2</v>
      </c>
      <c r="O120" s="565">
        <f t="shared" si="11"/>
        <v>6.2321980291765149E-3</v>
      </c>
      <c r="P120" s="7"/>
    </row>
    <row r="121" spans="1:16" ht="25.5" x14ac:dyDescent="0.2">
      <c r="A121" s="7"/>
      <c r="B121" s="28" t="s">
        <v>35</v>
      </c>
      <c r="C121" s="26"/>
      <c r="D121" s="1005" t="s">
        <v>79</v>
      </c>
      <c r="E121" s="27"/>
      <c r="F121" s="1037">
        <v>1.1000000000000001E-3</v>
      </c>
      <c r="G121" s="667">
        <f>F95*(1+F143)</f>
        <v>828.48</v>
      </c>
      <c r="H121" s="1038">
        <f t="shared" si="12"/>
        <v>0.91132800000000003</v>
      </c>
      <c r="I121" s="30"/>
      <c r="J121" s="1039">
        <v>1.1000000000000001E-3</v>
      </c>
      <c r="K121" s="668">
        <f>F95*(1+J143)</f>
        <v>833.64325142321218</v>
      </c>
      <c r="L121" s="1038">
        <f t="shared" si="13"/>
        <v>0.91700757656553344</v>
      </c>
      <c r="M121" s="30"/>
      <c r="N121" s="34">
        <f t="shared" si="9"/>
        <v>5.6795765655334174E-3</v>
      </c>
      <c r="O121" s="565">
        <f t="shared" si="11"/>
        <v>6.2321980291765609E-3</v>
      </c>
      <c r="P121" s="7"/>
    </row>
    <row r="122" spans="1:16" x14ac:dyDescent="0.2">
      <c r="A122" s="7"/>
      <c r="B122" s="26" t="s">
        <v>36</v>
      </c>
      <c r="C122" s="26"/>
      <c r="D122" s="1005"/>
      <c r="E122" s="27"/>
      <c r="F122" s="1037"/>
      <c r="G122" s="32">
        <v>1</v>
      </c>
      <c r="H122" s="1038">
        <f t="shared" si="12"/>
        <v>0</v>
      </c>
      <c r="I122" s="30"/>
      <c r="J122" s="1039"/>
      <c r="K122" s="33">
        <v>1</v>
      </c>
      <c r="L122" s="1038">
        <f t="shared" si="13"/>
        <v>0</v>
      </c>
      <c r="M122" s="30"/>
      <c r="N122" s="34">
        <f t="shared" si="9"/>
        <v>0</v>
      </c>
      <c r="O122" s="565" t="str">
        <f t="shared" si="11"/>
        <v/>
      </c>
      <c r="P122" s="7"/>
    </row>
    <row r="123" spans="1:16" x14ac:dyDescent="0.2">
      <c r="A123" s="7"/>
      <c r="B123" s="26" t="s">
        <v>37</v>
      </c>
      <c r="C123" s="26"/>
      <c r="D123" s="1005" t="s">
        <v>79</v>
      </c>
      <c r="E123" s="27"/>
      <c r="F123" s="1037">
        <v>7.0000000000000001E-3</v>
      </c>
      <c r="G123" s="667">
        <f>F95</f>
        <v>800</v>
      </c>
      <c r="H123" s="1038">
        <f t="shared" si="12"/>
        <v>5.6000000000000005</v>
      </c>
      <c r="I123" s="30"/>
      <c r="J123" s="1039">
        <v>7.0000000000000001E-3</v>
      </c>
      <c r="K123" s="668">
        <f>F95</f>
        <v>800</v>
      </c>
      <c r="L123" s="1038">
        <f t="shared" si="13"/>
        <v>5.6000000000000005</v>
      </c>
      <c r="M123" s="30"/>
      <c r="N123" s="34">
        <f t="shared" si="9"/>
        <v>0</v>
      </c>
      <c r="O123" s="565">
        <f t="shared" si="11"/>
        <v>0</v>
      </c>
      <c r="P123" s="7"/>
    </row>
    <row r="124" spans="1:16" x14ac:dyDescent="0.2">
      <c r="A124" s="7"/>
      <c r="B124" s="564" t="s">
        <v>777</v>
      </c>
      <c r="C124" s="26"/>
      <c r="D124" s="1005" t="s">
        <v>79</v>
      </c>
      <c r="E124" s="27"/>
      <c r="F124" s="1040">
        <v>7.4999999999999997E-2</v>
      </c>
      <c r="G124" s="667">
        <f>IF($G$120&gt;=0,0,$G$120)</f>
        <v>0</v>
      </c>
      <c r="H124" s="1038">
        <f>G124*F124</f>
        <v>0</v>
      </c>
      <c r="I124" s="30"/>
      <c r="J124" s="1037">
        <v>7.4999999999999997E-2</v>
      </c>
      <c r="K124" s="667">
        <f>IF($K$120&gt;=0,0,$K$120)</f>
        <v>0</v>
      </c>
      <c r="L124" s="1038">
        <f>K124*J124</f>
        <v>0</v>
      </c>
      <c r="M124" s="30"/>
      <c r="N124" s="34">
        <f t="shared" si="9"/>
        <v>0</v>
      </c>
      <c r="O124" s="565" t="str">
        <f t="shared" si="11"/>
        <v/>
      </c>
      <c r="P124" s="7"/>
    </row>
    <row r="125" spans="1:16" x14ac:dyDescent="0.2">
      <c r="A125" s="7"/>
      <c r="B125" s="564" t="s">
        <v>778</v>
      </c>
      <c r="C125" s="26"/>
      <c r="D125" s="1005" t="s">
        <v>79</v>
      </c>
      <c r="E125" s="27"/>
      <c r="F125" s="1040">
        <v>8.7999999999999995E-2</v>
      </c>
      <c r="G125" s="667">
        <f>IF($G$120&gt;=0,$G$120-0,0)</f>
        <v>828.48</v>
      </c>
      <c r="H125" s="1038">
        <f>G125*F125</f>
        <v>72.906239999999997</v>
      </c>
      <c r="I125" s="30"/>
      <c r="J125" s="1037">
        <v>8.7999999999999995E-2</v>
      </c>
      <c r="K125" s="667">
        <f>IF($K$120&gt;=0,$K$120-0,0)</f>
        <v>833.64325142321218</v>
      </c>
      <c r="L125" s="1038">
        <f>K125*J125</f>
        <v>73.360606125242668</v>
      </c>
      <c r="M125" s="30"/>
      <c r="N125" s="34">
        <f t="shared" si="9"/>
        <v>0.45436612524267161</v>
      </c>
      <c r="O125" s="565">
        <f t="shared" si="11"/>
        <v>6.2321980291765375E-3</v>
      </c>
      <c r="P125" s="7"/>
    </row>
    <row r="126" spans="1:16" x14ac:dyDescent="0.2">
      <c r="A126" s="7"/>
      <c r="B126" s="564" t="s">
        <v>779</v>
      </c>
      <c r="C126" s="26"/>
      <c r="D126" s="1005" t="s">
        <v>79</v>
      </c>
      <c r="E126" s="27"/>
      <c r="F126" s="1040">
        <v>6.5000000000000002E-2</v>
      </c>
      <c r="G126" s="669">
        <f>0.64*$G$120</f>
        <v>530.22720000000004</v>
      </c>
      <c r="H126" s="1038">
        <f t="shared" si="12"/>
        <v>34.464768000000007</v>
      </c>
      <c r="I126" s="30"/>
      <c r="J126" s="1037">
        <v>6.5000000000000002E-2</v>
      </c>
      <c r="K126" s="1041">
        <f>0.64*$K$120</f>
        <v>533.53168091085581</v>
      </c>
      <c r="L126" s="1038">
        <f t="shared" si="13"/>
        <v>34.679559259205632</v>
      </c>
      <c r="M126" s="30"/>
      <c r="N126" s="34">
        <f t="shared" si="9"/>
        <v>0.21479125920562581</v>
      </c>
      <c r="O126" s="565">
        <f t="shared" si="11"/>
        <v>6.2321980291765132E-3</v>
      </c>
      <c r="P126" s="7"/>
    </row>
    <row r="127" spans="1:16" x14ac:dyDescent="0.2">
      <c r="A127" s="7"/>
      <c r="B127" s="564" t="s">
        <v>780</v>
      </c>
      <c r="C127" s="26"/>
      <c r="D127" s="1005" t="s">
        <v>79</v>
      </c>
      <c r="E127" s="27"/>
      <c r="F127" s="1040">
        <v>0.1</v>
      </c>
      <c r="G127" s="669">
        <f>0.18*$G$120</f>
        <v>149.12639999999999</v>
      </c>
      <c r="H127" s="1038">
        <f t="shared" si="12"/>
        <v>14.91264</v>
      </c>
      <c r="I127" s="30"/>
      <c r="J127" s="1037">
        <v>0.1</v>
      </c>
      <c r="K127" s="1041">
        <f>0.18*$K$120</f>
        <v>150.05578525617818</v>
      </c>
      <c r="L127" s="1038">
        <f t="shared" si="13"/>
        <v>15.005578525617819</v>
      </c>
      <c r="M127" s="30"/>
      <c r="N127" s="34">
        <f t="shared" si="9"/>
        <v>9.2938525617819678E-2</v>
      </c>
      <c r="O127" s="565">
        <f t="shared" si="11"/>
        <v>6.2321980291765696E-3</v>
      </c>
      <c r="P127" s="7"/>
    </row>
    <row r="128" spans="1:16" ht="13.5" thickBot="1" x14ac:dyDescent="0.25">
      <c r="A128" s="7"/>
      <c r="B128" s="647" t="s">
        <v>781</v>
      </c>
      <c r="C128" s="26"/>
      <c r="D128" s="1005" t="s">
        <v>79</v>
      </c>
      <c r="E128" s="27"/>
      <c r="F128" s="1040">
        <v>0.11700000000000001</v>
      </c>
      <c r="G128" s="669">
        <f>0.18*$G$120</f>
        <v>149.12639999999999</v>
      </c>
      <c r="H128" s="1038">
        <f t="shared" si="12"/>
        <v>17.447788800000001</v>
      </c>
      <c r="I128" s="30"/>
      <c r="J128" s="1037">
        <v>0.11700000000000001</v>
      </c>
      <c r="K128" s="1041">
        <f>0.18*$K$120</f>
        <v>150.05578525617818</v>
      </c>
      <c r="L128" s="1038">
        <f t="shared" si="13"/>
        <v>17.55652687497285</v>
      </c>
      <c r="M128" s="30"/>
      <c r="N128" s="34">
        <f t="shared" si="9"/>
        <v>0.10873807497284815</v>
      </c>
      <c r="O128" s="565">
        <f t="shared" si="11"/>
        <v>6.2321980291765193E-3</v>
      </c>
      <c r="P128" s="7"/>
    </row>
    <row r="129" spans="1:16" ht="13.5" thickBot="1" x14ac:dyDescent="0.25">
      <c r="A129" s="7"/>
      <c r="B129" s="1042"/>
      <c r="C129" s="1043"/>
      <c r="D129" s="1044"/>
      <c r="E129" s="1043"/>
      <c r="F129" s="1045"/>
      <c r="G129" s="1046"/>
      <c r="H129" s="1047"/>
      <c r="I129" s="1048"/>
      <c r="J129" s="1045"/>
      <c r="K129" s="1049"/>
      <c r="L129" s="1047"/>
      <c r="M129" s="1048"/>
      <c r="N129" s="1050"/>
      <c r="O129" s="1051"/>
      <c r="P129" s="7"/>
    </row>
    <row r="130" spans="1:16" x14ac:dyDescent="0.2">
      <c r="A130" s="7"/>
      <c r="B130" s="36" t="s">
        <v>782</v>
      </c>
      <c r="C130" s="26"/>
      <c r="D130" s="26"/>
      <c r="E130" s="26"/>
      <c r="F130" s="662"/>
      <c r="G130" s="652"/>
      <c r="H130" s="656">
        <f>SUM(H119:H125)</f>
        <v>125.43166399999998</v>
      </c>
      <c r="I130" s="660"/>
      <c r="J130" s="661"/>
      <c r="K130" s="661"/>
      <c r="L130" s="655">
        <f>SUM(L119:L125)</f>
        <v>129.0195489760028</v>
      </c>
      <c r="M130" s="654"/>
      <c r="N130" s="659">
        <f t="shared" si="9"/>
        <v>3.5878849760028118</v>
      </c>
      <c r="O130" s="657">
        <f t="shared" si="11"/>
        <v>2.8604300234770164E-2</v>
      </c>
      <c r="P130" s="7"/>
    </row>
    <row r="131" spans="1:16" x14ac:dyDescent="0.2">
      <c r="A131" s="7"/>
      <c r="B131" s="650" t="s">
        <v>38</v>
      </c>
      <c r="C131" s="26"/>
      <c r="D131" s="26"/>
      <c r="E131" s="26"/>
      <c r="F131" s="649">
        <v>0.13</v>
      </c>
      <c r="G131" s="652"/>
      <c r="H131" s="670">
        <f>H130*F131</f>
        <v>16.306116319999997</v>
      </c>
      <c r="I131" s="648"/>
      <c r="J131" s="676">
        <v>0.13</v>
      </c>
      <c r="K131" s="677"/>
      <c r="L131" s="672">
        <f>L130*J131</f>
        <v>16.772541366880365</v>
      </c>
      <c r="M131" s="673"/>
      <c r="N131" s="674">
        <f t="shared" si="9"/>
        <v>0.46642504688036723</v>
      </c>
      <c r="O131" s="675">
        <f t="shared" si="11"/>
        <v>2.8604300234770268E-2</v>
      </c>
      <c r="P131" s="7"/>
    </row>
    <row r="132" spans="1:16" x14ac:dyDescent="0.2">
      <c r="A132" s="7"/>
      <c r="B132" s="651" t="s">
        <v>1139</v>
      </c>
      <c r="C132" s="26"/>
      <c r="D132" s="26"/>
      <c r="E132" s="26"/>
      <c r="F132" s="658"/>
      <c r="G132" s="653"/>
      <c r="H132" s="670">
        <f>H130+H131</f>
        <v>141.73778031999998</v>
      </c>
      <c r="I132" s="648"/>
      <c r="J132" s="648"/>
      <c r="K132" s="648"/>
      <c r="L132" s="672">
        <f>L130+L131</f>
        <v>145.79209034288317</v>
      </c>
      <c r="M132" s="673"/>
      <c r="N132" s="674">
        <f t="shared" si="9"/>
        <v>4.0543100228831861</v>
      </c>
      <c r="O132" s="675">
        <f t="shared" si="11"/>
        <v>2.8604300234770223E-2</v>
      </c>
      <c r="P132" s="7"/>
    </row>
    <row r="133" spans="1:16" ht="12.75" customHeight="1" x14ac:dyDescent="0.2">
      <c r="A133" s="7"/>
      <c r="B133" s="1626" t="s">
        <v>1140</v>
      </c>
      <c r="C133" s="1626"/>
      <c r="D133" s="1626"/>
      <c r="E133" s="26"/>
      <c r="F133" s="658"/>
      <c r="G133" s="653"/>
      <c r="H133" s="1052">
        <f>ROUND(-H132*10%,2)</f>
        <v>-14.17</v>
      </c>
      <c r="I133" s="648"/>
      <c r="J133" s="648"/>
      <c r="K133" s="648"/>
      <c r="L133" s="1053">
        <f>ROUND(-L132*10%,2)</f>
        <v>-14.58</v>
      </c>
      <c r="M133" s="673"/>
      <c r="N133" s="1054">
        <f t="shared" si="9"/>
        <v>-0.41000000000000014</v>
      </c>
      <c r="O133" s="1055">
        <f t="shared" si="11"/>
        <v>2.8934368383909677E-2</v>
      </c>
      <c r="P133" s="7"/>
    </row>
    <row r="134" spans="1:16" ht="13.5" customHeight="1" thickBot="1" x14ac:dyDescent="0.25">
      <c r="A134" s="7"/>
      <c r="B134" s="1626" t="s">
        <v>785</v>
      </c>
      <c r="C134" s="1626"/>
      <c r="D134" s="1626"/>
      <c r="E134" s="1056"/>
      <c r="F134" s="1057"/>
      <c r="G134" s="1058"/>
      <c r="H134" s="1059">
        <f>SUM(H132:H133)</f>
        <v>127.56778031999998</v>
      </c>
      <c r="I134" s="1060"/>
      <c r="J134" s="1060"/>
      <c r="K134" s="1060"/>
      <c r="L134" s="1061">
        <f>SUM(L132:L133)</f>
        <v>131.21209034288316</v>
      </c>
      <c r="M134" s="1062"/>
      <c r="N134" s="1063">
        <f t="shared" si="9"/>
        <v>3.6443100228831753</v>
      </c>
      <c r="O134" s="1064">
        <f t="shared" si="11"/>
        <v>2.8567636857375209E-2</v>
      </c>
      <c r="P134" s="7"/>
    </row>
    <row r="135" spans="1:16" ht="13.5" thickBot="1" x14ac:dyDescent="0.25">
      <c r="A135" s="7"/>
      <c r="B135" s="1042"/>
      <c r="C135" s="1043"/>
      <c r="D135" s="1044"/>
      <c r="E135" s="1043"/>
      <c r="F135" s="1065"/>
      <c r="G135" s="1066"/>
      <c r="H135" s="1067"/>
      <c r="I135" s="1068"/>
      <c r="J135" s="1065"/>
      <c r="K135" s="1046"/>
      <c r="L135" s="1069"/>
      <c r="M135" s="1048"/>
      <c r="N135" s="1070"/>
      <c r="O135" s="1051"/>
      <c r="P135" s="7"/>
    </row>
    <row r="136" spans="1:16" x14ac:dyDescent="0.2">
      <c r="A136" s="7"/>
      <c r="B136" s="36" t="s">
        <v>783</v>
      </c>
      <c r="C136" s="26"/>
      <c r="D136" s="26"/>
      <c r="E136" s="26"/>
      <c r="F136" s="662"/>
      <c r="G136" s="652"/>
      <c r="H136" s="656">
        <f>SUM(H119:H123,H126:H128)</f>
        <v>119.3506208</v>
      </c>
      <c r="I136" s="660"/>
      <c r="J136" s="661"/>
      <c r="K136" s="661"/>
      <c r="L136" s="666">
        <f>SUM(L119:L123,L126:L128)</f>
        <v>122.90060751055643</v>
      </c>
      <c r="M136" s="654"/>
      <c r="N136" s="659">
        <f>L136-H136</f>
        <v>3.5499867105564249</v>
      </c>
      <c r="O136" s="657">
        <f>IF((H136)=0,"",(N136/H136))</f>
        <v>2.974418303617592E-2</v>
      </c>
      <c r="P136" s="7"/>
    </row>
    <row r="137" spans="1:16" x14ac:dyDescent="0.2">
      <c r="A137" s="7"/>
      <c r="B137" s="650" t="s">
        <v>38</v>
      </c>
      <c r="C137" s="26"/>
      <c r="D137" s="26"/>
      <c r="E137" s="26"/>
      <c r="F137" s="649">
        <v>0.13</v>
      </c>
      <c r="G137" s="653"/>
      <c r="H137" s="670">
        <f>H136*F137</f>
        <v>15.515580704000001</v>
      </c>
      <c r="I137" s="648"/>
      <c r="J137" s="671">
        <v>0.13</v>
      </c>
      <c r="K137" s="648"/>
      <c r="L137" s="672">
        <f>L136*J137</f>
        <v>15.977078976372336</v>
      </c>
      <c r="M137" s="673"/>
      <c r="N137" s="674">
        <f t="shared" si="9"/>
        <v>0.46149827237233509</v>
      </c>
      <c r="O137" s="675">
        <f t="shared" si="11"/>
        <v>2.9744183036175906E-2</v>
      </c>
      <c r="P137" s="7"/>
    </row>
    <row r="138" spans="1:16" x14ac:dyDescent="0.2">
      <c r="A138" s="7"/>
      <c r="B138" s="651" t="s">
        <v>1139</v>
      </c>
      <c r="C138" s="26"/>
      <c r="D138" s="26"/>
      <c r="E138" s="26"/>
      <c r="F138" s="658"/>
      <c r="G138" s="653"/>
      <c r="H138" s="670">
        <f>H136+H137</f>
        <v>134.866201504</v>
      </c>
      <c r="I138" s="648"/>
      <c r="J138" s="648"/>
      <c r="K138" s="648"/>
      <c r="L138" s="672">
        <f>L136+L137</f>
        <v>138.87768648692875</v>
      </c>
      <c r="M138" s="673"/>
      <c r="N138" s="674">
        <f t="shared" si="9"/>
        <v>4.0114849829287493</v>
      </c>
      <c r="O138" s="675">
        <f t="shared" si="11"/>
        <v>2.9744183036175841E-2</v>
      </c>
      <c r="P138" s="7"/>
    </row>
    <row r="139" spans="1:16" ht="12.75" customHeight="1" x14ac:dyDescent="0.2">
      <c r="A139" s="7"/>
      <c r="B139" s="1626" t="s">
        <v>1140</v>
      </c>
      <c r="C139" s="1626"/>
      <c r="D139" s="1626"/>
      <c r="E139" s="26"/>
      <c r="F139" s="658"/>
      <c r="G139" s="653"/>
      <c r="H139" s="1052">
        <f>ROUND(-H138*10%,2)</f>
        <v>-13.49</v>
      </c>
      <c r="I139" s="648"/>
      <c r="J139" s="648"/>
      <c r="K139" s="648"/>
      <c r="L139" s="1053">
        <f>ROUND(-L138*10%,2)</f>
        <v>-13.89</v>
      </c>
      <c r="M139" s="673"/>
      <c r="N139" s="1054">
        <f t="shared" si="9"/>
        <v>-0.40000000000000036</v>
      </c>
      <c r="O139" s="1055">
        <f t="shared" si="11"/>
        <v>2.9651593773165334E-2</v>
      </c>
      <c r="P139" s="7"/>
    </row>
    <row r="140" spans="1:16" ht="13.5" customHeight="1" thickBot="1" x14ac:dyDescent="0.25">
      <c r="A140" s="7"/>
      <c r="B140" s="1626" t="s">
        <v>784</v>
      </c>
      <c r="C140" s="1626"/>
      <c r="D140" s="1626"/>
      <c r="E140" s="1056"/>
      <c r="F140" s="1071"/>
      <c r="G140" s="1072"/>
      <c r="H140" s="1073">
        <f>H138+H139</f>
        <v>121.37620150400001</v>
      </c>
      <c r="I140" s="1074"/>
      <c r="J140" s="1074"/>
      <c r="K140" s="1074"/>
      <c r="L140" s="1075">
        <f>L138+L139</f>
        <v>124.98768648692875</v>
      </c>
      <c r="M140" s="1076"/>
      <c r="N140" s="1077">
        <f t="shared" si="9"/>
        <v>3.6114849829287436</v>
      </c>
      <c r="O140" s="1078">
        <f t="shared" si="11"/>
        <v>2.9754473596784337E-2</v>
      </c>
      <c r="P140" s="7"/>
    </row>
    <row r="141" spans="1:16" ht="13.5" thickBot="1" x14ac:dyDescent="0.25">
      <c r="A141" s="7"/>
      <c r="B141" s="1042"/>
      <c r="C141" s="1043"/>
      <c r="D141" s="1044"/>
      <c r="E141" s="1043"/>
      <c r="F141" s="1065"/>
      <c r="G141" s="1066"/>
      <c r="H141" s="1067"/>
      <c r="I141" s="1068"/>
      <c r="J141" s="1065"/>
      <c r="K141" s="1046"/>
      <c r="L141" s="1069"/>
      <c r="M141" s="1048"/>
      <c r="N141" s="1070"/>
      <c r="O141" s="1051"/>
      <c r="P141" s="7"/>
    </row>
    <row r="142" spans="1:16" x14ac:dyDescent="0.2">
      <c r="A142" s="7"/>
      <c r="B142" s="7"/>
      <c r="C142" s="7"/>
      <c r="D142" s="7"/>
      <c r="E142" s="7"/>
      <c r="F142" s="7"/>
      <c r="G142" s="7"/>
      <c r="H142" s="7"/>
      <c r="I142" s="7"/>
      <c r="J142" s="7"/>
      <c r="K142" s="7"/>
      <c r="L142" s="678"/>
      <c r="M142" s="7"/>
      <c r="N142" s="7"/>
      <c r="O142" s="7"/>
      <c r="P142" s="7"/>
    </row>
    <row r="143" spans="1:16" x14ac:dyDescent="0.2">
      <c r="A143" s="7"/>
      <c r="B143" s="8" t="s">
        <v>39</v>
      </c>
      <c r="C143" s="7"/>
      <c r="D143" s="7"/>
      <c r="E143" s="7"/>
      <c r="F143" s="1079">
        <v>3.5600000000000076E-2</v>
      </c>
      <c r="G143" s="7"/>
      <c r="H143" s="7"/>
      <c r="I143" s="7"/>
      <c r="J143" s="1079">
        <v>4.2054064279015257E-2</v>
      </c>
      <c r="K143" s="7"/>
      <c r="L143" s="7"/>
      <c r="M143" s="7"/>
      <c r="N143" s="7"/>
      <c r="O143" s="7"/>
      <c r="P143" s="7"/>
    </row>
    <row r="144" spans="1:16" x14ac:dyDescent="0.2">
      <c r="A144" s="7"/>
      <c r="B144" s="7"/>
      <c r="C144" s="7"/>
      <c r="D144" s="7"/>
      <c r="E144" s="7"/>
      <c r="F144" s="7"/>
      <c r="G144" s="7"/>
      <c r="H144" s="7"/>
      <c r="I144" s="7"/>
      <c r="J144" s="7"/>
      <c r="K144" s="7"/>
      <c r="L144" s="7"/>
      <c r="M144" s="7"/>
      <c r="N144" s="7"/>
      <c r="O144" s="7"/>
      <c r="P144" s="7"/>
    </row>
    <row r="145" spans="1:16" ht="14.25" x14ac:dyDescent="0.2">
      <c r="A145" s="214" t="s">
        <v>1141</v>
      </c>
      <c r="B145" s="7"/>
      <c r="C145" s="7"/>
      <c r="D145" s="7"/>
      <c r="E145" s="7"/>
      <c r="F145" s="7"/>
      <c r="G145" s="7"/>
      <c r="H145" s="7"/>
      <c r="I145" s="7"/>
      <c r="J145" s="7"/>
      <c r="K145" s="7"/>
      <c r="L145" s="7"/>
      <c r="M145" s="7"/>
      <c r="N145" s="7"/>
      <c r="O145" s="7"/>
      <c r="P145" s="7"/>
    </row>
    <row r="146" spans="1:16" x14ac:dyDescent="0.2">
      <c r="A146" s="7"/>
      <c r="B146" s="7"/>
      <c r="C146" s="7"/>
      <c r="D146" s="7"/>
      <c r="E146" s="7"/>
      <c r="F146" s="7"/>
      <c r="G146" s="7"/>
      <c r="H146" s="7"/>
      <c r="I146" s="7"/>
      <c r="J146" s="7"/>
      <c r="K146" s="7"/>
      <c r="L146" s="7"/>
      <c r="M146" s="7"/>
      <c r="N146" s="7"/>
      <c r="O146" s="7"/>
      <c r="P146" s="7"/>
    </row>
    <row r="147" spans="1:16" x14ac:dyDescent="0.2">
      <c r="A147" s="7" t="s">
        <v>107</v>
      </c>
      <c r="B147" s="7"/>
      <c r="C147" s="7"/>
      <c r="D147" s="7"/>
      <c r="E147" s="7"/>
      <c r="F147" s="7"/>
      <c r="G147" s="7"/>
      <c r="H147" s="7"/>
      <c r="I147" s="7"/>
      <c r="J147" s="7"/>
      <c r="K147" s="7"/>
      <c r="L147" s="7"/>
      <c r="M147" s="7"/>
      <c r="N147" s="7"/>
      <c r="O147" s="7"/>
      <c r="P147" s="7"/>
    </row>
    <row r="148" spans="1:16" x14ac:dyDescent="0.2">
      <c r="A148" s="7" t="s">
        <v>108</v>
      </c>
      <c r="B148" s="7"/>
      <c r="C148" s="7"/>
      <c r="D148" s="7"/>
      <c r="E148" s="7"/>
      <c r="F148" s="7"/>
      <c r="G148" s="7"/>
      <c r="H148" s="7"/>
      <c r="I148" s="7"/>
      <c r="J148" s="7"/>
      <c r="K148" s="7"/>
      <c r="L148" s="7"/>
      <c r="M148" s="7"/>
      <c r="N148" s="7"/>
      <c r="O148" s="7"/>
      <c r="P148" s="7"/>
    </row>
    <row r="149" spans="1:16" x14ac:dyDescent="0.2">
      <c r="A149" s="7"/>
      <c r="B149" s="7"/>
      <c r="C149" s="7"/>
      <c r="D149" s="7"/>
      <c r="E149" s="7"/>
      <c r="F149" s="7"/>
      <c r="G149" s="7"/>
      <c r="H149" s="7"/>
      <c r="I149" s="7"/>
      <c r="J149" s="7"/>
      <c r="K149" s="7"/>
      <c r="L149" s="7"/>
      <c r="M149" s="7"/>
      <c r="N149" s="7"/>
      <c r="O149" s="7"/>
      <c r="P149" s="7"/>
    </row>
    <row r="150" spans="1:16" x14ac:dyDescent="0.2">
      <c r="A150" s="7" t="s">
        <v>331</v>
      </c>
      <c r="B150" s="7"/>
      <c r="C150" s="7"/>
      <c r="D150" s="7"/>
      <c r="E150" s="7"/>
      <c r="F150" s="7"/>
      <c r="G150" s="7"/>
      <c r="H150" s="7"/>
      <c r="I150" s="7"/>
      <c r="J150" s="7"/>
      <c r="K150" s="7"/>
      <c r="L150" s="7"/>
      <c r="M150" s="7"/>
      <c r="N150" s="7"/>
      <c r="O150" s="7"/>
      <c r="P150" s="7"/>
    </row>
    <row r="151" spans="1:16" x14ac:dyDescent="0.2">
      <c r="A151" s="7" t="s">
        <v>109</v>
      </c>
      <c r="B151" s="7"/>
      <c r="C151" s="7"/>
      <c r="D151" s="7"/>
      <c r="E151" s="7"/>
      <c r="F151" s="7"/>
      <c r="G151" s="7"/>
      <c r="H151" s="7"/>
      <c r="I151" s="7"/>
      <c r="J151" s="7"/>
      <c r="K151" s="7"/>
      <c r="L151" s="7"/>
      <c r="M151" s="7"/>
      <c r="N151" s="7"/>
      <c r="O151" s="7"/>
      <c r="P151" s="7"/>
    </row>
    <row r="152" spans="1:16" x14ac:dyDescent="0.2">
      <c r="A152" s="7"/>
      <c r="B152" s="7"/>
      <c r="C152" s="7"/>
      <c r="D152" s="7"/>
      <c r="E152" s="7"/>
      <c r="F152" s="7"/>
      <c r="G152" s="7"/>
      <c r="H152" s="7"/>
      <c r="I152" s="7"/>
      <c r="J152" s="7"/>
      <c r="K152" s="7"/>
      <c r="L152" s="7"/>
      <c r="M152" s="7"/>
      <c r="N152" s="7"/>
      <c r="O152" s="7"/>
      <c r="P152" s="7"/>
    </row>
    <row r="153" spans="1:16" x14ac:dyDescent="0.2">
      <c r="A153" s="7" t="s">
        <v>110</v>
      </c>
      <c r="B153" s="7"/>
      <c r="C153" s="7"/>
      <c r="D153" s="7"/>
      <c r="E153" s="7"/>
      <c r="F153" s="7"/>
      <c r="G153" s="7"/>
      <c r="H153" s="7"/>
      <c r="I153" s="7"/>
      <c r="J153" s="7"/>
      <c r="K153" s="7"/>
      <c r="L153" s="7"/>
      <c r="M153" s="7"/>
      <c r="N153" s="7"/>
      <c r="O153" s="7"/>
      <c r="P153" s="7"/>
    </row>
    <row r="154" spans="1:16" x14ac:dyDescent="0.2">
      <c r="A154" s="7" t="s">
        <v>111</v>
      </c>
      <c r="B154" s="7"/>
      <c r="C154" s="7"/>
      <c r="D154" s="7"/>
      <c r="E154" s="7"/>
      <c r="F154" s="7"/>
      <c r="G154" s="7"/>
      <c r="H154" s="7"/>
      <c r="I154" s="7"/>
      <c r="J154" s="7"/>
      <c r="K154" s="7"/>
      <c r="L154" s="7"/>
      <c r="M154" s="7"/>
      <c r="N154" s="7"/>
      <c r="O154" s="7"/>
      <c r="P154" s="7"/>
    </row>
    <row r="155" spans="1:16" x14ac:dyDescent="0.2">
      <c r="A155" s="7" t="s">
        <v>112</v>
      </c>
      <c r="B155" s="7"/>
      <c r="C155" s="7"/>
      <c r="D155" s="7"/>
      <c r="E155" s="7"/>
      <c r="F155" s="7"/>
      <c r="G155" s="7"/>
      <c r="H155" s="7"/>
      <c r="I155" s="7"/>
      <c r="J155" s="7"/>
      <c r="K155" s="7"/>
      <c r="L155" s="7"/>
      <c r="M155" s="7"/>
      <c r="N155" s="7"/>
      <c r="O155" s="7"/>
      <c r="P155" s="7"/>
    </row>
    <row r="156" spans="1:16" x14ac:dyDescent="0.2">
      <c r="A156" s="7" t="s">
        <v>113</v>
      </c>
      <c r="B156" s="7"/>
      <c r="C156" s="7"/>
      <c r="D156" s="7"/>
      <c r="E156" s="7"/>
      <c r="F156" s="7"/>
      <c r="G156" s="7"/>
      <c r="H156" s="7"/>
      <c r="I156" s="7"/>
      <c r="J156" s="7"/>
      <c r="K156" s="7"/>
      <c r="L156" s="7"/>
      <c r="M156" s="7"/>
      <c r="N156" s="7"/>
      <c r="O156" s="7"/>
      <c r="P156" s="7"/>
    </row>
    <row r="157" spans="1:16" x14ac:dyDescent="0.2">
      <c r="A157" s="7" t="s">
        <v>114</v>
      </c>
      <c r="B157" s="7"/>
      <c r="C157" s="7"/>
      <c r="D157" s="7"/>
      <c r="E157" s="7"/>
      <c r="F157" s="7"/>
      <c r="G157" s="7"/>
      <c r="H157" s="7"/>
      <c r="I157" s="7"/>
      <c r="J157" s="7"/>
      <c r="K157" s="7"/>
      <c r="L157" s="7"/>
      <c r="M157" s="7"/>
      <c r="N157" s="7"/>
      <c r="O157" s="7"/>
      <c r="P157" s="7"/>
    </row>
    <row r="159" spans="1:16" ht="21.75" x14ac:dyDescent="0.2">
      <c r="A159" s="41"/>
      <c r="B159" s="41"/>
      <c r="C159" s="41"/>
      <c r="D159" s="41"/>
      <c r="E159" s="41"/>
      <c r="F159" s="41"/>
      <c r="G159" s="41"/>
      <c r="H159" s="41"/>
      <c r="I159" s="41"/>
      <c r="J159" s="41"/>
      <c r="K159" s="41"/>
      <c r="L159" s="37"/>
      <c r="M159" s="37"/>
      <c r="N159" s="16" t="s">
        <v>444</v>
      </c>
      <c r="O159" s="250" t="s">
        <v>866</v>
      </c>
    </row>
    <row r="160" spans="1:16" ht="18" x14ac:dyDescent="0.25">
      <c r="A160" s="40"/>
      <c r="B160" s="40"/>
      <c r="C160" s="40"/>
      <c r="D160" s="40"/>
      <c r="E160" s="40"/>
      <c r="F160" s="40"/>
      <c r="G160" s="40"/>
      <c r="H160" s="40"/>
      <c r="I160" s="40"/>
      <c r="J160" s="40"/>
      <c r="K160" s="40"/>
      <c r="L160" s="37"/>
      <c r="M160" s="37"/>
      <c r="N160" s="16" t="s">
        <v>445</v>
      </c>
      <c r="O160" s="1001"/>
    </row>
    <row r="161" spans="1:16" x14ac:dyDescent="0.2">
      <c r="A161" s="1626"/>
      <c r="B161" s="1626"/>
      <c r="C161" s="1626"/>
      <c r="D161" s="1626"/>
      <c r="E161" s="1626"/>
      <c r="F161" s="1626"/>
      <c r="G161" s="1626"/>
      <c r="H161" s="1626"/>
      <c r="I161" s="1626"/>
      <c r="J161" s="1626"/>
      <c r="K161" s="1626"/>
      <c r="L161" s="37"/>
      <c r="M161" s="37"/>
      <c r="N161" s="16" t="s">
        <v>446</v>
      </c>
      <c r="O161" s="1001"/>
    </row>
    <row r="162" spans="1:16" ht="18" x14ac:dyDescent="0.25">
      <c r="A162" s="40"/>
      <c r="B162" s="40"/>
      <c r="C162" s="40"/>
      <c r="D162" s="40"/>
      <c r="E162" s="40"/>
      <c r="F162" s="40"/>
      <c r="G162" s="40"/>
      <c r="H162" s="40"/>
      <c r="I162" s="38"/>
      <c r="J162" s="38"/>
      <c r="K162" s="38"/>
      <c r="L162" s="37"/>
      <c r="M162" s="37"/>
      <c r="N162" s="16" t="s">
        <v>447</v>
      </c>
      <c r="O162" s="1001"/>
    </row>
    <row r="163" spans="1:16" ht="15.75" x14ac:dyDescent="0.25">
      <c r="A163" s="37"/>
      <c r="B163" s="37"/>
      <c r="C163" s="39"/>
      <c r="D163" s="39"/>
      <c r="E163" s="39"/>
      <c r="F163" s="37"/>
      <c r="G163" s="37"/>
      <c r="H163" s="37"/>
      <c r="I163" s="37"/>
      <c r="J163" s="37"/>
      <c r="K163" s="37"/>
      <c r="L163" s="37"/>
      <c r="M163" s="37"/>
      <c r="N163" s="16" t="s">
        <v>448</v>
      </c>
      <c r="O163" s="1002" t="s">
        <v>1143</v>
      </c>
    </row>
    <row r="164" spans="1:16" x14ac:dyDescent="0.2">
      <c r="A164" s="37"/>
      <c r="B164" s="37"/>
      <c r="C164" s="37"/>
      <c r="D164" s="37"/>
      <c r="E164" s="37"/>
      <c r="F164" s="37"/>
      <c r="G164" s="37"/>
      <c r="H164" s="37"/>
      <c r="I164" s="37"/>
      <c r="J164" s="37"/>
      <c r="K164" s="37"/>
      <c r="L164" s="37"/>
      <c r="M164" s="37"/>
      <c r="N164" s="16"/>
      <c r="O164" s="250"/>
    </row>
    <row r="165" spans="1:16" x14ac:dyDescent="0.2">
      <c r="A165" s="37"/>
      <c r="B165" s="37"/>
      <c r="C165" s="37"/>
      <c r="D165" s="37"/>
      <c r="E165" s="37"/>
      <c r="F165" s="37"/>
      <c r="G165" s="37"/>
      <c r="H165" s="37"/>
      <c r="I165" s="37"/>
      <c r="J165" s="37"/>
      <c r="K165" s="37"/>
      <c r="L165" s="37"/>
      <c r="M165" s="37"/>
      <c r="N165" s="16" t="s">
        <v>449</v>
      </c>
      <c r="O165" s="1002"/>
    </row>
    <row r="166" spans="1:16" x14ac:dyDescent="0.2">
      <c r="A166" s="37"/>
      <c r="B166" s="37"/>
      <c r="C166" s="37"/>
      <c r="D166" s="37"/>
      <c r="E166" s="37"/>
      <c r="F166" s="37"/>
      <c r="G166" s="37"/>
      <c r="H166" s="37"/>
      <c r="I166" s="37"/>
      <c r="J166" s="37"/>
      <c r="K166" s="37"/>
      <c r="L166" s="37"/>
      <c r="M166" s="37"/>
      <c r="N166" s="7"/>
    </row>
    <row r="167" spans="1:16" x14ac:dyDescent="0.2">
      <c r="A167" s="7"/>
      <c r="B167" s="7"/>
      <c r="C167" s="7"/>
      <c r="D167" s="7"/>
      <c r="E167" s="7"/>
      <c r="F167" s="7"/>
      <c r="G167" s="7"/>
      <c r="H167" s="7"/>
      <c r="I167" s="7"/>
      <c r="J167" s="7"/>
      <c r="K167" s="7"/>
    </row>
    <row r="168" spans="1:16" x14ac:dyDescent="0.2">
      <c r="A168" s="7"/>
      <c r="B168" s="1626" t="s">
        <v>695</v>
      </c>
      <c r="C168" s="1626"/>
      <c r="D168" s="1626"/>
      <c r="E168" s="1626"/>
      <c r="F168" s="1626"/>
      <c r="G168" s="1626"/>
      <c r="H168" s="1626"/>
      <c r="I168" s="1626"/>
      <c r="J168" s="1626"/>
      <c r="K168" s="1626"/>
      <c r="L168" s="1626"/>
      <c r="M168" s="1626"/>
      <c r="N168" s="1626"/>
      <c r="O168" s="1626"/>
    </row>
    <row r="169" spans="1:16" x14ac:dyDescent="0.2">
      <c r="A169" s="7"/>
      <c r="B169" s="1626" t="s">
        <v>63</v>
      </c>
      <c r="C169" s="1626"/>
      <c r="D169" s="1626"/>
      <c r="E169" s="1626"/>
      <c r="F169" s="1626"/>
      <c r="G169" s="1626"/>
      <c r="H169" s="1626"/>
      <c r="I169" s="1626"/>
      <c r="J169" s="1626"/>
      <c r="K169" s="1626"/>
      <c r="L169" s="1626"/>
      <c r="M169" s="1626"/>
      <c r="N169" s="1626"/>
      <c r="O169" s="1626"/>
    </row>
    <row r="170" spans="1:16" x14ac:dyDescent="0.2">
      <c r="A170" s="7"/>
      <c r="B170" s="7"/>
      <c r="C170" s="7"/>
      <c r="D170" s="7"/>
      <c r="E170" s="7"/>
      <c r="F170" s="7"/>
      <c r="G170" s="7"/>
      <c r="H170" s="7"/>
      <c r="I170" s="7"/>
      <c r="J170" s="7"/>
      <c r="K170" s="7"/>
    </row>
    <row r="171" spans="1:16" x14ac:dyDescent="0.2">
      <c r="A171" s="7"/>
      <c r="B171" s="7"/>
      <c r="C171" s="7"/>
      <c r="D171" s="7"/>
      <c r="E171" s="7"/>
      <c r="F171" s="7"/>
      <c r="G171" s="7"/>
      <c r="H171" s="7"/>
      <c r="I171" s="7"/>
      <c r="J171" s="7"/>
      <c r="K171" s="7"/>
    </row>
    <row r="172" spans="1:16" x14ac:dyDescent="0.2">
      <c r="A172" s="7"/>
      <c r="B172" s="43" t="s">
        <v>40</v>
      </c>
      <c r="C172" s="7"/>
      <c r="D172" s="1626" t="s">
        <v>82</v>
      </c>
      <c r="E172" s="1626"/>
      <c r="F172" s="1626"/>
      <c r="G172" s="1626"/>
      <c r="H172" s="1626"/>
      <c r="I172" s="1626"/>
      <c r="J172" s="1626"/>
      <c r="K172" s="1626"/>
      <c r="L172" s="1626"/>
      <c r="M172" s="1626"/>
      <c r="N172" s="1626"/>
      <c r="O172" s="1626"/>
      <c r="P172" s="7"/>
    </row>
    <row r="173" spans="1:16" ht="15.75" x14ac:dyDescent="0.25">
      <c r="A173" s="7"/>
      <c r="B173" s="1003"/>
      <c r="C173" s="7"/>
      <c r="D173" s="42"/>
      <c r="E173" s="42"/>
      <c r="F173" s="42"/>
      <c r="G173" s="42"/>
      <c r="H173" s="42"/>
      <c r="I173" s="42"/>
      <c r="J173" s="42"/>
      <c r="K173" s="42"/>
      <c r="L173" s="42"/>
      <c r="M173" s="42"/>
      <c r="N173" s="42"/>
      <c r="O173" s="42"/>
      <c r="P173" s="7"/>
    </row>
    <row r="174" spans="1:16" x14ac:dyDescent="0.2">
      <c r="A174" s="7"/>
      <c r="B174" s="647"/>
      <c r="C174" s="7"/>
      <c r="D174" s="8" t="s">
        <v>17</v>
      </c>
      <c r="E174" s="8"/>
      <c r="F174" s="1004">
        <v>1500</v>
      </c>
      <c r="G174" s="8" t="s">
        <v>18</v>
      </c>
      <c r="H174" s="7"/>
      <c r="I174" s="7"/>
      <c r="J174" s="7"/>
      <c r="K174" s="7"/>
      <c r="L174" s="7"/>
      <c r="M174" s="7"/>
      <c r="N174" s="7"/>
      <c r="O174" s="7"/>
      <c r="P174" s="7"/>
    </row>
    <row r="175" spans="1:16" x14ac:dyDescent="0.2">
      <c r="A175" s="7"/>
      <c r="B175" s="647"/>
      <c r="C175" s="7"/>
      <c r="D175" s="7"/>
      <c r="E175" s="7"/>
      <c r="F175" s="7"/>
      <c r="G175" s="7"/>
      <c r="H175" s="7"/>
      <c r="I175" s="7"/>
      <c r="J175" s="7"/>
      <c r="K175" s="7"/>
      <c r="L175" s="7"/>
      <c r="M175" s="7"/>
      <c r="N175" s="7"/>
      <c r="O175" s="7"/>
      <c r="P175" s="7"/>
    </row>
    <row r="176" spans="1:16" x14ac:dyDescent="0.2">
      <c r="A176" s="7"/>
      <c r="B176" s="647"/>
      <c r="C176" s="7"/>
      <c r="D176" s="19"/>
      <c r="E176" s="19"/>
      <c r="F176" s="1626" t="s">
        <v>19</v>
      </c>
      <c r="G176" s="1626"/>
      <c r="H176" s="1626"/>
      <c r="I176" s="7"/>
      <c r="J176" s="1626" t="s">
        <v>20</v>
      </c>
      <c r="K176" s="1626"/>
      <c r="L176" s="1626"/>
      <c r="M176" s="7"/>
      <c r="N176" s="1626" t="s">
        <v>21</v>
      </c>
      <c r="O176" s="1626"/>
      <c r="P176" s="7"/>
    </row>
    <row r="177" spans="1:16" ht="12.75" customHeight="1" x14ac:dyDescent="0.2">
      <c r="A177" s="7"/>
      <c r="B177" s="647"/>
      <c r="C177" s="7"/>
      <c r="D177" s="1626" t="s">
        <v>22</v>
      </c>
      <c r="E177" s="20"/>
      <c r="F177" s="21" t="s">
        <v>23</v>
      </c>
      <c r="G177" s="21" t="s">
        <v>24</v>
      </c>
      <c r="H177" s="22" t="s">
        <v>25</v>
      </c>
      <c r="I177" s="7"/>
      <c r="J177" s="21" t="s">
        <v>23</v>
      </c>
      <c r="K177" s="23" t="s">
        <v>24</v>
      </c>
      <c r="L177" s="22" t="s">
        <v>25</v>
      </c>
      <c r="M177" s="7"/>
      <c r="N177" s="1626" t="s">
        <v>26</v>
      </c>
      <c r="O177" s="1626" t="s">
        <v>27</v>
      </c>
      <c r="P177" s="7"/>
    </row>
    <row r="178" spans="1:16" x14ac:dyDescent="0.2">
      <c r="A178" s="7"/>
      <c r="B178" s="647"/>
      <c r="C178" s="7"/>
      <c r="D178" s="1626"/>
      <c r="E178" s="20"/>
      <c r="F178" s="24" t="s">
        <v>452</v>
      </c>
      <c r="G178" s="24"/>
      <c r="H178" s="25" t="s">
        <v>452</v>
      </c>
      <c r="I178" s="7"/>
      <c r="J178" s="24" t="s">
        <v>452</v>
      </c>
      <c r="K178" s="25"/>
      <c r="L178" s="25" t="s">
        <v>452</v>
      </c>
      <c r="M178" s="7"/>
      <c r="N178" s="1626"/>
      <c r="O178" s="1626"/>
      <c r="P178" s="7"/>
    </row>
    <row r="179" spans="1:16" x14ac:dyDescent="0.2">
      <c r="A179" s="7"/>
      <c r="B179" s="26" t="s">
        <v>28</v>
      </c>
      <c r="C179" s="26"/>
      <c r="D179" s="1005" t="s">
        <v>1130</v>
      </c>
      <c r="E179" s="27"/>
      <c r="F179" s="1006">
        <v>13.8</v>
      </c>
      <c r="G179" s="32">
        <v>1</v>
      </c>
      <c r="H179" s="1007">
        <f>G179*F179</f>
        <v>13.8</v>
      </c>
      <c r="I179" s="30"/>
      <c r="J179" s="1008">
        <v>16.39</v>
      </c>
      <c r="K179" s="33">
        <v>1</v>
      </c>
      <c r="L179" s="1007">
        <f>K179*J179</f>
        <v>16.39</v>
      </c>
      <c r="M179" s="30"/>
      <c r="N179" s="34">
        <f>L179-H179</f>
        <v>2.59</v>
      </c>
      <c r="O179" s="202">
        <f>IF((H179)=0,"",(N179/H179))</f>
        <v>0.18768115942028984</v>
      </c>
      <c r="P179" s="7"/>
    </row>
    <row r="180" spans="1:16" x14ac:dyDescent="0.2">
      <c r="A180" s="7"/>
      <c r="B180" s="26" t="s">
        <v>29</v>
      </c>
      <c r="C180" s="26"/>
      <c r="D180" s="1005" t="s">
        <v>1130</v>
      </c>
      <c r="E180" s="27"/>
      <c r="F180" s="1006">
        <v>2.42</v>
      </c>
      <c r="G180" s="32">
        <v>1</v>
      </c>
      <c r="H180" s="1007">
        <f t="shared" ref="H180:H188" si="14">G180*F180</f>
        <v>2.42</v>
      </c>
      <c r="I180" s="30"/>
      <c r="J180" s="1008">
        <v>0</v>
      </c>
      <c r="K180" s="33">
        <v>1</v>
      </c>
      <c r="L180" s="1007">
        <f>K180*J180</f>
        <v>0</v>
      </c>
      <c r="M180" s="30"/>
      <c r="N180" s="34">
        <f>L180-H180</f>
        <v>-2.42</v>
      </c>
      <c r="O180" s="202">
        <f>IF((H180)=0,"",(N180/H180))</f>
        <v>-1</v>
      </c>
      <c r="P180" s="7"/>
    </row>
    <row r="181" spans="1:16" x14ac:dyDescent="0.2">
      <c r="A181" s="7"/>
      <c r="B181" s="1009" t="s">
        <v>1131</v>
      </c>
      <c r="C181" s="26"/>
      <c r="D181" s="1005" t="s">
        <v>79</v>
      </c>
      <c r="E181" s="27"/>
      <c r="F181" s="1006">
        <v>-5.0000000000000001E-4</v>
      </c>
      <c r="G181" s="32">
        <f>F174</f>
        <v>1500</v>
      </c>
      <c r="H181" s="1007">
        <f t="shared" si="14"/>
        <v>-0.75</v>
      </c>
      <c r="I181" s="30"/>
      <c r="J181" s="1008">
        <v>0</v>
      </c>
      <c r="K181" s="33">
        <f>F174</f>
        <v>1500</v>
      </c>
      <c r="L181" s="1007">
        <f t="shared" ref="L181:L188" si="15">K181*J181</f>
        <v>0</v>
      </c>
      <c r="M181" s="30"/>
      <c r="N181" s="34">
        <f t="shared" ref="N181:N219" si="16">L181-H181</f>
        <v>0.75</v>
      </c>
      <c r="O181" s="202">
        <f t="shared" ref="O181:O189" si="17">IF((H181)=0,"",(N181/H181))</f>
        <v>-1</v>
      </c>
      <c r="P181" s="7"/>
    </row>
    <row r="182" spans="1:16" x14ac:dyDescent="0.2">
      <c r="A182" s="7"/>
      <c r="B182" s="1009" t="s">
        <v>36</v>
      </c>
      <c r="C182" s="26"/>
      <c r="D182" s="1005" t="s">
        <v>1130</v>
      </c>
      <c r="E182" s="27"/>
      <c r="F182" s="1006">
        <v>0.25</v>
      </c>
      <c r="G182" s="32">
        <v>1</v>
      </c>
      <c r="H182" s="1007">
        <f t="shared" si="14"/>
        <v>0.25</v>
      </c>
      <c r="I182" s="30"/>
      <c r="J182" s="1008">
        <v>0.25</v>
      </c>
      <c r="K182" s="33">
        <v>1</v>
      </c>
      <c r="L182" s="1007">
        <f t="shared" si="15"/>
        <v>0.25</v>
      </c>
      <c r="M182" s="30"/>
      <c r="N182" s="34">
        <f t="shared" si="16"/>
        <v>0</v>
      </c>
      <c r="O182" s="202">
        <f t="shared" si="17"/>
        <v>0</v>
      </c>
      <c r="P182" s="7"/>
    </row>
    <row r="183" spans="1:16" x14ac:dyDescent="0.2">
      <c r="A183" s="7"/>
      <c r="B183" s="26" t="s">
        <v>30</v>
      </c>
      <c r="C183" s="26"/>
      <c r="D183" s="1005" t="s">
        <v>79</v>
      </c>
      <c r="E183" s="27"/>
      <c r="F183" s="1006">
        <v>1.8800000000000001E-2</v>
      </c>
      <c r="G183" s="32">
        <f>F174</f>
        <v>1500</v>
      </c>
      <c r="H183" s="1007">
        <f t="shared" si="14"/>
        <v>28.200000000000003</v>
      </c>
      <c r="I183" s="30"/>
      <c r="J183" s="1008">
        <v>2.23E-2</v>
      </c>
      <c r="K183" s="32">
        <f>F174</f>
        <v>1500</v>
      </c>
      <c r="L183" s="1007">
        <f t="shared" si="15"/>
        <v>33.450000000000003</v>
      </c>
      <c r="M183" s="30"/>
      <c r="N183" s="34">
        <f t="shared" si="16"/>
        <v>5.25</v>
      </c>
      <c r="O183" s="202">
        <f t="shared" si="17"/>
        <v>0.18617021276595744</v>
      </c>
      <c r="P183" s="7"/>
    </row>
    <row r="184" spans="1:16" x14ac:dyDescent="0.2">
      <c r="A184" s="7"/>
      <c r="B184" s="26" t="s">
        <v>31</v>
      </c>
      <c r="C184" s="26"/>
      <c r="D184" s="1005"/>
      <c r="E184" s="27"/>
      <c r="F184" s="1006"/>
      <c r="G184" s="32"/>
      <c r="H184" s="1007">
        <f t="shared" si="14"/>
        <v>0</v>
      </c>
      <c r="I184" s="30"/>
      <c r="J184" s="1008"/>
      <c r="K184" s="32"/>
      <c r="L184" s="1007">
        <f t="shared" si="15"/>
        <v>0</v>
      </c>
      <c r="M184" s="30"/>
      <c r="N184" s="34">
        <f t="shared" si="16"/>
        <v>0</v>
      </c>
      <c r="O184" s="202" t="str">
        <f t="shared" si="17"/>
        <v/>
      </c>
      <c r="P184" s="7"/>
    </row>
    <row r="185" spans="1:16" x14ac:dyDescent="0.2">
      <c r="A185" s="7"/>
      <c r="B185" s="26" t="s">
        <v>1132</v>
      </c>
      <c r="C185" s="26"/>
      <c r="D185" s="1005" t="s">
        <v>80</v>
      </c>
      <c r="E185" s="27"/>
      <c r="F185" s="1006">
        <v>4.0000000000000002E-4</v>
      </c>
      <c r="G185" s="32">
        <f>F174</f>
        <v>1500</v>
      </c>
      <c r="H185" s="1007">
        <f t="shared" si="14"/>
        <v>0.6</v>
      </c>
      <c r="I185" s="30"/>
      <c r="J185" s="1008">
        <v>0</v>
      </c>
      <c r="K185" s="32">
        <f>F174</f>
        <v>1500</v>
      </c>
      <c r="L185" s="1007">
        <f t="shared" si="15"/>
        <v>0</v>
      </c>
      <c r="M185" s="30"/>
      <c r="N185" s="34">
        <f t="shared" si="16"/>
        <v>-0.6</v>
      </c>
      <c r="O185" s="202">
        <f t="shared" si="17"/>
        <v>-1</v>
      </c>
      <c r="P185" s="7"/>
    </row>
    <row r="186" spans="1:16" x14ac:dyDescent="0.2">
      <c r="A186" s="7"/>
      <c r="B186" s="26" t="s">
        <v>1133</v>
      </c>
      <c r="C186" s="26"/>
      <c r="D186" s="1005" t="s">
        <v>80</v>
      </c>
      <c r="E186" s="27"/>
      <c r="F186" s="1006">
        <v>2.0000000000000001E-4</v>
      </c>
      <c r="G186" s="32">
        <f>F174</f>
        <v>1500</v>
      </c>
      <c r="H186" s="1007">
        <f t="shared" si="14"/>
        <v>0.3</v>
      </c>
      <c r="I186" s="30"/>
      <c r="J186" s="1008">
        <v>2.0000000000000001E-4</v>
      </c>
      <c r="K186" s="32">
        <f>F174</f>
        <v>1500</v>
      </c>
      <c r="L186" s="1007">
        <f t="shared" si="15"/>
        <v>0.3</v>
      </c>
      <c r="M186" s="30"/>
      <c r="N186" s="34">
        <f t="shared" si="16"/>
        <v>0</v>
      </c>
      <c r="O186" s="202">
        <f t="shared" si="17"/>
        <v>0</v>
      </c>
      <c r="P186" s="7"/>
    </row>
    <row r="187" spans="1:16" x14ac:dyDescent="0.2">
      <c r="A187" s="7"/>
      <c r="B187" s="26" t="s">
        <v>1134</v>
      </c>
      <c r="C187" s="26"/>
      <c r="D187" s="1005" t="s">
        <v>80</v>
      </c>
      <c r="E187" s="27"/>
      <c r="F187" s="1006">
        <v>0</v>
      </c>
      <c r="G187" s="32">
        <f>F174</f>
        <v>1500</v>
      </c>
      <c r="H187" s="1007">
        <f t="shared" si="14"/>
        <v>0</v>
      </c>
      <c r="I187" s="30"/>
      <c r="J187" s="1008">
        <v>2.9999999999999997E-4</v>
      </c>
      <c r="K187" s="32">
        <f>F174</f>
        <v>1500</v>
      </c>
      <c r="L187" s="1007">
        <f t="shared" si="15"/>
        <v>0.44999999999999996</v>
      </c>
      <c r="M187" s="30"/>
      <c r="N187" s="34">
        <f t="shared" si="16"/>
        <v>0.44999999999999996</v>
      </c>
      <c r="O187" s="202" t="str">
        <f t="shared" si="17"/>
        <v/>
      </c>
      <c r="P187" s="7"/>
    </row>
    <row r="188" spans="1:16" x14ac:dyDescent="0.2">
      <c r="A188" s="7"/>
      <c r="B188" s="1010" t="s">
        <v>1135</v>
      </c>
      <c r="C188" s="26"/>
      <c r="D188" s="1005" t="s">
        <v>1130</v>
      </c>
      <c r="E188" s="27"/>
      <c r="F188" s="1006">
        <v>0</v>
      </c>
      <c r="G188" s="32">
        <v>1</v>
      </c>
      <c r="H188" s="1007">
        <f t="shared" si="14"/>
        <v>0</v>
      </c>
      <c r="I188" s="30"/>
      <c r="J188" s="1008">
        <v>2.25</v>
      </c>
      <c r="K188" s="32">
        <v>1</v>
      </c>
      <c r="L188" s="1007">
        <f t="shared" si="15"/>
        <v>2.25</v>
      </c>
      <c r="M188" s="30"/>
      <c r="N188" s="34">
        <f t="shared" si="16"/>
        <v>2.25</v>
      </c>
      <c r="O188" s="202" t="str">
        <f t="shared" si="17"/>
        <v/>
      </c>
      <c r="P188" s="7"/>
    </row>
    <row r="189" spans="1:16" x14ac:dyDescent="0.2">
      <c r="A189" s="29"/>
      <c r="B189" s="1011" t="s">
        <v>698</v>
      </c>
      <c r="C189" s="1012"/>
      <c r="D189" s="1013"/>
      <c r="E189" s="1012"/>
      <c r="F189" s="1014"/>
      <c r="G189" s="1015"/>
      <c r="H189" s="1016">
        <f>SUM(H179:H188)</f>
        <v>44.82</v>
      </c>
      <c r="I189" s="1017"/>
      <c r="J189" s="1018"/>
      <c r="K189" s="1019"/>
      <c r="L189" s="1016">
        <f>SUM(L179:L188)</f>
        <v>53.09</v>
      </c>
      <c r="M189" s="1017"/>
      <c r="N189" s="1020">
        <f t="shared" si="16"/>
        <v>8.2700000000000031</v>
      </c>
      <c r="O189" s="1021">
        <f t="shared" si="17"/>
        <v>0.18451584114234723</v>
      </c>
      <c r="P189" s="29"/>
    </row>
    <row r="190" spans="1:16" ht="38.25" x14ac:dyDescent="0.2">
      <c r="A190" s="7"/>
      <c r="B190" s="1022" t="s">
        <v>1136</v>
      </c>
      <c r="C190" s="26"/>
      <c r="D190" s="1005" t="s">
        <v>80</v>
      </c>
      <c r="E190" s="27"/>
      <c r="F190" s="1006">
        <v>1.1999999999999999E-3</v>
      </c>
      <c r="G190" s="32">
        <f>F174</f>
        <v>1500</v>
      </c>
      <c r="H190" s="1007">
        <f>G190*F190</f>
        <v>1.7999999999999998</v>
      </c>
      <c r="I190" s="30"/>
      <c r="J190" s="1008">
        <v>0</v>
      </c>
      <c r="K190" s="32">
        <f>F174</f>
        <v>1500</v>
      </c>
      <c r="L190" s="1007">
        <f>K190*J190</f>
        <v>0</v>
      </c>
      <c r="M190" s="30"/>
      <c r="N190" s="34">
        <f t="shared" si="16"/>
        <v>-1.7999999999999998</v>
      </c>
      <c r="O190" s="202">
        <f>IF((H190)=0,"",(N190/H190))</f>
        <v>-1</v>
      </c>
      <c r="P190" s="7"/>
    </row>
    <row r="191" spans="1:16" ht="38.25" x14ac:dyDescent="0.2">
      <c r="A191" s="7"/>
      <c r="B191" s="1022" t="s">
        <v>1137</v>
      </c>
      <c r="C191" s="26"/>
      <c r="D191" s="1005" t="s">
        <v>80</v>
      </c>
      <c r="E191" s="27"/>
      <c r="F191" s="1006">
        <v>-1.6999999999999999E-3</v>
      </c>
      <c r="G191" s="32">
        <f>F174</f>
        <v>1500</v>
      </c>
      <c r="H191" s="1007">
        <f>G191*F191</f>
        <v>-2.5499999999999998</v>
      </c>
      <c r="I191" s="30"/>
      <c r="J191" s="1008">
        <v>-1.6999999999999999E-3</v>
      </c>
      <c r="K191" s="32">
        <f>F174</f>
        <v>1500</v>
      </c>
      <c r="L191" s="1007">
        <f>K191*J191</f>
        <v>-2.5499999999999998</v>
      </c>
      <c r="M191" s="30"/>
      <c r="N191" s="34">
        <f t="shared" si="16"/>
        <v>0</v>
      </c>
      <c r="O191" s="202">
        <f>IF((H191)=0,"",(N191/H191))</f>
        <v>0</v>
      </c>
      <c r="P191" s="7"/>
    </row>
    <row r="192" spans="1:16" ht="51" x14ac:dyDescent="0.2">
      <c r="A192" s="7"/>
      <c r="B192" s="1022" t="s">
        <v>1138</v>
      </c>
      <c r="C192" s="26"/>
      <c r="D192" s="1005" t="s">
        <v>80</v>
      </c>
      <c r="E192" s="27"/>
      <c r="F192" s="1006">
        <v>0</v>
      </c>
      <c r="G192" s="32">
        <f>F174</f>
        <v>1500</v>
      </c>
      <c r="H192" s="1007">
        <f>G192*F192</f>
        <v>0</v>
      </c>
      <c r="I192" s="30"/>
      <c r="J192" s="1008">
        <v>-1.1999999999999999E-3</v>
      </c>
      <c r="K192" s="32">
        <f>F174</f>
        <v>1500</v>
      </c>
      <c r="L192" s="1007">
        <f>K192*J192</f>
        <v>-1.7999999999999998</v>
      </c>
      <c r="M192" s="30"/>
      <c r="N192" s="34">
        <f t="shared" si="16"/>
        <v>-1.7999999999999998</v>
      </c>
      <c r="O192" s="202" t="str">
        <f>IF((H192)=0,"",(N192/H192))</f>
        <v/>
      </c>
      <c r="P192" s="7"/>
    </row>
    <row r="193" spans="1:16" x14ac:dyDescent="0.2">
      <c r="A193" s="7"/>
      <c r="B193" s="564" t="s">
        <v>808</v>
      </c>
      <c r="C193" s="26"/>
      <c r="D193" s="1005" t="s">
        <v>79</v>
      </c>
      <c r="E193" s="27"/>
      <c r="F193" s="1006">
        <v>2.0000000000000001E-4</v>
      </c>
      <c r="G193" s="32">
        <f>F174</f>
        <v>1500</v>
      </c>
      <c r="H193" s="1007">
        <f>G193*F193</f>
        <v>0.3</v>
      </c>
      <c r="I193" s="30"/>
      <c r="J193" s="1008">
        <v>2.0000000000000001E-4</v>
      </c>
      <c r="K193" s="32">
        <f>F174</f>
        <v>1500</v>
      </c>
      <c r="L193" s="1007">
        <f>K193*J193</f>
        <v>0.3</v>
      </c>
      <c r="M193" s="30"/>
      <c r="N193" s="34">
        <f t="shared" si="16"/>
        <v>0</v>
      </c>
      <c r="O193" s="202">
        <f>IF((H193)=0,"",(N193/H193))</f>
        <v>0</v>
      </c>
      <c r="P193" s="7"/>
    </row>
    <row r="194" spans="1:16" x14ac:dyDescent="0.2">
      <c r="A194" s="7"/>
      <c r="B194" s="564" t="s">
        <v>701</v>
      </c>
      <c r="C194" s="26"/>
      <c r="D194" s="1005"/>
      <c r="E194" s="27"/>
      <c r="F194" s="1023"/>
      <c r="G194" s="1024"/>
      <c r="H194" s="1025"/>
      <c r="I194" s="30"/>
      <c r="J194" s="1008"/>
      <c r="K194" s="32">
        <f>F174</f>
        <v>1500</v>
      </c>
      <c r="L194" s="1007">
        <f>K194*J194</f>
        <v>0</v>
      </c>
      <c r="M194" s="30"/>
      <c r="N194" s="34">
        <f t="shared" si="16"/>
        <v>0</v>
      </c>
      <c r="O194" s="202"/>
      <c r="P194" s="7"/>
    </row>
    <row r="195" spans="1:16" ht="25.5" x14ac:dyDescent="0.2">
      <c r="A195" s="7"/>
      <c r="B195" s="1026" t="s">
        <v>699</v>
      </c>
      <c r="C195" s="1027"/>
      <c r="D195" s="1027"/>
      <c r="E195" s="1027"/>
      <c r="F195" s="1028"/>
      <c r="G195" s="1029"/>
      <c r="H195" s="1030">
        <f>SUM(H189:H194)</f>
        <v>44.37</v>
      </c>
      <c r="I195" s="1017"/>
      <c r="J195" s="1029"/>
      <c r="K195" s="1031"/>
      <c r="L195" s="1030">
        <f>SUM(L189:L194)</f>
        <v>49.040000000000006</v>
      </c>
      <c r="M195" s="1017"/>
      <c r="N195" s="1020">
        <f t="shared" si="16"/>
        <v>4.6700000000000088</v>
      </c>
      <c r="O195" s="1021">
        <f t="shared" ref="O195:O219" si="18">IF((H195)=0,"",(N195/H195))</f>
        <v>0.10525129592066733</v>
      </c>
      <c r="P195" s="7"/>
    </row>
    <row r="196" spans="1:16" x14ac:dyDescent="0.2">
      <c r="A196" s="7"/>
      <c r="B196" s="30" t="s">
        <v>32</v>
      </c>
      <c r="C196" s="30"/>
      <c r="D196" s="1032" t="s">
        <v>79</v>
      </c>
      <c r="E196" s="31"/>
      <c r="F196" s="1008">
        <v>6.7999999999999996E-3</v>
      </c>
      <c r="G196" s="667">
        <f>F174*(1+F222)</f>
        <v>1553.4</v>
      </c>
      <c r="H196" s="1007">
        <f>G196*F196</f>
        <v>10.56312</v>
      </c>
      <c r="I196" s="30"/>
      <c r="J196" s="1008">
        <v>6.3E-3</v>
      </c>
      <c r="K196" s="668">
        <f>F174*(1+J222)</f>
        <v>1563.081096418523</v>
      </c>
      <c r="L196" s="1007">
        <f>K196*J196</f>
        <v>9.8474109074366947</v>
      </c>
      <c r="M196" s="30"/>
      <c r="N196" s="34">
        <f t="shared" si="16"/>
        <v>-0.71570909256330495</v>
      </c>
      <c r="O196" s="202">
        <f t="shared" si="18"/>
        <v>-6.7755463590615739E-2</v>
      </c>
      <c r="P196" s="7"/>
    </row>
    <row r="197" spans="1:16" ht="25.5" x14ac:dyDescent="0.2">
      <c r="A197" s="7"/>
      <c r="B197" s="35" t="s">
        <v>33</v>
      </c>
      <c r="C197" s="30"/>
      <c r="D197" s="1032" t="s">
        <v>79</v>
      </c>
      <c r="E197" s="31"/>
      <c r="F197" s="1008">
        <v>5.7000000000000002E-3</v>
      </c>
      <c r="G197" s="667">
        <f>G196</f>
        <v>1553.4</v>
      </c>
      <c r="H197" s="1007">
        <f>G197*F197</f>
        <v>8.8543800000000008</v>
      </c>
      <c r="I197" s="30"/>
      <c r="J197" s="1008">
        <v>5.4999999999999997E-3</v>
      </c>
      <c r="K197" s="668">
        <f>K196</f>
        <v>1563.081096418523</v>
      </c>
      <c r="L197" s="1007">
        <f>K197*J197</f>
        <v>8.5969460303018757</v>
      </c>
      <c r="M197" s="30"/>
      <c r="N197" s="34">
        <f t="shared" si="16"/>
        <v>-0.25743396969812515</v>
      </c>
      <c r="O197" s="202">
        <f t="shared" si="18"/>
        <v>-2.9074194884127984E-2</v>
      </c>
      <c r="P197" s="7"/>
    </row>
    <row r="198" spans="1:16" ht="25.5" x14ac:dyDescent="0.2">
      <c r="A198" s="7"/>
      <c r="B198" s="1026" t="s">
        <v>700</v>
      </c>
      <c r="C198" s="1012"/>
      <c r="D198" s="1012"/>
      <c r="E198" s="1012"/>
      <c r="F198" s="1033"/>
      <c r="G198" s="1029"/>
      <c r="H198" s="1030">
        <f>SUM(H195:H197)</f>
        <v>63.787499999999994</v>
      </c>
      <c r="I198" s="1034"/>
      <c r="J198" s="1035"/>
      <c r="K198" s="1036"/>
      <c r="L198" s="1030">
        <f>SUM(L195:L197)</f>
        <v>67.484356937738582</v>
      </c>
      <c r="M198" s="1034"/>
      <c r="N198" s="1020">
        <f t="shared" si="16"/>
        <v>3.6968569377385876</v>
      </c>
      <c r="O198" s="1021">
        <f t="shared" si="18"/>
        <v>5.7955821089376254E-2</v>
      </c>
      <c r="P198" s="7"/>
    </row>
    <row r="199" spans="1:16" ht="25.5" x14ac:dyDescent="0.2">
      <c r="A199" s="7"/>
      <c r="B199" s="28" t="s">
        <v>34</v>
      </c>
      <c r="C199" s="26"/>
      <c r="D199" s="1005" t="s">
        <v>79</v>
      </c>
      <c r="E199" s="27"/>
      <c r="F199" s="1037">
        <v>5.1999999999999998E-3</v>
      </c>
      <c r="G199" s="667">
        <f>F174*(1+F222)</f>
        <v>1553.4</v>
      </c>
      <c r="H199" s="1038">
        <f t="shared" ref="H199:H207" si="19">G199*F199</f>
        <v>8.0776800000000009</v>
      </c>
      <c r="I199" s="30"/>
      <c r="J199" s="1039">
        <v>5.1999999999999998E-3</v>
      </c>
      <c r="K199" s="668">
        <f>F174*(1+J222)</f>
        <v>1563.081096418523</v>
      </c>
      <c r="L199" s="1038">
        <f t="shared" ref="L199:L207" si="20">K199*J199</f>
        <v>8.1280217013763192</v>
      </c>
      <c r="M199" s="30"/>
      <c r="N199" s="34">
        <f t="shared" si="16"/>
        <v>5.0341701376318326E-2</v>
      </c>
      <c r="O199" s="565">
        <f t="shared" si="18"/>
        <v>6.2321980291764863E-3</v>
      </c>
      <c r="P199" s="7"/>
    </row>
    <row r="200" spans="1:16" ht="25.5" x14ac:dyDescent="0.2">
      <c r="A200" s="7"/>
      <c r="B200" s="28" t="s">
        <v>35</v>
      </c>
      <c r="C200" s="26"/>
      <c r="D200" s="1005" t="s">
        <v>79</v>
      </c>
      <c r="E200" s="27"/>
      <c r="F200" s="1037">
        <v>1.1000000000000001E-3</v>
      </c>
      <c r="G200" s="667">
        <f>F174*(1+F222)</f>
        <v>1553.4</v>
      </c>
      <c r="H200" s="1038">
        <f t="shared" si="19"/>
        <v>1.7087400000000001</v>
      </c>
      <c r="I200" s="30"/>
      <c r="J200" s="1039">
        <v>1.1000000000000001E-3</v>
      </c>
      <c r="K200" s="668">
        <f>F174*(1+J222)</f>
        <v>1563.081096418523</v>
      </c>
      <c r="L200" s="1038">
        <f t="shared" si="20"/>
        <v>1.7193892060603755</v>
      </c>
      <c r="M200" s="30"/>
      <c r="N200" s="34">
        <f t="shared" si="16"/>
        <v>1.0649206060375338E-2</v>
      </c>
      <c r="O200" s="565">
        <f t="shared" si="18"/>
        <v>6.2321980291766667E-3</v>
      </c>
      <c r="P200" s="7"/>
    </row>
    <row r="201" spans="1:16" x14ac:dyDescent="0.2">
      <c r="A201" s="7"/>
      <c r="B201" s="26" t="s">
        <v>36</v>
      </c>
      <c r="C201" s="26"/>
      <c r="D201" s="1005"/>
      <c r="E201" s="27"/>
      <c r="F201" s="1037"/>
      <c r="G201" s="32">
        <v>1</v>
      </c>
      <c r="H201" s="1038">
        <f t="shared" si="19"/>
        <v>0</v>
      </c>
      <c r="I201" s="30"/>
      <c r="J201" s="1039"/>
      <c r="K201" s="33">
        <v>1</v>
      </c>
      <c r="L201" s="1038">
        <f t="shared" si="20"/>
        <v>0</v>
      </c>
      <c r="M201" s="30"/>
      <c r="N201" s="34">
        <f t="shared" si="16"/>
        <v>0</v>
      </c>
      <c r="O201" s="565" t="str">
        <f t="shared" si="18"/>
        <v/>
      </c>
      <c r="P201" s="7"/>
    </row>
    <row r="202" spans="1:16" x14ac:dyDescent="0.2">
      <c r="A202" s="7"/>
      <c r="B202" s="26" t="s">
        <v>37</v>
      </c>
      <c r="C202" s="26"/>
      <c r="D202" s="1005" t="s">
        <v>79</v>
      </c>
      <c r="E202" s="27"/>
      <c r="F202" s="1037">
        <v>7.0000000000000001E-3</v>
      </c>
      <c r="G202" s="667">
        <f>F174</f>
        <v>1500</v>
      </c>
      <c r="H202" s="1038">
        <f t="shared" si="19"/>
        <v>10.5</v>
      </c>
      <c r="I202" s="30"/>
      <c r="J202" s="1039">
        <v>7.0000000000000001E-3</v>
      </c>
      <c r="K202" s="668">
        <f>F174</f>
        <v>1500</v>
      </c>
      <c r="L202" s="1038">
        <f t="shared" si="20"/>
        <v>10.5</v>
      </c>
      <c r="M202" s="30"/>
      <c r="N202" s="34">
        <f t="shared" si="16"/>
        <v>0</v>
      </c>
      <c r="O202" s="565">
        <f t="shared" si="18"/>
        <v>0</v>
      </c>
      <c r="P202" s="7"/>
    </row>
    <row r="203" spans="1:16" x14ac:dyDescent="0.2">
      <c r="A203" s="7"/>
      <c r="B203" s="564" t="s">
        <v>777</v>
      </c>
      <c r="C203" s="26"/>
      <c r="D203" s="1005" t="s">
        <v>79</v>
      </c>
      <c r="E203" s="27"/>
      <c r="F203" s="1040">
        <v>7.4999999999999997E-2</v>
      </c>
      <c r="G203" s="667">
        <f>IF($G$199&gt;=0,0,$G$199)</f>
        <v>0</v>
      </c>
      <c r="H203" s="1038">
        <f>G203*F203</f>
        <v>0</v>
      </c>
      <c r="I203" s="30"/>
      <c r="J203" s="1037">
        <v>7.4999999999999997E-2</v>
      </c>
      <c r="K203" s="667">
        <f>IF($K$199&gt;=0,0,$K$199)</f>
        <v>0</v>
      </c>
      <c r="L203" s="1038">
        <f>K203*J203</f>
        <v>0</v>
      </c>
      <c r="M203" s="30"/>
      <c r="N203" s="34">
        <f t="shared" si="16"/>
        <v>0</v>
      </c>
      <c r="O203" s="565" t="str">
        <f t="shared" si="18"/>
        <v/>
      </c>
      <c r="P203" s="7"/>
    </row>
    <row r="204" spans="1:16" x14ac:dyDescent="0.2">
      <c r="A204" s="7"/>
      <c r="B204" s="564" t="s">
        <v>778</v>
      </c>
      <c r="C204" s="26"/>
      <c r="D204" s="1005" t="s">
        <v>79</v>
      </c>
      <c r="E204" s="27"/>
      <c r="F204" s="1040">
        <v>8.7999999999999995E-2</v>
      </c>
      <c r="G204" s="667">
        <f>IF($G$199&gt;=0,$G$199-0,0)</f>
        <v>1553.4</v>
      </c>
      <c r="H204" s="1038">
        <f>G204*F204</f>
        <v>136.69919999999999</v>
      </c>
      <c r="I204" s="30"/>
      <c r="J204" s="1037">
        <v>8.7999999999999995E-2</v>
      </c>
      <c r="K204" s="667">
        <f>IF($K$199&gt;=0,$K$199-0,0)</f>
        <v>1563.081096418523</v>
      </c>
      <c r="L204" s="1038">
        <f>K204*J204</f>
        <v>137.55113648483001</v>
      </c>
      <c r="M204" s="30"/>
      <c r="N204" s="34">
        <f t="shared" si="16"/>
        <v>0.85193648483001994</v>
      </c>
      <c r="O204" s="565">
        <f t="shared" si="18"/>
        <v>6.2321980291766155E-3</v>
      </c>
      <c r="P204" s="7"/>
    </row>
    <row r="205" spans="1:16" x14ac:dyDescent="0.2">
      <c r="A205" s="7"/>
      <c r="B205" s="564" t="s">
        <v>779</v>
      </c>
      <c r="C205" s="26"/>
      <c r="D205" s="1005" t="s">
        <v>79</v>
      </c>
      <c r="E205" s="27"/>
      <c r="F205" s="1040">
        <v>6.5000000000000002E-2</v>
      </c>
      <c r="G205" s="669">
        <f>0.64*$G$199</f>
        <v>994.17600000000004</v>
      </c>
      <c r="H205" s="1038">
        <f t="shared" si="19"/>
        <v>64.621440000000007</v>
      </c>
      <c r="I205" s="30"/>
      <c r="J205" s="1037">
        <v>6.5000000000000002E-2</v>
      </c>
      <c r="K205" s="1041">
        <f>0.64*$K$199</f>
        <v>1000.3719017078547</v>
      </c>
      <c r="L205" s="1038">
        <f t="shared" si="20"/>
        <v>65.024173611010553</v>
      </c>
      <c r="M205" s="30"/>
      <c r="N205" s="34">
        <f t="shared" si="16"/>
        <v>0.40273361101054661</v>
      </c>
      <c r="O205" s="565">
        <f t="shared" si="18"/>
        <v>6.2321980291764863E-3</v>
      </c>
      <c r="P205" s="7"/>
    </row>
    <row r="206" spans="1:16" x14ac:dyDescent="0.2">
      <c r="A206" s="7"/>
      <c r="B206" s="564" t="s">
        <v>780</v>
      </c>
      <c r="C206" s="26"/>
      <c r="D206" s="1005" t="s">
        <v>79</v>
      </c>
      <c r="E206" s="27"/>
      <c r="F206" s="1040">
        <v>0.1</v>
      </c>
      <c r="G206" s="669">
        <f>0.18*$G$199</f>
        <v>279.61200000000002</v>
      </c>
      <c r="H206" s="1038">
        <f t="shared" si="19"/>
        <v>27.961200000000005</v>
      </c>
      <c r="I206" s="30"/>
      <c r="J206" s="1037">
        <v>0.1</v>
      </c>
      <c r="K206" s="1041">
        <f>0.18*$K$199</f>
        <v>281.35459735533414</v>
      </c>
      <c r="L206" s="1038">
        <f t="shared" si="20"/>
        <v>28.135459735533416</v>
      </c>
      <c r="M206" s="30"/>
      <c r="N206" s="34">
        <f t="shared" si="16"/>
        <v>0.17425973553341123</v>
      </c>
      <c r="O206" s="565">
        <f t="shared" si="18"/>
        <v>6.2321980291765444E-3</v>
      </c>
      <c r="P206" s="7"/>
    </row>
    <row r="207" spans="1:16" ht="13.5" thickBot="1" x14ac:dyDescent="0.25">
      <c r="A207" s="7"/>
      <c r="B207" s="647" t="s">
        <v>781</v>
      </c>
      <c r="C207" s="26"/>
      <c r="D207" s="1005" t="s">
        <v>79</v>
      </c>
      <c r="E207" s="27"/>
      <c r="F207" s="1040">
        <v>0.11700000000000001</v>
      </c>
      <c r="G207" s="669">
        <f>0.18*$G$199</f>
        <v>279.61200000000002</v>
      </c>
      <c r="H207" s="1038">
        <f t="shared" si="19"/>
        <v>32.714604000000001</v>
      </c>
      <c r="I207" s="30"/>
      <c r="J207" s="1037">
        <v>0.11700000000000001</v>
      </c>
      <c r="K207" s="1041">
        <f>0.18*$K$199</f>
        <v>281.35459735533414</v>
      </c>
      <c r="L207" s="1038">
        <f t="shared" si="20"/>
        <v>32.918487890574099</v>
      </c>
      <c r="M207" s="30"/>
      <c r="N207" s="34">
        <f t="shared" si="16"/>
        <v>0.20388389057409739</v>
      </c>
      <c r="O207" s="565">
        <f t="shared" si="18"/>
        <v>6.232198029176737E-3</v>
      </c>
      <c r="P207" s="7"/>
    </row>
    <row r="208" spans="1:16" ht="13.5" thickBot="1" x14ac:dyDescent="0.25">
      <c r="A208" s="7"/>
      <c r="B208" s="1042"/>
      <c r="C208" s="1043"/>
      <c r="D208" s="1044"/>
      <c r="E208" s="1043"/>
      <c r="F208" s="1045"/>
      <c r="G208" s="1046"/>
      <c r="H208" s="1047"/>
      <c r="I208" s="1048"/>
      <c r="J208" s="1045"/>
      <c r="K208" s="1049"/>
      <c r="L208" s="1047"/>
      <c r="M208" s="1048"/>
      <c r="N208" s="1050"/>
      <c r="O208" s="1051"/>
      <c r="P208" s="7"/>
    </row>
    <row r="209" spans="1:16" x14ac:dyDescent="0.2">
      <c r="A209" s="7"/>
      <c r="B209" s="36" t="s">
        <v>782</v>
      </c>
      <c r="C209" s="26"/>
      <c r="D209" s="26"/>
      <c r="E209" s="26"/>
      <c r="F209" s="662"/>
      <c r="G209" s="652"/>
      <c r="H209" s="656">
        <f>SUM(H198:H204)</f>
        <v>220.77312000000001</v>
      </c>
      <c r="I209" s="660"/>
      <c r="J209" s="661"/>
      <c r="K209" s="661"/>
      <c r="L209" s="655">
        <f>SUM(L198:L204)</f>
        <v>225.38290433000526</v>
      </c>
      <c r="M209" s="654"/>
      <c r="N209" s="659">
        <f t="shared" si="16"/>
        <v>4.6097843300052546</v>
      </c>
      <c r="O209" s="657">
        <f t="shared" si="18"/>
        <v>2.0880188358099277E-2</v>
      </c>
      <c r="P209" s="7"/>
    </row>
    <row r="210" spans="1:16" x14ac:dyDescent="0.2">
      <c r="A210" s="7"/>
      <c r="B210" s="650" t="s">
        <v>38</v>
      </c>
      <c r="C210" s="26"/>
      <c r="D210" s="26"/>
      <c r="E210" s="26"/>
      <c r="F210" s="649">
        <v>0.13</v>
      </c>
      <c r="G210" s="652"/>
      <c r="H210" s="670">
        <f>H209*F210</f>
        <v>28.700505600000003</v>
      </c>
      <c r="I210" s="648"/>
      <c r="J210" s="676">
        <v>0.13</v>
      </c>
      <c r="K210" s="677"/>
      <c r="L210" s="672">
        <f>L209*J210</f>
        <v>29.299777562900683</v>
      </c>
      <c r="M210" s="673"/>
      <c r="N210" s="674">
        <f t="shared" si="16"/>
        <v>0.59927196290067997</v>
      </c>
      <c r="O210" s="675">
        <f t="shared" si="18"/>
        <v>2.0880188358099166E-2</v>
      </c>
      <c r="P210" s="7"/>
    </row>
    <row r="211" spans="1:16" x14ac:dyDescent="0.2">
      <c r="A211" s="7"/>
      <c r="B211" s="651" t="s">
        <v>1139</v>
      </c>
      <c r="C211" s="26"/>
      <c r="D211" s="26"/>
      <c r="E211" s="26"/>
      <c r="F211" s="658"/>
      <c r="G211" s="653"/>
      <c r="H211" s="670">
        <f>H209+H210</f>
        <v>249.47362560000002</v>
      </c>
      <c r="I211" s="648"/>
      <c r="J211" s="648"/>
      <c r="K211" s="648"/>
      <c r="L211" s="672">
        <f>L209+L210</f>
        <v>254.68268189290595</v>
      </c>
      <c r="M211" s="673"/>
      <c r="N211" s="674">
        <f t="shared" si="16"/>
        <v>5.2090562929059274</v>
      </c>
      <c r="O211" s="675">
        <f t="shared" si="18"/>
        <v>2.0880188358099235E-2</v>
      </c>
      <c r="P211" s="7"/>
    </row>
    <row r="212" spans="1:16" ht="12.75" customHeight="1" x14ac:dyDescent="0.2">
      <c r="A212" s="7"/>
      <c r="B212" s="1626" t="s">
        <v>1140</v>
      </c>
      <c r="C212" s="1626"/>
      <c r="D212" s="1626"/>
      <c r="E212" s="26"/>
      <c r="F212" s="658"/>
      <c r="G212" s="653"/>
      <c r="H212" s="1052">
        <f>ROUND(-H211*10%,2)</f>
        <v>-24.95</v>
      </c>
      <c r="I212" s="648"/>
      <c r="J212" s="648"/>
      <c r="K212" s="648"/>
      <c r="L212" s="1053">
        <f>ROUND(-L211*10%,2)</f>
        <v>-25.47</v>
      </c>
      <c r="M212" s="673"/>
      <c r="N212" s="1054">
        <f t="shared" si="16"/>
        <v>-0.51999999999999957</v>
      </c>
      <c r="O212" s="1055">
        <f t="shared" si="18"/>
        <v>2.0841683366733449E-2</v>
      </c>
      <c r="P212" s="7"/>
    </row>
    <row r="213" spans="1:16" ht="13.5" customHeight="1" thickBot="1" x14ac:dyDescent="0.25">
      <c r="A213" s="7"/>
      <c r="B213" s="1626" t="s">
        <v>785</v>
      </c>
      <c r="C213" s="1626"/>
      <c r="D213" s="1626"/>
      <c r="E213" s="1056"/>
      <c r="F213" s="1057"/>
      <c r="G213" s="1058"/>
      <c r="H213" s="1059">
        <f>SUM(H211:H212)</f>
        <v>224.52362560000003</v>
      </c>
      <c r="I213" s="1060"/>
      <c r="J213" s="1060"/>
      <c r="K213" s="1060"/>
      <c r="L213" s="1061">
        <f>SUM(L211:L212)</f>
        <v>229.21268189290595</v>
      </c>
      <c r="M213" s="1062"/>
      <c r="N213" s="1063">
        <f t="shared" si="16"/>
        <v>4.6890562929059172</v>
      </c>
      <c r="O213" s="1064">
        <f t="shared" si="18"/>
        <v>2.0884467193041427E-2</v>
      </c>
      <c r="P213" s="7"/>
    </row>
    <row r="214" spans="1:16" ht="13.5" thickBot="1" x14ac:dyDescent="0.25">
      <c r="A214" s="7"/>
      <c r="B214" s="1042"/>
      <c r="C214" s="1043"/>
      <c r="D214" s="1044"/>
      <c r="E214" s="1043"/>
      <c r="F214" s="1065"/>
      <c r="G214" s="1066"/>
      <c r="H214" s="1067"/>
      <c r="I214" s="1068"/>
      <c r="J214" s="1065"/>
      <c r="K214" s="1046"/>
      <c r="L214" s="1069"/>
      <c r="M214" s="1048"/>
      <c r="N214" s="1070"/>
      <c r="O214" s="1051"/>
      <c r="P214" s="7"/>
    </row>
    <row r="215" spans="1:16" x14ac:dyDescent="0.2">
      <c r="A215" s="7"/>
      <c r="B215" s="36" t="s">
        <v>783</v>
      </c>
      <c r="C215" s="26"/>
      <c r="D215" s="26"/>
      <c r="E215" s="26"/>
      <c r="F215" s="662"/>
      <c r="G215" s="652"/>
      <c r="H215" s="656">
        <f>SUM(H198:H202,H205:H207)</f>
        <v>209.37116400000002</v>
      </c>
      <c r="I215" s="660"/>
      <c r="J215" s="661"/>
      <c r="K215" s="661"/>
      <c r="L215" s="666">
        <f>SUM(L198:L202,L205:L207)</f>
        <v>213.90988908229332</v>
      </c>
      <c r="M215" s="654"/>
      <c r="N215" s="659">
        <f>L215-H215</f>
        <v>4.538725082293297</v>
      </c>
      <c r="O215" s="657">
        <f>IF((H215)=0,"",(N215/H215))</f>
        <v>2.1677890095186635E-2</v>
      </c>
      <c r="P215" s="7"/>
    </row>
    <row r="216" spans="1:16" x14ac:dyDescent="0.2">
      <c r="A216" s="7"/>
      <c r="B216" s="650" t="s">
        <v>38</v>
      </c>
      <c r="C216" s="26"/>
      <c r="D216" s="26"/>
      <c r="E216" s="26"/>
      <c r="F216" s="649">
        <v>0.13</v>
      </c>
      <c r="G216" s="653"/>
      <c r="H216" s="670">
        <f>H215*F216</f>
        <v>27.218251320000004</v>
      </c>
      <c r="I216" s="648"/>
      <c r="J216" s="671">
        <v>0.13</v>
      </c>
      <c r="K216" s="648"/>
      <c r="L216" s="672">
        <f>L215*J216</f>
        <v>27.808285580698133</v>
      </c>
      <c r="M216" s="673"/>
      <c r="N216" s="674">
        <f t="shared" si="16"/>
        <v>0.59003426069812903</v>
      </c>
      <c r="O216" s="675">
        <f t="shared" si="18"/>
        <v>2.1677890095186649E-2</v>
      </c>
      <c r="P216" s="7"/>
    </row>
    <row r="217" spans="1:16" x14ac:dyDescent="0.2">
      <c r="A217" s="7"/>
      <c r="B217" s="651" t="s">
        <v>1139</v>
      </c>
      <c r="C217" s="26"/>
      <c r="D217" s="26"/>
      <c r="E217" s="26"/>
      <c r="F217" s="658"/>
      <c r="G217" s="653"/>
      <c r="H217" s="670">
        <f>H215+H216</f>
        <v>236.58941532000003</v>
      </c>
      <c r="I217" s="648"/>
      <c r="J217" s="648"/>
      <c r="K217" s="648"/>
      <c r="L217" s="672">
        <f>L215+L216</f>
        <v>241.71817466299146</v>
      </c>
      <c r="M217" s="673"/>
      <c r="N217" s="674">
        <f t="shared" si="16"/>
        <v>5.1287593429914295</v>
      </c>
      <c r="O217" s="675">
        <f t="shared" si="18"/>
        <v>2.1677890095186652E-2</v>
      </c>
      <c r="P217" s="7"/>
    </row>
    <row r="218" spans="1:16" ht="12.75" customHeight="1" x14ac:dyDescent="0.2">
      <c r="A218" s="7"/>
      <c r="B218" s="1626" t="s">
        <v>1140</v>
      </c>
      <c r="C218" s="1626"/>
      <c r="D218" s="1626"/>
      <c r="E218" s="26"/>
      <c r="F218" s="658"/>
      <c r="G218" s="653"/>
      <c r="H218" s="1052">
        <f>ROUND(-H217*10%,2)</f>
        <v>-23.66</v>
      </c>
      <c r="I218" s="648"/>
      <c r="J218" s="648"/>
      <c r="K218" s="648"/>
      <c r="L218" s="1053">
        <f>ROUND(-L217*10%,2)</f>
        <v>-24.17</v>
      </c>
      <c r="M218" s="673"/>
      <c r="N218" s="1054">
        <f t="shared" si="16"/>
        <v>-0.51000000000000156</v>
      </c>
      <c r="O218" s="1055">
        <f t="shared" si="18"/>
        <v>2.155536770921393E-2</v>
      </c>
      <c r="P218" s="7"/>
    </row>
    <row r="219" spans="1:16" ht="13.5" customHeight="1" thickBot="1" x14ac:dyDescent="0.25">
      <c r="A219" s="7"/>
      <c r="B219" s="1626" t="s">
        <v>784</v>
      </c>
      <c r="C219" s="1626"/>
      <c r="D219" s="1626"/>
      <c r="E219" s="1056"/>
      <c r="F219" s="1071"/>
      <c r="G219" s="1072"/>
      <c r="H219" s="1073">
        <f>H217+H218</f>
        <v>212.92941532000003</v>
      </c>
      <c r="I219" s="1074"/>
      <c r="J219" s="1074"/>
      <c r="K219" s="1074"/>
      <c r="L219" s="1075">
        <f>L217+L218</f>
        <v>217.54817466299147</v>
      </c>
      <c r="M219" s="1076"/>
      <c r="N219" s="1077">
        <f t="shared" si="16"/>
        <v>4.6187593429914386</v>
      </c>
      <c r="O219" s="1078">
        <f t="shared" si="18"/>
        <v>2.1691504370357457E-2</v>
      </c>
      <c r="P219" s="7"/>
    </row>
    <row r="220" spans="1:16" ht="13.5" thickBot="1" x14ac:dyDescent="0.25">
      <c r="A220" s="7"/>
      <c r="B220" s="1042"/>
      <c r="C220" s="1043"/>
      <c r="D220" s="1044"/>
      <c r="E220" s="1043"/>
      <c r="F220" s="1065"/>
      <c r="G220" s="1066"/>
      <c r="H220" s="1067"/>
      <c r="I220" s="1068"/>
      <c r="J220" s="1065"/>
      <c r="K220" s="1046"/>
      <c r="L220" s="1069"/>
      <c r="M220" s="1048"/>
      <c r="N220" s="1070"/>
      <c r="O220" s="1051"/>
      <c r="P220" s="7"/>
    </row>
    <row r="221" spans="1:16" x14ac:dyDescent="0.2">
      <c r="A221" s="7"/>
      <c r="B221" s="7"/>
      <c r="C221" s="7"/>
      <c r="D221" s="7"/>
      <c r="E221" s="7"/>
      <c r="F221" s="7"/>
      <c r="G221" s="7"/>
      <c r="H221" s="7"/>
      <c r="I221" s="7"/>
      <c r="J221" s="7"/>
      <c r="K221" s="7"/>
      <c r="L221" s="678"/>
      <c r="M221" s="7"/>
      <c r="N221" s="7"/>
      <c r="O221" s="7"/>
      <c r="P221" s="7"/>
    </row>
    <row r="222" spans="1:16" x14ac:dyDescent="0.2">
      <c r="A222" s="7"/>
      <c r="B222" s="8" t="s">
        <v>39</v>
      </c>
      <c r="C222" s="7"/>
      <c r="D222" s="7"/>
      <c r="E222" s="7"/>
      <c r="F222" s="1079">
        <v>3.5600000000000076E-2</v>
      </c>
      <c r="G222" s="7"/>
      <c r="H222" s="7"/>
      <c r="I222" s="7"/>
      <c r="J222" s="1079">
        <v>4.2054064279015257E-2</v>
      </c>
      <c r="K222" s="7"/>
      <c r="L222" s="7"/>
      <c r="M222" s="7"/>
      <c r="N222" s="7"/>
      <c r="O222" s="7"/>
      <c r="P222" s="7"/>
    </row>
    <row r="223" spans="1:16" x14ac:dyDescent="0.2">
      <c r="A223" s="7"/>
      <c r="B223" s="7"/>
      <c r="C223" s="7"/>
      <c r="D223" s="7"/>
      <c r="E223" s="7"/>
      <c r="F223" s="7"/>
      <c r="G223" s="7"/>
      <c r="H223" s="7"/>
      <c r="I223" s="7"/>
      <c r="J223" s="7"/>
      <c r="K223" s="7"/>
      <c r="L223" s="7"/>
      <c r="M223" s="7"/>
      <c r="N223" s="7"/>
      <c r="O223" s="7"/>
      <c r="P223" s="7"/>
    </row>
    <row r="224" spans="1:16" ht="14.25" x14ac:dyDescent="0.2">
      <c r="A224" s="214" t="s">
        <v>1141</v>
      </c>
      <c r="B224" s="7"/>
      <c r="C224" s="7"/>
      <c r="D224" s="7"/>
      <c r="E224" s="7"/>
      <c r="F224" s="7"/>
      <c r="G224" s="7"/>
      <c r="H224" s="7"/>
      <c r="I224" s="7"/>
      <c r="J224" s="7"/>
      <c r="K224" s="7"/>
      <c r="L224" s="7"/>
      <c r="M224" s="7"/>
      <c r="N224" s="7"/>
      <c r="O224" s="7"/>
      <c r="P224" s="7"/>
    </row>
    <row r="225" spans="1:16" x14ac:dyDescent="0.2">
      <c r="A225" s="7"/>
      <c r="B225" s="7"/>
      <c r="C225" s="7"/>
      <c r="D225" s="7"/>
      <c r="E225" s="7"/>
      <c r="F225" s="7"/>
      <c r="G225" s="7"/>
      <c r="H225" s="7"/>
      <c r="I225" s="7"/>
      <c r="J225" s="7"/>
      <c r="K225" s="7"/>
      <c r="L225" s="7"/>
      <c r="M225" s="7"/>
      <c r="N225" s="7"/>
      <c r="O225" s="7"/>
      <c r="P225" s="7"/>
    </row>
    <row r="226" spans="1:16" x14ac:dyDescent="0.2">
      <c r="A226" s="7" t="s">
        <v>107</v>
      </c>
      <c r="B226" s="7"/>
      <c r="C226" s="7"/>
      <c r="D226" s="7"/>
      <c r="E226" s="7"/>
      <c r="F226" s="7"/>
      <c r="G226" s="7"/>
      <c r="H226" s="7"/>
      <c r="I226" s="7"/>
      <c r="J226" s="7"/>
      <c r="K226" s="7"/>
      <c r="L226" s="7"/>
      <c r="M226" s="7"/>
      <c r="N226" s="7"/>
      <c r="O226" s="7"/>
      <c r="P226" s="7"/>
    </row>
    <row r="227" spans="1:16" x14ac:dyDescent="0.2">
      <c r="A227" s="7" t="s">
        <v>108</v>
      </c>
      <c r="B227" s="7"/>
      <c r="C227" s="7"/>
      <c r="D227" s="7"/>
      <c r="E227" s="7"/>
      <c r="F227" s="7"/>
      <c r="G227" s="7"/>
      <c r="H227" s="7"/>
      <c r="I227" s="7"/>
      <c r="J227" s="7"/>
      <c r="K227" s="7"/>
      <c r="L227" s="7"/>
      <c r="M227" s="7"/>
      <c r="N227" s="7"/>
      <c r="O227" s="7"/>
      <c r="P227" s="7"/>
    </row>
    <row r="228" spans="1:16" x14ac:dyDescent="0.2">
      <c r="A228" s="7"/>
      <c r="B228" s="7"/>
      <c r="C228" s="7"/>
      <c r="D228" s="7"/>
      <c r="E228" s="7"/>
      <c r="F228" s="7"/>
      <c r="G228" s="7"/>
      <c r="H228" s="7"/>
      <c r="I228" s="7"/>
      <c r="J228" s="7"/>
      <c r="K228" s="7"/>
      <c r="L228" s="7"/>
      <c r="M228" s="7"/>
      <c r="N228" s="7"/>
      <c r="O228" s="7"/>
      <c r="P228" s="7"/>
    </row>
    <row r="229" spans="1:16" x14ac:dyDescent="0.2">
      <c r="A229" s="7" t="s">
        <v>331</v>
      </c>
      <c r="B229" s="7"/>
      <c r="C229" s="7"/>
      <c r="D229" s="7"/>
      <c r="E229" s="7"/>
      <c r="F229" s="7"/>
      <c r="G229" s="7"/>
      <c r="H229" s="7"/>
      <c r="I229" s="7"/>
      <c r="J229" s="7"/>
      <c r="K229" s="7"/>
      <c r="L229" s="7"/>
      <c r="M229" s="7"/>
      <c r="N229" s="7"/>
      <c r="O229" s="7"/>
      <c r="P229" s="7"/>
    </row>
    <row r="230" spans="1:16" x14ac:dyDescent="0.2">
      <c r="A230" s="7" t="s">
        <v>109</v>
      </c>
      <c r="B230" s="7"/>
      <c r="C230" s="7"/>
      <c r="D230" s="7"/>
      <c r="E230" s="7"/>
      <c r="F230" s="7"/>
      <c r="G230" s="7"/>
      <c r="H230" s="7"/>
      <c r="I230" s="7"/>
      <c r="J230" s="7"/>
      <c r="K230" s="7"/>
      <c r="L230" s="7"/>
      <c r="M230" s="7"/>
      <c r="N230" s="7"/>
      <c r="O230" s="7"/>
      <c r="P230" s="7"/>
    </row>
    <row r="231" spans="1:16" x14ac:dyDescent="0.2">
      <c r="A231" s="7"/>
      <c r="B231" s="7"/>
      <c r="C231" s="7"/>
      <c r="D231" s="7"/>
      <c r="E231" s="7"/>
      <c r="F231" s="7"/>
      <c r="G231" s="7"/>
      <c r="H231" s="7"/>
      <c r="I231" s="7"/>
      <c r="J231" s="7"/>
      <c r="K231" s="7"/>
      <c r="L231" s="7"/>
      <c r="M231" s="7"/>
      <c r="N231" s="7"/>
      <c r="O231" s="7"/>
      <c r="P231" s="7"/>
    </row>
    <row r="232" spans="1:16" x14ac:dyDescent="0.2">
      <c r="A232" s="7" t="s">
        <v>110</v>
      </c>
      <c r="B232" s="7"/>
      <c r="C232" s="7"/>
      <c r="D232" s="7"/>
      <c r="E232" s="7"/>
      <c r="F232" s="7"/>
      <c r="G232" s="7"/>
      <c r="H232" s="7"/>
      <c r="I232" s="7"/>
      <c r="J232" s="7"/>
      <c r="K232" s="7"/>
      <c r="L232" s="7"/>
      <c r="M232" s="7"/>
      <c r="N232" s="7"/>
      <c r="O232" s="7"/>
      <c r="P232" s="7"/>
    </row>
    <row r="233" spans="1:16" x14ac:dyDescent="0.2">
      <c r="A233" s="7" t="s">
        <v>111</v>
      </c>
      <c r="B233" s="7"/>
      <c r="C233" s="7"/>
      <c r="D233" s="7"/>
      <c r="E233" s="7"/>
      <c r="F233" s="7"/>
      <c r="G233" s="7"/>
      <c r="H233" s="7"/>
      <c r="I233" s="7"/>
      <c r="J233" s="7"/>
      <c r="K233" s="7"/>
      <c r="L233" s="7"/>
      <c r="M233" s="7"/>
      <c r="N233" s="7"/>
      <c r="O233" s="7"/>
      <c r="P233" s="7"/>
    </row>
    <row r="234" spans="1:16" x14ac:dyDescent="0.2">
      <c r="A234" s="7" t="s">
        <v>112</v>
      </c>
      <c r="B234" s="7"/>
      <c r="C234" s="7"/>
      <c r="D234" s="7"/>
      <c r="E234" s="7"/>
      <c r="F234" s="7"/>
      <c r="G234" s="7"/>
      <c r="H234" s="7"/>
      <c r="I234" s="7"/>
      <c r="J234" s="7"/>
      <c r="K234" s="7"/>
      <c r="L234" s="7"/>
      <c r="M234" s="7"/>
      <c r="N234" s="7"/>
      <c r="O234" s="7"/>
      <c r="P234" s="7"/>
    </row>
    <row r="235" spans="1:16" x14ac:dyDescent="0.2">
      <c r="A235" s="7" t="s">
        <v>113</v>
      </c>
      <c r="B235" s="7"/>
      <c r="C235" s="7"/>
      <c r="D235" s="7"/>
      <c r="E235" s="7"/>
      <c r="F235" s="7"/>
      <c r="G235" s="7"/>
      <c r="H235" s="7"/>
      <c r="I235" s="7"/>
      <c r="J235" s="7"/>
      <c r="K235" s="7"/>
      <c r="L235" s="7"/>
      <c r="M235" s="7"/>
      <c r="N235" s="7"/>
      <c r="O235" s="7"/>
      <c r="P235" s="7"/>
    </row>
    <row r="236" spans="1:16" x14ac:dyDescent="0.2">
      <c r="A236" s="7" t="s">
        <v>114</v>
      </c>
      <c r="B236" s="7"/>
      <c r="C236" s="7"/>
      <c r="D236" s="7"/>
      <c r="E236" s="7"/>
      <c r="F236" s="7"/>
      <c r="G236" s="7"/>
      <c r="H236" s="7"/>
      <c r="I236" s="7"/>
      <c r="J236" s="7"/>
      <c r="K236" s="7"/>
      <c r="L236" s="7"/>
      <c r="M236" s="7"/>
      <c r="N236" s="7"/>
      <c r="O236" s="7"/>
      <c r="P236" s="7"/>
    </row>
    <row r="238" spans="1:16" ht="21.75" x14ac:dyDescent="0.2">
      <c r="A238" s="41"/>
      <c r="B238" s="41"/>
      <c r="C238" s="41"/>
      <c r="D238" s="41"/>
      <c r="E238" s="41"/>
      <c r="F238" s="41"/>
      <c r="G238" s="41"/>
      <c r="H238" s="41"/>
      <c r="I238" s="41"/>
      <c r="J238" s="41"/>
      <c r="K238" s="41"/>
      <c r="L238" s="37"/>
      <c r="M238" s="37"/>
      <c r="N238" s="16" t="s">
        <v>444</v>
      </c>
      <c r="O238" s="250" t="s">
        <v>866</v>
      </c>
    </row>
    <row r="239" spans="1:16" ht="18" x14ac:dyDescent="0.25">
      <c r="A239" s="40"/>
      <c r="B239" s="40"/>
      <c r="C239" s="40"/>
      <c r="D239" s="40"/>
      <c r="E239" s="40"/>
      <c r="F239" s="40"/>
      <c r="G239" s="40"/>
      <c r="H239" s="40"/>
      <c r="I239" s="40"/>
      <c r="J239" s="40"/>
      <c r="K239" s="40"/>
      <c r="L239" s="37"/>
      <c r="M239" s="37"/>
      <c r="N239" s="16" t="s">
        <v>445</v>
      </c>
      <c r="O239" s="1001"/>
    </row>
    <row r="240" spans="1:16" x14ac:dyDescent="0.2">
      <c r="A240" s="1626"/>
      <c r="B240" s="1626"/>
      <c r="C240" s="1626"/>
      <c r="D240" s="1626"/>
      <c r="E240" s="1626"/>
      <c r="F240" s="1626"/>
      <c r="G240" s="1626"/>
      <c r="H240" s="1626"/>
      <c r="I240" s="1626"/>
      <c r="J240" s="1626"/>
      <c r="K240" s="1626"/>
      <c r="L240" s="37"/>
      <c r="M240" s="37"/>
      <c r="N240" s="16" t="s">
        <v>446</v>
      </c>
      <c r="O240" s="1001"/>
    </row>
    <row r="241" spans="1:16" ht="18" x14ac:dyDescent="0.25">
      <c r="A241" s="40"/>
      <c r="B241" s="40"/>
      <c r="C241" s="40"/>
      <c r="D241" s="40"/>
      <c r="E241" s="40"/>
      <c r="F241" s="40"/>
      <c r="G241" s="40"/>
      <c r="H241" s="40"/>
      <c r="I241" s="38"/>
      <c r="J241" s="38"/>
      <c r="K241" s="38"/>
      <c r="L241" s="37"/>
      <c r="M241" s="37"/>
      <c r="N241" s="16" t="s">
        <v>447</v>
      </c>
      <c r="O241" s="1001"/>
    </row>
    <row r="242" spans="1:16" ht="15.75" x14ac:dyDescent="0.25">
      <c r="A242" s="37"/>
      <c r="B242" s="37"/>
      <c r="C242" s="39"/>
      <c r="D242" s="39"/>
      <c r="E242" s="39"/>
      <c r="F242" s="37"/>
      <c r="G242" s="37"/>
      <c r="H242" s="37"/>
      <c r="I242" s="37"/>
      <c r="J242" s="37"/>
      <c r="K242" s="37"/>
      <c r="L242" s="37"/>
      <c r="M242" s="37"/>
      <c r="N242" s="16" t="s">
        <v>448</v>
      </c>
      <c r="O242" s="1002" t="s">
        <v>1144</v>
      </c>
    </row>
    <row r="243" spans="1:16" x14ac:dyDescent="0.2">
      <c r="A243" s="37"/>
      <c r="B243" s="37"/>
      <c r="C243" s="37"/>
      <c r="D243" s="37"/>
      <c r="E243" s="37"/>
      <c r="F243" s="37"/>
      <c r="G243" s="37"/>
      <c r="H243" s="37"/>
      <c r="I243" s="37"/>
      <c r="J243" s="37"/>
      <c r="K243" s="37"/>
      <c r="L243" s="37"/>
      <c r="M243" s="37"/>
      <c r="N243" s="16"/>
      <c r="O243" s="250"/>
    </row>
    <row r="244" spans="1:16" x14ac:dyDescent="0.2">
      <c r="A244" s="37"/>
      <c r="B244" s="37"/>
      <c r="C244" s="37"/>
      <c r="D244" s="37"/>
      <c r="E244" s="37"/>
      <c r="F244" s="37"/>
      <c r="G244" s="37"/>
      <c r="H244" s="37"/>
      <c r="I244" s="37"/>
      <c r="J244" s="37"/>
      <c r="K244" s="37"/>
      <c r="L244" s="37"/>
      <c r="M244" s="37"/>
      <c r="N244" s="16" t="s">
        <v>449</v>
      </c>
      <c r="O244" s="1002"/>
    </row>
    <row r="245" spans="1:16" x14ac:dyDescent="0.2">
      <c r="A245" s="37"/>
      <c r="B245" s="37"/>
      <c r="C245" s="37"/>
      <c r="D245" s="37"/>
      <c r="E245" s="37"/>
      <c r="F245" s="37"/>
      <c r="G245" s="37"/>
      <c r="H245" s="37"/>
      <c r="I245" s="37"/>
      <c r="J245" s="37"/>
      <c r="K245" s="37"/>
      <c r="L245" s="37"/>
      <c r="M245" s="37"/>
      <c r="N245" s="7"/>
    </row>
    <row r="246" spans="1:16" x14ac:dyDescent="0.2">
      <c r="A246" s="7"/>
      <c r="B246" s="7"/>
      <c r="C246" s="7"/>
      <c r="D246" s="7"/>
      <c r="E246" s="7"/>
      <c r="F246" s="7"/>
      <c r="G246" s="7"/>
      <c r="H246" s="7"/>
      <c r="I246" s="7"/>
      <c r="J246" s="7"/>
      <c r="K246" s="7"/>
    </row>
    <row r="247" spans="1:16" x14ac:dyDescent="0.2">
      <c r="A247" s="7"/>
      <c r="B247" s="1626" t="s">
        <v>695</v>
      </c>
      <c r="C247" s="1626"/>
      <c r="D247" s="1626"/>
      <c r="E247" s="1626"/>
      <c r="F247" s="1626"/>
      <c r="G247" s="1626"/>
      <c r="H247" s="1626"/>
      <c r="I247" s="1626"/>
      <c r="J247" s="1626"/>
      <c r="K247" s="1626"/>
      <c r="L247" s="1626"/>
      <c r="M247" s="1626"/>
      <c r="N247" s="1626"/>
      <c r="O247" s="1626"/>
    </row>
    <row r="248" spans="1:16" x14ac:dyDescent="0.2">
      <c r="A248" s="7"/>
      <c r="B248" s="1626" t="s">
        <v>63</v>
      </c>
      <c r="C248" s="1626"/>
      <c r="D248" s="1626"/>
      <c r="E248" s="1626"/>
      <c r="F248" s="1626"/>
      <c r="G248" s="1626"/>
      <c r="H248" s="1626"/>
      <c r="I248" s="1626"/>
      <c r="J248" s="1626"/>
      <c r="K248" s="1626"/>
      <c r="L248" s="1626"/>
      <c r="M248" s="1626"/>
      <c r="N248" s="1626"/>
      <c r="O248" s="1626"/>
    </row>
    <row r="249" spans="1:16" x14ac:dyDescent="0.2">
      <c r="A249" s="7"/>
      <c r="B249" s="7"/>
      <c r="C249" s="7"/>
      <c r="D249" s="7"/>
      <c r="E249" s="7"/>
      <c r="F249" s="7"/>
      <c r="G249" s="7"/>
      <c r="H249" s="7"/>
      <c r="I249" s="7"/>
      <c r="J249" s="7"/>
      <c r="K249" s="7"/>
    </row>
    <row r="250" spans="1:16" x14ac:dyDescent="0.2">
      <c r="A250" s="7"/>
      <c r="B250" s="7"/>
      <c r="C250" s="7"/>
      <c r="D250" s="7"/>
      <c r="E250" s="7"/>
      <c r="F250" s="7"/>
      <c r="G250" s="7"/>
      <c r="H250" s="7"/>
      <c r="I250" s="7"/>
      <c r="J250" s="7"/>
      <c r="K250" s="7"/>
    </row>
    <row r="251" spans="1:16" x14ac:dyDescent="0.2">
      <c r="A251" s="7"/>
      <c r="B251" s="43" t="s">
        <v>40</v>
      </c>
      <c r="C251" s="7"/>
      <c r="D251" s="1626" t="s">
        <v>82</v>
      </c>
      <c r="E251" s="1626"/>
      <c r="F251" s="1626"/>
      <c r="G251" s="1626"/>
      <c r="H251" s="1626"/>
      <c r="I251" s="1626"/>
      <c r="J251" s="1626"/>
      <c r="K251" s="1626"/>
      <c r="L251" s="1626"/>
      <c r="M251" s="1626"/>
      <c r="N251" s="1626"/>
      <c r="O251" s="1626"/>
      <c r="P251" s="7"/>
    </row>
    <row r="252" spans="1:16" ht="15.75" x14ac:dyDescent="0.25">
      <c r="A252" s="7"/>
      <c r="B252" s="1003"/>
      <c r="C252" s="7"/>
      <c r="D252" s="42"/>
      <c r="E252" s="42"/>
      <c r="F252" s="42"/>
      <c r="G252" s="42"/>
      <c r="H252" s="42"/>
      <c r="I252" s="42"/>
      <c r="J252" s="42"/>
      <c r="K252" s="42"/>
      <c r="L252" s="42"/>
      <c r="M252" s="42"/>
      <c r="N252" s="42"/>
      <c r="O252" s="42"/>
      <c r="P252" s="7"/>
    </row>
    <row r="253" spans="1:16" x14ac:dyDescent="0.2">
      <c r="A253" s="7"/>
      <c r="B253" s="647"/>
      <c r="C253" s="7"/>
      <c r="D253" s="8" t="s">
        <v>17</v>
      </c>
      <c r="E253" s="8"/>
      <c r="F253" s="1004">
        <v>2000</v>
      </c>
      <c r="G253" s="8" t="s">
        <v>18</v>
      </c>
      <c r="H253" s="7"/>
      <c r="I253" s="7"/>
      <c r="J253" s="7"/>
      <c r="K253" s="7"/>
      <c r="L253" s="7"/>
      <c r="M253" s="7"/>
      <c r="N253" s="7"/>
      <c r="O253" s="7"/>
      <c r="P253" s="7"/>
    </row>
    <row r="254" spans="1:16" x14ac:dyDescent="0.2">
      <c r="A254" s="7"/>
      <c r="B254" s="647"/>
      <c r="C254" s="7"/>
      <c r="D254" s="7"/>
      <c r="E254" s="7"/>
      <c r="F254" s="7"/>
      <c r="G254" s="7"/>
      <c r="H254" s="7"/>
      <c r="I254" s="7"/>
      <c r="J254" s="7"/>
      <c r="K254" s="7"/>
      <c r="L254" s="7"/>
      <c r="M254" s="7"/>
      <c r="N254" s="7"/>
      <c r="O254" s="7"/>
      <c r="P254" s="7"/>
    </row>
    <row r="255" spans="1:16" x14ac:dyDescent="0.2">
      <c r="A255" s="7"/>
      <c r="B255" s="647"/>
      <c r="C255" s="7"/>
      <c r="D255" s="19"/>
      <c r="E255" s="19"/>
      <c r="F255" s="1626" t="s">
        <v>19</v>
      </c>
      <c r="G255" s="1626"/>
      <c r="H255" s="1626"/>
      <c r="I255" s="7"/>
      <c r="J255" s="1626" t="s">
        <v>20</v>
      </c>
      <c r="K255" s="1626"/>
      <c r="L255" s="1626"/>
      <c r="M255" s="7"/>
      <c r="N255" s="1626" t="s">
        <v>21</v>
      </c>
      <c r="O255" s="1626"/>
      <c r="P255" s="7"/>
    </row>
    <row r="256" spans="1:16" ht="12.75" customHeight="1" x14ac:dyDescent="0.2">
      <c r="A256" s="7"/>
      <c r="B256" s="647"/>
      <c r="C256" s="7"/>
      <c r="D256" s="1626" t="s">
        <v>22</v>
      </c>
      <c r="E256" s="20"/>
      <c r="F256" s="21" t="s">
        <v>23</v>
      </c>
      <c r="G256" s="21" t="s">
        <v>24</v>
      </c>
      <c r="H256" s="22" t="s">
        <v>25</v>
      </c>
      <c r="I256" s="7"/>
      <c r="J256" s="21" t="s">
        <v>23</v>
      </c>
      <c r="K256" s="23" t="s">
        <v>24</v>
      </c>
      <c r="L256" s="22" t="s">
        <v>25</v>
      </c>
      <c r="M256" s="7"/>
      <c r="N256" s="1626" t="s">
        <v>26</v>
      </c>
      <c r="O256" s="1626" t="s">
        <v>27</v>
      </c>
      <c r="P256" s="7"/>
    </row>
    <row r="257" spans="1:16" x14ac:dyDescent="0.2">
      <c r="A257" s="7"/>
      <c r="B257" s="647"/>
      <c r="C257" s="7"/>
      <c r="D257" s="1626"/>
      <c r="E257" s="20"/>
      <c r="F257" s="24" t="s">
        <v>452</v>
      </c>
      <c r="G257" s="24"/>
      <c r="H257" s="25" t="s">
        <v>452</v>
      </c>
      <c r="I257" s="7"/>
      <c r="J257" s="24" t="s">
        <v>452</v>
      </c>
      <c r="K257" s="25"/>
      <c r="L257" s="25" t="s">
        <v>452</v>
      </c>
      <c r="M257" s="7"/>
      <c r="N257" s="1626"/>
      <c r="O257" s="1626"/>
      <c r="P257" s="7"/>
    </row>
    <row r="258" spans="1:16" x14ac:dyDescent="0.2">
      <c r="A258" s="7"/>
      <c r="B258" s="26" t="s">
        <v>28</v>
      </c>
      <c r="C258" s="26"/>
      <c r="D258" s="1005" t="s">
        <v>1130</v>
      </c>
      <c r="E258" s="27"/>
      <c r="F258" s="1006">
        <v>13.8</v>
      </c>
      <c r="G258" s="32">
        <v>1</v>
      </c>
      <c r="H258" s="1007">
        <f>G258*F258</f>
        <v>13.8</v>
      </c>
      <c r="I258" s="30"/>
      <c r="J258" s="1008">
        <v>16.39</v>
      </c>
      <c r="K258" s="33">
        <v>1</v>
      </c>
      <c r="L258" s="1007">
        <f>K258*J258</f>
        <v>16.39</v>
      </c>
      <c r="M258" s="30"/>
      <c r="N258" s="34">
        <f>L258-H258</f>
        <v>2.59</v>
      </c>
      <c r="O258" s="202">
        <f>IF((H258)=0,"",(N258/H258))</f>
        <v>0.18768115942028984</v>
      </c>
      <c r="P258" s="7"/>
    </row>
    <row r="259" spans="1:16" x14ac:dyDescent="0.2">
      <c r="A259" s="7"/>
      <c r="B259" s="26" t="s">
        <v>29</v>
      </c>
      <c r="C259" s="26"/>
      <c r="D259" s="1005" t="s">
        <v>1130</v>
      </c>
      <c r="E259" s="27"/>
      <c r="F259" s="1006">
        <v>2.42</v>
      </c>
      <c r="G259" s="32">
        <v>1</v>
      </c>
      <c r="H259" s="1007">
        <f t="shared" ref="H259:H267" si="21">G259*F259</f>
        <v>2.42</v>
      </c>
      <c r="I259" s="30"/>
      <c r="J259" s="1008">
        <v>0</v>
      </c>
      <c r="K259" s="33">
        <v>1</v>
      </c>
      <c r="L259" s="1007">
        <f>K259*J259</f>
        <v>0</v>
      </c>
      <c r="M259" s="30"/>
      <c r="N259" s="34">
        <f>L259-H259</f>
        <v>-2.42</v>
      </c>
      <c r="O259" s="202">
        <f>IF((H259)=0,"",(N259/H259))</f>
        <v>-1</v>
      </c>
      <c r="P259" s="7"/>
    </row>
    <row r="260" spans="1:16" x14ac:dyDescent="0.2">
      <c r="A260" s="7"/>
      <c r="B260" s="1009" t="s">
        <v>1131</v>
      </c>
      <c r="C260" s="26"/>
      <c r="D260" s="1005" t="s">
        <v>79</v>
      </c>
      <c r="E260" s="27"/>
      <c r="F260" s="1006">
        <v>-5.0000000000000001E-4</v>
      </c>
      <c r="G260" s="32">
        <f>F253</f>
        <v>2000</v>
      </c>
      <c r="H260" s="1007">
        <f t="shared" si="21"/>
        <v>-1</v>
      </c>
      <c r="I260" s="30"/>
      <c r="J260" s="1008">
        <v>0</v>
      </c>
      <c r="K260" s="33">
        <f>F253</f>
        <v>2000</v>
      </c>
      <c r="L260" s="1007">
        <f t="shared" ref="L260:L267" si="22">K260*J260</f>
        <v>0</v>
      </c>
      <c r="M260" s="30"/>
      <c r="N260" s="34">
        <f t="shared" ref="N260:N298" si="23">L260-H260</f>
        <v>1</v>
      </c>
      <c r="O260" s="202">
        <f t="shared" ref="O260:O268" si="24">IF((H260)=0,"",(N260/H260))</f>
        <v>-1</v>
      </c>
      <c r="P260" s="7"/>
    </row>
    <row r="261" spans="1:16" x14ac:dyDescent="0.2">
      <c r="A261" s="7"/>
      <c r="B261" s="1009" t="s">
        <v>36</v>
      </c>
      <c r="C261" s="26"/>
      <c r="D261" s="1005" t="s">
        <v>1130</v>
      </c>
      <c r="E261" s="27"/>
      <c r="F261" s="1006">
        <v>0.25</v>
      </c>
      <c r="G261" s="32">
        <v>1</v>
      </c>
      <c r="H261" s="1007">
        <f t="shared" si="21"/>
        <v>0.25</v>
      </c>
      <c r="I261" s="30"/>
      <c r="J261" s="1008">
        <v>0.25</v>
      </c>
      <c r="K261" s="33">
        <v>1</v>
      </c>
      <c r="L261" s="1007">
        <f t="shared" si="22"/>
        <v>0.25</v>
      </c>
      <c r="M261" s="30"/>
      <c r="N261" s="34">
        <f t="shared" si="23"/>
        <v>0</v>
      </c>
      <c r="O261" s="202">
        <f t="shared" si="24"/>
        <v>0</v>
      </c>
      <c r="P261" s="7"/>
    </row>
    <row r="262" spans="1:16" x14ac:dyDescent="0.2">
      <c r="A262" s="7"/>
      <c r="B262" s="26" t="s">
        <v>30</v>
      </c>
      <c r="C262" s="26"/>
      <c r="D262" s="1005" t="s">
        <v>79</v>
      </c>
      <c r="E262" s="27"/>
      <c r="F262" s="1006">
        <v>1.8800000000000001E-2</v>
      </c>
      <c r="G262" s="32">
        <f>F253</f>
        <v>2000</v>
      </c>
      <c r="H262" s="1007">
        <f t="shared" si="21"/>
        <v>37.6</v>
      </c>
      <c r="I262" s="30"/>
      <c r="J262" s="1008">
        <v>2.23E-2</v>
      </c>
      <c r="K262" s="32">
        <f>F253</f>
        <v>2000</v>
      </c>
      <c r="L262" s="1007">
        <f t="shared" si="22"/>
        <v>44.6</v>
      </c>
      <c r="M262" s="30"/>
      <c r="N262" s="34">
        <f t="shared" si="23"/>
        <v>7</v>
      </c>
      <c r="O262" s="202">
        <f t="shared" si="24"/>
        <v>0.18617021276595744</v>
      </c>
      <c r="P262" s="7"/>
    </row>
    <row r="263" spans="1:16" x14ac:dyDescent="0.2">
      <c r="A263" s="7"/>
      <c r="B263" s="26" t="s">
        <v>31</v>
      </c>
      <c r="C263" s="26"/>
      <c r="D263" s="1005"/>
      <c r="E263" s="27"/>
      <c r="F263" s="1006"/>
      <c r="G263" s="32"/>
      <c r="H263" s="1007">
        <f t="shared" si="21"/>
        <v>0</v>
      </c>
      <c r="I263" s="30"/>
      <c r="J263" s="1008"/>
      <c r="K263" s="32"/>
      <c r="L263" s="1007">
        <f t="shared" si="22"/>
        <v>0</v>
      </c>
      <c r="M263" s="30"/>
      <c r="N263" s="34">
        <f t="shared" si="23"/>
        <v>0</v>
      </c>
      <c r="O263" s="202" t="str">
        <f t="shared" si="24"/>
        <v/>
      </c>
      <c r="P263" s="7"/>
    </row>
    <row r="264" spans="1:16" x14ac:dyDescent="0.2">
      <c r="A264" s="7"/>
      <c r="B264" s="26" t="s">
        <v>1132</v>
      </c>
      <c r="C264" s="26"/>
      <c r="D264" s="1005" t="s">
        <v>80</v>
      </c>
      <c r="E264" s="27"/>
      <c r="F264" s="1006">
        <v>4.0000000000000002E-4</v>
      </c>
      <c r="G264" s="32">
        <f>F253</f>
        <v>2000</v>
      </c>
      <c r="H264" s="1007">
        <f t="shared" si="21"/>
        <v>0.8</v>
      </c>
      <c r="I264" s="30"/>
      <c r="J264" s="1008">
        <v>0</v>
      </c>
      <c r="K264" s="32">
        <f>F253</f>
        <v>2000</v>
      </c>
      <c r="L264" s="1007">
        <f t="shared" si="22"/>
        <v>0</v>
      </c>
      <c r="M264" s="30"/>
      <c r="N264" s="34">
        <f t="shared" si="23"/>
        <v>-0.8</v>
      </c>
      <c r="O264" s="202">
        <f t="shared" si="24"/>
        <v>-1</v>
      </c>
      <c r="P264" s="7"/>
    </row>
    <row r="265" spans="1:16" x14ac:dyDescent="0.2">
      <c r="A265" s="7"/>
      <c r="B265" s="26" t="s">
        <v>1133</v>
      </c>
      <c r="C265" s="26"/>
      <c r="D265" s="1005" t="s">
        <v>80</v>
      </c>
      <c r="E265" s="27"/>
      <c r="F265" s="1006">
        <v>2.0000000000000001E-4</v>
      </c>
      <c r="G265" s="32">
        <f>F253</f>
        <v>2000</v>
      </c>
      <c r="H265" s="1007">
        <f t="shared" si="21"/>
        <v>0.4</v>
      </c>
      <c r="I265" s="30"/>
      <c r="J265" s="1008">
        <v>2.0000000000000001E-4</v>
      </c>
      <c r="K265" s="32">
        <f>F253</f>
        <v>2000</v>
      </c>
      <c r="L265" s="1007">
        <f t="shared" si="22"/>
        <v>0.4</v>
      </c>
      <c r="M265" s="30"/>
      <c r="N265" s="34">
        <f t="shared" si="23"/>
        <v>0</v>
      </c>
      <c r="O265" s="202">
        <f t="shared" si="24"/>
        <v>0</v>
      </c>
      <c r="P265" s="7"/>
    </row>
    <row r="266" spans="1:16" x14ac:dyDescent="0.2">
      <c r="A266" s="7"/>
      <c r="B266" s="26" t="s">
        <v>1134</v>
      </c>
      <c r="C266" s="26"/>
      <c r="D266" s="1005" t="s">
        <v>80</v>
      </c>
      <c r="E266" s="27"/>
      <c r="F266" s="1006">
        <v>0</v>
      </c>
      <c r="G266" s="32">
        <f>F253</f>
        <v>2000</v>
      </c>
      <c r="H266" s="1007">
        <f t="shared" si="21"/>
        <v>0</v>
      </c>
      <c r="I266" s="30"/>
      <c r="J266" s="1008">
        <v>2.9999999999999997E-4</v>
      </c>
      <c r="K266" s="32">
        <f>F253</f>
        <v>2000</v>
      </c>
      <c r="L266" s="1007">
        <f t="shared" si="22"/>
        <v>0.6</v>
      </c>
      <c r="M266" s="30"/>
      <c r="N266" s="34">
        <f t="shared" si="23"/>
        <v>0.6</v>
      </c>
      <c r="O266" s="202" t="str">
        <f t="shared" si="24"/>
        <v/>
      </c>
      <c r="P266" s="7"/>
    </row>
    <row r="267" spans="1:16" x14ac:dyDescent="0.2">
      <c r="A267" s="7"/>
      <c r="B267" s="1010" t="s">
        <v>1135</v>
      </c>
      <c r="C267" s="26"/>
      <c r="D267" s="1005" t="s">
        <v>1130</v>
      </c>
      <c r="E267" s="27"/>
      <c r="F267" s="1006">
        <v>0</v>
      </c>
      <c r="G267" s="32">
        <v>1</v>
      </c>
      <c r="H267" s="1007">
        <f t="shared" si="21"/>
        <v>0</v>
      </c>
      <c r="I267" s="30"/>
      <c r="J267" s="1008">
        <v>2.25</v>
      </c>
      <c r="K267" s="32">
        <v>1</v>
      </c>
      <c r="L267" s="1007">
        <f t="shared" si="22"/>
        <v>2.25</v>
      </c>
      <c r="M267" s="30"/>
      <c r="N267" s="34">
        <f t="shared" si="23"/>
        <v>2.25</v>
      </c>
      <c r="O267" s="202" t="str">
        <f t="shared" si="24"/>
        <v/>
      </c>
      <c r="P267" s="7"/>
    </row>
    <row r="268" spans="1:16" x14ac:dyDescent="0.2">
      <c r="A268" s="29"/>
      <c r="B268" s="1011" t="s">
        <v>698</v>
      </c>
      <c r="C268" s="1012"/>
      <c r="D268" s="1013"/>
      <c r="E268" s="1012"/>
      <c r="F268" s="1014"/>
      <c r="G268" s="1015"/>
      <c r="H268" s="1016">
        <f>SUM(H258:H267)</f>
        <v>54.269999999999996</v>
      </c>
      <c r="I268" s="1017"/>
      <c r="J268" s="1018"/>
      <c r="K268" s="1019"/>
      <c r="L268" s="1016">
        <f>SUM(L258:L267)</f>
        <v>64.490000000000009</v>
      </c>
      <c r="M268" s="1017"/>
      <c r="N268" s="1020">
        <f t="shared" si="23"/>
        <v>10.220000000000013</v>
      </c>
      <c r="O268" s="1021">
        <f t="shared" si="24"/>
        <v>0.18831767090473583</v>
      </c>
      <c r="P268" s="29"/>
    </row>
    <row r="269" spans="1:16" ht="38.25" x14ac:dyDescent="0.2">
      <c r="A269" s="7"/>
      <c r="B269" s="1022" t="s">
        <v>1136</v>
      </c>
      <c r="C269" s="26"/>
      <c r="D269" s="1005" t="s">
        <v>80</v>
      </c>
      <c r="E269" s="27"/>
      <c r="F269" s="1006">
        <v>1.1999999999999999E-3</v>
      </c>
      <c r="G269" s="32">
        <f>F253</f>
        <v>2000</v>
      </c>
      <c r="H269" s="1007">
        <f>G269*F269</f>
        <v>2.4</v>
      </c>
      <c r="I269" s="30"/>
      <c r="J269" s="1008">
        <v>0</v>
      </c>
      <c r="K269" s="32">
        <f>F253</f>
        <v>2000</v>
      </c>
      <c r="L269" s="1007">
        <f>K269*J269</f>
        <v>0</v>
      </c>
      <c r="M269" s="30"/>
      <c r="N269" s="34">
        <f t="shared" si="23"/>
        <v>-2.4</v>
      </c>
      <c r="O269" s="202">
        <f>IF((H269)=0,"",(N269/H269))</f>
        <v>-1</v>
      </c>
      <c r="P269" s="7"/>
    </row>
    <row r="270" spans="1:16" ht="38.25" x14ac:dyDescent="0.2">
      <c r="A270" s="7"/>
      <c r="B270" s="1022" t="s">
        <v>1137</v>
      </c>
      <c r="C270" s="26"/>
      <c r="D270" s="1005" t="s">
        <v>80</v>
      </c>
      <c r="E270" s="27"/>
      <c r="F270" s="1006">
        <v>-1.6999999999999999E-3</v>
      </c>
      <c r="G270" s="32">
        <f>F253</f>
        <v>2000</v>
      </c>
      <c r="H270" s="1007">
        <f>G270*F270</f>
        <v>-3.4</v>
      </c>
      <c r="I270" s="30"/>
      <c r="J270" s="1008">
        <v>-1.6999999999999999E-3</v>
      </c>
      <c r="K270" s="32">
        <f>F253</f>
        <v>2000</v>
      </c>
      <c r="L270" s="1007">
        <f>K270*J270</f>
        <v>-3.4</v>
      </c>
      <c r="M270" s="30"/>
      <c r="N270" s="34">
        <f t="shared" si="23"/>
        <v>0</v>
      </c>
      <c r="O270" s="202">
        <f>IF((H270)=0,"",(N270/H270))</f>
        <v>0</v>
      </c>
      <c r="P270" s="7"/>
    </row>
    <row r="271" spans="1:16" ht="51" x14ac:dyDescent="0.2">
      <c r="A271" s="7"/>
      <c r="B271" s="1022" t="s">
        <v>1138</v>
      </c>
      <c r="C271" s="26"/>
      <c r="D271" s="1005" t="s">
        <v>80</v>
      </c>
      <c r="E271" s="27"/>
      <c r="F271" s="1006">
        <v>0</v>
      </c>
      <c r="G271" s="32">
        <f>F253</f>
        <v>2000</v>
      </c>
      <c r="H271" s="1007">
        <f>G271*F271</f>
        <v>0</v>
      </c>
      <c r="I271" s="30"/>
      <c r="J271" s="1008">
        <v>-1.1999999999999999E-3</v>
      </c>
      <c r="K271" s="32">
        <f>F253</f>
        <v>2000</v>
      </c>
      <c r="L271" s="1007">
        <f>K271*J271</f>
        <v>-2.4</v>
      </c>
      <c r="M271" s="30"/>
      <c r="N271" s="34">
        <f t="shared" si="23"/>
        <v>-2.4</v>
      </c>
      <c r="O271" s="202" t="str">
        <f>IF((H271)=0,"",(N271/H271))</f>
        <v/>
      </c>
      <c r="P271" s="7"/>
    </row>
    <row r="272" spans="1:16" x14ac:dyDescent="0.2">
      <c r="A272" s="7"/>
      <c r="B272" s="564" t="s">
        <v>808</v>
      </c>
      <c r="C272" s="26"/>
      <c r="D272" s="1005" t="s">
        <v>79</v>
      </c>
      <c r="E272" s="27"/>
      <c r="F272" s="1006">
        <v>2.0000000000000001E-4</v>
      </c>
      <c r="G272" s="32">
        <f>F253</f>
        <v>2000</v>
      </c>
      <c r="H272" s="1007">
        <f>G272*F272</f>
        <v>0.4</v>
      </c>
      <c r="I272" s="30"/>
      <c r="J272" s="1008">
        <v>2.0000000000000001E-4</v>
      </c>
      <c r="K272" s="32">
        <f>F253</f>
        <v>2000</v>
      </c>
      <c r="L272" s="1007">
        <f>K272*J272</f>
        <v>0.4</v>
      </c>
      <c r="M272" s="30"/>
      <c r="N272" s="34">
        <f t="shared" si="23"/>
        <v>0</v>
      </c>
      <c r="O272" s="202">
        <f>IF((H272)=0,"",(N272/H272))</f>
        <v>0</v>
      </c>
      <c r="P272" s="7"/>
    </row>
    <row r="273" spans="1:16" x14ac:dyDescent="0.2">
      <c r="A273" s="7"/>
      <c r="B273" s="564" t="s">
        <v>701</v>
      </c>
      <c r="C273" s="26"/>
      <c r="D273" s="1005"/>
      <c r="E273" s="27"/>
      <c r="F273" s="1023"/>
      <c r="G273" s="1024"/>
      <c r="H273" s="1025"/>
      <c r="I273" s="30"/>
      <c r="J273" s="1008"/>
      <c r="K273" s="32">
        <f>F253</f>
        <v>2000</v>
      </c>
      <c r="L273" s="1007">
        <f>K273*J273</f>
        <v>0</v>
      </c>
      <c r="M273" s="30"/>
      <c r="N273" s="34">
        <f t="shared" si="23"/>
        <v>0</v>
      </c>
      <c r="O273" s="202"/>
      <c r="P273" s="7"/>
    </row>
    <row r="274" spans="1:16" ht="25.5" x14ac:dyDescent="0.2">
      <c r="A274" s="7"/>
      <c r="B274" s="1026" t="s">
        <v>699</v>
      </c>
      <c r="C274" s="1027"/>
      <c r="D274" s="1027"/>
      <c r="E274" s="1027"/>
      <c r="F274" s="1028"/>
      <c r="G274" s="1029"/>
      <c r="H274" s="1030">
        <f>SUM(H268:H273)</f>
        <v>53.669999999999995</v>
      </c>
      <c r="I274" s="1017"/>
      <c r="J274" s="1029"/>
      <c r="K274" s="1031"/>
      <c r="L274" s="1030">
        <f>SUM(L268:L273)</f>
        <v>59.090000000000011</v>
      </c>
      <c r="M274" s="1017"/>
      <c r="N274" s="1020">
        <f t="shared" si="23"/>
        <v>5.4200000000000159</v>
      </c>
      <c r="O274" s="1021">
        <f t="shared" ref="O274:O298" si="25">IF((H274)=0,"",(N274/H274))</f>
        <v>0.10098751630333551</v>
      </c>
      <c r="P274" s="7"/>
    </row>
    <row r="275" spans="1:16" x14ac:dyDescent="0.2">
      <c r="A275" s="7"/>
      <c r="B275" s="30" t="s">
        <v>32</v>
      </c>
      <c r="C275" s="30"/>
      <c r="D275" s="1032" t="s">
        <v>79</v>
      </c>
      <c r="E275" s="31"/>
      <c r="F275" s="1008">
        <v>6.7999999999999996E-3</v>
      </c>
      <c r="G275" s="667">
        <f>F253*(1+F301)</f>
        <v>2071.2000000000003</v>
      </c>
      <c r="H275" s="1007">
        <f>G275*F275</f>
        <v>14.084160000000001</v>
      </c>
      <c r="I275" s="30"/>
      <c r="J275" s="1008">
        <v>6.3E-3</v>
      </c>
      <c r="K275" s="668">
        <f>F253*(1+J301)</f>
        <v>2084.1081285580303</v>
      </c>
      <c r="L275" s="1007">
        <f>K275*J275</f>
        <v>13.129881209915592</v>
      </c>
      <c r="M275" s="30"/>
      <c r="N275" s="34">
        <f t="shared" si="23"/>
        <v>-0.95427879008440897</v>
      </c>
      <c r="O275" s="202">
        <f t="shared" si="25"/>
        <v>-6.7755463590615905E-2</v>
      </c>
      <c r="P275" s="7"/>
    </row>
    <row r="276" spans="1:16" ht="25.5" x14ac:dyDescent="0.2">
      <c r="A276" s="7"/>
      <c r="B276" s="35" t="s">
        <v>33</v>
      </c>
      <c r="C276" s="30"/>
      <c r="D276" s="1032" t="s">
        <v>79</v>
      </c>
      <c r="E276" s="31"/>
      <c r="F276" s="1008">
        <v>5.7000000000000002E-3</v>
      </c>
      <c r="G276" s="667">
        <f>G275</f>
        <v>2071.2000000000003</v>
      </c>
      <c r="H276" s="1007">
        <f>G276*F276</f>
        <v>11.805840000000002</v>
      </c>
      <c r="I276" s="30"/>
      <c r="J276" s="1008">
        <v>5.4999999999999997E-3</v>
      </c>
      <c r="K276" s="668">
        <f>K275</f>
        <v>2084.1081285580303</v>
      </c>
      <c r="L276" s="1007">
        <f>K276*J276</f>
        <v>11.462594707069167</v>
      </c>
      <c r="M276" s="30"/>
      <c r="N276" s="34">
        <f t="shared" si="23"/>
        <v>-0.34324529293083472</v>
      </c>
      <c r="O276" s="202">
        <f t="shared" si="25"/>
        <v>-2.9074194884128081E-2</v>
      </c>
      <c r="P276" s="7"/>
    </row>
    <row r="277" spans="1:16" ht="25.5" x14ac:dyDescent="0.2">
      <c r="A277" s="7"/>
      <c r="B277" s="1026" t="s">
        <v>700</v>
      </c>
      <c r="C277" s="1012"/>
      <c r="D277" s="1012"/>
      <c r="E277" s="1012"/>
      <c r="F277" s="1033"/>
      <c r="G277" s="1029"/>
      <c r="H277" s="1030">
        <f>SUM(H274:H276)</f>
        <v>79.56</v>
      </c>
      <c r="I277" s="1034"/>
      <c r="J277" s="1035"/>
      <c r="K277" s="1036"/>
      <c r="L277" s="1030">
        <f>SUM(L274:L276)</f>
        <v>83.682475916984771</v>
      </c>
      <c r="M277" s="1034"/>
      <c r="N277" s="1020">
        <f t="shared" si="23"/>
        <v>4.1224759169847687</v>
      </c>
      <c r="O277" s="1021">
        <f t="shared" si="25"/>
        <v>5.1815936613684874E-2</v>
      </c>
      <c r="P277" s="7"/>
    </row>
    <row r="278" spans="1:16" ht="25.5" x14ac:dyDescent="0.2">
      <c r="A278" s="7"/>
      <c r="B278" s="28" t="s">
        <v>34</v>
      </c>
      <c r="C278" s="26"/>
      <c r="D278" s="1005" t="s">
        <v>79</v>
      </c>
      <c r="E278" s="27"/>
      <c r="F278" s="1037">
        <v>5.1999999999999998E-3</v>
      </c>
      <c r="G278" s="667">
        <f>F253*(1+F301)</f>
        <v>2071.2000000000003</v>
      </c>
      <c r="H278" s="1038">
        <f t="shared" ref="H278:H286" si="26">G278*F278</f>
        <v>10.770240000000001</v>
      </c>
      <c r="I278" s="30"/>
      <c r="J278" s="1039">
        <v>5.1999999999999998E-3</v>
      </c>
      <c r="K278" s="668">
        <f>F253*(1+J301)</f>
        <v>2084.1081285580303</v>
      </c>
      <c r="L278" s="1038">
        <f t="shared" ref="L278:L286" si="27">K278*J278</f>
        <v>10.837362268501757</v>
      </c>
      <c r="M278" s="30"/>
      <c r="N278" s="34">
        <f t="shared" si="23"/>
        <v>6.71222685017554E-2</v>
      </c>
      <c r="O278" s="565">
        <f t="shared" si="25"/>
        <v>6.2321980291762669E-3</v>
      </c>
      <c r="P278" s="7"/>
    </row>
    <row r="279" spans="1:16" ht="25.5" x14ac:dyDescent="0.2">
      <c r="A279" s="7"/>
      <c r="B279" s="28" t="s">
        <v>35</v>
      </c>
      <c r="C279" s="26"/>
      <c r="D279" s="1005" t="s">
        <v>79</v>
      </c>
      <c r="E279" s="27"/>
      <c r="F279" s="1037">
        <v>1.1000000000000001E-3</v>
      </c>
      <c r="G279" s="667">
        <f>F253*(1+F301)</f>
        <v>2071.2000000000003</v>
      </c>
      <c r="H279" s="1038">
        <f t="shared" si="26"/>
        <v>2.2783200000000003</v>
      </c>
      <c r="I279" s="30"/>
      <c r="J279" s="1039">
        <v>1.1000000000000001E-3</v>
      </c>
      <c r="K279" s="668">
        <f>F253*(1+J301)</f>
        <v>2084.1081285580303</v>
      </c>
      <c r="L279" s="1038">
        <f t="shared" si="27"/>
        <v>2.2925189414138334</v>
      </c>
      <c r="M279" s="30"/>
      <c r="N279" s="34">
        <f t="shared" si="23"/>
        <v>1.4198941413833044E-2</v>
      </c>
      <c r="O279" s="565">
        <f t="shared" si="25"/>
        <v>6.2321980291763415E-3</v>
      </c>
      <c r="P279" s="7"/>
    </row>
    <row r="280" spans="1:16" x14ac:dyDescent="0.2">
      <c r="A280" s="7"/>
      <c r="B280" s="26" t="s">
        <v>36</v>
      </c>
      <c r="C280" s="26"/>
      <c r="D280" s="1005"/>
      <c r="E280" s="27"/>
      <c r="F280" s="1037"/>
      <c r="G280" s="32">
        <v>1</v>
      </c>
      <c r="H280" s="1038">
        <f t="shared" si="26"/>
        <v>0</v>
      </c>
      <c r="I280" s="30"/>
      <c r="J280" s="1039"/>
      <c r="K280" s="33">
        <v>1</v>
      </c>
      <c r="L280" s="1038">
        <f t="shared" si="27"/>
        <v>0</v>
      </c>
      <c r="M280" s="30"/>
      <c r="N280" s="34">
        <f t="shared" si="23"/>
        <v>0</v>
      </c>
      <c r="O280" s="565" t="str">
        <f t="shared" si="25"/>
        <v/>
      </c>
      <c r="P280" s="7"/>
    </row>
    <row r="281" spans="1:16" x14ac:dyDescent="0.2">
      <c r="A281" s="7"/>
      <c r="B281" s="26" t="s">
        <v>37</v>
      </c>
      <c r="C281" s="26"/>
      <c r="D281" s="1005" t="s">
        <v>79</v>
      </c>
      <c r="E281" s="27"/>
      <c r="F281" s="1037">
        <v>7.0000000000000001E-3</v>
      </c>
      <c r="G281" s="667">
        <f>F253</f>
        <v>2000</v>
      </c>
      <c r="H281" s="1038">
        <f t="shared" si="26"/>
        <v>14</v>
      </c>
      <c r="I281" s="30"/>
      <c r="J281" s="1039">
        <v>7.0000000000000001E-3</v>
      </c>
      <c r="K281" s="668">
        <f>F253</f>
        <v>2000</v>
      </c>
      <c r="L281" s="1038">
        <f t="shared" si="27"/>
        <v>14</v>
      </c>
      <c r="M281" s="30"/>
      <c r="N281" s="34">
        <f t="shared" si="23"/>
        <v>0</v>
      </c>
      <c r="O281" s="565">
        <f t="shared" si="25"/>
        <v>0</v>
      </c>
      <c r="P281" s="7"/>
    </row>
    <row r="282" spans="1:16" x14ac:dyDescent="0.2">
      <c r="A282" s="7"/>
      <c r="B282" s="564" t="s">
        <v>777</v>
      </c>
      <c r="C282" s="26"/>
      <c r="D282" s="1005" t="s">
        <v>79</v>
      </c>
      <c r="E282" s="27"/>
      <c r="F282" s="1040">
        <v>7.4999999999999997E-2</v>
      </c>
      <c r="G282" s="667">
        <f>IF($G$278&gt;=0,0,$G$278)</f>
        <v>0</v>
      </c>
      <c r="H282" s="1038">
        <f>G282*F282</f>
        <v>0</v>
      </c>
      <c r="I282" s="30"/>
      <c r="J282" s="1037">
        <v>7.4999999999999997E-2</v>
      </c>
      <c r="K282" s="667">
        <f>IF($K$278&gt;=0,0,$K$278)</f>
        <v>0</v>
      </c>
      <c r="L282" s="1038">
        <f>K282*J282</f>
        <v>0</v>
      </c>
      <c r="M282" s="30"/>
      <c r="N282" s="34">
        <f t="shared" si="23"/>
        <v>0</v>
      </c>
      <c r="O282" s="565" t="str">
        <f t="shared" si="25"/>
        <v/>
      </c>
      <c r="P282" s="7"/>
    </row>
    <row r="283" spans="1:16" x14ac:dyDescent="0.2">
      <c r="A283" s="7"/>
      <c r="B283" s="564" t="s">
        <v>778</v>
      </c>
      <c r="C283" s="26"/>
      <c r="D283" s="1005" t="s">
        <v>79</v>
      </c>
      <c r="E283" s="27"/>
      <c r="F283" s="1040">
        <v>8.7999999999999995E-2</v>
      </c>
      <c r="G283" s="667">
        <f>IF($G$278&gt;=0,$G$278-0,0)</f>
        <v>2071.2000000000003</v>
      </c>
      <c r="H283" s="1038">
        <f>G283*F283</f>
        <v>182.26560000000001</v>
      </c>
      <c r="I283" s="30"/>
      <c r="J283" s="1037">
        <v>8.7999999999999995E-2</v>
      </c>
      <c r="K283" s="667">
        <f>IF($K$278&gt;=0,$K$278-0,0)</f>
        <v>2084.1081285580303</v>
      </c>
      <c r="L283" s="1038">
        <f>K283*J283</f>
        <v>183.40151531310667</v>
      </c>
      <c r="M283" s="30"/>
      <c r="N283" s="34">
        <f t="shared" si="23"/>
        <v>1.1359153131066648</v>
      </c>
      <c r="O283" s="565">
        <f t="shared" si="25"/>
        <v>6.2321980291764585E-3</v>
      </c>
      <c r="P283" s="7"/>
    </row>
    <row r="284" spans="1:16" x14ac:dyDescent="0.2">
      <c r="A284" s="7"/>
      <c r="B284" s="564" t="s">
        <v>779</v>
      </c>
      <c r="C284" s="26"/>
      <c r="D284" s="1005" t="s">
        <v>79</v>
      </c>
      <c r="E284" s="27"/>
      <c r="F284" s="1040">
        <v>6.5000000000000002E-2</v>
      </c>
      <c r="G284" s="669">
        <f>0.64*$G$278</f>
        <v>1325.5680000000002</v>
      </c>
      <c r="H284" s="1038">
        <f t="shared" si="26"/>
        <v>86.161920000000023</v>
      </c>
      <c r="I284" s="30"/>
      <c r="J284" s="1037">
        <v>6.5000000000000002E-2</v>
      </c>
      <c r="K284" s="1041">
        <f>0.64*$K$278</f>
        <v>1333.8292022771395</v>
      </c>
      <c r="L284" s="1038">
        <f t="shared" si="27"/>
        <v>86.698898148014067</v>
      </c>
      <c r="M284" s="30"/>
      <c r="N284" s="34">
        <f t="shared" si="23"/>
        <v>0.5369781480140432</v>
      </c>
      <c r="O284" s="565">
        <f t="shared" si="25"/>
        <v>6.2321980291762651E-3</v>
      </c>
      <c r="P284" s="7"/>
    </row>
    <row r="285" spans="1:16" x14ac:dyDescent="0.2">
      <c r="A285" s="7"/>
      <c r="B285" s="564" t="s">
        <v>780</v>
      </c>
      <c r="C285" s="26"/>
      <c r="D285" s="1005" t="s">
        <v>79</v>
      </c>
      <c r="E285" s="27"/>
      <c r="F285" s="1040">
        <v>0.1</v>
      </c>
      <c r="G285" s="669">
        <f>0.18*$G$278</f>
        <v>372.81600000000003</v>
      </c>
      <c r="H285" s="1038">
        <f t="shared" si="26"/>
        <v>37.281600000000005</v>
      </c>
      <c r="I285" s="30"/>
      <c r="J285" s="1037">
        <v>0.1</v>
      </c>
      <c r="K285" s="1041">
        <f>0.18*$K$278</f>
        <v>375.13946314044546</v>
      </c>
      <c r="L285" s="1038">
        <f t="shared" si="27"/>
        <v>37.513946314044546</v>
      </c>
      <c r="M285" s="30"/>
      <c r="N285" s="34">
        <f t="shared" si="23"/>
        <v>0.2323463140445412</v>
      </c>
      <c r="O285" s="565">
        <f t="shared" si="25"/>
        <v>6.2321980291763545E-3</v>
      </c>
      <c r="P285" s="7"/>
    </row>
    <row r="286" spans="1:16" ht="13.5" thickBot="1" x14ac:dyDescent="0.25">
      <c r="A286" s="7"/>
      <c r="B286" s="647" t="s">
        <v>781</v>
      </c>
      <c r="C286" s="26"/>
      <c r="D286" s="1005" t="s">
        <v>79</v>
      </c>
      <c r="E286" s="27"/>
      <c r="F286" s="1040">
        <v>0.11700000000000001</v>
      </c>
      <c r="G286" s="669">
        <f>0.18*$G$278</f>
        <v>372.81600000000003</v>
      </c>
      <c r="H286" s="1038">
        <f t="shared" si="26"/>
        <v>43.619472000000009</v>
      </c>
      <c r="I286" s="30"/>
      <c r="J286" s="1037">
        <v>0.11700000000000001</v>
      </c>
      <c r="K286" s="1041">
        <f>0.18*$K$278</f>
        <v>375.13946314044546</v>
      </c>
      <c r="L286" s="1038">
        <f t="shared" si="27"/>
        <v>43.891317187432122</v>
      </c>
      <c r="M286" s="30"/>
      <c r="N286" s="34">
        <f t="shared" si="23"/>
        <v>0.27184518743211328</v>
      </c>
      <c r="O286" s="565">
        <f t="shared" si="25"/>
        <v>6.2321980291763553E-3</v>
      </c>
      <c r="P286" s="7"/>
    </row>
    <row r="287" spans="1:16" ht="13.5" thickBot="1" x14ac:dyDescent="0.25">
      <c r="A287" s="7"/>
      <c r="B287" s="1042"/>
      <c r="C287" s="1043"/>
      <c r="D287" s="1044"/>
      <c r="E287" s="1043"/>
      <c r="F287" s="1045"/>
      <c r="G287" s="1046"/>
      <c r="H287" s="1047"/>
      <c r="I287" s="1048"/>
      <c r="J287" s="1045"/>
      <c r="K287" s="1049"/>
      <c r="L287" s="1047"/>
      <c r="M287" s="1048"/>
      <c r="N287" s="1050"/>
      <c r="O287" s="1051"/>
      <c r="P287" s="7"/>
    </row>
    <row r="288" spans="1:16" x14ac:dyDescent="0.2">
      <c r="A288" s="7"/>
      <c r="B288" s="36" t="s">
        <v>782</v>
      </c>
      <c r="C288" s="26"/>
      <c r="D288" s="26"/>
      <c r="E288" s="26"/>
      <c r="F288" s="662"/>
      <c r="G288" s="652"/>
      <c r="H288" s="656">
        <f>SUM(H277:H283)</f>
        <v>288.87416000000002</v>
      </c>
      <c r="I288" s="660"/>
      <c r="J288" s="661"/>
      <c r="K288" s="661"/>
      <c r="L288" s="655">
        <f>SUM(L277:L283)</f>
        <v>294.21387244000704</v>
      </c>
      <c r="M288" s="654"/>
      <c r="N288" s="659">
        <f t="shared" si="23"/>
        <v>5.3397124400070197</v>
      </c>
      <c r="O288" s="657">
        <f t="shared" si="25"/>
        <v>1.8484562412944858E-2</v>
      </c>
      <c r="P288" s="7"/>
    </row>
    <row r="289" spans="1:16" x14ac:dyDescent="0.2">
      <c r="A289" s="7"/>
      <c r="B289" s="650" t="s">
        <v>38</v>
      </c>
      <c r="C289" s="26"/>
      <c r="D289" s="26"/>
      <c r="E289" s="26"/>
      <c r="F289" s="649">
        <v>0.13</v>
      </c>
      <c r="G289" s="652"/>
      <c r="H289" s="670">
        <f>H288*F289</f>
        <v>37.553640800000004</v>
      </c>
      <c r="I289" s="648"/>
      <c r="J289" s="676">
        <v>0.13</v>
      </c>
      <c r="K289" s="677"/>
      <c r="L289" s="672">
        <f>L288*J289</f>
        <v>38.247803417200913</v>
      </c>
      <c r="M289" s="673"/>
      <c r="N289" s="674">
        <f t="shared" si="23"/>
        <v>0.69416261720090944</v>
      </c>
      <c r="O289" s="675">
        <f t="shared" si="25"/>
        <v>1.8484562412944775E-2</v>
      </c>
      <c r="P289" s="7"/>
    </row>
    <row r="290" spans="1:16" x14ac:dyDescent="0.2">
      <c r="A290" s="7"/>
      <c r="B290" s="651" t="s">
        <v>1139</v>
      </c>
      <c r="C290" s="26"/>
      <c r="D290" s="26"/>
      <c r="E290" s="26"/>
      <c r="F290" s="658"/>
      <c r="G290" s="653"/>
      <c r="H290" s="670">
        <f>H288+H289</f>
        <v>326.4278008</v>
      </c>
      <c r="I290" s="648"/>
      <c r="J290" s="648"/>
      <c r="K290" s="648"/>
      <c r="L290" s="672">
        <f>L288+L289</f>
        <v>332.46167585720798</v>
      </c>
      <c r="M290" s="673"/>
      <c r="N290" s="674">
        <f t="shared" si="23"/>
        <v>6.0338750572079789</v>
      </c>
      <c r="O290" s="675">
        <f t="shared" si="25"/>
        <v>1.8484562412945004E-2</v>
      </c>
      <c r="P290" s="7"/>
    </row>
    <row r="291" spans="1:16" ht="12.75" customHeight="1" x14ac:dyDescent="0.2">
      <c r="A291" s="7"/>
      <c r="B291" s="1626" t="s">
        <v>1140</v>
      </c>
      <c r="C291" s="1626"/>
      <c r="D291" s="1626"/>
      <c r="E291" s="26"/>
      <c r="F291" s="658"/>
      <c r="G291" s="653"/>
      <c r="H291" s="1052">
        <f>ROUND(-H290*10%,2)</f>
        <v>-32.64</v>
      </c>
      <c r="I291" s="648"/>
      <c r="J291" s="648"/>
      <c r="K291" s="648"/>
      <c r="L291" s="1053">
        <f>ROUND(-L290*10%,2)</f>
        <v>-33.25</v>
      </c>
      <c r="M291" s="673"/>
      <c r="N291" s="1054">
        <f t="shared" si="23"/>
        <v>-0.60999999999999943</v>
      </c>
      <c r="O291" s="1055">
        <f t="shared" si="25"/>
        <v>1.8688725490196061E-2</v>
      </c>
      <c r="P291" s="7"/>
    </row>
    <row r="292" spans="1:16" ht="13.5" customHeight="1" thickBot="1" x14ac:dyDescent="0.25">
      <c r="A292" s="7"/>
      <c r="B292" s="1626" t="s">
        <v>785</v>
      </c>
      <c r="C292" s="1626"/>
      <c r="D292" s="1626"/>
      <c r="E292" s="1056"/>
      <c r="F292" s="1057"/>
      <c r="G292" s="1058"/>
      <c r="H292" s="1059">
        <f>SUM(H290:H291)</f>
        <v>293.78780080000001</v>
      </c>
      <c r="I292" s="1060"/>
      <c r="J292" s="1060"/>
      <c r="K292" s="1060"/>
      <c r="L292" s="1061">
        <f>SUM(L290:L291)</f>
        <v>299.21167585720798</v>
      </c>
      <c r="M292" s="1062"/>
      <c r="N292" s="1063">
        <f t="shared" si="23"/>
        <v>5.4238750572079653</v>
      </c>
      <c r="O292" s="1064">
        <f t="shared" si="25"/>
        <v>1.8461879773218837E-2</v>
      </c>
      <c r="P292" s="7"/>
    </row>
    <row r="293" spans="1:16" ht="13.5" thickBot="1" x14ac:dyDescent="0.25">
      <c r="A293" s="7"/>
      <c r="B293" s="1042"/>
      <c r="C293" s="1043"/>
      <c r="D293" s="1044"/>
      <c r="E293" s="1043"/>
      <c r="F293" s="1065"/>
      <c r="G293" s="1066"/>
      <c r="H293" s="1067"/>
      <c r="I293" s="1068"/>
      <c r="J293" s="1065"/>
      <c r="K293" s="1046"/>
      <c r="L293" s="1069"/>
      <c r="M293" s="1048"/>
      <c r="N293" s="1070"/>
      <c r="O293" s="1051"/>
      <c r="P293" s="7"/>
    </row>
    <row r="294" spans="1:16" x14ac:dyDescent="0.2">
      <c r="A294" s="7"/>
      <c r="B294" s="36" t="s">
        <v>783</v>
      </c>
      <c r="C294" s="26"/>
      <c r="D294" s="26"/>
      <c r="E294" s="26"/>
      <c r="F294" s="662"/>
      <c r="G294" s="652"/>
      <c r="H294" s="656">
        <f>SUM(H277:H281,H284:H286)</f>
        <v>273.67155200000002</v>
      </c>
      <c r="I294" s="660"/>
      <c r="J294" s="661"/>
      <c r="K294" s="661"/>
      <c r="L294" s="666">
        <f>SUM(L277:L281,L284:L286)</f>
        <v>278.91651877639106</v>
      </c>
      <c r="M294" s="654"/>
      <c r="N294" s="659">
        <f>L294-H294</f>
        <v>5.2449667763910384</v>
      </c>
      <c r="O294" s="657">
        <f>IF((H294)=0,"",(N294/H294))</f>
        <v>1.9165188117145029E-2</v>
      </c>
      <c r="P294" s="7"/>
    </row>
    <row r="295" spans="1:16" x14ac:dyDescent="0.2">
      <c r="A295" s="7"/>
      <c r="B295" s="650" t="s">
        <v>38</v>
      </c>
      <c r="C295" s="26"/>
      <c r="D295" s="26"/>
      <c r="E295" s="26"/>
      <c r="F295" s="649">
        <v>0.13</v>
      </c>
      <c r="G295" s="653"/>
      <c r="H295" s="670">
        <f>H294*F295</f>
        <v>35.577301760000005</v>
      </c>
      <c r="I295" s="648"/>
      <c r="J295" s="671">
        <v>0.13</v>
      </c>
      <c r="K295" s="648"/>
      <c r="L295" s="672">
        <f>L294*J295</f>
        <v>36.259147440930839</v>
      </c>
      <c r="M295" s="673"/>
      <c r="N295" s="674">
        <f t="shared" si="23"/>
        <v>0.68184568093083442</v>
      </c>
      <c r="O295" s="675">
        <f t="shared" si="25"/>
        <v>1.9165188117145012E-2</v>
      </c>
      <c r="P295" s="7"/>
    </row>
    <row r="296" spans="1:16" x14ac:dyDescent="0.2">
      <c r="A296" s="7"/>
      <c r="B296" s="651" t="s">
        <v>1139</v>
      </c>
      <c r="C296" s="26"/>
      <c r="D296" s="26"/>
      <c r="E296" s="26"/>
      <c r="F296" s="658"/>
      <c r="G296" s="653"/>
      <c r="H296" s="670">
        <f>H294+H295</f>
        <v>309.24885376000003</v>
      </c>
      <c r="I296" s="648"/>
      <c r="J296" s="648"/>
      <c r="K296" s="648"/>
      <c r="L296" s="672">
        <f>L294+L295</f>
        <v>315.17566621732192</v>
      </c>
      <c r="M296" s="673"/>
      <c r="N296" s="674">
        <f t="shared" si="23"/>
        <v>5.926812457321887</v>
      </c>
      <c r="O296" s="675">
        <f t="shared" si="25"/>
        <v>1.9165188117145075E-2</v>
      </c>
      <c r="P296" s="7"/>
    </row>
    <row r="297" spans="1:16" ht="12.75" customHeight="1" x14ac:dyDescent="0.2">
      <c r="A297" s="7"/>
      <c r="B297" s="1626" t="s">
        <v>1140</v>
      </c>
      <c r="C297" s="1626"/>
      <c r="D297" s="1626"/>
      <c r="E297" s="26"/>
      <c r="F297" s="658"/>
      <c r="G297" s="653"/>
      <c r="H297" s="1052">
        <f>ROUND(-H296*10%,2)</f>
        <v>-30.92</v>
      </c>
      <c r="I297" s="648"/>
      <c r="J297" s="648"/>
      <c r="K297" s="648"/>
      <c r="L297" s="1053">
        <f>ROUND(-L296*10%,2)</f>
        <v>-31.52</v>
      </c>
      <c r="M297" s="673"/>
      <c r="N297" s="1054">
        <f t="shared" si="23"/>
        <v>-0.59999999999999787</v>
      </c>
      <c r="O297" s="1055">
        <f t="shared" si="25"/>
        <v>1.9404915912030977E-2</v>
      </c>
      <c r="P297" s="7"/>
    </row>
    <row r="298" spans="1:16" ht="13.5" customHeight="1" thickBot="1" x14ac:dyDescent="0.25">
      <c r="A298" s="7"/>
      <c r="B298" s="1626" t="s">
        <v>784</v>
      </c>
      <c r="C298" s="1626"/>
      <c r="D298" s="1626"/>
      <c r="E298" s="1056"/>
      <c r="F298" s="1071"/>
      <c r="G298" s="1072"/>
      <c r="H298" s="1073">
        <f>H296+H297</f>
        <v>278.32885376000002</v>
      </c>
      <c r="I298" s="1074"/>
      <c r="J298" s="1074"/>
      <c r="K298" s="1074"/>
      <c r="L298" s="1075">
        <f>L296+L297</f>
        <v>283.65566621732194</v>
      </c>
      <c r="M298" s="1076"/>
      <c r="N298" s="1077">
        <f t="shared" si="23"/>
        <v>5.3268124573219211</v>
      </c>
      <c r="O298" s="1078">
        <f t="shared" si="25"/>
        <v>1.9138556370857526E-2</v>
      </c>
      <c r="P298" s="7"/>
    </row>
    <row r="299" spans="1:16" ht="13.5" thickBot="1" x14ac:dyDescent="0.25">
      <c r="A299" s="7"/>
      <c r="B299" s="1042"/>
      <c r="C299" s="1043"/>
      <c r="D299" s="1044"/>
      <c r="E299" s="1043"/>
      <c r="F299" s="1065"/>
      <c r="G299" s="1066"/>
      <c r="H299" s="1067"/>
      <c r="I299" s="1068"/>
      <c r="J299" s="1065"/>
      <c r="K299" s="1046"/>
      <c r="L299" s="1069"/>
      <c r="M299" s="1048"/>
      <c r="N299" s="1070"/>
      <c r="O299" s="1051"/>
      <c r="P299" s="7"/>
    </row>
    <row r="300" spans="1:16" x14ac:dyDescent="0.2">
      <c r="A300" s="7"/>
      <c r="B300" s="7"/>
      <c r="C300" s="7"/>
      <c r="D300" s="7"/>
      <c r="E300" s="7"/>
      <c r="F300" s="7"/>
      <c r="G300" s="7"/>
      <c r="H300" s="7"/>
      <c r="I300" s="7"/>
      <c r="J300" s="7"/>
      <c r="K300" s="7"/>
      <c r="L300" s="678"/>
      <c r="M300" s="7"/>
      <c r="N300" s="7"/>
      <c r="O300" s="7"/>
      <c r="P300" s="7"/>
    </row>
    <row r="301" spans="1:16" x14ac:dyDescent="0.2">
      <c r="A301" s="7"/>
      <c r="B301" s="8" t="s">
        <v>39</v>
      </c>
      <c r="C301" s="7"/>
      <c r="D301" s="7"/>
      <c r="E301" s="7"/>
      <c r="F301" s="1079">
        <v>3.5600000000000076E-2</v>
      </c>
      <c r="G301" s="7"/>
      <c r="H301" s="7"/>
      <c r="I301" s="7"/>
      <c r="J301" s="1079">
        <v>4.2054064279015257E-2</v>
      </c>
      <c r="K301" s="7"/>
      <c r="L301" s="7"/>
      <c r="M301" s="7"/>
      <c r="N301" s="7"/>
      <c r="O301" s="7"/>
      <c r="P301" s="7"/>
    </row>
    <row r="302" spans="1:16" x14ac:dyDescent="0.2">
      <c r="A302" s="7"/>
      <c r="B302" s="7"/>
      <c r="C302" s="7"/>
      <c r="D302" s="7"/>
      <c r="E302" s="7"/>
      <c r="F302" s="7"/>
      <c r="G302" s="7"/>
      <c r="H302" s="7"/>
      <c r="I302" s="7"/>
      <c r="J302" s="7"/>
      <c r="K302" s="7"/>
      <c r="L302" s="7"/>
      <c r="M302" s="7"/>
      <c r="N302" s="7"/>
      <c r="O302" s="7"/>
      <c r="P302" s="7"/>
    </row>
    <row r="303" spans="1:16" ht="14.25" x14ac:dyDescent="0.2">
      <c r="A303" s="214" t="s">
        <v>1141</v>
      </c>
      <c r="B303" s="7"/>
      <c r="C303" s="7"/>
      <c r="D303" s="7"/>
      <c r="E303" s="7"/>
      <c r="F303" s="7"/>
      <c r="G303" s="7"/>
      <c r="H303" s="7"/>
      <c r="I303" s="7"/>
      <c r="J303" s="7"/>
      <c r="K303" s="7"/>
      <c r="L303" s="7"/>
      <c r="M303" s="7"/>
      <c r="N303" s="7"/>
      <c r="O303" s="7"/>
      <c r="P303" s="7"/>
    </row>
    <row r="304" spans="1:16" x14ac:dyDescent="0.2">
      <c r="A304" s="7"/>
      <c r="B304" s="7"/>
      <c r="C304" s="7"/>
      <c r="D304" s="7"/>
      <c r="E304" s="7"/>
      <c r="F304" s="7"/>
      <c r="G304" s="7"/>
      <c r="H304" s="7"/>
      <c r="I304" s="7"/>
      <c r="J304" s="7"/>
      <c r="K304" s="7"/>
      <c r="L304" s="7"/>
      <c r="M304" s="7"/>
      <c r="N304" s="7"/>
      <c r="O304" s="7"/>
      <c r="P304" s="7"/>
    </row>
    <row r="305" spans="1:16" x14ac:dyDescent="0.2">
      <c r="A305" s="7" t="s">
        <v>107</v>
      </c>
      <c r="B305" s="7"/>
      <c r="C305" s="7"/>
      <c r="D305" s="7"/>
      <c r="E305" s="7"/>
      <c r="F305" s="7"/>
      <c r="G305" s="7"/>
      <c r="H305" s="7"/>
      <c r="I305" s="7"/>
      <c r="J305" s="7"/>
      <c r="K305" s="7"/>
      <c r="L305" s="7"/>
      <c r="M305" s="7"/>
      <c r="N305" s="7"/>
      <c r="O305" s="7"/>
      <c r="P305" s="7"/>
    </row>
    <row r="306" spans="1:16" x14ac:dyDescent="0.2">
      <c r="A306" s="7" t="s">
        <v>108</v>
      </c>
      <c r="B306" s="7"/>
      <c r="C306" s="7"/>
      <c r="D306" s="7"/>
      <c r="E306" s="7"/>
      <c r="F306" s="7"/>
      <c r="G306" s="7"/>
      <c r="H306" s="7"/>
      <c r="I306" s="7"/>
      <c r="J306" s="7"/>
      <c r="K306" s="7"/>
      <c r="L306" s="7"/>
      <c r="M306" s="7"/>
      <c r="N306" s="7"/>
      <c r="O306" s="7"/>
      <c r="P306" s="7"/>
    </row>
    <row r="307" spans="1:16" x14ac:dyDescent="0.2">
      <c r="A307" s="7"/>
      <c r="B307" s="7"/>
      <c r="C307" s="7"/>
      <c r="D307" s="7"/>
      <c r="E307" s="7"/>
      <c r="F307" s="7"/>
      <c r="G307" s="7"/>
      <c r="H307" s="7"/>
      <c r="I307" s="7"/>
      <c r="J307" s="7"/>
      <c r="K307" s="7"/>
      <c r="L307" s="7"/>
      <c r="M307" s="7"/>
      <c r="N307" s="7"/>
      <c r="O307" s="7"/>
      <c r="P307" s="7"/>
    </row>
    <row r="308" spans="1:16" x14ac:dyDescent="0.2">
      <c r="A308" s="7" t="s">
        <v>331</v>
      </c>
      <c r="B308" s="7"/>
      <c r="C308" s="7"/>
      <c r="D308" s="7"/>
      <c r="E308" s="7"/>
      <c r="F308" s="7"/>
      <c r="G308" s="7"/>
      <c r="H308" s="7"/>
      <c r="I308" s="7"/>
      <c r="J308" s="7"/>
      <c r="K308" s="7"/>
      <c r="L308" s="7"/>
      <c r="M308" s="7"/>
      <c r="N308" s="7"/>
      <c r="O308" s="7"/>
      <c r="P308" s="7"/>
    </row>
    <row r="309" spans="1:16" x14ac:dyDescent="0.2">
      <c r="A309" s="7" t="s">
        <v>109</v>
      </c>
      <c r="B309" s="7"/>
      <c r="C309" s="7"/>
      <c r="D309" s="7"/>
      <c r="E309" s="7"/>
      <c r="F309" s="7"/>
      <c r="G309" s="7"/>
      <c r="H309" s="7"/>
      <c r="I309" s="7"/>
      <c r="J309" s="7"/>
      <c r="K309" s="7"/>
      <c r="L309" s="7"/>
      <c r="M309" s="7"/>
      <c r="N309" s="7"/>
      <c r="O309" s="7"/>
      <c r="P309" s="7"/>
    </row>
    <row r="310" spans="1:16" x14ac:dyDescent="0.2">
      <c r="A310" s="7"/>
      <c r="B310" s="7"/>
      <c r="C310" s="7"/>
      <c r="D310" s="7"/>
      <c r="E310" s="7"/>
      <c r="F310" s="7"/>
      <c r="G310" s="7"/>
      <c r="H310" s="7"/>
      <c r="I310" s="7"/>
      <c r="J310" s="7"/>
      <c r="K310" s="7"/>
      <c r="L310" s="7"/>
      <c r="M310" s="7"/>
      <c r="N310" s="7"/>
      <c r="O310" s="7"/>
      <c r="P310" s="7"/>
    </row>
    <row r="311" spans="1:16" x14ac:dyDescent="0.2">
      <c r="A311" s="7" t="s">
        <v>110</v>
      </c>
      <c r="B311" s="7"/>
      <c r="C311" s="7"/>
      <c r="D311" s="7"/>
      <c r="E311" s="7"/>
      <c r="F311" s="7"/>
      <c r="G311" s="7"/>
      <c r="H311" s="7"/>
      <c r="I311" s="7"/>
      <c r="J311" s="7"/>
      <c r="K311" s="7"/>
      <c r="L311" s="7"/>
      <c r="M311" s="7"/>
      <c r="N311" s="7"/>
      <c r="O311" s="7"/>
      <c r="P311" s="7"/>
    </row>
    <row r="312" spans="1:16" x14ac:dyDescent="0.2">
      <c r="A312" s="7" t="s">
        <v>111</v>
      </c>
      <c r="B312" s="7"/>
      <c r="C312" s="7"/>
      <c r="D312" s="7"/>
      <c r="E312" s="7"/>
      <c r="F312" s="7"/>
      <c r="G312" s="7"/>
      <c r="H312" s="7"/>
      <c r="I312" s="7"/>
      <c r="J312" s="7"/>
      <c r="K312" s="7"/>
      <c r="L312" s="7"/>
      <c r="M312" s="7"/>
      <c r="N312" s="7"/>
      <c r="O312" s="7"/>
      <c r="P312" s="7"/>
    </row>
    <row r="313" spans="1:16" x14ac:dyDescent="0.2">
      <c r="A313" s="7" t="s">
        <v>112</v>
      </c>
      <c r="B313" s="7"/>
      <c r="C313" s="7"/>
      <c r="D313" s="7"/>
      <c r="E313" s="7"/>
      <c r="F313" s="7"/>
      <c r="G313" s="7"/>
      <c r="H313" s="7"/>
      <c r="I313" s="7"/>
      <c r="J313" s="7"/>
      <c r="K313" s="7"/>
      <c r="L313" s="7"/>
      <c r="M313" s="7"/>
      <c r="N313" s="7"/>
      <c r="O313" s="7"/>
      <c r="P313" s="7"/>
    </row>
    <row r="314" spans="1:16" x14ac:dyDescent="0.2">
      <c r="A314" s="7" t="s">
        <v>113</v>
      </c>
      <c r="B314" s="7"/>
      <c r="C314" s="7"/>
      <c r="D314" s="7"/>
      <c r="E314" s="7"/>
      <c r="F314" s="7"/>
      <c r="G314" s="7"/>
      <c r="H314" s="7"/>
      <c r="I314" s="7"/>
      <c r="J314" s="7"/>
      <c r="K314" s="7"/>
      <c r="L314" s="7"/>
      <c r="M314" s="7"/>
      <c r="N314" s="7"/>
      <c r="O314" s="7"/>
      <c r="P314" s="7"/>
    </row>
    <row r="315" spans="1:16" x14ac:dyDescent="0.2">
      <c r="A315" s="7" t="s">
        <v>114</v>
      </c>
      <c r="B315" s="7"/>
      <c r="C315" s="7"/>
      <c r="D315" s="7"/>
      <c r="E315" s="7"/>
      <c r="F315" s="7"/>
      <c r="G315" s="7"/>
      <c r="H315" s="7"/>
      <c r="I315" s="7"/>
      <c r="J315" s="7"/>
      <c r="K315" s="7"/>
      <c r="L315" s="7"/>
      <c r="M315" s="7"/>
      <c r="N315" s="7"/>
      <c r="O315" s="7"/>
      <c r="P315" s="7"/>
    </row>
    <row r="317" spans="1:16" ht="21.75" x14ac:dyDescent="0.2">
      <c r="A317" s="41"/>
      <c r="B317" s="41"/>
      <c r="C317" s="41"/>
      <c r="D317" s="41"/>
      <c r="E317" s="41"/>
      <c r="F317" s="41"/>
      <c r="G317" s="41"/>
      <c r="H317" s="41"/>
      <c r="I317" s="41"/>
      <c r="J317" s="41"/>
      <c r="K317" s="41"/>
      <c r="L317" s="37"/>
      <c r="M317" s="37"/>
      <c r="N317" s="16" t="s">
        <v>444</v>
      </c>
      <c r="O317" s="250" t="s">
        <v>866</v>
      </c>
    </row>
    <row r="318" spans="1:16" ht="18" x14ac:dyDescent="0.25">
      <c r="A318" s="40"/>
      <c r="B318" s="40"/>
      <c r="C318" s="40"/>
      <c r="D318" s="40"/>
      <c r="E318" s="40"/>
      <c r="F318" s="40"/>
      <c r="G318" s="40"/>
      <c r="H318" s="40"/>
      <c r="I318" s="40"/>
      <c r="J318" s="40"/>
      <c r="K318" s="40"/>
      <c r="L318" s="37"/>
      <c r="M318" s="37"/>
      <c r="N318" s="16" t="s">
        <v>445</v>
      </c>
      <c r="O318" s="1001"/>
    </row>
    <row r="319" spans="1:16" x14ac:dyDescent="0.2">
      <c r="A319" s="1626"/>
      <c r="B319" s="1626"/>
      <c r="C319" s="1626"/>
      <c r="D319" s="1626"/>
      <c r="E319" s="1626"/>
      <c r="F319" s="1626"/>
      <c r="G319" s="1626"/>
      <c r="H319" s="1626"/>
      <c r="I319" s="1626"/>
      <c r="J319" s="1626"/>
      <c r="K319" s="1626"/>
      <c r="L319" s="37"/>
      <c r="M319" s="37"/>
      <c r="N319" s="16" t="s">
        <v>446</v>
      </c>
      <c r="O319" s="1001"/>
    </row>
    <row r="320" spans="1:16" ht="18" x14ac:dyDescent="0.25">
      <c r="A320" s="40"/>
      <c r="B320" s="40"/>
      <c r="C320" s="40"/>
      <c r="D320" s="40"/>
      <c r="E320" s="40"/>
      <c r="F320" s="40"/>
      <c r="G320" s="40"/>
      <c r="H320" s="40"/>
      <c r="I320" s="38"/>
      <c r="J320" s="38"/>
      <c r="K320" s="38"/>
      <c r="L320" s="37"/>
      <c r="M320" s="37"/>
      <c r="N320" s="16" t="s">
        <v>447</v>
      </c>
      <c r="O320" s="1001"/>
    </row>
    <row r="321" spans="1:16" ht="15.75" x14ac:dyDescent="0.25">
      <c r="A321" s="37"/>
      <c r="B321" s="37"/>
      <c r="C321" s="39"/>
      <c r="D321" s="39"/>
      <c r="E321" s="39"/>
      <c r="F321" s="37"/>
      <c r="G321" s="37"/>
      <c r="H321" s="37"/>
      <c r="I321" s="37"/>
      <c r="J321" s="37"/>
      <c r="K321" s="37"/>
      <c r="L321" s="37"/>
      <c r="M321" s="37"/>
      <c r="N321" s="16" t="s">
        <v>448</v>
      </c>
      <c r="O321" s="1002" t="s">
        <v>1145</v>
      </c>
    </row>
    <row r="322" spans="1:16" x14ac:dyDescent="0.2">
      <c r="A322" s="37"/>
      <c r="B322" s="37"/>
      <c r="C322" s="37"/>
      <c r="D322" s="37"/>
      <c r="E322" s="37"/>
      <c r="F322" s="37"/>
      <c r="G322" s="37"/>
      <c r="H322" s="37"/>
      <c r="I322" s="37"/>
      <c r="J322" s="37"/>
      <c r="K322" s="37"/>
      <c r="L322" s="37"/>
      <c r="M322" s="37"/>
      <c r="N322" s="16"/>
      <c r="O322" s="250"/>
    </row>
    <row r="323" spans="1:16" x14ac:dyDescent="0.2">
      <c r="A323" s="37"/>
      <c r="B323" s="37"/>
      <c r="C323" s="37"/>
      <c r="D323" s="37"/>
      <c r="E323" s="37"/>
      <c r="F323" s="37"/>
      <c r="G323" s="37"/>
      <c r="H323" s="37"/>
      <c r="I323" s="37"/>
      <c r="J323" s="37"/>
      <c r="K323" s="37"/>
      <c r="L323" s="37"/>
      <c r="M323" s="37"/>
      <c r="N323" s="16" t="s">
        <v>449</v>
      </c>
      <c r="O323" s="1002"/>
    </row>
    <row r="324" spans="1:16" x14ac:dyDescent="0.2">
      <c r="A324" s="37"/>
      <c r="B324" s="37"/>
      <c r="C324" s="37"/>
      <c r="D324" s="37"/>
      <c r="E324" s="37"/>
      <c r="F324" s="37"/>
      <c r="G324" s="37"/>
      <c r="H324" s="37"/>
      <c r="I324" s="37"/>
      <c r="J324" s="37"/>
      <c r="K324" s="37"/>
      <c r="L324" s="37"/>
      <c r="M324" s="37"/>
      <c r="N324" s="7"/>
    </row>
    <row r="325" spans="1:16" x14ac:dyDescent="0.2">
      <c r="A325" s="7"/>
      <c r="B325" s="7"/>
      <c r="C325" s="7"/>
      <c r="D325" s="7"/>
      <c r="E325" s="7"/>
      <c r="F325" s="7"/>
      <c r="G325" s="7"/>
      <c r="H325" s="7"/>
      <c r="I325" s="7"/>
      <c r="J325" s="7"/>
      <c r="K325" s="7"/>
    </row>
    <row r="326" spans="1:16" x14ac:dyDescent="0.2">
      <c r="A326" s="7"/>
      <c r="B326" s="1626" t="s">
        <v>695</v>
      </c>
      <c r="C326" s="1626"/>
      <c r="D326" s="1626"/>
      <c r="E326" s="1626"/>
      <c r="F326" s="1626"/>
      <c r="G326" s="1626"/>
      <c r="H326" s="1626"/>
      <c r="I326" s="1626"/>
      <c r="J326" s="1626"/>
      <c r="K326" s="1626"/>
      <c r="L326" s="1626"/>
      <c r="M326" s="1626"/>
      <c r="N326" s="1626"/>
      <c r="O326" s="1626"/>
    </row>
    <row r="327" spans="1:16" x14ac:dyDescent="0.2">
      <c r="A327" s="7"/>
      <c r="B327" s="1626" t="s">
        <v>63</v>
      </c>
      <c r="C327" s="1626"/>
      <c r="D327" s="1626"/>
      <c r="E327" s="1626"/>
      <c r="F327" s="1626"/>
      <c r="G327" s="1626"/>
      <c r="H327" s="1626"/>
      <c r="I327" s="1626"/>
      <c r="J327" s="1626"/>
      <c r="K327" s="1626"/>
      <c r="L327" s="1626"/>
      <c r="M327" s="1626"/>
      <c r="N327" s="1626"/>
      <c r="O327" s="1626"/>
    </row>
    <row r="328" spans="1:16" x14ac:dyDescent="0.2">
      <c r="A328" s="7"/>
      <c r="B328" s="7"/>
      <c r="C328" s="7"/>
      <c r="D328" s="7"/>
      <c r="E328" s="7"/>
      <c r="F328" s="7"/>
      <c r="G328" s="7"/>
      <c r="H328" s="7"/>
      <c r="I328" s="7"/>
      <c r="J328" s="7"/>
      <c r="K328" s="7"/>
    </row>
    <row r="329" spans="1:16" x14ac:dyDescent="0.2">
      <c r="A329" s="7"/>
      <c r="B329" s="7"/>
      <c r="C329" s="7"/>
      <c r="D329" s="7"/>
      <c r="E329" s="7"/>
      <c r="F329" s="7"/>
      <c r="G329" s="7"/>
      <c r="H329" s="7"/>
      <c r="I329" s="7"/>
      <c r="J329" s="7"/>
      <c r="K329" s="7"/>
    </row>
    <row r="330" spans="1:16" x14ac:dyDescent="0.2">
      <c r="A330" s="7"/>
      <c r="B330" s="43" t="s">
        <v>40</v>
      </c>
      <c r="C330" s="7"/>
      <c r="D330" s="1626" t="s">
        <v>1146</v>
      </c>
      <c r="E330" s="1626"/>
      <c r="F330" s="1626"/>
      <c r="G330" s="1626"/>
      <c r="H330" s="1626"/>
      <c r="I330" s="1626"/>
      <c r="J330" s="1626"/>
      <c r="K330" s="1626"/>
      <c r="L330" s="1626"/>
      <c r="M330" s="1626"/>
      <c r="N330" s="1626"/>
      <c r="O330" s="1626"/>
      <c r="P330" s="7"/>
    </row>
    <row r="331" spans="1:16" ht="15.75" x14ac:dyDescent="0.25">
      <c r="A331" s="7"/>
      <c r="B331" s="1003"/>
      <c r="C331" s="7"/>
      <c r="D331" s="42"/>
      <c r="E331" s="42"/>
      <c r="F331" s="42"/>
      <c r="G331" s="42"/>
      <c r="H331" s="42"/>
      <c r="I331" s="42"/>
      <c r="J331" s="42"/>
      <c r="K331" s="42"/>
      <c r="L331" s="42"/>
      <c r="M331" s="42"/>
      <c r="N331" s="42"/>
      <c r="O331" s="42"/>
      <c r="P331" s="7"/>
    </row>
    <row r="332" spans="1:16" x14ac:dyDescent="0.2">
      <c r="A332" s="7"/>
      <c r="B332" s="647"/>
      <c r="C332" s="7"/>
      <c r="D332" s="8" t="s">
        <v>17</v>
      </c>
      <c r="E332" s="8"/>
      <c r="F332" s="1004">
        <v>1000</v>
      </c>
      <c r="G332" s="8" t="s">
        <v>18</v>
      </c>
      <c r="H332" s="7"/>
      <c r="I332" s="7"/>
      <c r="J332" s="7"/>
      <c r="K332" s="7"/>
      <c r="L332" s="7"/>
      <c r="M332" s="7"/>
      <c r="N332" s="7"/>
      <c r="O332" s="7"/>
      <c r="P332" s="7"/>
    </row>
    <row r="333" spans="1:16" x14ac:dyDescent="0.2">
      <c r="A333" s="7"/>
      <c r="B333" s="647"/>
      <c r="C333" s="7"/>
      <c r="D333" s="7"/>
      <c r="E333" s="7"/>
      <c r="F333" s="7"/>
      <c r="G333" s="7"/>
      <c r="H333" s="7"/>
      <c r="I333" s="7"/>
      <c r="J333" s="7"/>
      <c r="K333" s="7"/>
      <c r="L333" s="7"/>
      <c r="M333" s="7"/>
      <c r="N333" s="7"/>
      <c r="O333" s="7"/>
      <c r="P333" s="7"/>
    </row>
    <row r="334" spans="1:16" x14ac:dyDescent="0.2">
      <c r="A334" s="7"/>
      <c r="B334" s="647"/>
      <c r="C334" s="7"/>
      <c r="D334" s="19"/>
      <c r="E334" s="19"/>
      <c r="F334" s="1626" t="s">
        <v>19</v>
      </c>
      <c r="G334" s="1626"/>
      <c r="H334" s="1626"/>
      <c r="I334" s="7"/>
      <c r="J334" s="1626" t="s">
        <v>20</v>
      </c>
      <c r="K334" s="1626"/>
      <c r="L334" s="1626"/>
      <c r="M334" s="7"/>
      <c r="N334" s="1626" t="s">
        <v>21</v>
      </c>
      <c r="O334" s="1626"/>
      <c r="P334" s="7"/>
    </row>
    <row r="335" spans="1:16" ht="12.75" customHeight="1" x14ac:dyDescent="0.2">
      <c r="A335" s="7"/>
      <c r="B335" s="647"/>
      <c r="C335" s="7"/>
      <c r="D335" s="1626" t="s">
        <v>22</v>
      </c>
      <c r="E335" s="20"/>
      <c r="F335" s="21" t="s">
        <v>23</v>
      </c>
      <c r="G335" s="21" t="s">
        <v>24</v>
      </c>
      <c r="H335" s="22" t="s">
        <v>25</v>
      </c>
      <c r="I335" s="7"/>
      <c r="J335" s="21" t="s">
        <v>23</v>
      </c>
      <c r="K335" s="23" t="s">
        <v>24</v>
      </c>
      <c r="L335" s="22" t="s">
        <v>25</v>
      </c>
      <c r="M335" s="7"/>
      <c r="N335" s="1626" t="s">
        <v>26</v>
      </c>
      <c r="O335" s="1626" t="s">
        <v>27</v>
      </c>
      <c r="P335" s="7"/>
    </row>
    <row r="336" spans="1:16" x14ac:dyDescent="0.2">
      <c r="A336" s="7"/>
      <c r="B336" s="647"/>
      <c r="C336" s="7"/>
      <c r="D336" s="1626"/>
      <c r="E336" s="20"/>
      <c r="F336" s="24" t="s">
        <v>452</v>
      </c>
      <c r="G336" s="24"/>
      <c r="H336" s="25" t="s">
        <v>452</v>
      </c>
      <c r="I336" s="7"/>
      <c r="J336" s="24" t="s">
        <v>452</v>
      </c>
      <c r="K336" s="25"/>
      <c r="L336" s="25" t="s">
        <v>452</v>
      </c>
      <c r="M336" s="7"/>
      <c r="N336" s="1626"/>
      <c r="O336" s="1626"/>
      <c r="P336" s="7"/>
    </row>
    <row r="337" spans="1:16" x14ac:dyDescent="0.2">
      <c r="A337" s="7"/>
      <c r="B337" s="26" t="s">
        <v>28</v>
      </c>
      <c r="C337" s="26"/>
      <c r="D337" s="1005" t="s">
        <v>1130</v>
      </c>
      <c r="E337" s="27"/>
      <c r="F337" s="1006">
        <v>23.71</v>
      </c>
      <c r="G337" s="32">
        <v>1</v>
      </c>
      <c r="H337" s="1007">
        <f>G337*F337</f>
        <v>23.71</v>
      </c>
      <c r="I337" s="30"/>
      <c r="J337" s="1008">
        <v>28.16</v>
      </c>
      <c r="K337" s="33">
        <v>1</v>
      </c>
      <c r="L337" s="1007">
        <f>K337*J337</f>
        <v>28.16</v>
      </c>
      <c r="M337" s="30"/>
      <c r="N337" s="34">
        <f>L337-H337</f>
        <v>4.4499999999999993</v>
      </c>
      <c r="O337" s="202">
        <f>IF((H337)=0,"",(N337/H337))</f>
        <v>0.1876845212990299</v>
      </c>
      <c r="P337" s="7"/>
    </row>
    <row r="338" spans="1:16" x14ac:dyDescent="0.2">
      <c r="A338" s="7"/>
      <c r="B338" s="26" t="s">
        <v>29</v>
      </c>
      <c r="C338" s="26"/>
      <c r="D338" s="1005" t="s">
        <v>1130</v>
      </c>
      <c r="E338" s="27"/>
      <c r="F338" s="1006">
        <v>6.06</v>
      </c>
      <c r="G338" s="32">
        <v>1</v>
      </c>
      <c r="H338" s="1007">
        <f t="shared" ref="H338:H346" si="28">G338*F338</f>
        <v>6.06</v>
      </c>
      <c r="I338" s="30"/>
      <c r="J338" s="1008">
        <v>6.06</v>
      </c>
      <c r="K338" s="33">
        <v>1</v>
      </c>
      <c r="L338" s="1007">
        <f>K338*J338</f>
        <v>6.06</v>
      </c>
      <c r="M338" s="30"/>
      <c r="N338" s="34">
        <f>L338-H338</f>
        <v>0</v>
      </c>
      <c r="O338" s="202">
        <f>IF((H338)=0,"",(N338/H338))</f>
        <v>0</v>
      </c>
      <c r="P338" s="7"/>
    </row>
    <row r="339" spans="1:16" x14ac:dyDescent="0.2">
      <c r="A339" s="7"/>
      <c r="B339" s="1009" t="s">
        <v>1131</v>
      </c>
      <c r="C339" s="26"/>
      <c r="D339" s="1005" t="s">
        <v>79</v>
      </c>
      <c r="E339" s="27"/>
      <c r="F339" s="1006">
        <v>-2.9999999999999997E-4</v>
      </c>
      <c r="G339" s="32">
        <f>F332</f>
        <v>1000</v>
      </c>
      <c r="H339" s="1007">
        <f t="shared" si="28"/>
        <v>-0.3</v>
      </c>
      <c r="I339" s="30"/>
      <c r="J339" s="1008">
        <v>0</v>
      </c>
      <c r="K339" s="33">
        <f>F332</f>
        <v>1000</v>
      </c>
      <c r="L339" s="1007">
        <f t="shared" ref="L339:L346" si="29">K339*J339</f>
        <v>0</v>
      </c>
      <c r="M339" s="30"/>
      <c r="N339" s="34">
        <f t="shared" ref="N339:N377" si="30">L339-H339</f>
        <v>0.3</v>
      </c>
      <c r="O339" s="202">
        <f t="shared" ref="O339:O347" si="31">IF((H339)=0,"",(N339/H339))</f>
        <v>-1</v>
      </c>
      <c r="P339" s="7"/>
    </row>
    <row r="340" spans="1:16" x14ac:dyDescent="0.2">
      <c r="A340" s="7"/>
      <c r="B340" s="1009" t="s">
        <v>36</v>
      </c>
      <c r="C340" s="26"/>
      <c r="D340" s="1005" t="s">
        <v>1130</v>
      </c>
      <c r="E340" s="27"/>
      <c r="F340" s="1006">
        <v>0.25</v>
      </c>
      <c r="G340" s="32">
        <v>1</v>
      </c>
      <c r="H340" s="1007">
        <f t="shared" si="28"/>
        <v>0.25</v>
      </c>
      <c r="I340" s="30"/>
      <c r="J340" s="1008">
        <v>0.25</v>
      </c>
      <c r="K340" s="33">
        <v>1</v>
      </c>
      <c r="L340" s="1007">
        <f t="shared" si="29"/>
        <v>0.25</v>
      </c>
      <c r="M340" s="30"/>
      <c r="N340" s="34">
        <f t="shared" si="30"/>
        <v>0</v>
      </c>
      <c r="O340" s="202">
        <f t="shared" si="31"/>
        <v>0</v>
      </c>
      <c r="P340" s="7"/>
    </row>
    <row r="341" spans="1:16" x14ac:dyDescent="0.2">
      <c r="A341" s="7"/>
      <c r="B341" s="26" t="s">
        <v>30</v>
      </c>
      <c r="C341" s="26"/>
      <c r="D341" s="1005" t="s">
        <v>79</v>
      </c>
      <c r="E341" s="27"/>
      <c r="F341" s="1006">
        <v>1.66E-2</v>
      </c>
      <c r="G341" s="32">
        <f>F332</f>
        <v>1000</v>
      </c>
      <c r="H341" s="1007">
        <f t="shared" si="28"/>
        <v>16.600000000000001</v>
      </c>
      <c r="I341" s="30"/>
      <c r="J341" s="1008">
        <v>1.9699999999999999E-2</v>
      </c>
      <c r="K341" s="32">
        <f>F332</f>
        <v>1000</v>
      </c>
      <c r="L341" s="1007">
        <f t="shared" si="29"/>
        <v>19.7</v>
      </c>
      <c r="M341" s="30"/>
      <c r="N341" s="34">
        <f t="shared" si="30"/>
        <v>3.0999999999999979</v>
      </c>
      <c r="O341" s="202">
        <f t="shared" si="31"/>
        <v>0.18674698795180708</v>
      </c>
      <c r="P341" s="7"/>
    </row>
    <row r="342" spans="1:16" x14ac:dyDescent="0.2">
      <c r="A342" s="7"/>
      <c r="B342" s="26" t="s">
        <v>31</v>
      </c>
      <c r="C342" s="26"/>
      <c r="D342" s="1005"/>
      <c r="E342" s="27"/>
      <c r="F342" s="1006"/>
      <c r="G342" s="32"/>
      <c r="H342" s="1007">
        <f t="shared" si="28"/>
        <v>0</v>
      </c>
      <c r="I342" s="30"/>
      <c r="J342" s="1008"/>
      <c r="K342" s="32"/>
      <c r="L342" s="1007">
        <f t="shared" si="29"/>
        <v>0</v>
      </c>
      <c r="M342" s="30"/>
      <c r="N342" s="34">
        <f t="shared" si="30"/>
        <v>0</v>
      </c>
      <c r="O342" s="202" t="str">
        <f t="shared" si="31"/>
        <v/>
      </c>
      <c r="P342" s="7"/>
    </row>
    <row r="343" spans="1:16" x14ac:dyDescent="0.2">
      <c r="A343" s="7"/>
      <c r="B343" s="26" t="s">
        <v>1132</v>
      </c>
      <c r="C343" s="26"/>
      <c r="D343" s="1005" t="s">
        <v>80</v>
      </c>
      <c r="E343" s="27"/>
      <c r="F343" s="1006">
        <v>1E-4</v>
      </c>
      <c r="G343" s="32">
        <f>F332</f>
        <v>1000</v>
      </c>
      <c r="H343" s="1007">
        <f t="shared" si="28"/>
        <v>0.1</v>
      </c>
      <c r="I343" s="30"/>
      <c r="J343" s="1008">
        <v>0</v>
      </c>
      <c r="K343" s="32">
        <f>F332</f>
        <v>1000</v>
      </c>
      <c r="L343" s="1007">
        <f t="shared" si="29"/>
        <v>0</v>
      </c>
      <c r="M343" s="30"/>
      <c r="N343" s="34">
        <f t="shared" si="30"/>
        <v>-0.1</v>
      </c>
      <c r="O343" s="202">
        <f t="shared" si="31"/>
        <v>-1</v>
      </c>
      <c r="P343" s="7"/>
    </row>
    <row r="344" spans="1:16" x14ac:dyDescent="0.2">
      <c r="A344" s="7"/>
      <c r="B344" s="26" t="s">
        <v>1133</v>
      </c>
      <c r="C344" s="26"/>
      <c r="D344" s="1005" t="s">
        <v>80</v>
      </c>
      <c r="E344" s="27"/>
      <c r="F344" s="1006">
        <v>2.0000000000000001E-4</v>
      </c>
      <c r="G344" s="32">
        <f>F332</f>
        <v>1000</v>
      </c>
      <c r="H344" s="1007">
        <f t="shared" si="28"/>
        <v>0.2</v>
      </c>
      <c r="I344" s="30"/>
      <c r="J344" s="1008">
        <v>2.0000000000000001E-4</v>
      </c>
      <c r="K344" s="32">
        <f>F332</f>
        <v>1000</v>
      </c>
      <c r="L344" s="1007">
        <f t="shared" si="29"/>
        <v>0.2</v>
      </c>
      <c r="M344" s="30"/>
      <c r="N344" s="34">
        <f t="shared" si="30"/>
        <v>0</v>
      </c>
      <c r="O344" s="202">
        <f t="shared" si="31"/>
        <v>0</v>
      </c>
      <c r="P344" s="7"/>
    </row>
    <row r="345" spans="1:16" x14ac:dyDescent="0.2">
      <c r="A345" s="7"/>
      <c r="B345" s="26" t="s">
        <v>1134</v>
      </c>
      <c r="C345" s="26"/>
      <c r="D345" s="1005" t="s">
        <v>80</v>
      </c>
      <c r="E345" s="27"/>
      <c r="F345" s="1006">
        <v>0</v>
      </c>
      <c r="G345" s="32">
        <f>F332</f>
        <v>1000</v>
      </c>
      <c r="H345" s="1007">
        <f t="shared" si="28"/>
        <v>0</v>
      </c>
      <c r="I345" s="30"/>
      <c r="J345" s="1008">
        <v>2.9999999999999997E-4</v>
      </c>
      <c r="K345" s="32">
        <f>F332</f>
        <v>1000</v>
      </c>
      <c r="L345" s="1007">
        <f t="shared" si="29"/>
        <v>0.3</v>
      </c>
      <c r="M345" s="30"/>
      <c r="N345" s="34">
        <f t="shared" si="30"/>
        <v>0.3</v>
      </c>
      <c r="O345" s="202" t="str">
        <f t="shared" si="31"/>
        <v/>
      </c>
      <c r="P345" s="7"/>
    </row>
    <row r="346" spans="1:16" x14ac:dyDescent="0.2">
      <c r="A346" s="7"/>
      <c r="B346" s="1010" t="s">
        <v>1135</v>
      </c>
      <c r="C346" s="26"/>
      <c r="D346" s="1005" t="s">
        <v>1130</v>
      </c>
      <c r="E346" s="27"/>
      <c r="F346" s="1006">
        <v>0</v>
      </c>
      <c r="G346" s="32">
        <v>1</v>
      </c>
      <c r="H346" s="1007">
        <f t="shared" si="28"/>
        <v>0</v>
      </c>
      <c r="I346" s="30"/>
      <c r="J346" s="1008">
        <v>2.2400000000000002</v>
      </c>
      <c r="K346" s="32">
        <v>1</v>
      </c>
      <c r="L346" s="1007">
        <f t="shared" si="29"/>
        <v>2.2400000000000002</v>
      </c>
      <c r="M346" s="30"/>
      <c r="N346" s="34">
        <f t="shared" si="30"/>
        <v>2.2400000000000002</v>
      </c>
      <c r="O346" s="202" t="str">
        <f t="shared" si="31"/>
        <v/>
      </c>
      <c r="P346" s="7"/>
    </row>
    <row r="347" spans="1:16" x14ac:dyDescent="0.2">
      <c r="A347" s="29"/>
      <c r="B347" s="1011" t="s">
        <v>698</v>
      </c>
      <c r="C347" s="1012"/>
      <c r="D347" s="1013"/>
      <c r="E347" s="1012"/>
      <c r="F347" s="1014"/>
      <c r="G347" s="1015"/>
      <c r="H347" s="1016">
        <f>SUM(H337:H346)</f>
        <v>46.620000000000005</v>
      </c>
      <c r="I347" s="1017"/>
      <c r="J347" s="1018"/>
      <c r="K347" s="1019"/>
      <c r="L347" s="1016">
        <f>SUM(L337:L346)</f>
        <v>56.910000000000004</v>
      </c>
      <c r="M347" s="1017"/>
      <c r="N347" s="1020">
        <f t="shared" si="30"/>
        <v>10.29</v>
      </c>
      <c r="O347" s="1021">
        <f t="shared" si="31"/>
        <v>0.22072072072072069</v>
      </c>
      <c r="P347" s="29"/>
    </row>
    <row r="348" spans="1:16" ht="38.25" x14ac:dyDescent="0.2">
      <c r="A348" s="7"/>
      <c r="B348" s="1022" t="s">
        <v>1136</v>
      </c>
      <c r="C348" s="26"/>
      <c r="D348" s="1005" t="s">
        <v>80</v>
      </c>
      <c r="E348" s="27"/>
      <c r="F348" s="1006">
        <v>1.1999999999999999E-3</v>
      </c>
      <c r="G348" s="32">
        <f>F332</f>
        <v>1000</v>
      </c>
      <c r="H348" s="1007">
        <f>G348*F348</f>
        <v>1.2</v>
      </c>
      <c r="I348" s="30"/>
      <c r="J348" s="1008">
        <v>0</v>
      </c>
      <c r="K348" s="32">
        <f>F332</f>
        <v>1000</v>
      </c>
      <c r="L348" s="1007">
        <f>K348*J348</f>
        <v>0</v>
      </c>
      <c r="M348" s="30"/>
      <c r="N348" s="34">
        <f t="shared" si="30"/>
        <v>-1.2</v>
      </c>
      <c r="O348" s="202">
        <f>IF((H348)=0,"",(N348/H348))</f>
        <v>-1</v>
      </c>
      <c r="P348" s="7"/>
    </row>
    <row r="349" spans="1:16" ht="38.25" x14ac:dyDescent="0.2">
      <c r="A349" s="7"/>
      <c r="B349" s="1022" t="s">
        <v>1137</v>
      </c>
      <c r="C349" s="26"/>
      <c r="D349" s="1005" t="s">
        <v>80</v>
      </c>
      <c r="E349" s="27"/>
      <c r="F349" s="1006">
        <v>-1.6000000000000001E-3</v>
      </c>
      <c r="G349" s="32">
        <f>F332</f>
        <v>1000</v>
      </c>
      <c r="H349" s="1007">
        <f>G349*F349</f>
        <v>-1.6</v>
      </c>
      <c r="I349" s="30"/>
      <c r="J349" s="1008">
        <v>-1.6000000000000001E-3</v>
      </c>
      <c r="K349" s="32">
        <f>F332</f>
        <v>1000</v>
      </c>
      <c r="L349" s="1007">
        <f>K349*J349</f>
        <v>-1.6</v>
      </c>
      <c r="M349" s="30"/>
      <c r="N349" s="34">
        <f t="shared" si="30"/>
        <v>0</v>
      </c>
      <c r="O349" s="202">
        <f>IF((H349)=0,"",(N349/H349))</f>
        <v>0</v>
      </c>
      <c r="P349" s="7"/>
    </row>
    <row r="350" spans="1:16" ht="51" x14ac:dyDescent="0.2">
      <c r="A350" s="7"/>
      <c r="B350" s="1022" t="s">
        <v>1138</v>
      </c>
      <c r="C350" s="26"/>
      <c r="D350" s="1005" t="s">
        <v>80</v>
      </c>
      <c r="E350" s="27"/>
      <c r="F350" s="1006">
        <v>0</v>
      </c>
      <c r="G350" s="32">
        <f>F332</f>
        <v>1000</v>
      </c>
      <c r="H350" s="1007">
        <f>G350*F350</f>
        <v>0</v>
      </c>
      <c r="I350" s="30"/>
      <c r="J350" s="1008">
        <v>-1.1000000000000001E-3</v>
      </c>
      <c r="K350" s="32">
        <f>F332</f>
        <v>1000</v>
      </c>
      <c r="L350" s="1007">
        <f>K350*J350</f>
        <v>-1.1000000000000001</v>
      </c>
      <c r="M350" s="30"/>
      <c r="N350" s="34">
        <f t="shared" si="30"/>
        <v>-1.1000000000000001</v>
      </c>
      <c r="O350" s="202" t="str">
        <f>IF((H350)=0,"",(N350/H350))</f>
        <v/>
      </c>
      <c r="P350" s="7"/>
    </row>
    <row r="351" spans="1:16" x14ac:dyDescent="0.2">
      <c r="A351" s="7"/>
      <c r="B351" s="564" t="s">
        <v>808</v>
      </c>
      <c r="C351" s="26"/>
      <c r="D351" s="1005" t="s">
        <v>79</v>
      </c>
      <c r="E351" s="27"/>
      <c r="F351" s="1006">
        <v>2.0000000000000001E-4</v>
      </c>
      <c r="G351" s="32">
        <f>F332</f>
        <v>1000</v>
      </c>
      <c r="H351" s="1007">
        <f>G351*F351</f>
        <v>0.2</v>
      </c>
      <c r="I351" s="30"/>
      <c r="J351" s="1008">
        <v>2.0000000000000001E-4</v>
      </c>
      <c r="K351" s="32">
        <f>F332</f>
        <v>1000</v>
      </c>
      <c r="L351" s="1007">
        <f>K351*J351</f>
        <v>0.2</v>
      </c>
      <c r="M351" s="30"/>
      <c r="N351" s="34">
        <f t="shared" si="30"/>
        <v>0</v>
      </c>
      <c r="O351" s="202">
        <f>IF((H351)=0,"",(N351/H351))</f>
        <v>0</v>
      </c>
      <c r="P351" s="7"/>
    </row>
    <row r="352" spans="1:16" x14ac:dyDescent="0.2">
      <c r="A352" s="7"/>
      <c r="B352" s="564" t="s">
        <v>701</v>
      </c>
      <c r="C352" s="26"/>
      <c r="D352" s="1005"/>
      <c r="E352" s="27"/>
      <c r="F352" s="1023"/>
      <c r="G352" s="1024"/>
      <c r="H352" s="1025"/>
      <c r="I352" s="30"/>
      <c r="J352" s="1008"/>
      <c r="K352" s="32">
        <f>F332</f>
        <v>1000</v>
      </c>
      <c r="L352" s="1007">
        <f>K352*J352</f>
        <v>0</v>
      </c>
      <c r="M352" s="30"/>
      <c r="N352" s="34">
        <f t="shared" si="30"/>
        <v>0</v>
      </c>
      <c r="O352" s="202"/>
      <c r="P352" s="7"/>
    </row>
    <row r="353" spans="1:16" ht="25.5" x14ac:dyDescent="0.2">
      <c r="A353" s="7"/>
      <c r="B353" s="1026" t="s">
        <v>699</v>
      </c>
      <c r="C353" s="1027"/>
      <c r="D353" s="1027"/>
      <c r="E353" s="1027"/>
      <c r="F353" s="1028"/>
      <c r="G353" s="1029"/>
      <c r="H353" s="1030">
        <f>SUM(H347:H352)</f>
        <v>46.420000000000009</v>
      </c>
      <c r="I353" s="1017"/>
      <c r="J353" s="1029"/>
      <c r="K353" s="1031"/>
      <c r="L353" s="1030">
        <f>SUM(L347:L352)</f>
        <v>54.410000000000004</v>
      </c>
      <c r="M353" s="1017"/>
      <c r="N353" s="1020">
        <f t="shared" si="30"/>
        <v>7.9899999999999949</v>
      </c>
      <c r="O353" s="1021">
        <f t="shared" ref="O353:O377" si="32">IF((H353)=0,"",(N353/H353))</f>
        <v>0.17212408444635918</v>
      </c>
      <c r="P353" s="7"/>
    </row>
    <row r="354" spans="1:16" x14ac:dyDescent="0.2">
      <c r="A354" s="7"/>
      <c r="B354" s="30" t="s">
        <v>32</v>
      </c>
      <c r="C354" s="30"/>
      <c r="D354" s="1032" t="s">
        <v>79</v>
      </c>
      <c r="E354" s="31"/>
      <c r="F354" s="1008">
        <v>6.3E-3</v>
      </c>
      <c r="G354" s="667">
        <f>F332*(1+F380)</f>
        <v>1035.6000000000001</v>
      </c>
      <c r="H354" s="1007">
        <f>G354*F354</f>
        <v>6.524280000000001</v>
      </c>
      <c r="I354" s="30"/>
      <c r="J354" s="1008">
        <v>5.7999999999999996E-3</v>
      </c>
      <c r="K354" s="668">
        <f>F332*(1+J380)</f>
        <v>1042.0540642790152</v>
      </c>
      <c r="L354" s="1007">
        <f>K354*J354</f>
        <v>6.0439135728182878</v>
      </c>
      <c r="M354" s="30"/>
      <c r="N354" s="34">
        <f t="shared" si="30"/>
        <v>-0.48036642718171318</v>
      </c>
      <c r="O354" s="202">
        <f t="shared" si="32"/>
        <v>-7.3627500227107526E-2</v>
      </c>
      <c r="P354" s="7"/>
    </row>
    <row r="355" spans="1:16" ht="25.5" x14ac:dyDescent="0.2">
      <c r="A355" s="7"/>
      <c r="B355" s="35" t="s">
        <v>33</v>
      </c>
      <c r="C355" s="30"/>
      <c r="D355" s="1032" t="s">
        <v>79</v>
      </c>
      <c r="E355" s="31"/>
      <c r="F355" s="1008">
        <v>5.0000000000000001E-3</v>
      </c>
      <c r="G355" s="667">
        <f>G354</f>
        <v>1035.6000000000001</v>
      </c>
      <c r="H355" s="1007">
        <f>G355*F355</f>
        <v>5.1780000000000008</v>
      </c>
      <c r="I355" s="30"/>
      <c r="J355" s="1008">
        <v>4.7999999999999996E-3</v>
      </c>
      <c r="K355" s="668">
        <f>K354</f>
        <v>1042.0540642790152</v>
      </c>
      <c r="L355" s="1007">
        <f>K355*J355</f>
        <v>5.0018595085392725</v>
      </c>
      <c r="M355" s="30"/>
      <c r="N355" s="34">
        <f t="shared" si="30"/>
        <v>-0.1761404914607283</v>
      </c>
      <c r="O355" s="202">
        <f t="shared" si="32"/>
        <v>-3.401708989199078E-2</v>
      </c>
      <c r="P355" s="7"/>
    </row>
    <row r="356" spans="1:16" ht="25.5" x14ac:dyDescent="0.2">
      <c r="A356" s="7"/>
      <c r="B356" s="1026" t="s">
        <v>700</v>
      </c>
      <c r="C356" s="1012"/>
      <c r="D356" s="1012"/>
      <c r="E356" s="1012"/>
      <c r="F356" s="1033"/>
      <c r="G356" s="1029"/>
      <c r="H356" s="1030">
        <f>SUM(H353:H355)</f>
        <v>58.122280000000003</v>
      </c>
      <c r="I356" s="1034"/>
      <c r="J356" s="1035"/>
      <c r="K356" s="1036"/>
      <c r="L356" s="1030">
        <f>SUM(L353:L355)</f>
        <v>65.455773081357563</v>
      </c>
      <c r="M356" s="1034"/>
      <c r="N356" s="1020">
        <f t="shared" si="30"/>
        <v>7.3334930813575596</v>
      </c>
      <c r="O356" s="1021">
        <f t="shared" si="32"/>
        <v>0.12617352728347131</v>
      </c>
      <c r="P356" s="7"/>
    </row>
    <row r="357" spans="1:16" ht="25.5" x14ac:dyDescent="0.2">
      <c r="A357" s="7"/>
      <c r="B357" s="28" t="s">
        <v>34</v>
      </c>
      <c r="C357" s="26"/>
      <c r="D357" s="1005" t="s">
        <v>79</v>
      </c>
      <c r="E357" s="27"/>
      <c r="F357" s="1037">
        <v>5.1999999999999998E-3</v>
      </c>
      <c r="G357" s="667">
        <f>F332*(1+F380)</f>
        <v>1035.6000000000001</v>
      </c>
      <c r="H357" s="1038">
        <f t="shared" ref="H357:H365" si="33">G357*F357</f>
        <v>5.3851200000000006</v>
      </c>
      <c r="I357" s="30"/>
      <c r="J357" s="1039">
        <v>5.1999999999999998E-3</v>
      </c>
      <c r="K357" s="668">
        <f>F332*(1+J380)</f>
        <v>1042.0540642790152</v>
      </c>
      <c r="L357" s="1038">
        <f t="shared" ref="L357:L365" si="34">K357*J357</f>
        <v>5.4186811342508783</v>
      </c>
      <c r="M357" s="30"/>
      <c r="N357" s="34">
        <f t="shared" si="30"/>
        <v>3.35611342508777E-2</v>
      </c>
      <c r="O357" s="565">
        <f t="shared" si="32"/>
        <v>6.2321980291762669E-3</v>
      </c>
      <c r="P357" s="7"/>
    </row>
    <row r="358" spans="1:16" ht="25.5" x14ac:dyDescent="0.2">
      <c r="A358" s="7"/>
      <c r="B358" s="28" t="s">
        <v>35</v>
      </c>
      <c r="C358" s="26"/>
      <c r="D358" s="1005" t="s">
        <v>79</v>
      </c>
      <c r="E358" s="27"/>
      <c r="F358" s="1037">
        <v>1.1000000000000001E-3</v>
      </c>
      <c r="G358" s="667">
        <f>F332*(1+F380)</f>
        <v>1035.6000000000001</v>
      </c>
      <c r="H358" s="1038">
        <f t="shared" si="33"/>
        <v>1.1391600000000002</v>
      </c>
      <c r="I358" s="30"/>
      <c r="J358" s="1039">
        <v>1.1000000000000001E-3</v>
      </c>
      <c r="K358" s="668">
        <f>F332*(1+J380)</f>
        <v>1042.0540642790152</v>
      </c>
      <c r="L358" s="1038">
        <f t="shared" si="34"/>
        <v>1.1462594707069167</v>
      </c>
      <c r="M358" s="30"/>
      <c r="N358" s="34">
        <f t="shared" si="30"/>
        <v>7.0994707069165219E-3</v>
      </c>
      <c r="O358" s="565">
        <f t="shared" si="32"/>
        <v>6.2321980291763415E-3</v>
      </c>
      <c r="P358" s="7"/>
    </row>
    <row r="359" spans="1:16" x14ac:dyDescent="0.2">
      <c r="A359" s="7"/>
      <c r="B359" s="26" t="s">
        <v>36</v>
      </c>
      <c r="C359" s="26"/>
      <c r="D359" s="1005"/>
      <c r="E359" s="27"/>
      <c r="F359" s="1037"/>
      <c r="G359" s="32">
        <v>1</v>
      </c>
      <c r="H359" s="1038">
        <f t="shared" si="33"/>
        <v>0</v>
      </c>
      <c r="I359" s="30"/>
      <c r="J359" s="1039"/>
      <c r="K359" s="33">
        <v>1</v>
      </c>
      <c r="L359" s="1038">
        <f t="shared" si="34"/>
        <v>0</v>
      </c>
      <c r="M359" s="30"/>
      <c r="N359" s="34">
        <f t="shared" si="30"/>
        <v>0</v>
      </c>
      <c r="O359" s="565" t="str">
        <f t="shared" si="32"/>
        <v/>
      </c>
      <c r="P359" s="7"/>
    </row>
    <row r="360" spans="1:16" x14ac:dyDescent="0.2">
      <c r="A360" s="7"/>
      <c r="B360" s="26" t="s">
        <v>37</v>
      </c>
      <c r="C360" s="26"/>
      <c r="D360" s="1005" t="s">
        <v>79</v>
      </c>
      <c r="E360" s="27"/>
      <c r="F360" s="1037">
        <v>7.0000000000000001E-3</v>
      </c>
      <c r="G360" s="667">
        <f>F332</f>
        <v>1000</v>
      </c>
      <c r="H360" s="1038">
        <f t="shared" si="33"/>
        <v>7</v>
      </c>
      <c r="I360" s="30"/>
      <c r="J360" s="1039">
        <v>7.0000000000000001E-3</v>
      </c>
      <c r="K360" s="668">
        <f>F332</f>
        <v>1000</v>
      </c>
      <c r="L360" s="1038">
        <f t="shared" si="34"/>
        <v>7</v>
      </c>
      <c r="M360" s="30"/>
      <c r="N360" s="34">
        <f t="shared" si="30"/>
        <v>0</v>
      </c>
      <c r="O360" s="565">
        <f t="shared" si="32"/>
        <v>0</v>
      </c>
      <c r="P360" s="7"/>
    </row>
    <row r="361" spans="1:16" x14ac:dyDescent="0.2">
      <c r="A361" s="7"/>
      <c r="B361" s="564" t="s">
        <v>777</v>
      </c>
      <c r="C361" s="26"/>
      <c r="D361" s="1005" t="s">
        <v>79</v>
      </c>
      <c r="E361" s="27"/>
      <c r="F361" s="1040">
        <v>7.4999999999999997E-2</v>
      </c>
      <c r="G361" s="667">
        <f>IF($G$357&gt;=0,0,$G$357)</f>
        <v>0</v>
      </c>
      <c r="H361" s="1038">
        <f>G361*F361</f>
        <v>0</v>
      </c>
      <c r="I361" s="30"/>
      <c r="J361" s="1037">
        <v>7.4999999999999997E-2</v>
      </c>
      <c r="K361" s="667">
        <f>IF($K$357&gt;=0,0,$K$357)</f>
        <v>0</v>
      </c>
      <c r="L361" s="1038">
        <f>K361*J361</f>
        <v>0</v>
      </c>
      <c r="M361" s="30"/>
      <c r="N361" s="34">
        <f t="shared" si="30"/>
        <v>0</v>
      </c>
      <c r="O361" s="565" t="str">
        <f t="shared" si="32"/>
        <v/>
      </c>
      <c r="P361" s="7"/>
    </row>
    <row r="362" spans="1:16" x14ac:dyDescent="0.2">
      <c r="A362" s="7"/>
      <c r="B362" s="564" t="s">
        <v>778</v>
      </c>
      <c r="C362" s="26"/>
      <c r="D362" s="1005" t="s">
        <v>79</v>
      </c>
      <c r="E362" s="27"/>
      <c r="F362" s="1040">
        <v>8.7999999999999995E-2</v>
      </c>
      <c r="G362" s="667">
        <f>IF($G$357&gt;=0,$G$357-0,0)</f>
        <v>1035.6000000000001</v>
      </c>
      <c r="H362" s="1038">
        <f>G362*F362</f>
        <v>91.132800000000003</v>
      </c>
      <c r="I362" s="30"/>
      <c r="J362" s="1037">
        <v>8.7999999999999995E-2</v>
      </c>
      <c r="K362" s="667">
        <f>IF($K$357&gt;=0,$K$357-0,0)</f>
        <v>1042.0540642790152</v>
      </c>
      <c r="L362" s="1038">
        <f>K362*J362</f>
        <v>91.700757656553336</v>
      </c>
      <c r="M362" s="30"/>
      <c r="N362" s="34">
        <f t="shared" si="30"/>
        <v>0.56795765655333241</v>
      </c>
      <c r="O362" s="565">
        <f t="shared" si="32"/>
        <v>6.2321980291764585E-3</v>
      </c>
      <c r="P362" s="7"/>
    </row>
    <row r="363" spans="1:16" x14ac:dyDescent="0.2">
      <c r="A363" s="7"/>
      <c r="B363" s="564" t="s">
        <v>779</v>
      </c>
      <c r="C363" s="26"/>
      <c r="D363" s="1005" t="s">
        <v>79</v>
      </c>
      <c r="E363" s="27"/>
      <c r="F363" s="1040">
        <v>6.5000000000000002E-2</v>
      </c>
      <c r="G363" s="669">
        <f>0.64*$G$357</f>
        <v>662.78400000000011</v>
      </c>
      <c r="H363" s="1038">
        <f t="shared" si="33"/>
        <v>43.080960000000012</v>
      </c>
      <c r="I363" s="30"/>
      <c r="J363" s="1037">
        <v>6.5000000000000002E-2</v>
      </c>
      <c r="K363" s="1041">
        <f>0.64*$K$357</f>
        <v>666.91460113856976</v>
      </c>
      <c r="L363" s="1038">
        <f t="shared" si="34"/>
        <v>43.349449074007033</v>
      </c>
      <c r="M363" s="30"/>
      <c r="N363" s="34">
        <f t="shared" si="30"/>
        <v>0.2684890740070216</v>
      </c>
      <c r="O363" s="565">
        <f t="shared" si="32"/>
        <v>6.2321980291762651E-3</v>
      </c>
      <c r="P363" s="7"/>
    </row>
    <row r="364" spans="1:16" x14ac:dyDescent="0.2">
      <c r="A364" s="7"/>
      <c r="B364" s="564" t="s">
        <v>780</v>
      </c>
      <c r="C364" s="26"/>
      <c r="D364" s="1005" t="s">
        <v>79</v>
      </c>
      <c r="E364" s="27"/>
      <c r="F364" s="1040">
        <v>0.1</v>
      </c>
      <c r="G364" s="669">
        <f>0.18*$G$357</f>
        <v>186.40800000000002</v>
      </c>
      <c r="H364" s="1038">
        <f t="shared" si="33"/>
        <v>18.640800000000002</v>
      </c>
      <c r="I364" s="30"/>
      <c r="J364" s="1037">
        <v>0.1</v>
      </c>
      <c r="K364" s="1041">
        <f>0.18*$K$357</f>
        <v>187.56973157022273</v>
      </c>
      <c r="L364" s="1038">
        <f t="shared" si="34"/>
        <v>18.756973157022273</v>
      </c>
      <c r="M364" s="30"/>
      <c r="N364" s="34">
        <f t="shared" si="30"/>
        <v>0.1161731570222706</v>
      </c>
      <c r="O364" s="565">
        <f t="shared" si="32"/>
        <v>6.2321980291763545E-3</v>
      </c>
      <c r="P364" s="7"/>
    </row>
    <row r="365" spans="1:16" ht="13.5" thickBot="1" x14ac:dyDescent="0.25">
      <c r="A365" s="7"/>
      <c r="B365" s="647" t="s">
        <v>781</v>
      </c>
      <c r="C365" s="26"/>
      <c r="D365" s="1005" t="s">
        <v>79</v>
      </c>
      <c r="E365" s="27"/>
      <c r="F365" s="1040">
        <v>0.11700000000000001</v>
      </c>
      <c r="G365" s="669">
        <f>0.18*$G$357</f>
        <v>186.40800000000002</v>
      </c>
      <c r="H365" s="1038">
        <f t="shared" si="33"/>
        <v>21.809736000000004</v>
      </c>
      <c r="I365" s="30"/>
      <c r="J365" s="1037">
        <v>0.11700000000000001</v>
      </c>
      <c r="K365" s="1041">
        <f>0.18*$K$357</f>
        <v>187.56973157022273</v>
      </c>
      <c r="L365" s="1038">
        <f t="shared" si="34"/>
        <v>21.945658593716061</v>
      </c>
      <c r="M365" s="30"/>
      <c r="N365" s="34">
        <f t="shared" si="30"/>
        <v>0.13592259371605664</v>
      </c>
      <c r="O365" s="565">
        <f t="shared" si="32"/>
        <v>6.2321980291763553E-3</v>
      </c>
      <c r="P365" s="7"/>
    </row>
    <row r="366" spans="1:16" ht="13.5" thickBot="1" x14ac:dyDescent="0.25">
      <c r="A366" s="7"/>
      <c r="B366" s="1042"/>
      <c r="C366" s="1043"/>
      <c r="D366" s="1044"/>
      <c r="E366" s="1043"/>
      <c r="F366" s="1045"/>
      <c r="G366" s="1046"/>
      <c r="H366" s="1047"/>
      <c r="I366" s="1048"/>
      <c r="J366" s="1045"/>
      <c r="K366" s="1049"/>
      <c r="L366" s="1047"/>
      <c r="M366" s="1048"/>
      <c r="N366" s="1050"/>
      <c r="O366" s="1051"/>
      <c r="P366" s="7"/>
    </row>
    <row r="367" spans="1:16" x14ac:dyDescent="0.2">
      <c r="A367" s="7"/>
      <c r="B367" s="36" t="s">
        <v>782</v>
      </c>
      <c r="C367" s="26"/>
      <c r="D367" s="26"/>
      <c r="E367" s="26"/>
      <c r="F367" s="662"/>
      <c r="G367" s="652"/>
      <c r="H367" s="656">
        <f>SUM(H356:H362)</f>
        <v>162.77936</v>
      </c>
      <c r="I367" s="660"/>
      <c r="J367" s="661"/>
      <c r="K367" s="661"/>
      <c r="L367" s="655">
        <f>SUM(L356:L362)</f>
        <v>170.72147134286871</v>
      </c>
      <c r="M367" s="654"/>
      <c r="N367" s="659">
        <f t="shared" si="30"/>
        <v>7.9421113428687136</v>
      </c>
      <c r="O367" s="657">
        <f t="shared" si="32"/>
        <v>4.8790653451817934E-2</v>
      </c>
      <c r="P367" s="7"/>
    </row>
    <row r="368" spans="1:16" x14ac:dyDescent="0.2">
      <c r="A368" s="7"/>
      <c r="B368" s="650" t="s">
        <v>38</v>
      </c>
      <c r="C368" s="26"/>
      <c r="D368" s="26"/>
      <c r="E368" s="26"/>
      <c r="F368" s="649">
        <v>0.13</v>
      </c>
      <c r="G368" s="652"/>
      <c r="H368" s="670">
        <f>H367*F368</f>
        <v>21.161316800000002</v>
      </c>
      <c r="I368" s="648"/>
      <c r="J368" s="676">
        <v>0.13</v>
      </c>
      <c r="K368" s="677"/>
      <c r="L368" s="672">
        <f>L367*J368</f>
        <v>22.193791274572934</v>
      </c>
      <c r="M368" s="673"/>
      <c r="N368" s="674">
        <f t="shared" si="30"/>
        <v>1.0324744745729326</v>
      </c>
      <c r="O368" s="675">
        <f t="shared" si="32"/>
        <v>4.879065345181792E-2</v>
      </c>
      <c r="P368" s="7"/>
    </row>
    <row r="369" spans="1:16" x14ac:dyDescent="0.2">
      <c r="A369" s="7"/>
      <c r="B369" s="651" t="s">
        <v>1139</v>
      </c>
      <c r="C369" s="26"/>
      <c r="D369" s="26"/>
      <c r="E369" s="26"/>
      <c r="F369" s="658"/>
      <c r="G369" s="653"/>
      <c r="H369" s="670">
        <f>H367+H368</f>
        <v>183.94067680000001</v>
      </c>
      <c r="I369" s="648"/>
      <c r="J369" s="648"/>
      <c r="K369" s="648"/>
      <c r="L369" s="672">
        <f>L367+L368</f>
        <v>192.91526261744164</v>
      </c>
      <c r="M369" s="673"/>
      <c r="N369" s="674">
        <f t="shared" si="30"/>
        <v>8.9745858174416355</v>
      </c>
      <c r="O369" s="675">
        <f t="shared" si="32"/>
        <v>4.8790653451817871E-2</v>
      </c>
      <c r="P369" s="7"/>
    </row>
    <row r="370" spans="1:16" ht="12.75" customHeight="1" x14ac:dyDescent="0.2">
      <c r="A370" s="7"/>
      <c r="B370" s="1626" t="s">
        <v>1140</v>
      </c>
      <c r="C370" s="1626"/>
      <c r="D370" s="1626"/>
      <c r="E370" s="26"/>
      <c r="F370" s="658"/>
      <c r="G370" s="653"/>
      <c r="H370" s="1052">
        <f>ROUND(-H369*10%,2)</f>
        <v>-18.39</v>
      </c>
      <c r="I370" s="648"/>
      <c r="J370" s="648"/>
      <c r="K370" s="648"/>
      <c r="L370" s="1053">
        <f>ROUND(-L369*10%,2)</f>
        <v>-19.29</v>
      </c>
      <c r="M370" s="673"/>
      <c r="N370" s="1054">
        <f t="shared" si="30"/>
        <v>-0.89999999999999858</v>
      </c>
      <c r="O370" s="1055">
        <f t="shared" si="32"/>
        <v>4.8939641109298451E-2</v>
      </c>
      <c r="P370" s="7"/>
    </row>
    <row r="371" spans="1:16" ht="13.5" customHeight="1" thickBot="1" x14ac:dyDescent="0.25">
      <c r="A371" s="7"/>
      <c r="B371" s="1626" t="s">
        <v>785</v>
      </c>
      <c r="C371" s="1626"/>
      <c r="D371" s="1626"/>
      <c r="E371" s="1056"/>
      <c r="F371" s="1057"/>
      <c r="G371" s="1058"/>
      <c r="H371" s="1059">
        <f>SUM(H369:H370)</f>
        <v>165.55067680000002</v>
      </c>
      <c r="I371" s="1060"/>
      <c r="J371" s="1060"/>
      <c r="K371" s="1060"/>
      <c r="L371" s="1061">
        <f>SUM(L369:L370)</f>
        <v>173.62526261744165</v>
      </c>
      <c r="M371" s="1062"/>
      <c r="N371" s="1063">
        <f t="shared" si="30"/>
        <v>8.0745858174416298</v>
      </c>
      <c r="O371" s="1064">
        <f t="shared" si="32"/>
        <v>4.8774103335116226E-2</v>
      </c>
      <c r="P371" s="7"/>
    </row>
    <row r="372" spans="1:16" ht="13.5" thickBot="1" x14ac:dyDescent="0.25">
      <c r="A372" s="7"/>
      <c r="B372" s="1042"/>
      <c r="C372" s="1043"/>
      <c r="D372" s="1044"/>
      <c r="E372" s="1043"/>
      <c r="F372" s="1065"/>
      <c r="G372" s="1066"/>
      <c r="H372" s="1067"/>
      <c r="I372" s="1068"/>
      <c r="J372" s="1065"/>
      <c r="K372" s="1046"/>
      <c r="L372" s="1069"/>
      <c r="M372" s="1048"/>
      <c r="N372" s="1070"/>
      <c r="O372" s="1051"/>
      <c r="P372" s="7"/>
    </row>
    <row r="373" spans="1:16" x14ac:dyDescent="0.2">
      <c r="A373" s="7"/>
      <c r="B373" s="36" t="s">
        <v>783</v>
      </c>
      <c r="C373" s="26"/>
      <c r="D373" s="26"/>
      <c r="E373" s="26"/>
      <c r="F373" s="662"/>
      <c r="G373" s="652"/>
      <c r="H373" s="656">
        <f>SUM(H356:H360,H363:H365)</f>
        <v>155.17805600000005</v>
      </c>
      <c r="I373" s="660"/>
      <c r="J373" s="661"/>
      <c r="K373" s="661"/>
      <c r="L373" s="666">
        <f>SUM(L356:L360,L363:L365)</f>
        <v>163.07279451106075</v>
      </c>
      <c r="M373" s="654"/>
      <c r="N373" s="659">
        <f>L373-H373</f>
        <v>7.8947385110606945</v>
      </c>
      <c r="O373" s="657">
        <f>IF((H373)=0,"",(N373/H373))</f>
        <v>5.0875353864857614E-2</v>
      </c>
      <c r="P373" s="7"/>
    </row>
    <row r="374" spans="1:16" x14ac:dyDescent="0.2">
      <c r="A374" s="7"/>
      <c r="B374" s="650" t="s">
        <v>38</v>
      </c>
      <c r="C374" s="26"/>
      <c r="D374" s="26"/>
      <c r="E374" s="26"/>
      <c r="F374" s="649">
        <v>0.13</v>
      </c>
      <c r="G374" s="653"/>
      <c r="H374" s="670">
        <f>H373*F374</f>
        <v>20.173147280000009</v>
      </c>
      <c r="I374" s="648"/>
      <c r="J374" s="671">
        <v>0.13</v>
      </c>
      <c r="K374" s="648"/>
      <c r="L374" s="672">
        <f>L373*J374</f>
        <v>21.199463286437897</v>
      </c>
      <c r="M374" s="673"/>
      <c r="N374" s="674">
        <f t="shared" si="30"/>
        <v>1.026316006437888</v>
      </c>
      <c r="O374" s="675">
        <f t="shared" si="32"/>
        <v>5.0875353864857496E-2</v>
      </c>
      <c r="P374" s="7"/>
    </row>
    <row r="375" spans="1:16" x14ac:dyDescent="0.2">
      <c r="A375" s="7"/>
      <c r="B375" s="651" t="s">
        <v>1139</v>
      </c>
      <c r="C375" s="26"/>
      <c r="D375" s="26"/>
      <c r="E375" s="26"/>
      <c r="F375" s="658"/>
      <c r="G375" s="653"/>
      <c r="H375" s="670">
        <f>H373+H374</f>
        <v>175.35120328000005</v>
      </c>
      <c r="I375" s="648"/>
      <c r="J375" s="648"/>
      <c r="K375" s="648"/>
      <c r="L375" s="672">
        <f>L373+L374</f>
        <v>184.27225779749864</v>
      </c>
      <c r="M375" s="673"/>
      <c r="N375" s="674">
        <f t="shared" si="30"/>
        <v>8.9210545174985896</v>
      </c>
      <c r="O375" s="675">
        <f t="shared" si="32"/>
        <v>5.0875353864857649E-2</v>
      </c>
      <c r="P375" s="7"/>
    </row>
    <row r="376" spans="1:16" ht="12.75" customHeight="1" x14ac:dyDescent="0.2">
      <c r="A376" s="7"/>
      <c r="B376" s="1626" t="s">
        <v>1140</v>
      </c>
      <c r="C376" s="1626"/>
      <c r="D376" s="1626"/>
      <c r="E376" s="26"/>
      <c r="F376" s="658"/>
      <c r="G376" s="653"/>
      <c r="H376" s="1052">
        <f>ROUND(-H375*10%,2)</f>
        <v>-17.54</v>
      </c>
      <c r="I376" s="648"/>
      <c r="J376" s="648"/>
      <c r="K376" s="648"/>
      <c r="L376" s="1053">
        <f>ROUND(-L375*10%,2)</f>
        <v>-18.43</v>
      </c>
      <c r="M376" s="673"/>
      <c r="N376" s="1054">
        <f t="shared" si="30"/>
        <v>-0.89000000000000057</v>
      </c>
      <c r="O376" s="1055">
        <f t="shared" si="32"/>
        <v>5.0741163055872326E-2</v>
      </c>
      <c r="P376" s="7"/>
    </row>
    <row r="377" spans="1:16" ht="13.5" customHeight="1" thickBot="1" x14ac:dyDescent="0.25">
      <c r="A377" s="7"/>
      <c r="B377" s="1626" t="s">
        <v>784</v>
      </c>
      <c r="C377" s="1626"/>
      <c r="D377" s="1626"/>
      <c r="E377" s="1056"/>
      <c r="F377" s="1071"/>
      <c r="G377" s="1072"/>
      <c r="H377" s="1073">
        <f>H375+H376</f>
        <v>157.81120328000006</v>
      </c>
      <c r="I377" s="1074"/>
      <c r="J377" s="1074"/>
      <c r="K377" s="1074"/>
      <c r="L377" s="1075">
        <f>L375+L376</f>
        <v>165.84225779749863</v>
      </c>
      <c r="M377" s="1076"/>
      <c r="N377" s="1077">
        <f t="shared" si="30"/>
        <v>8.0310545174985748</v>
      </c>
      <c r="O377" s="1078">
        <f t="shared" si="32"/>
        <v>5.0890268565085946E-2</v>
      </c>
      <c r="P377" s="7"/>
    </row>
    <row r="378" spans="1:16" ht="13.5" thickBot="1" x14ac:dyDescent="0.25">
      <c r="A378" s="7"/>
      <c r="B378" s="1042"/>
      <c r="C378" s="1043"/>
      <c r="D378" s="1044"/>
      <c r="E378" s="1043"/>
      <c r="F378" s="1065"/>
      <c r="G378" s="1066"/>
      <c r="H378" s="1067"/>
      <c r="I378" s="1068"/>
      <c r="J378" s="1065"/>
      <c r="K378" s="1046"/>
      <c r="L378" s="1069"/>
      <c r="M378" s="1048"/>
      <c r="N378" s="1070"/>
      <c r="O378" s="1051"/>
      <c r="P378" s="7"/>
    </row>
    <row r="379" spans="1:16" x14ac:dyDescent="0.2">
      <c r="A379" s="7"/>
      <c r="B379" s="7"/>
      <c r="C379" s="7"/>
      <c r="D379" s="7"/>
      <c r="E379" s="7"/>
      <c r="F379" s="7"/>
      <c r="G379" s="7"/>
      <c r="H379" s="7"/>
      <c r="I379" s="7"/>
      <c r="J379" s="7"/>
      <c r="K379" s="7"/>
      <c r="L379" s="678"/>
      <c r="M379" s="7"/>
      <c r="N379" s="7"/>
      <c r="O379" s="7"/>
      <c r="P379" s="7"/>
    </row>
    <row r="380" spans="1:16" x14ac:dyDescent="0.2">
      <c r="A380" s="7"/>
      <c r="B380" s="8" t="s">
        <v>39</v>
      </c>
      <c r="C380" s="7"/>
      <c r="D380" s="7"/>
      <c r="E380" s="7"/>
      <c r="F380" s="1079">
        <v>3.5600000000000076E-2</v>
      </c>
      <c r="G380" s="7"/>
      <c r="H380" s="7"/>
      <c r="I380" s="7"/>
      <c r="J380" s="1079">
        <v>4.2054064279015257E-2</v>
      </c>
      <c r="K380" s="7"/>
      <c r="L380" s="7"/>
      <c r="M380" s="7"/>
      <c r="N380" s="7"/>
      <c r="O380" s="7"/>
      <c r="P380" s="7"/>
    </row>
    <row r="381" spans="1:16" x14ac:dyDescent="0.2">
      <c r="A381" s="7"/>
      <c r="B381" s="7"/>
      <c r="C381" s="7"/>
      <c r="D381" s="7"/>
      <c r="E381" s="7"/>
      <c r="F381" s="7"/>
      <c r="G381" s="7"/>
      <c r="H381" s="7"/>
      <c r="I381" s="7"/>
      <c r="J381" s="7"/>
      <c r="K381" s="7"/>
      <c r="L381" s="7"/>
      <c r="M381" s="7"/>
      <c r="N381" s="7"/>
      <c r="O381" s="7"/>
      <c r="P381" s="7"/>
    </row>
    <row r="382" spans="1:16" ht="14.25" x14ac:dyDescent="0.2">
      <c r="A382" s="214" t="s">
        <v>1141</v>
      </c>
      <c r="B382" s="7"/>
      <c r="C382" s="7"/>
      <c r="D382" s="7"/>
      <c r="E382" s="7"/>
      <c r="F382" s="7"/>
      <c r="G382" s="7"/>
      <c r="H382" s="7"/>
      <c r="I382" s="7"/>
      <c r="J382" s="7"/>
      <c r="K382" s="7"/>
      <c r="L382" s="7"/>
      <c r="M382" s="7"/>
      <c r="N382" s="7"/>
      <c r="O382" s="7"/>
      <c r="P382" s="7"/>
    </row>
    <row r="383" spans="1:16" x14ac:dyDescent="0.2">
      <c r="A383" s="7"/>
      <c r="B383" s="7"/>
      <c r="C383" s="7"/>
      <c r="D383" s="7"/>
      <c r="E383" s="7"/>
      <c r="F383" s="7"/>
      <c r="G383" s="7"/>
      <c r="H383" s="7"/>
      <c r="I383" s="7"/>
      <c r="J383" s="7"/>
      <c r="K383" s="7"/>
      <c r="L383" s="7"/>
      <c r="M383" s="7"/>
      <c r="N383" s="7"/>
      <c r="O383" s="7"/>
      <c r="P383" s="7"/>
    </row>
    <row r="384" spans="1:16" x14ac:dyDescent="0.2">
      <c r="A384" s="7" t="s">
        <v>107</v>
      </c>
      <c r="B384" s="7"/>
      <c r="C384" s="7"/>
      <c r="D384" s="7"/>
      <c r="E384" s="7"/>
      <c r="F384" s="7"/>
      <c r="G384" s="7"/>
      <c r="H384" s="7"/>
      <c r="I384" s="7"/>
      <c r="J384" s="7"/>
      <c r="K384" s="7"/>
      <c r="L384" s="7"/>
      <c r="M384" s="7"/>
      <c r="N384" s="7"/>
      <c r="O384" s="7"/>
      <c r="P384" s="7"/>
    </row>
    <row r="385" spans="1:16" x14ac:dyDescent="0.2">
      <c r="A385" s="7" t="s">
        <v>108</v>
      </c>
      <c r="B385" s="7"/>
      <c r="C385" s="7"/>
      <c r="D385" s="7"/>
      <c r="E385" s="7"/>
      <c r="F385" s="7"/>
      <c r="G385" s="7"/>
      <c r="H385" s="7"/>
      <c r="I385" s="7"/>
      <c r="J385" s="7"/>
      <c r="K385" s="7"/>
      <c r="L385" s="7"/>
      <c r="M385" s="7"/>
      <c r="N385" s="7"/>
      <c r="O385" s="7"/>
      <c r="P385" s="7"/>
    </row>
    <row r="386" spans="1:16" x14ac:dyDescent="0.2">
      <c r="A386" s="7"/>
      <c r="B386" s="7"/>
      <c r="C386" s="7"/>
      <c r="D386" s="7"/>
      <c r="E386" s="7"/>
      <c r="F386" s="7"/>
      <c r="G386" s="7"/>
      <c r="H386" s="7"/>
      <c r="I386" s="7"/>
      <c r="J386" s="7"/>
      <c r="K386" s="7"/>
      <c r="L386" s="7"/>
      <c r="M386" s="7"/>
      <c r="N386" s="7"/>
      <c r="O386" s="7"/>
      <c r="P386" s="7"/>
    </row>
    <row r="387" spans="1:16" x14ac:dyDescent="0.2">
      <c r="A387" s="7" t="s">
        <v>331</v>
      </c>
      <c r="B387" s="7"/>
      <c r="C387" s="7"/>
      <c r="D387" s="7"/>
      <c r="E387" s="7"/>
      <c r="F387" s="7"/>
      <c r="G387" s="7"/>
      <c r="H387" s="7"/>
      <c r="I387" s="7"/>
      <c r="J387" s="7"/>
      <c r="K387" s="7"/>
      <c r="L387" s="7"/>
      <c r="M387" s="7"/>
      <c r="N387" s="7"/>
      <c r="O387" s="7"/>
      <c r="P387" s="7"/>
    </row>
    <row r="388" spans="1:16" x14ac:dyDescent="0.2">
      <c r="A388" s="7" t="s">
        <v>109</v>
      </c>
      <c r="B388" s="7"/>
      <c r="C388" s="7"/>
      <c r="D388" s="7"/>
      <c r="E388" s="7"/>
      <c r="F388" s="7"/>
      <c r="G388" s="7"/>
      <c r="H388" s="7"/>
      <c r="I388" s="7"/>
      <c r="J388" s="7"/>
      <c r="K388" s="7"/>
      <c r="L388" s="7"/>
      <c r="M388" s="7"/>
      <c r="N388" s="7"/>
      <c r="O388" s="7"/>
      <c r="P388" s="7"/>
    </row>
    <row r="389" spans="1:16" x14ac:dyDescent="0.2">
      <c r="A389" s="7"/>
      <c r="B389" s="7"/>
      <c r="C389" s="7"/>
      <c r="D389" s="7"/>
      <c r="E389" s="7"/>
      <c r="F389" s="7"/>
      <c r="G389" s="7"/>
      <c r="H389" s="7"/>
      <c r="I389" s="7"/>
      <c r="J389" s="7"/>
      <c r="K389" s="7"/>
      <c r="L389" s="7"/>
      <c r="M389" s="7"/>
      <c r="N389" s="7"/>
      <c r="O389" s="7"/>
      <c r="P389" s="7"/>
    </row>
    <row r="390" spans="1:16" x14ac:dyDescent="0.2">
      <c r="A390" s="7" t="s">
        <v>110</v>
      </c>
      <c r="B390" s="7"/>
      <c r="C390" s="7"/>
      <c r="D390" s="7"/>
      <c r="E390" s="7"/>
      <c r="F390" s="7"/>
      <c r="G390" s="7"/>
      <c r="H390" s="7"/>
      <c r="I390" s="7"/>
      <c r="J390" s="7"/>
      <c r="K390" s="7"/>
      <c r="L390" s="7"/>
      <c r="M390" s="7"/>
      <c r="N390" s="7"/>
      <c r="O390" s="7"/>
      <c r="P390" s="7"/>
    </row>
    <row r="391" spans="1:16" x14ac:dyDescent="0.2">
      <c r="A391" s="7" t="s">
        <v>111</v>
      </c>
      <c r="B391" s="7"/>
      <c r="C391" s="7"/>
      <c r="D391" s="7"/>
      <c r="E391" s="7"/>
      <c r="F391" s="7"/>
      <c r="G391" s="7"/>
      <c r="H391" s="7"/>
      <c r="I391" s="7"/>
      <c r="J391" s="7"/>
      <c r="K391" s="7"/>
      <c r="L391" s="7"/>
      <c r="M391" s="7"/>
      <c r="N391" s="7"/>
      <c r="O391" s="7"/>
      <c r="P391" s="7"/>
    </row>
    <row r="392" spans="1:16" x14ac:dyDescent="0.2">
      <c r="A392" s="7" t="s">
        <v>112</v>
      </c>
      <c r="B392" s="7"/>
      <c r="C392" s="7"/>
      <c r="D392" s="7"/>
      <c r="E392" s="7"/>
      <c r="F392" s="7"/>
      <c r="G392" s="7"/>
      <c r="H392" s="7"/>
      <c r="I392" s="7"/>
      <c r="J392" s="7"/>
      <c r="K392" s="7"/>
      <c r="L392" s="7"/>
      <c r="M392" s="7"/>
      <c r="N392" s="7"/>
      <c r="O392" s="7"/>
      <c r="P392" s="7"/>
    </row>
    <row r="393" spans="1:16" x14ac:dyDescent="0.2">
      <c r="A393" s="7" t="s">
        <v>113</v>
      </c>
      <c r="B393" s="7"/>
      <c r="C393" s="7"/>
      <c r="D393" s="7"/>
      <c r="E393" s="7"/>
      <c r="F393" s="7"/>
      <c r="G393" s="7"/>
      <c r="H393" s="7"/>
      <c r="I393" s="7"/>
      <c r="J393" s="7"/>
      <c r="K393" s="7"/>
      <c r="L393" s="7"/>
      <c r="M393" s="7"/>
      <c r="N393" s="7"/>
      <c r="O393" s="7"/>
      <c r="P393" s="7"/>
    </row>
    <row r="394" spans="1:16" x14ac:dyDescent="0.2">
      <c r="A394" s="7" t="s">
        <v>114</v>
      </c>
      <c r="B394" s="7"/>
      <c r="C394" s="7"/>
      <c r="D394" s="7"/>
      <c r="E394" s="7"/>
      <c r="F394" s="7"/>
      <c r="G394" s="7"/>
      <c r="H394" s="7"/>
      <c r="I394" s="7"/>
      <c r="J394" s="7"/>
      <c r="K394" s="7"/>
      <c r="L394" s="7"/>
      <c r="M394" s="7"/>
      <c r="N394" s="7"/>
      <c r="O394" s="7"/>
      <c r="P394" s="7"/>
    </row>
    <row r="396" spans="1:16" ht="21.75" x14ac:dyDescent="0.2">
      <c r="A396" s="41"/>
      <c r="B396" s="41"/>
      <c r="C396" s="41"/>
      <c r="D396" s="41"/>
      <c r="E396" s="41"/>
      <c r="F396" s="41"/>
      <c r="G396" s="41"/>
      <c r="H396" s="41"/>
      <c r="I396" s="41"/>
      <c r="J396" s="41"/>
      <c r="K396" s="41"/>
      <c r="L396" s="37"/>
      <c r="M396" s="37"/>
      <c r="N396" s="16" t="s">
        <v>444</v>
      </c>
      <c r="O396" s="250" t="s">
        <v>866</v>
      </c>
    </row>
    <row r="397" spans="1:16" ht="18" x14ac:dyDescent="0.25">
      <c r="A397" s="40"/>
      <c r="B397" s="40"/>
      <c r="C397" s="40"/>
      <c r="D397" s="40"/>
      <c r="E397" s="40"/>
      <c r="F397" s="40"/>
      <c r="G397" s="40"/>
      <c r="H397" s="40"/>
      <c r="I397" s="40"/>
      <c r="J397" s="40"/>
      <c r="K397" s="40"/>
      <c r="L397" s="37"/>
      <c r="M397" s="37"/>
      <c r="N397" s="16" t="s">
        <v>445</v>
      </c>
      <c r="O397" s="1001"/>
    </row>
    <row r="398" spans="1:16" x14ac:dyDescent="0.2">
      <c r="A398" s="1626"/>
      <c r="B398" s="1626"/>
      <c r="C398" s="1626"/>
      <c r="D398" s="1626"/>
      <c r="E398" s="1626"/>
      <c r="F398" s="1626"/>
      <c r="G398" s="1626"/>
      <c r="H398" s="1626"/>
      <c r="I398" s="1626"/>
      <c r="J398" s="1626"/>
      <c r="K398" s="1626"/>
      <c r="L398" s="37"/>
      <c r="M398" s="37"/>
      <c r="N398" s="16" t="s">
        <v>446</v>
      </c>
      <c r="O398" s="1001"/>
    </row>
    <row r="399" spans="1:16" ht="18" x14ac:dyDescent="0.25">
      <c r="A399" s="40"/>
      <c r="B399" s="40"/>
      <c r="C399" s="40"/>
      <c r="D399" s="40"/>
      <c r="E399" s="40"/>
      <c r="F399" s="40"/>
      <c r="G399" s="40"/>
      <c r="H399" s="40"/>
      <c r="I399" s="38"/>
      <c r="J399" s="38"/>
      <c r="K399" s="38"/>
      <c r="L399" s="37"/>
      <c r="M399" s="37"/>
      <c r="N399" s="16" t="s">
        <v>447</v>
      </c>
      <c r="O399" s="1001"/>
    </row>
    <row r="400" spans="1:16" ht="15.75" x14ac:dyDescent="0.25">
      <c r="A400" s="37"/>
      <c r="B400" s="37"/>
      <c r="C400" s="39"/>
      <c r="D400" s="39"/>
      <c r="E400" s="39"/>
      <c r="F400" s="37"/>
      <c r="G400" s="37"/>
      <c r="H400" s="37"/>
      <c r="I400" s="37"/>
      <c r="J400" s="37"/>
      <c r="K400" s="37"/>
      <c r="L400" s="37"/>
      <c r="M400" s="37"/>
      <c r="N400" s="16" t="s">
        <v>448</v>
      </c>
      <c r="O400" s="1002" t="s">
        <v>1147</v>
      </c>
    </row>
    <row r="401" spans="1:16" x14ac:dyDescent="0.2">
      <c r="A401" s="37"/>
      <c r="B401" s="37"/>
      <c r="C401" s="37"/>
      <c r="D401" s="37"/>
      <c r="E401" s="37"/>
      <c r="F401" s="37"/>
      <c r="G401" s="37"/>
      <c r="H401" s="37"/>
      <c r="I401" s="37"/>
      <c r="J401" s="37"/>
      <c r="K401" s="37"/>
      <c r="L401" s="37"/>
      <c r="M401" s="37"/>
      <c r="N401" s="16"/>
      <c r="O401" s="250"/>
    </row>
    <row r="402" spans="1:16" x14ac:dyDescent="0.2">
      <c r="A402" s="37"/>
      <c r="B402" s="37"/>
      <c r="C402" s="37"/>
      <c r="D402" s="37"/>
      <c r="E402" s="37"/>
      <c r="F402" s="37"/>
      <c r="G402" s="37"/>
      <c r="H402" s="37"/>
      <c r="I402" s="37"/>
      <c r="J402" s="37"/>
      <c r="K402" s="37"/>
      <c r="L402" s="37"/>
      <c r="M402" s="37"/>
      <c r="N402" s="16" t="s">
        <v>449</v>
      </c>
      <c r="O402" s="1002"/>
    </row>
    <row r="403" spans="1:16" x14ac:dyDescent="0.2">
      <c r="A403" s="37"/>
      <c r="B403" s="37"/>
      <c r="C403" s="37"/>
      <c r="D403" s="37"/>
      <c r="E403" s="37"/>
      <c r="F403" s="37"/>
      <c r="G403" s="37"/>
      <c r="H403" s="37"/>
      <c r="I403" s="37"/>
      <c r="J403" s="37"/>
      <c r="K403" s="37"/>
      <c r="L403" s="37"/>
      <c r="M403" s="37"/>
      <c r="N403" s="7"/>
    </row>
    <row r="404" spans="1:16" x14ac:dyDescent="0.2">
      <c r="A404" s="7"/>
      <c r="B404" s="7"/>
      <c r="C404" s="7"/>
      <c r="D404" s="7"/>
      <c r="E404" s="7"/>
      <c r="F404" s="7"/>
      <c r="G404" s="7"/>
      <c r="H404" s="7"/>
      <c r="I404" s="7"/>
      <c r="J404" s="7"/>
      <c r="K404" s="7"/>
    </row>
    <row r="405" spans="1:16" x14ac:dyDescent="0.2">
      <c r="A405" s="7"/>
      <c r="B405" s="1626" t="s">
        <v>695</v>
      </c>
      <c r="C405" s="1626"/>
      <c r="D405" s="1626"/>
      <c r="E405" s="1626"/>
      <c r="F405" s="1626"/>
      <c r="G405" s="1626"/>
      <c r="H405" s="1626"/>
      <c r="I405" s="1626"/>
      <c r="J405" s="1626"/>
      <c r="K405" s="1626"/>
      <c r="L405" s="1626"/>
      <c r="M405" s="1626"/>
      <c r="N405" s="1626"/>
      <c r="O405" s="1626"/>
    </row>
    <row r="406" spans="1:16" x14ac:dyDescent="0.2">
      <c r="A406" s="7"/>
      <c r="B406" s="1626" t="s">
        <v>63</v>
      </c>
      <c r="C406" s="1626"/>
      <c r="D406" s="1626"/>
      <c r="E406" s="1626"/>
      <c r="F406" s="1626"/>
      <c r="G406" s="1626"/>
      <c r="H406" s="1626"/>
      <c r="I406" s="1626"/>
      <c r="J406" s="1626"/>
      <c r="K406" s="1626"/>
      <c r="L406" s="1626"/>
      <c r="M406" s="1626"/>
      <c r="N406" s="1626"/>
      <c r="O406" s="1626"/>
    </row>
    <row r="407" spans="1:16" x14ac:dyDescent="0.2">
      <c r="A407" s="7"/>
      <c r="B407" s="7"/>
      <c r="C407" s="7"/>
      <c r="D407" s="7"/>
      <c r="E407" s="7"/>
      <c r="F407" s="7"/>
      <c r="G407" s="7"/>
      <c r="H407" s="7"/>
      <c r="I407" s="7"/>
      <c r="J407" s="7"/>
      <c r="K407" s="7"/>
    </row>
    <row r="408" spans="1:16" x14ac:dyDescent="0.2">
      <c r="A408" s="7"/>
      <c r="B408" s="7"/>
      <c r="C408" s="7"/>
      <c r="D408" s="7"/>
      <c r="E408" s="7"/>
      <c r="F408" s="7"/>
      <c r="G408" s="7"/>
      <c r="H408" s="7"/>
      <c r="I408" s="7"/>
      <c r="J408" s="7"/>
      <c r="K408" s="7"/>
    </row>
    <row r="409" spans="1:16" x14ac:dyDescent="0.2">
      <c r="A409" s="7"/>
      <c r="B409" s="43" t="s">
        <v>40</v>
      </c>
      <c r="C409" s="7"/>
      <c r="D409" s="1626" t="s">
        <v>1146</v>
      </c>
      <c r="E409" s="1626"/>
      <c r="F409" s="1626"/>
      <c r="G409" s="1626"/>
      <c r="H409" s="1626"/>
      <c r="I409" s="1626"/>
      <c r="J409" s="1626"/>
      <c r="K409" s="1626"/>
      <c r="L409" s="1626"/>
      <c r="M409" s="1626"/>
      <c r="N409" s="1626"/>
      <c r="O409" s="1626"/>
      <c r="P409" s="7"/>
    </row>
    <row r="410" spans="1:16" ht="15.75" x14ac:dyDescent="0.25">
      <c r="A410" s="7"/>
      <c r="B410" s="1003"/>
      <c r="C410" s="7"/>
      <c r="D410" s="42"/>
      <c r="E410" s="42"/>
      <c r="F410" s="42"/>
      <c r="G410" s="42"/>
      <c r="H410" s="42"/>
      <c r="I410" s="42"/>
      <c r="J410" s="42"/>
      <c r="K410" s="42"/>
      <c r="L410" s="42"/>
      <c r="M410" s="42"/>
      <c r="N410" s="42"/>
      <c r="O410" s="42"/>
      <c r="P410" s="7"/>
    </row>
    <row r="411" spans="1:16" x14ac:dyDescent="0.2">
      <c r="A411" s="7"/>
      <c r="B411" s="647"/>
      <c r="C411" s="7"/>
      <c r="D411" s="8" t="s">
        <v>17</v>
      </c>
      <c r="E411" s="8"/>
      <c r="F411" s="1004">
        <v>2000</v>
      </c>
      <c r="G411" s="8" t="s">
        <v>18</v>
      </c>
      <c r="H411" s="7"/>
      <c r="I411" s="7"/>
      <c r="J411" s="7"/>
      <c r="K411" s="7"/>
      <c r="L411" s="7"/>
      <c r="M411" s="7"/>
      <c r="N411" s="7"/>
      <c r="O411" s="7"/>
      <c r="P411" s="7"/>
    </row>
    <row r="412" spans="1:16" x14ac:dyDescent="0.2">
      <c r="A412" s="7"/>
      <c r="B412" s="647"/>
      <c r="C412" s="7"/>
      <c r="D412" s="7"/>
      <c r="E412" s="7"/>
      <c r="F412" s="7"/>
      <c r="G412" s="7"/>
      <c r="H412" s="7"/>
      <c r="I412" s="7"/>
      <c r="J412" s="7"/>
      <c r="K412" s="7"/>
      <c r="L412" s="7"/>
      <c r="M412" s="7"/>
      <c r="N412" s="7"/>
      <c r="O412" s="7"/>
      <c r="P412" s="7"/>
    </row>
    <row r="413" spans="1:16" x14ac:dyDescent="0.2">
      <c r="A413" s="7"/>
      <c r="B413" s="647"/>
      <c r="C413" s="7"/>
      <c r="D413" s="19"/>
      <c r="E413" s="19"/>
      <c r="F413" s="1626" t="s">
        <v>19</v>
      </c>
      <c r="G413" s="1626"/>
      <c r="H413" s="1626"/>
      <c r="I413" s="7"/>
      <c r="J413" s="1626" t="s">
        <v>20</v>
      </c>
      <c r="K413" s="1626"/>
      <c r="L413" s="1626"/>
      <c r="M413" s="7"/>
      <c r="N413" s="1626" t="s">
        <v>21</v>
      </c>
      <c r="O413" s="1626"/>
      <c r="P413" s="7"/>
    </row>
    <row r="414" spans="1:16" ht="12.75" customHeight="1" x14ac:dyDescent="0.2">
      <c r="A414" s="7"/>
      <c r="B414" s="647"/>
      <c r="C414" s="7"/>
      <c r="D414" s="1626" t="s">
        <v>22</v>
      </c>
      <c r="E414" s="20"/>
      <c r="F414" s="21" t="s">
        <v>23</v>
      </c>
      <c r="G414" s="21" t="s">
        <v>24</v>
      </c>
      <c r="H414" s="22" t="s">
        <v>25</v>
      </c>
      <c r="I414" s="7"/>
      <c r="J414" s="21" t="s">
        <v>23</v>
      </c>
      <c r="K414" s="23" t="s">
        <v>24</v>
      </c>
      <c r="L414" s="22" t="s">
        <v>25</v>
      </c>
      <c r="M414" s="7"/>
      <c r="N414" s="1626" t="s">
        <v>26</v>
      </c>
      <c r="O414" s="1626" t="s">
        <v>27</v>
      </c>
      <c r="P414" s="7"/>
    </row>
    <row r="415" spans="1:16" x14ac:dyDescent="0.2">
      <c r="A415" s="7"/>
      <c r="B415" s="647"/>
      <c r="C415" s="7"/>
      <c r="D415" s="1626"/>
      <c r="E415" s="20"/>
      <c r="F415" s="24" t="s">
        <v>452</v>
      </c>
      <c r="G415" s="24"/>
      <c r="H415" s="25" t="s">
        <v>452</v>
      </c>
      <c r="I415" s="7"/>
      <c r="J415" s="24" t="s">
        <v>452</v>
      </c>
      <c r="K415" s="25"/>
      <c r="L415" s="25" t="s">
        <v>452</v>
      </c>
      <c r="M415" s="7"/>
      <c r="N415" s="1626"/>
      <c r="O415" s="1626"/>
      <c r="P415" s="7"/>
    </row>
    <row r="416" spans="1:16" x14ac:dyDescent="0.2">
      <c r="A416" s="7"/>
      <c r="B416" s="26" t="s">
        <v>28</v>
      </c>
      <c r="C416" s="26"/>
      <c r="D416" s="1005" t="s">
        <v>1130</v>
      </c>
      <c r="E416" s="27"/>
      <c r="F416" s="1006">
        <v>23.71</v>
      </c>
      <c r="G416" s="32">
        <v>1</v>
      </c>
      <c r="H416" s="1007">
        <f>G416*F416</f>
        <v>23.71</v>
      </c>
      <c r="I416" s="30"/>
      <c r="J416" s="1008">
        <v>28.16</v>
      </c>
      <c r="K416" s="33">
        <v>1</v>
      </c>
      <c r="L416" s="1007">
        <f>K416*J416</f>
        <v>28.16</v>
      </c>
      <c r="M416" s="30"/>
      <c r="N416" s="34">
        <f>L416-H416</f>
        <v>4.4499999999999993</v>
      </c>
      <c r="O416" s="202">
        <f>IF((H416)=0,"",(N416/H416))</f>
        <v>0.1876845212990299</v>
      </c>
      <c r="P416" s="7"/>
    </row>
    <row r="417" spans="1:16" x14ac:dyDescent="0.2">
      <c r="A417" s="7"/>
      <c r="B417" s="26" t="s">
        <v>29</v>
      </c>
      <c r="C417" s="26"/>
      <c r="D417" s="1005" t="s">
        <v>1130</v>
      </c>
      <c r="E417" s="27"/>
      <c r="F417" s="1006">
        <v>6.06</v>
      </c>
      <c r="G417" s="32">
        <v>1</v>
      </c>
      <c r="H417" s="1007">
        <f t="shared" ref="H417:H425" si="35">G417*F417</f>
        <v>6.06</v>
      </c>
      <c r="I417" s="30"/>
      <c r="J417" s="1008">
        <v>6.06</v>
      </c>
      <c r="K417" s="33">
        <v>1</v>
      </c>
      <c r="L417" s="1007">
        <f>K417*J417</f>
        <v>6.06</v>
      </c>
      <c r="M417" s="30"/>
      <c r="N417" s="34">
        <f>L417-H417</f>
        <v>0</v>
      </c>
      <c r="O417" s="202">
        <f>IF((H417)=0,"",(N417/H417))</f>
        <v>0</v>
      </c>
      <c r="P417" s="7"/>
    </row>
    <row r="418" spans="1:16" x14ac:dyDescent="0.2">
      <c r="A418" s="7"/>
      <c r="B418" s="1009" t="s">
        <v>1131</v>
      </c>
      <c r="C418" s="26"/>
      <c r="D418" s="1005" t="s">
        <v>79</v>
      </c>
      <c r="E418" s="27"/>
      <c r="F418" s="1006">
        <v>-2.9999999999999997E-4</v>
      </c>
      <c r="G418" s="32">
        <f>F411</f>
        <v>2000</v>
      </c>
      <c r="H418" s="1007">
        <f t="shared" si="35"/>
        <v>-0.6</v>
      </c>
      <c r="I418" s="30"/>
      <c r="J418" s="1008">
        <v>0</v>
      </c>
      <c r="K418" s="33">
        <f>F411</f>
        <v>2000</v>
      </c>
      <c r="L418" s="1007">
        <f t="shared" ref="L418:L425" si="36">K418*J418</f>
        <v>0</v>
      </c>
      <c r="M418" s="30"/>
      <c r="N418" s="34">
        <f t="shared" ref="N418:N456" si="37">L418-H418</f>
        <v>0.6</v>
      </c>
      <c r="O418" s="202">
        <f t="shared" ref="O418:O426" si="38">IF((H418)=0,"",(N418/H418))</f>
        <v>-1</v>
      </c>
      <c r="P418" s="7"/>
    </row>
    <row r="419" spans="1:16" x14ac:dyDescent="0.2">
      <c r="A419" s="7"/>
      <c r="B419" s="1009" t="s">
        <v>36</v>
      </c>
      <c r="C419" s="26"/>
      <c r="D419" s="1005" t="s">
        <v>1130</v>
      </c>
      <c r="E419" s="27"/>
      <c r="F419" s="1006">
        <v>0.25</v>
      </c>
      <c r="G419" s="32">
        <v>1</v>
      </c>
      <c r="H419" s="1007">
        <f t="shared" si="35"/>
        <v>0.25</v>
      </c>
      <c r="I419" s="30"/>
      <c r="J419" s="1008">
        <v>0.25</v>
      </c>
      <c r="K419" s="33">
        <v>1</v>
      </c>
      <c r="L419" s="1007">
        <f t="shared" si="36"/>
        <v>0.25</v>
      </c>
      <c r="M419" s="30"/>
      <c r="N419" s="34">
        <f t="shared" si="37"/>
        <v>0</v>
      </c>
      <c r="O419" s="202">
        <f t="shared" si="38"/>
        <v>0</v>
      </c>
      <c r="P419" s="7"/>
    </row>
    <row r="420" spans="1:16" x14ac:dyDescent="0.2">
      <c r="A420" s="7"/>
      <c r="B420" s="26" t="s">
        <v>30</v>
      </c>
      <c r="C420" s="26"/>
      <c r="D420" s="1005" t="s">
        <v>79</v>
      </c>
      <c r="E420" s="27"/>
      <c r="F420" s="1006">
        <v>1.66E-2</v>
      </c>
      <c r="G420" s="32">
        <f>F411</f>
        <v>2000</v>
      </c>
      <c r="H420" s="1007">
        <f t="shared" si="35"/>
        <v>33.200000000000003</v>
      </c>
      <c r="I420" s="30"/>
      <c r="J420" s="1008">
        <v>1.9699999999999999E-2</v>
      </c>
      <c r="K420" s="32">
        <f>F411</f>
        <v>2000</v>
      </c>
      <c r="L420" s="1007">
        <f t="shared" si="36"/>
        <v>39.4</v>
      </c>
      <c r="M420" s="30"/>
      <c r="N420" s="34">
        <f t="shared" si="37"/>
        <v>6.1999999999999957</v>
      </c>
      <c r="O420" s="202">
        <f t="shared" si="38"/>
        <v>0.18674698795180708</v>
      </c>
      <c r="P420" s="7"/>
    </row>
    <row r="421" spans="1:16" x14ac:dyDescent="0.2">
      <c r="A421" s="7"/>
      <c r="B421" s="26" t="s">
        <v>31</v>
      </c>
      <c r="C421" s="26"/>
      <c r="D421" s="1005"/>
      <c r="E421" s="27"/>
      <c r="F421" s="1006"/>
      <c r="G421" s="32"/>
      <c r="H421" s="1007">
        <f t="shared" si="35"/>
        <v>0</v>
      </c>
      <c r="I421" s="30"/>
      <c r="J421" s="1008"/>
      <c r="K421" s="32"/>
      <c r="L421" s="1007">
        <f t="shared" si="36"/>
        <v>0</v>
      </c>
      <c r="M421" s="30"/>
      <c r="N421" s="34">
        <f t="shared" si="37"/>
        <v>0</v>
      </c>
      <c r="O421" s="202" t="str">
        <f t="shared" si="38"/>
        <v/>
      </c>
      <c r="P421" s="7"/>
    </row>
    <row r="422" spans="1:16" x14ac:dyDescent="0.2">
      <c r="A422" s="7"/>
      <c r="B422" s="26" t="s">
        <v>1132</v>
      </c>
      <c r="C422" s="26"/>
      <c r="D422" s="1005" t="s">
        <v>80</v>
      </c>
      <c r="E422" s="27"/>
      <c r="F422" s="1006">
        <v>1E-4</v>
      </c>
      <c r="G422" s="32">
        <f>F411</f>
        <v>2000</v>
      </c>
      <c r="H422" s="1007">
        <f t="shared" si="35"/>
        <v>0.2</v>
      </c>
      <c r="I422" s="30"/>
      <c r="J422" s="1008">
        <v>0</v>
      </c>
      <c r="K422" s="32">
        <f>F411</f>
        <v>2000</v>
      </c>
      <c r="L422" s="1007">
        <f t="shared" si="36"/>
        <v>0</v>
      </c>
      <c r="M422" s="30"/>
      <c r="N422" s="34">
        <f t="shared" si="37"/>
        <v>-0.2</v>
      </c>
      <c r="O422" s="202">
        <f t="shared" si="38"/>
        <v>-1</v>
      </c>
      <c r="P422" s="7"/>
    </row>
    <row r="423" spans="1:16" x14ac:dyDescent="0.2">
      <c r="A423" s="7"/>
      <c r="B423" s="26" t="s">
        <v>1133</v>
      </c>
      <c r="C423" s="26"/>
      <c r="D423" s="1005" t="s">
        <v>80</v>
      </c>
      <c r="E423" s="27"/>
      <c r="F423" s="1006">
        <v>2.0000000000000001E-4</v>
      </c>
      <c r="G423" s="32">
        <f>F411</f>
        <v>2000</v>
      </c>
      <c r="H423" s="1007">
        <f t="shared" si="35"/>
        <v>0.4</v>
      </c>
      <c r="I423" s="30"/>
      <c r="J423" s="1008">
        <v>2.0000000000000001E-4</v>
      </c>
      <c r="K423" s="32">
        <f>F411</f>
        <v>2000</v>
      </c>
      <c r="L423" s="1007">
        <f t="shared" si="36"/>
        <v>0.4</v>
      </c>
      <c r="M423" s="30"/>
      <c r="N423" s="34">
        <f t="shared" si="37"/>
        <v>0</v>
      </c>
      <c r="O423" s="202">
        <f t="shared" si="38"/>
        <v>0</v>
      </c>
      <c r="P423" s="7"/>
    </row>
    <row r="424" spans="1:16" x14ac:dyDescent="0.2">
      <c r="A424" s="7"/>
      <c r="B424" s="26" t="s">
        <v>1134</v>
      </c>
      <c r="C424" s="26"/>
      <c r="D424" s="1005" t="s">
        <v>80</v>
      </c>
      <c r="E424" s="27"/>
      <c r="F424" s="1006">
        <v>0</v>
      </c>
      <c r="G424" s="32">
        <f>F411</f>
        <v>2000</v>
      </c>
      <c r="H424" s="1007">
        <f t="shared" si="35"/>
        <v>0</v>
      </c>
      <c r="I424" s="30"/>
      <c r="J424" s="1008">
        <v>2.9999999999999997E-4</v>
      </c>
      <c r="K424" s="32">
        <f>F411</f>
        <v>2000</v>
      </c>
      <c r="L424" s="1007">
        <f t="shared" si="36"/>
        <v>0.6</v>
      </c>
      <c r="M424" s="30"/>
      <c r="N424" s="34">
        <f t="shared" si="37"/>
        <v>0.6</v>
      </c>
      <c r="O424" s="202" t="str">
        <f t="shared" si="38"/>
        <v/>
      </c>
      <c r="P424" s="7"/>
    </row>
    <row r="425" spans="1:16" x14ac:dyDescent="0.2">
      <c r="A425" s="7"/>
      <c r="B425" s="1010" t="s">
        <v>1135</v>
      </c>
      <c r="C425" s="26"/>
      <c r="D425" s="1005" t="s">
        <v>1130</v>
      </c>
      <c r="E425" s="27"/>
      <c r="F425" s="1006">
        <v>0</v>
      </c>
      <c r="G425" s="32">
        <v>1</v>
      </c>
      <c r="H425" s="1007">
        <f t="shared" si="35"/>
        <v>0</v>
      </c>
      <c r="I425" s="30"/>
      <c r="J425" s="1008">
        <v>2.2400000000000002</v>
      </c>
      <c r="K425" s="32">
        <v>1</v>
      </c>
      <c r="L425" s="1007">
        <f t="shared" si="36"/>
        <v>2.2400000000000002</v>
      </c>
      <c r="M425" s="30"/>
      <c r="N425" s="34">
        <f t="shared" si="37"/>
        <v>2.2400000000000002</v>
      </c>
      <c r="O425" s="202" t="str">
        <f t="shared" si="38"/>
        <v/>
      </c>
      <c r="P425" s="7"/>
    </row>
    <row r="426" spans="1:16" x14ac:dyDescent="0.2">
      <c r="A426" s="29"/>
      <c r="B426" s="1011" t="s">
        <v>698</v>
      </c>
      <c r="C426" s="1012"/>
      <c r="D426" s="1013"/>
      <c r="E426" s="1012"/>
      <c r="F426" s="1014"/>
      <c r="G426" s="1015"/>
      <c r="H426" s="1016">
        <f>SUM(H416:H425)</f>
        <v>63.220000000000006</v>
      </c>
      <c r="I426" s="1017"/>
      <c r="J426" s="1018"/>
      <c r="K426" s="1019"/>
      <c r="L426" s="1016">
        <f>SUM(L416:L425)</f>
        <v>77.11</v>
      </c>
      <c r="M426" s="1017"/>
      <c r="N426" s="1020">
        <f t="shared" si="37"/>
        <v>13.889999999999993</v>
      </c>
      <c r="O426" s="1021">
        <f t="shared" si="38"/>
        <v>0.21970895286301792</v>
      </c>
      <c r="P426" s="29"/>
    </row>
    <row r="427" spans="1:16" ht="38.25" x14ac:dyDescent="0.2">
      <c r="A427" s="7"/>
      <c r="B427" s="1022" t="s">
        <v>1136</v>
      </c>
      <c r="C427" s="26"/>
      <c r="D427" s="1005" t="s">
        <v>80</v>
      </c>
      <c r="E427" s="27"/>
      <c r="F427" s="1006">
        <v>1.1999999999999999E-3</v>
      </c>
      <c r="G427" s="32">
        <f>F411</f>
        <v>2000</v>
      </c>
      <c r="H427" s="1007">
        <f>G427*F427</f>
        <v>2.4</v>
      </c>
      <c r="I427" s="30"/>
      <c r="J427" s="1008">
        <v>0</v>
      </c>
      <c r="K427" s="32">
        <f>F411</f>
        <v>2000</v>
      </c>
      <c r="L427" s="1007">
        <f>K427*J427</f>
        <v>0</v>
      </c>
      <c r="M427" s="30"/>
      <c r="N427" s="34">
        <f t="shared" si="37"/>
        <v>-2.4</v>
      </c>
      <c r="O427" s="202">
        <f>IF((H427)=0,"",(N427/H427))</f>
        <v>-1</v>
      </c>
      <c r="P427" s="7"/>
    </row>
    <row r="428" spans="1:16" ht="38.25" x14ac:dyDescent="0.2">
      <c r="A428" s="7"/>
      <c r="B428" s="1022" t="s">
        <v>1137</v>
      </c>
      <c r="C428" s="26"/>
      <c r="D428" s="1005" t="s">
        <v>80</v>
      </c>
      <c r="E428" s="27"/>
      <c r="F428" s="1006">
        <v>-1.6000000000000001E-3</v>
      </c>
      <c r="G428" s="32">
        <f>F411</f>
        <v>2000</v>
      </c>
      <c r="H428" s="1007">
        <f>G428*F428</f>
        <v>-3.2</v>
      </c>
      <c r="I428" s="30"/>
      <c r="J428" s="1008">
        <v>-1.6000000000000001E-3</v>
      </c>
      <c r="K428" s="32">
        <f>F411</f>
        <v>2000</v>
      </c>
      <c r="L428" s="1007">
        <f>K428*J428</f>
        <v>-3.2</v>
      </c>
      <c r="M428" s="30"/>
      <c r="N428" s="34">
        <f t="shared" si="37"/>
        <v>0</v>
      </c>
      <c r="O428" s="202">
        <f>IF((H428)=0,"",(N428/H428))</f>
        <v>0</v>
      </c>
      <c r="P428" s="7"/>
    </row>
    <row r="429" spans="1:16" ht="51" x14ac:dyDescent="0.2">
      <c r="A429" s="7"/>
      <c r="B429" s="1022" t="s">
        <v>1138</v>
      </c>
      <c r="C429" s="26"/>
      <c r="D429" s="1005" t="s">
        <v>80</v>
      </c>
      <c r="E429" s="27"/>
      <c r="F429" s="1006">
        <v>0</v>
      </c>
      <c r="G429" s="32">
        <f>F411</f>
        <v>2000</v>
      </c>
      <c r="H429" s="1007">
        <f>G429*F429</f>
        <v>0</v>
      </c>
      <c r="I429" s="30"/>
      <c r="J429" s="1008">
        <v>-1.1000000000000001E-3</v>
      </c>
      <c r="K429" s="32">
        <f>F411</f>
        <v>2000</v>
      </c>
      <c r="L429" s="1007">
        <f>K429*J429</f>
        <v>-2.2000000000000002</v>
      </c>
      <c r="M429" s="30"/>
      <c r="N429" s="34">
        <f t="shared" si="37"/>
        <v>-2.2000000000000002</v>
      </c>
      <c r="O429" s="202" t="str">
        <f>IF((H429)=0,"",(N429/H429))</f>
        <v/>
      </c>
      <c r="P429" s="7"/>
    </row>
    <row r="430" spans="1:16" x14ac:dyDescent="0.2">
      <c r="A430" s="7"/>
      <c r="B430" s="564" t="s">
        <v>808</v>
      </c>
      <c r="C430" s="26"/>
      <c r="D430" s="1005" t="s">
        <v>79</v>
      </c>
      <c r="E430" s="27"/>
      <c r="F430" s="1006">
        <v>2.0000000000000001E-4</v>
      </c>
      <c r="G430" s="32">
        <f>F411</f>
        <v>2000</v>
      </c>
      <c r="H430" s="1007">
        <f>G430*F430</f>
        <v>0.4</v>
      </c>
      <c r="I430" s="30"/>
      <c r="J430" s="1008">
        <v>2.0000000000000001E-4</v>
      </c>
      <c r="K430" s="32">
        <f>F411</f>
        <v>2000</v>
      </c>
      <c r="L430" s="1007">
        <f>K430*J430</f>
        <v>0.4</v>
      </c>
      <c r="M430" s="30"/>
      <c r="N430" s="34">
        <f t="shared" si="37"/>
        <v>0</v>
      </c>
      <c r="O430" s="202">
        <f>IF((H430)=0,"",(N430/H430))</f>
        <v>0</v>
      </c>
      <c r="P430" s="7"/>
    </row>
    <row r="431" spans="1:16" x14ac:dyDescent="0.2">
      <c r="A431" s="7"/>
      <c r="B431" s="564" t="s">
        <v>701</v>
      </c>
      <c r="C431" s="26"/>
      <c r="D431" s="1005"/>
      <c r="E431" s="27"/>
      <c r="F431" s="1023"/>
      <c r="G431" s="1024"/>
      <c r="H431" s="1025"/>
      <c r="I431" s="30"/>
      <c r="J431" s="1008"/>
      <c r="K431" s="32">
        <f>F411</f>
        <v>2000</v>
      </c>
      <c r="L431" s="1007">
        <f>K431*J431</f>
        <v>0</v>
      </c>
      <c r="M431" s="30"/>
      <c r="N431" s="34">
        <f t="shared" si="37"/>
        <v>0</v>
      </c>
      <c r="O431" s="202"/>
      <c r="P431" s="7"/>
    </row>
    <row r="432" spans="1:16" ht="25.5" x14ac:dyDescent="0.2">
      <c r="A432" s="7"/>
      <c r="B432" s="1026" t="s">
        <v>699</v>
      </c>
      <c r="C432" s="1027"/>
      <c r="D432" s="1027"/>
      <c r="E432" s="1027"/>
      <c r="F432" s="1028"/>
      <c r="G432" s="1029"/>
      <c r="H432" s="1030">
        <f>SUM(H426:H431)</f>
        <v>62.82</v>
      </c>
      <c r="I432" s="1017"/>
      <c r="J432" s="1029"/>
      <c r="K432" s="1031"/>
      <c r="L432" s="1030">
        <f>SUM(L426:L431)</f>
        <v>72.11</v>
      </c>
      <c r="M432" s="1017"/>
      <c r="N432" s="1020">
        <f t="shared" si="37"/>
        <v>9.2899999999999991</v>
      </c>
      <c r="O432" s="1021">
        <f t="shared" ref="O432:O456" si="39">IF((H432)=0,"",(N432/H432))</f>
        <v>0.14788283985991721</v>
      </c>
      <c r="P432" s="7"/>
    </row>
    <row r="433" spans="1:16" x14ac:dyDescent="0.2">
      <c r="A433" s="7"/>
      <c r="B433" s="30" t="s">
        <v>32</v>
      </c>
      <c r="C433" s="30"/>
      <c r="D433" s="1032" t="s">
        <v>79</v>
      </c>
      <c r="E433" s="31"/>
      <c r="F433" s="1008">
        <v>6.3E-3</v>
      </c>
      <c r="G433" s="667">
        <f>F411*(1+F459)</f>
        <v>2071.2000000000003</v>
      </c>
      <c r="H433" s="1007">
        <f>G433*F433</f>
        <v>13.048560000000002</v>
      </c>
      <c r="I433" s="30"/>
      <c r="J433" s="1008">
        <v>5.7999999999999996E-3</v>
      </c>
      <c r="K433" s="668">
        <f>F411*(1+J459)</f>
        <v>2084.1081285580303</v>
      </c>
      <c r="L433" s="1007">
        <f>K433*J433</f>
        <v>12.087827145636576</v>
      </c>
      <c r="M433" s="30"/>
      <c r="N433" s="34">
        <f t="shared" si="37"/>
        <v>-0.96073285436342637</v>
      </c>
      <c r="O433" s="202">
        <f t="shared" si="39"/>
        <v>-7.3627500227107526E-2</v>
      </c>
      <c r="P433" s="7"/>
    </row>
    <row r="434" spans="1:16" ht="25.5" x14ac:dyDescent="0.2">
      <c r="A434" s="7"/>
      <c r="B434" s="35" t="s">
        <v>33</v>
      </c>
      <c r="C434" s="30"/>
      <c r="D434" s="1032" t="s">
        <v>79</v>
      </c>
      <c r="E434" s="31"/>
      <c r="F434" s="1008">
        <v>5.0000000000000001E-3</v>
      </c>
      <c r="G434" s="667">
        <f>G433</f>
        <v>2071.2000000000003</v>
      </c>
      <c r="H434" s="1007">
        <f>G434*F434</f>
        <v>10.356000000000002</v>
      </c>
      <c r="I434" s="30"/>
      <c r="J434" s="1008">
        <v>4.7999999999999996E-3</v>
      </c>
      <c r="K434" s="668">
        <f>K433</f>
        <v>2084.1081285580303</v>
      </c>
      <c r="L434" s="1007">
        <f>K434*J434</f>
        <v>10.003719017078545</v>
      </c>
      <c r="M434" s="30"/>
      <c r="N434" s="34">
        <f t="shared" si="37"/>
        <v>-0.3522809829214566</v>
      </c>
      <c r="O434" s="202">
        <f t="shared" si="39"/>
        <v>-3.401708989199078E-2</v>
      </c>
      <c r="P434" s="7"/>
    </row>
    <row r="435" spans="1:16" ht="25.5" x14ac:dyDescent="0.2">
      <c r="A435" s="7"/>
      <c r="B435" s="1026" t="s">
        <v>700</v>
      </c>
      <c r="C435" s="1012"/>
      <c r="D435" s="1012"/>
      <c r="E435" s="1012"/>
      <c r="F435" s="1033"/>
      <c r="G435" s="1029"/>
      <c r="H435" s="1030">
        <f>SUM(H432:H434)</f>
        <v>86.224559999999997</v>
      </c>
      <c r="I435" s="1034"/>
      <c r="J435" s="1035"/>
      <c r="K435" s="1036"/>
      <c r="L435" s="1030">
        <f>SUM(L432:L434)</f>
        <v>94.201546162715118</v>
      </c>
      <c r="M435" s="1034"/>
      <c r="N435" s="1020">
        <f t="shared" si="37"/>
        <v>7.9769861627151215</v>
      </c>
      <c r="O435" s="1021">
        <f t="shared" si="39"/>
        <v>9.2514083721797147E-2</v>
      </c>
      <c r="P435" s="7"/>
    </row>
    <row r="436" spans="1:16" ht="25.5" x14ac:dyDescent="0.2">
      <c r="A436" s="7"/>
      <c r="B436" s="28" t="s">
        <v>34</v>
      </c>
      <c r="C436" s="26"/>
      <c r="D436" s="1005" t="s">
        <v>79</v>
      </c>
      <c r="E436" s="27"/>
      <c r="F436" s="1037">
        <v>5.1999999999999998E-3</v>
      </c>
      <c r="G436" s="667">
        <f>F411*(1+F459)</f>
        <v>2071.2000000000003</v>
      </c>
      <c r="H436" s="1038">
        <f t="shared" ref="H436:H444" si="40">G436*F436</f>
        <v>10.770240000000001</v>
      </c>
      <c r="I436" s="30"/>
      <c r="J436" s="1039">
        <v>5.1999999999999998E-3</v>
      </c>
      <c r="K436" s="668">
        <f>F411*(1+J459)</f>
        <v>2084.1081285580303</v>
      </c>
      <c r="L436" s="1038">
        <f t="shared" ref="L436:L444" si="41">K436*J436</f>
        <v>10.837362268501757</v>
      </c>
      <c r="M436" s="30"/>
      <c r="N436" s="34">
        <f t="shared" si="37"/>
        <v>6.71222685017554E-2</v>
      </c>
      <c r="O436" s="565">
        <f t="shared" si="39"/>
        <v>6.2321980291762669E-3</v>
      </c>
      <c r="P436" s="7"/>
    </row>
    <row r="437" spans="1:16" ht="25.5" x14ac:dyDescent="0.2">
      <c r="A437" s="7"/>
      <c r="B437" s="28" t="s">
        <v>35</v>
      </c>
      <c r="C437" s="26"/>
      <c r="D437" s="1005" t="s">
        <v>79</v>
      </c>
      <c r="E437" s="27"/>
      <c r="F437" s="1037">
        <v>1.1000000000000001E-3</v>
      </c>
      <c r="G437" s="667">
        <f>F411*(1+F459)</f>
        <v>2071.2000000000003</v>
      </c>
      <c r="H437" s="1038">
        <f t="shared" si="40"/>
        <v>2.2783200000000003</v>
      </c>
      <c r="I437" s="30"/>
      <c r="J437" s="1039">
        <v>1.1000000000000001E-3</v>
      </c>
      <c r="K437" s="668">
        <f>F411*(1+J459)</f>
        <v>2084.1081285580303</v>
      </c>
      <c r="L437" s="1038">
        <f t="shared" si="41"/>
        <v>2.2925189414138334</v>
      </c>
      <c r="M437" s="30"/>
      <c r="N437" s="34">
        <f t="shared" si="37"/>
        <v>1.4198941413833044E-2</v>
      </c>
      <c r="O437" s="565">
        <f t="shared" si="39"/>
        <v>6.2321980291763415E-3</v>
      </c>
      <c r="P437" s="7"/>
    </row>
    <row r="438" spans="1:16" x14ac:dyDescent="0.2">
      <c r="A438" s="7"/>
      <c r="B438" s="26" t="s">
        <v>36</v>
      </c>
      <c r="C438" s="26"/>
      <c r="D438" s="1005"/>
      <c r="E438" s="27"/>
      <c r="F438" s="1037"/>
      <c r="G438" s="32">
        <v>1</v>
      </c>
      <c r="H438" s="1038">
        <f t="shared" si="40"/>
        <v>0</v>
      </c>
      <c r="I438" s="30"/>
      <c r="J438" s="1039"/>
      <c r="K438" s="33">
        <v>1</v>
      </c>
      <c r="L438" s="1038">
        <f t="shared" si="41"/>
        <v>0</v>
      </c>
      <c r="M438" s="30"/>
      <c r="N438" s="34">
        <f t="shared" si="37"/>
        <v>0</v>
      </c>
      <c r="O438" s="565" t="str">
        <f t="shared" si="39"/>
        <v/>
      </c>
      <c r="P438" s="7"/>
    </row>
    <row r="439" spans="1:16" x14ac:dyDescent="0.2">
      <c r="A439" s="7"/>
      <c r="B439" s="26" t="s">
        <v>37</v>
      </c>
      <c r="C439" s="26"/>
      <c r="D439" s="1005" t="s">
        <v>79</v>
      </c>
      <c r="E439" s="27"/>
      <c r="F439" s="1037">
        <v>7.0000000000000001E-3</v>
      </c>
      <c r="G439" s="667">
        <f>F411</f>
        <v>2000</v>
      </c>
      <c r="H439" s="1038">
        <f t="shared" si="40"/>
        <v>14</v>
      </c>
      <c r="I439" s="30"/>
      <c r="J439" s="1039">
        <v>7.0000000000000001E-3</v>
      </c>
      <c r="K439" s="668">
        <f>F411</f>
        <v>2000</v>
      </c>
      <c r="L439" s="1038">
        <f t="shared" si="41"/>
        <v>14</v>
      </c>
      <c r="M439" s="30"/>
      <c r="N439" s="34">
        <f t="shared" si="37"/>
        <v>0</v>
      </c>
      <c r="O439" s="565">
        <f t="shared" si="39"/>
        <v>0</v>
      </c>
      <c r="P439" s="7"/>
    </row>
    <row r="440" spans="1:16" x14ac:dyDescent="0.2">
      <c r="A440" s="7"/>
      <c r="B440" s="564" t="s">
        <v>777</v>
      </c>
      <c r="C440" s="26"/>
      <c r="D440" s="1005" t="s">
        <v>79</v>
      </c>
      <c r="E440" s="27"/>
      <c r="F440" s="1040">
        <v>7.4999999999999997E-2</v>
      </c>
      <c r="G440" s="667">
        <f>IF($G$436&gt;=0,0,$G$436)</f>
        <v>0</v>
      </c>
      <c r="H440" s="1038">
        <f>G440*F440</f>
        <v>0</v>
      </c>
      <c r="I440" s="30"/>
      <c r="J440" s="1037">
        <v>7.4999999999999997E-2</v>
      </c>
      <c r="K440" s="667">
        <f>IF($K$436&gt;=0,0,$K$436)</f>
        <v>0</v>
      </c>
      <c r="L440" s="1038">
        <f>K440*J440</f>
        <v>0</v>
      </c>
      <c r="M440" s="30"/>
      <c r="N440" s="34">
        <f t="shared" si="37"/>
        <v>0</v>
      </c>
      <c r="O440" s="565" t="str">
        <f t="shared" si="39"/>
        <v/>
      </c>
      <c r="P440" s="7"/>
    </row>
    <row r="441" spans="1:16" x14ac:dyDescent="0.2">
      <c r="A441" s="7"/>
      <c r="B441" s="564" t="s">
        <v>778</v>
      </c>
      <c r="C441" s="26"/>
      <c r="D441" s="1005" t="s">
        <v>79</v>
      </c>
      <c r="E441" s="27"/>
      <c r="F441" s="1040">
        <v>8.7999999999999995E-2</v>
      </c>
      <c r="G441" s="667">
        <f>IF($G$436&gt;=0,$G$436-0,0)</f>
        <v>2071.2000000000003</v>
      </c>
      <c r="H441" s="1038">
        <f>G441*F441</f>
        <v>182.26560000000001</v>
      </c>
      <c r="I441" s="30"/>
      <c r="J441" s="1037">
        <v>8.7999999999999995E-2</v>
      </c>
      <c r="K441" s="667">
        <f>IF($K$436&gt;=0,$K$436-0,0)</f>
        <v>2084.1081285580303</v>
      </c>
      <c r="L441" s="1038">
        <f>K441*J441</f>
        <v>183.40151531310667</v>
      </c>
      <c r="M441" s="30"/>
      <c r="N441" s="34">
        <f t="shared" si="37"/>
        <v>1.1359153131066648</v>
      </c>
      <c r="O441" s="565">
        <f t="shared" si="39"/>
        <v>6.2321980291764585E-3</v>
      </c>
      <c r="P441" s="7"/>
    </row>
    <row r="442" spans="1:16" x14ac:dyDescent="0.2">
      <c r="A442" s="7"/>
      <c r="B442" s="564" t="s">
        <v>779</v>
      </c>
      <c r="C442" s="26"/>
      <c r="D442" s="1005" t="s">
        <v>79</v>
      </c>
      <c r="E442" s="27"/>
      <c r="F442" s="1040">
        <v>6.5000000000000002E-2</v>
      </c>
      <c r="G442" s="669">
        <f>0.64*$G$436</f>
        <v>1325.5680000000002</v>
      </c>
      <c r="H442" s="1038">
        <f t="shared" si="40"/>
        <v>86.161920000000023</v>
      </c>
      <c r="I442" s="30"/>
      <c r="J442" s="1037">
        <v>6.5000000000000002E-2</v>
      </c>
      <c r="K442" s="1041">
        <f>0.64*$K$436</f>
        <v>1333.8292022771395</v>
      </c>
      <c r="L442" s="1038">
        <f t="shared" si="41"/>
        <v>86.698898148014067</v>
      </c>
      <c r="M442" s="30"/>
      <c r="N442" s="34">
        <f t="shared" si="37"/>
        <v>0.5369781480140432</v>
      </c>
      <c r="O442" s="565">
        <f t="shared" si="39"/>
        <v>6.2321980291762651E-3</v>
      </c>
      <c r="P442" s="7"/>
    </row>
    <row r="443" spans="1:16" x14ac:dyDescent="0.2">
      <c r="A443" s="7"/>
      <c r="B443" s="564" t="s">
        <v>780</v>
      </c>
      <c r="C443" s="26"/>
      <c r="D443" s="1005" t="s">
        <v>79</v>
      </c>
      <c r="E443" s="27"/>
      <c r="F443" s="1040">
        <v>0.1</v>
      </c>
      <c r="G443" s="669">
        <f>0.18*$G$436</f>
        <v>372.81600000000003</v>
      </c>
      <c r="H443" s="1038">
        <f t="shared" si="40"/>
        <v>37.281600000000005</v>
      </c>
      <c r="I443" s="30"/>
      <c r="J443" s="1037">
        <v>0.1</v>
      </c>
      <c r="K443" s="1041">
        <f>0.18*$K$436</f>
        <v>375.13946314044546</v>
      </c>
      <c r="L443" s="1038">
        <f t="shared" si="41"/>
        <v>37.513946314044546</v>
      </c>
      <c r="M443" s="30"/>
      <c r="N443" s="34">
        <f t="shared" si="37"/>
        <v>0.2323463140445412</v>
      </c>
      <c r="O443" s="565">
        <f t="shared" si="39"/>
        <v>6.2321980291763545E-3</v>
      </c>
      <c r="P443" s="7"/>
    </row>
    <row r="444" spans="1:16" ht="13.5" thickBot="1" x14ac:dyDescent="0.25">
      <c r="A444" s="7"/>
      <c r="B444" s="647" t="s">
        <v>781</v>
      </c>
      <c r="C444" s="26"/>
      <c r="D444" s="1005" t="s">
        <v>79</v>
      </c>
      <c r="E444" s="27"/>
      <c r="F444" s="1040">
        <v>0.11700000000000001</v>
      </c>
      <c r="G444" s="669">
        <f>0.18*$G$436</f>
        <v>372.81600000000003</v>
      </c>
      <c r="H444" s="1038">
        <f t="shared" si="40"/>
        <v>43.619472000000009</v>
      </c>
      <c r="I444" s="30"/>
      <c r="J444" s="1037">
        <v>0.11700000000000001</v>
      </c>
      <c r="K444" s="1041">
        <f>0.18*$K$436</f>
        <v>375.13946314044546</v>
      </c>
      <c r="L444" s="1038">
        <f t="shared" si="41"/>
        <v>43.891317187432122</v>
      </c>
      <c r="M444" s="30"/>
      <c r="N444" s="34">
        <f t="shared" si="37"/>
        <v>0.27184518743211328</v>
      </c>
      <c r="O444" s="565">
        <f t="shared" si="39"/>
        <v>6.2321980291763553E-3</v>
      </c>
      <c r="P444" s="7"/>
    </row>
    <row r="445" spans="1:16" ht="13.5" thickBot="1" x14ac:dyDescent="0.25">
      <c r="A445" s="7"/>
      <c r="B445" s="1042"/>
      <c r="C445" s="1043"/>
      <c r="D445" s="1044"/>
      <c r="E445" s="1043"/>
      <c r="F445" s="1045"/>
      <c r="G445" s="1046"/>
      <c r="H445" s="1047"/>
      <c r="I445" s="1048"/>
      <c r="J445" s="1045"/>
      <c r="K445" s="1049"/>
      <c r="L445" s="1047"/>
      <c r="M445" s="1048"/>
      <c r="N445" s="1050"/>
      <c r="O445" s="1051"/>
      <c r="P445" s="7"/>
    </row>
    <row r="446" spans="1:16" x14ac:dyDescent="0.2">
      <c r="A446" s="7"/>
      <c r="B446" s="36" t="s">
        <v>782</v>
      </c>
      <c r="C446" s="26"/>
      <c r="D446" s="26"/>
      <c r="E446" s="26"/>
      <c r="F446" s="662"/>
      <c r="G446" s="652"/>
      <c r="H446" s="656">
        <f>SUM(H435:H441)</f>
        <v>295.53872000000001</v>
      </c>
      <c r="I446" s="660"/>
      <c r="J446" s="661"/>
      <c r="K446" s="661"/>
      <c r="L446" s="655">
        <f>SUM(L435:L441)</f>
        <v>304.73294268573738</v>
      </c>
      <c r="M446" s="654"/>
      <c r="N446" s="659">
        <f t="shared" si="37"/>
        <v>9.1942226857373726</v>
      </c>
      <c r="O446" s="657">
        <f t="shared" si="39"/>
        <v>3.1110044347953364E-2</v>
      </c>
      <c r="P446" s="7"/>
    </row>
    <row r="447" spans="1:16" x14ac:dyDescent="0.2">
      <c r="A447" s="7"/>
      <c r="B447" s="650" t="s">
        <v>38</v>
      </c>
      <c r="C447" s="26"/>
      <c r="D447" s="26"/>
      <c r="E447" s="26"/>
      <c r="F447" s="649">
        <v>0.13</v>
      </c>
      <c r="G447" s="652"/>
      <c r="H447" s="670">
        <f>H446*F447</f>
        <v>38.420033600000004</v>
      </c>
      <c r="I447" s="648"/>
      <c r="J447" s="676">
        <v>0.13</v>
      </c>
      <c r="K447" s="677"/>
      <c r="L447" s="672">
        <f>L446*J447</f>
        <v>39.61528254914586</v>
      </c>
      <c r="M447" s="673"/>
      <c r="N447" s="674">
        <f t="shared" si="37"/>
        <v>1.1952489491458564</v>
      </c>
      <c r="O447" s="675">
        <f t="shared" si="39"/>
        <v>3.1110044347953312E-2</v>
      </c>
      <c r="P447" s="7"/>
    </row>
    <row r="448" spans="1:16" x14ac:dyDescent="0.2">
      <c r="A448" s="7"/>
      <c r="B448" s="651" t="s">
        <v>1139</v>
      </c>
      <c r="C448" s="26"/>
      <c r="D448" s="26"/>
      <c r="E448" s="26"/>
      <c r="F448" s="658"/>
      <c r="G448" s="653"/>
      <c r="H448" s="670">
        <f>H446+H447</f>
        <v>333.95875360000002</v>
      </c>
      <c r="I448" s="648"/>
      <c r="J448" s="648"/>
      <c r="K448" s="648"/>
      <c r="L448" s="672">
        <f>L446+L447</f>
        <v>344.34822523488322</v>
      </c>
      <c r="M448" s="673"/>
      <c r="N448" s="674">
        <f t="shared" si="37"/>
        <v>10.389471634883193</v>
      </c>
      <c r="O448" s="675">
        <f t="shared" si="39"/>
        <v>3.1110044347953253E-2</v>
      </c>
      <c r="P448" s="7"/>
    </row>
    <row r="449" spans="1:16" ht="12.75" customHeight="1" x14ac:dyDescent="0.2">
      <c r="A449" s="7"/>
      <c r="B449" s="1626" t="s">
        <v>1140</v>
      </c>
      <c r="C449" s="1626"/>
      <c r="D449" s="1626"/>
      <c r="E449" s="26"/>
      <c r="F449" s="658"/>
      <c r="G449" s="653"/>
      <c r="H449" s="1052">
        <f>ROUND(-H448*10%,2)</f>
        <v>-33.4</v>
      </c>
      <c r="I449" s="648"/>
      <c r="J449" s="648"/>
      <c r="K449" s="648"/>
      <c r="L449" s="1053">
        <f>ROUND(-L448*10%,2)</f>
        <v>-34.43</v>
      </c>
      <c r="M449" s="673"/>
      <c r="N449" s="1054">
        <f t="shared" si="37"/>
        <v>-1.0300000000000011</v>
      </c>
      <c r="O449" s="1055">
        <f t="shared" si="39"/>
        <v>3.0838323353293447E-2</v>
      </c>
      <c r="P449" s="7"/>
    </row>
    <row r="450" spans="1:16" ht="13.5" customHeight="1" thickBot="1" x14ac:dyDescent="0.25">
      <c r="A450" s="7"/>
      <c r="B450" s="1626" t="s">
        <v>785</v>
      </c>
      <c r="C450" s="1626"/>
      <c r="D450" s="1626"/>
      <c r="E450" s="1056"/>
      <c r="F450" s="1057"/>
      <c r="G450" s="1058"/>
      <c r="H450" s="1059">
        <f>SUM(H448:H449)</f>
        <v>300.55875360000005</v>
      </c>
      <c r="I450" s="1060"/>
      <c r="J450" s="1060"/>
      <c r="K450" s="1060"/>
      <c r="L450" s="1061">
        <f>SUM(L448:L449)</f>
        <v>309.91822523488321</v>
      </c>
      <c r="M450" s="1062"/>
      <c r="N450" s="1063">
        <f t="shared" si="37"/>
        <v>9.3594716348831639</v>
      </c>
      <c r="O450" s="1064">
        <f t="shared" si="39"/>
        <v>3.1140239712795916E-2</v>
      </c>
      <c r="P450" s="7"/>
    </row>
    <row r="451" spans="1:16" ht="13.5" thickBot="1" x14ac:dyDescent="0.25">
      <c r="A451" s="7"/>
      <c r="B451" s="1042"/>
      <c r="C451" s="1043"/>
      <c r="D451" s="1044"/>
      <c r="E451" s="1043"/>
      <c r="F451" s="1065"/>
      <c r="G451" s="1066"/>
      <c r="H451" s="1067"/>
      <c r="I451" s="1068"/>
      <c r="J451" s="1065"/>
      <c r="K451" s="1046"/>
      <c r="L451" s="1069"/>
      <c r="M451" s="1048"/>
      <c r="N451" s="1070"/>
      <c r="O451" s="1051"/>
      <c r="P451" s="7"/>
    </row>
    <row r="452" spans="1:16" x14ac:dyDescent="0.2">
      <c r="A452" s="7"/>
      <c r="B452" s="36" t="s">
        <v>783</v>
      </c>
      <c r="C452" s="26"/>
      <c r="D452" s="26"/>
      <c r="E452" s="26"/>
      <c r="F452" s="662"/>
      <c r="G452" s="652"/>
      <c r="H452" s="656">
        <f>SUM(H435:H439,H442:H444)</f>
        <v>280.33611200000001</v>
      </c>
      <c r="I452" s="660"/>
      <c r="J452" s="661"/>
      <c r="K452" s="661"/>
      <c r="L452" s="666">
        <f>SUM(L435:L439,L442:L444)</f>
        <v>289.43558902212146</v>
      </c>
      <c r="M452" s="654"/>
      <c r="N452" s="659">
        <f>L452-H452</f>
        <v>9.099477022121448</v>
      </c>
      <c r="O452" s="657">
        <f>IF((H452)=0,"",(N452/H452))</f>
        <v>3.2459168236311446E-2</v>
      </c>
      <c r="P452" s="7"/>
    </row>
    <row r="453" spans="1:16" x14ac:dyDescent="0.2">
      <c r="A453" s="7"/>
      <c r="B453" s="650" t="s">
        <v>38</v>
      </c>
      <c r="C453" s="26"/>
      <c r="D453" s="26"/>
      <c r="E453" s="26"/>
      <c r="F453" s="649">
        <v>0.13</v>
      </c>
      <c r="G453" s="653"/>
      <c r="H453" s="670">
        <f>H452*F453</f>
        <v>36.443694560000004</v>
      </c>
      <c r="I453" s="648"/>
      <c r="J453" s="671">
        <v>0.13</v>
      </c>
      <c r="K453" s="648"/>
      <c r="L453" s="672">
        <f>L452*J453</f>
        <v>37.626626572875793</v>
      </c>
      <c r="M453" s="673"/>
      <c r="N453" s="674">
        <f t="shared" si="37"/>
        <v>1.1829320128757885</v>
      </c>
      <c r="O453" s="675">
        <f t="shared" si="39"/>
        <v>3.2459168236311453E-2</v>
      </c>
      <c r="P453" s="7"/>
    </row>
    <row r="454" spans="1:16" x14ac:dyDescent="0.2">
      <c r="A454" s="7"/>
      <c r="B454" s="651" t="s">
        <v>1139</v>
      </c>
      <c r="C454" s="26"/>
      <c r="D454" s="26"/>
      <c r="E454" s="26"/>
      <c r="F454" s="658"/>
      <c r="G454" s="653"/>
      <c r="H454" s="670">
        <f>H452+H453</f>
        <v>316.77980656</v>
      </c>
      <c r="I454" s="648"/>
      <c r="J454" s="648"/>
      <c r="K454" s="648"/>
      <c r="L454" s="672">
        <f>L452+L453</f>
        <v>327.06221559499727</v>
      </c>
      <c r="M454" s="673"/>
      <c r="N454" s="674">
        <f t="shared" si="37"/>
        <v>10.282409034997272</v>
      </c>
      <c r="O454" s="675">
        <f t="shared" si="39"/>
        <v>3.2459168236311557E-2</v>
      </c>
      <c r="P454" s="7"/>
    </row>
    <row r="455" spans="1:16" ht="12.75" customHeight="1" x14ac:dyDescent="0.2">
      <c r="A455" s="7"/>
      <c r="B455" s="1626" t="s">
        <v>1140</v>
      </c>
      <c r="C455" s="1626"/>
      <c r="D455" s="1626"/>
      <c r="E455" s="26"/>
      <c r="F455" s="658"/>
      <c r="G455" s="653"/>
      <c r="H455" s="1052">
        <f>ROUND(-H454*10%,2)</f>
        <v>-31.68</v>
      </c>
      <c r="I455" s="648"/>
      <c r="J455" s="648"/>
      <c r="K455" s="648"/>
      <c r="L455" s="1053">
        <f>ROUND(-L454*10%,2)</f>
        <v>-32.71</v>
      </c>
      <c r="M455" s="673"/>
      <c r="N455" s="1054">
        <f t="shared" si="37"/>
        <v>-1.0300000000000011</v>
      </c>
      <c r="O455" s="1055">
        <f t="shared" si="39"/>
        <v>3.2512626262626299E-2</v>
      </c>
      <c r="P455" s="7"/>
    </row>
    <row r="456" spans="1:16" ht="13.5" customHeight="1" thickBot="1" x14ac:dyDescent="0.25">
      <c r="A456" s="7"/>
      <c r="B456" s="1626" t="s">
        <v>784</v>
      </c>
      <c r="C456" s="1626"/>
      <c r="D456" s="1626"/>
      <c r="E456" s="1056"/>
      <c r="F456" s="1071"/>
      <c r="G456" s="1072"/>
      <c r="H456" s="1073">
        <f>H454+H455</f>
        <v>285.09980655999999</v>
      </c>
      <c r="I456" s="1074"/>
      <c r="J456" s="1074"/>
      <c r="K456" s="1074"/>
      <c r="L456" s="1075">
        <f>L454+L455</f>
        <v>294.35221559499729</v>
      </c>
      <c r="M456" s="1076"/>
      <c r="N456" s="1077">
        <f t="shared" si="37"/>
        <v>9.2524090349972994</v>
      </c>
      <c r="O456" s="1078">
        <f t="shared" si="39"/>
        <v>3.2453228034899091E-2</v>
      </c>
      <c r="P456" s="7"/>
    </row>
    <row r="457" spans="1:16" ht="13.5" thickBot="1" x14ac:dyDescent="0.25">
      <c r="A457" s="7"/>
      <c r="B457" s="1042"/>
      <c r="C457" s="1043"/>
      <c r="D457" s="1044"/>
      <c r="E457" s="1043"/>
      <c r="F457" s="1065"/>
      <c r="G457" s="1066"/>
      <c r="H457" s="1067"/>
      <c r="I457" s="1068"/>
      <c r="J457" s="1065"/>
      <c r="K457" s="1046"/>
      <c r="L457" s="1069"/>
      <c r="M457" s="1048"/>
      <c r="N457" s="1070"/>
      <c r="O457" s="1051"/>
      <c r="P457" s="7"/>
    </row>
    <row r="458" spans="1:16" x14ac:dyDescent="0.2">
      <c r="A458" s="7"/>
      <c r="B458" s="7"/>
      <c r="C458" s="7"/>
      <c r="D458" s="7"/>
      <c r="E458" s="7"/>
      <c r="F458" s="7"/>
      <c r="G458" s="7"/>
      <c r="H458" s="7"/>
      <c r="I458" s="7"/>
      <c r="J458" s="7"/>
      <c r="K458" s="7"/>
      <c r="L458" s="678"/>
      <c r="M458" s="7"/>
      <c r="N458" s="7"/>
      <c r="O458" s="7"/>
      <c r="P458" s="7"/>
    </row>
    <row r="459" spans="1:16" x14ac:dyDescent="0.2">
      <c r="A459" s="7"/>
      <c r="B459" s="8" t="s">
        <v>39</v>
      </c>
      <c r="C459" s="7"/>
      <c r="D459" s="7"/>
      <c r="E459" s="7"/>
      <c r="F459" s="1079">
        <v>3.5600000000000076E-2</v>
      </c>
      <c r="G459" s="7"/>
      <c r="H459" s="7"/>
      <c r="I459" s="7"/>
      <c r="J459" s="1079">
        <v>4.2054064279015257E-2</v>
      </c>
      <c r="K459" s="7"/>
      <c r="L459" s="7"/>
      <c r="M459" s="7"/>
      <c r="N459" s="7"/>
      <c r="O459" s="7"/>
      <c r="P459" s="7"/>
    </row>
    <row r="460" spans="1:16" x14ac:dyDescent="0.2">
      <c r="A460" s="7"/>
      <c r="B460" s="7"/>
      <c r="C460" s="7"/>
      <c r="D460" s="7"/>
      <c r="E460" s="7"/>
      <c r="F460" s="7"/>
      <c r="G460" s="7"/>
      <c r="H460" s="7"/>
      <c r="I460" s="7"/>
      <c r="J460" s="7"/>
      <c r="K460" s="7"/>
      <c r="L460" s="7"/>
      <c r="M460" s="7"/>
      <c r="N460" s="7"/>
      <c r="O460" s="7"/>
      <c r="P460" s="7"/>
    </row>
    <row r="461" spans="1:16" ht="14.25" x14ac:dyDescent="0.2">
      <c r="A461" s="214" t="s">
        <v>1141</v>
      </c>
      <c r="B461" s="7"/>
      <c r="C461" s="7"/>
      <c r="D461" s="7"/>
      <c r="E461" s="7"/>
      <c r="F461" s="7"/>
      <c r="G461" s="7"/>
      <c r="H461" s="7"/>
      <c r="I461" s="7"/>
      <c r="J461" s="7"/>
      <c r="K461" s="7"/>
      <c r="L461" s="7"/>
      <c r="M461" s="7"/>
      <c r="N461" s="7"/>
      <c r="O461" s="7"/>
      <c r="P461" s="7"/>
    </row>
    <row r="462" spans="1:16" x14ac:dyDescent="0.2">
      <c r="A462" s="7"/>
      <c r="B462" s="7"/>
      <c r="C462" s="7"/>
      <c r="D462" s="7"/>
      <c r="E462" s="7"/>
      <c r="F462" s="7"/>
      <c r="G462" s="7"/>
      <c r="H462" s="7"/>
      <c r="I462" s="7"/>
      <c r="J462" s="7"/>
      <c r="K462" s="7"/>
      <c r="L462" s="7"/>
      <c r="M462" s="7"/>
      <c r="N462" s="7"/>
      <c r="O462" s="7"/>
      <c r="P462" s="7"/>
    </row>
    <row r="463" spans="1:16" x14ac:dyDescent="0.2">
      <c r="A463" s="7" t="s">
        <v>107</v>
      </c>
      <c r="B463" s="7"/>
      <c r="C463" s="7"/>
      <c r="D463" s="7"/>
      <c r="E463" s="7"/>
      <c r="F463" s="7"/>
      <c r="G463" s="7"/>
      <c r="H463" s="7"/>
      <c r="I463" s="7"/>
      <c r="J463" s="7"/>
      <c r="K463" s="7"/>
      <c r="L463" s="7"/>
      <c r="M463" s="7"/>
      <c r="N463" s="7"/>
      <c r="O463" s="7"/>
      <c r="P463" s="7"/>
    </row>
    <row r="464" spans="1:16" x14ac:dyDescent="0.2">
      <c r="A464" s="7" t="s">
        <v>108</v>
      </c>
      <c r="B464" s="7"/>
      <c r="C464" s="7"/>
      <c r="D464" s="7"/>
      <c r="E464" s="7"/>
      <c r="F464" s="7"/>
      <c r="G464" s="7"/>
      <c r="H464" s="7"/>
      <c r="I464" s="7"/>
      <c r="J464" s="7"/>
      <c r="K464" s="7"/>
      <c r="L464" s="7"/>
      <c r="M464" s="7"/>
      <c r="N464" s="7"/>
      <c r="O464" s="7"/>
      <c r="P464" s="7"/>
    </row>
    <row r="465" spans="1:16" x14ac:dyDescent="0.2">
      <c r="A465" s="7"/>
      <c r="B465" s="7"/>
      <c r="C465" s="7"/>
      <c r="D465" s="7"/>
      <c r="E465" s="7"/>
      <c r="F465" s="7"/>
      <c r="G465" s="7"/>
      <c r="H465" s="7"/>
      <c r="I465" s="7"/>
      <c r="J465" s="7"/>
      <c r="K465" s="7"/>
      <c r="L465" s="7"/>
      <c r="M465" s="7"/>
      <c r="N465" s="7"/>
      <c r="O465" s="7"/>
      <c r="P465" s="7"/>
    </row>
    <row r="466" spans="1:16" x14ac:dyDescent="0.2">
      <c r="A466" s="7" t="s">
        <v>331</v>
      </c>
      <c r="B466" s="7"/>
      <c r="C466" s="7"/>
      <c r="D466" s="7"/>
      <c r="E466" s="7"/>
      <c r="F466" s="7"/>
      <c r="G466" s="7"/>
      <c r="H466" s="7"/>
      <c r="I466" s="7"/>
      <c r="J466" s="7"/>
      <c r="K466" s="7"/>
      <c r="L466" s="7"/>
      <c r="M466" s="7"/>
      <c r="N466" s="7"/>
      <c r="O466" s="7"/>
      <c r="P466" s="7"/>
    </row>
    <row r="467" spans="1:16" x14ac:dyDescent="0.2">
      <c r="A467" s="7" t="s">
        <v>109</v>
      </c>
      <c r="B467" s="7"/>
      <c r="C467" s="7"/>
      <c r="D467" s="7"/>
      <c r="E467" s="7"/>
      <c r="F467" s="7"/>
      <c r="G467" s="7"/>
      <c r="H467" s="7"/>
      <c r="I467" s="7"/>
      <c r="J467" s="7"/>
      <c r="K467" s="7"/>
      <c r="L467" s="7"/>
      <c r="M467" s="7"/>
      <c r="N467" s="7"/>
      <c r="O467" s="7"/>
      <c r="P467" s="7"/>
    </row>
    <row r="468" spans="1:16" x14ac:dyDescent="0.2">
      <c r="A468" s="7"/>
      <c r="B468" s="7"/>
      <c r="C468" s="7"/>
      <c r="D468" s="7"/>
      <c r="E468" s="7"/>
      <c r="F468" s="7"/>
      <c r="G468" s="7"/>
      <c r="H468" s="7"/>
      <c r="I468" s="7"/>
      <c r="J468" s="7"/>
      <c r="K468" s="7"/>
      <c r="L468" s="7"/>
      <c r="M468" s="7"/>
      <c r="N468" s="7"/>
      <c r="O468" s="7"/>
      <c r="P468" s="7"/>
    </row>
    <row r="469" spans="1:16" x14ac:dyDescent="0.2">
      <c r="A469" s="7" t="s">
        <v>110</v>
      </c>
      <c r="B469" s="7"/>
      <c r="C469" s="7"/>
      <c r="D469" s="7"/>
      <c r="E469" s="7"/>
      <c r="F469" s="7"/>
      <c r="G469" s="7"/>
      <c r="H469" s="7"/>
      <c r="I469" s="7"/>
      <c r="J469" s="7"/>
      <c r="K469" s="7"/>
      <c r="L469" s="7"/>
      <c r="M469" s="7"/>
      <c r="N469" s="7"/>
      <c r="O469" s="7"/>
      <c r="P469" s="7"/>
    </row>
    <row r="470" spans="1:16" x14ac:dyDescent="0.2">
      <c r="A470" s="7" t="s">
        <v>111</v>
      </c>
      <c r="B470" s="7"/>
      <c r="C470" s="7"/>
      <c r="D470" s="7"/>
      <c r="E470" s="7"/>
      <c r="F470" s="7"/>
      <c r="G470" s="7"/>
      <c r="H470" s="7"/>
      <c r="I470" s="7"/>
      <c r="J470" s="7"/>
      <c r="K470" s="7"/>
      <c r="L470" s="7"/>
      <c r="M470" s="7"/>
      <c r="N470" s="7"/>
      <c r="O470" s="7"/>
      <c r="P470" s="7"/>
    </row>
    <row r="471" spans="1:16" x14ac:dyDescent="0.2">
      <c r="A471" s="7" t="s">
        <v>112</v>
      </c>
      <c r="B471" s="7"/>
      <c r="C471" s="7"/>
      <c r="D471" s="7"/>
      <c r="E471" s="7"/>
      <c r="F471" s="7"/>
      <c r="G471" s="7"/>
      <c r="H471" s="7"/>
      <c r="I471" s="7"/>
      <c r="J471" s="7"/>
      <c r="K471" s="7"/>
      <c r="L471" s="7"/>
      <c r="M471" s="7"/>
      <c r="N471" s="7"/>
      <c r="O471" s="7"/>
      <c r="P471" s="7"/>
    </row>
    <row r="472" spans="1:16" x14ac:dyDescent="0.2">
      <c r="A472" s="7" t="s">
        <v>113</v>
      </c>
      <c r="B472" s="7"/>
      <c r="C472" s="7"/>
      <c r="D472" s="7"/>
      <c r="E472" s="7"/>
      <c r="F472" s="7"/>
      <c r="G472" s="7"/>
      <c r="H472" s="7"/>
      <c r="I472" s="7"/>
      <c r="J472" s="7"/>
      <c r="K472" s="7"/>
      <c r="L472" s="7"/>
      <c r="M472" s="7"/>
      <c r="N472" s="7"/>
      <c r="O472" s="7"/>
      <c r="P472" s="7"/>
    </row>
    <row r="473" spans="1:16" x14ac:dyDescent="0.2">
      <c r="A473" s="7" t="s">
        <v>114</v>
      </c>
      <c r="B473" s="7"/>
      <c r="C473" s="7"/>
      <c r="D473" s="7"/>
      <c r="E473" s="7"/>
      <c r="F473" s="7"/>
      <c r="G473" s="7"/>
      <c r="H473" s="7"/>
      <c r="I473" s="7"/>
      <c r="J473" s="7"/>
      <c r="K473" s="7"/>
      <c r="L473" s="7"/>
      <c r="M473" s="7"/>
      <c r="N473" s="7"/>
      <c r="O473" s="7"/>
      <c r="P473" s="7"/>
    </row>
    <row r="475" spans="1:16" ht="21.75" x14ac:dyDescent="0.2">
      <c r="A475" s="41"/>
      <c r="B475" s="41"/>
      <c r="C475" s="41"/>
      <c r="D475" s="41"/>
      <c r="E475" s="41"/>
      <c r="F475" s="41"/>
      <c r="G475" s="41"/>
      <c r="H475" s="41"/>
      <c r="I475" s="41"/>
      <c r="J475" s="41"/>
      <c r="K475" s="41"/>
      <c r="L475" s="37"/>
      <c r="M475" s="37"/>
      <c r="N475" s="16" t="s">
        <v>444</v>
      </c>
      <c r="O475" s="250" t="s">
        <v>866</v>
      </c>
    </row>
    <row r="476" spans="1:16" ht="18" x14ac:dyDescent="0.25">
      <c r="A476" s="40"/>
      <c r="B476" s="40"/>
      <c r="C476" s="40"/>
      <c r="D476" s="40"/>
      <c r="E476" s="40"/>
      <c r="F476" s="40"/>
      <c r="G476" s="40"/>
      <c r="H476" s="40"/>
      <c r="I476" s="40"/>
      <c r="J476" s="40"/>
      <c r="K476" s="40"/>
      <c r="L476" s="37"/>
      <c r="M476" s="37"/>
      <c r="N476" s="16" t="s">
        <v>445</v>
      </c>
      <c r="O476" s="1001"/>
    </row>
    <row r="477" spans="1:16" x14ac:dyDescent="0.2">
      <c r="A477" s="1626"/>
      <c r="B477" s="1626"/>
      <c r="C477" s="1626"/>
      <c r="D477" s="1626"/>
      <c r="E477" s="1626"/>
      <c r="F477" s="1626"/>
      <c r="G477" s="1626"/>
      <c r="H477" s="1626"/>
      <c r="I477" s="1626"/>
      <c r="J477" s="1626"/>
      <c r="K477" s="1626"/>
      <c r="L477" s="37"/>
      <c r="M477" s="37"/>
      <c r="N477" s="16" t="s">
        <v>446</v>
      </c>
      <c r="O477" s="1001"/>
    </row>
    <row r="478" spans="1:16" ht="18" x14ac:dyDescent="0.25">
      <c r="A478" s="40"/>
      <c r="B478" s="40"/>
      <c r="C478" s="40"/>
      <c r="D478" s="40"/>
      <c r="E478" s="40"/>
      <c r="F478" s="40"/>
      <c r="G478" s="40"/>
      <c r="H478" s="40"/>
      <c r="I478" s="38"/>
      <c r="J478" s="38"/>
      <c r="K478" s="38"/>
      <c r="L478" s="37"/>
      <c r="M478" s="37"/>
      <c r="N478" s="16" t="s">
        <v>447</v>
      </c>
      <c r="O478" s="1001"/>
    </row>
    <row r="479" spans="1:16" ht="15.75" x14ac:dyDescent="0.25">
      <c r="A479" s="37"/>
      <c r="B479" s="37"/>
      <c r="C479" s="39"/>
      <c r="D479" s="39"/>
      <c r="E479" s="39"/>
      <c r="F479" s="37"/>
      <c r="G479" s="37"/>
      <c r="H479" s="37"/>
      <c r="I479" s="37"/>
      <c r="J479" s="37"/>
      <c r="K479" s="37"/>
      <c r="L479" s="37"/>
      <c r="M479" s="37"/>
      <c r="N479" s="16" t="s">
        <v>448</v>
      </c>
      <c r="O479" s="1002" t="s">
        <v>1148</v>
      </c>
    </row>
    <row r="480" spans="1:16" x14ac:dyDescent="0.2">
      <c r="A480" s="37"/>
      <c r="B480" s="37"/>
      <c r="C480" s="37"/>
      <c r="D480" s="37"/>
      <c r="E480" s="37"/>
      <c r="F480" s="37"/>
      <c r="G480" s="37"/>
      <c r="H480" s="37"/>
      <c r="I480" s="37"/>
      <c r="J480" s="37"/>
      <c r="K480" s="37"/>
      <c r="L480" s="37"/>
      <c r="M480" s="37"/>
      <c r="N480" s="16"/>
      <c r="O480" s="250"/>
    </row>
    <row r="481" spans="1:16" x14ac:dyDescent="0.2">
      <c r="A481" s="37"/>
      <c r="B481" s="37"/>
      <c r="C481" s="37"/>
      <c r="D481" s="37"/>
      <c r="E481" s="37"/>
      <c r="F481" s="37"/>
      <c r="G481" s="37"/>
      <c r="H481" s="37"/>
      <c r="I481" s="37"/>
      <c r="J481" s="37"/>
      <c r="K481" s="37"/>
      <c r="L481" s="37"/>
      <c r="M481" s="37"/>
      <c r="N481" s="16" t="s">
        <v>449</v>
      </c>
      <c r="O481" s="1002"/>
    </row>
    <row r="482" spans="1:16" x14ac:dyDescent="0.2">
      <c r="A482" s="37"/>
      <c r="B482" s="37"/>
      <c r="C482" s="37"/>
      <c r="D482" s="37"/>
      <c r="E482" s="37"/>
      <c r="F482" s="37"/>
      <c r="G482" s="37"/>
      <c r="H482" s="37"/>
      <c r="I482" s="37"/>
      <c r="J482" s="37"/>
      <c r="K482" s="37"/>
      <c r="L482" s="37"/>
      <c r="M482" s="37"/>
      <c r="N482" s="7"/>
    </row>
    <row r="483" spans="1:16" x14ac:dyDescent="0.2">
      <c r="A483" s="7"/>
      <c r="B483" s="7"/>
      <c r="C483" s="7"/>
      <c r="D483" s="7"/>
      <c r="E483" s="7"/>
      <c r="F483" s="7"/>
      <c r="G483" s="7"/>
      <c r="H483" s="7"/>
      <c r="I483" s="7"/>
      <c r="J483" s="7"/>
      <c r="K483" s="7"/>
    </row>
    <row r="484" spans="1:16" x14ac:dyDescent="0.2">
      <c r="A484" s="7"/>
      <c r="B484" s="1626" t="s">
        <v>695</v>
      </c>
      <c r="C484" s="1626"/>
      <c r="D484" s="1626"/>
      <c r="E484" s="1626"/>
      <c r="F484" s="1626"/>
      <c r="G484" s="1626"/>
      <c r="H484" s="1626"/>
      <c r="I484" s="1626"/>
      <c r="J484" s="1626"/>
      <c r="K484" s="1626"/>
      <c r="L484" s="1626"/>
      <c r="M484" s="1626"/>
      <c r="N484" s="1626"/>
      <c r="O484" s="1626"/>
    </row>
    <row r="485" spans="1:16" x14ac:dyDescent="0.2">
      <c r="A485" s="7"/>
      <c r="B485" s="1626" t="s">
        <v>63</v>
      </c>
      <c r="C485" s="1626"/>
      <c r="D485" s="1626"/>
      <c r="E485" s="1626"/>
      <c r="F485" s="1626"/>
      <c r="G485" s="1626"/>
      <c r="H485" s="1626"/>
      <c r="I485" s="1626"/>
      <c r="J485" s="1626"/>
      <c r="K485" s="1626"/>
      <c r="L485" s="1626"/>
      <c r="M485" s="1626"/>
      <c r="N485" s="1626"/>
      <c r="O485" s="1626"/>
    </row>
    <row r="486" spans="1:16" x14ac:dyDescent="0.2">
      <c r="A486" s="7"/>
      <c r="B486" s="7"/>
      <c r="C486" s="7"/>
      <c r="D486" s="7"/>
      <c r="E486" s="7"/>
      <c r="F486" s="7"/>
      <c r="G486" s="7"/>
      <c r="H486" s="7"/>
      <c r="I486" s="7"/>
      <c r="J486" s="7"/>
      <c r="K486" s="7"/>
    </row>
    <row r="487" spans="1:16" x14ac:dyDescent="0.2">
      <c r="A487" s="7"/>
      <c r="B487" s="7"/>
      <c r="C487" s="7"/>
      <c r="D487" s="7"/>
      <c r="E487" s="7"/>
      <c r="F487" s="7"/>
      <c r="G487" s="7"/>
      <c r="H487" s="7"/>
      <c r="I487" s="7"/>
      <c r="J487" s="7"/>
      <c r="K487" s="7"/>
    </row>
    <row r="488" spans="1:16" x14ac:dyDescent="0.2">
      <c r="A488" s="7"/>
      <c r="B488" s="43" t="s">
        <v>40</v>
      </c>
      <c r="C488" s="7"/>
      <c r="D488" s="1626" t="s">
        <v>1146</v>
      </c>
      <c r="E488" s="1626"/>
      <c r="F488" s="1626"/>
      <c r="G488" s="1626"/>
      <c r="H488" s="1626"/>
      <c r="I488" s="1626"/>
      <c r="J488" s="1626"/>
      <c r="K488" s="1626"/>
      <c r="L488" s="1626"/>
      <c r="M488" s="1626"/>
      <c r="N488" s="1626"/>
      <c r="O488" s="1626"/>
      <c r="P488" s="7"/>
    </row>
    <row r="489" spans="1:16" ht="15.75" x14ac:dyDescent="0.25">
      <c r="A489" s="7"/>
      <c r="B489" s="1003"/>
      <c r="C489" s="7"/>
      <c r="D489" s="42"/>
      <c r="E489" s="42"/>
      <c r="F489" s="42"/>
      <c r="G489" s="42"/>
      <c r="H489" s="42"/>
      <c r="I489" s="42"/>
      <c r="J489" s="42"/>
      <c r="K489" s="42"/>
      <c r="L489" s="42"/>
      <c r="M489" s="42"/>
      <c r="N489" s="42"/>
      <c r="O489" s="42"/>
      <c r="P489" s="7"/>
    </row>
    <row r="490" spans="1:16" x14ac:dyDescent="0.2">
      <c r="A490" s="7"/>
      <c r="B490" s="647"/>
      <c r="C490" s="7"/>
      <c r="D490" s="8" t="s">
        <v>17</v>
      </c>
      <c r="E490" s="8"/>
      <c r="F490" s="1004">
        <v>5000</v>
      </c>
      <c r="G490" s="8" t="s">
        <v>18</v>
      </c>
      <c r="H490" s="7"/>
      <c r="I490" s="7"/>
      <c r="J490" s="7"/>
      <c r="K490" s="7"/>
      <c r="L490" s="7"/>
      <c r="M490" s="7"/>
      <c r="N490" s="7"/>
      <c r="O490" s="7"/>
      <c r="P490" s="7"/>
    </row>
    <row r="491" spans="1:16" x14ac:dyDescent="0.2">
      <c r="A491" s="7"/>
      <c r="B491" s="647"/>
      <c r="C491" s="7"/>
      <c r="D491" s="7"/>
      <c r="E491" s="7"/>
      <c r="F491" s="7"/>
      <c r="G491" s="7"/>
      <c r="H491" s="7"/>
      <c r="I491" s="7"/>
      <c r="J491" s="7"/>
      <c r="K491" s="7"/>
      <c r="L491" s="7"/>
      <c r="M491" s="7"/>
      <c r="N491" s="7"/>
      <c r="O491" s="7"/>
      <c r="P491" s="7"/>
    </row>
    <row r="492" spans="1:16" x14ac:dyDescent="0.2">
      <c r="A492" s="7"/>
      <c r="B492" s="647"/>
      <c r="C492" s="7"/>
      <c r="D492" s="19"/>
      <c r="E492" s="19"/>
      <c r="F492" s="1626" t="s">
        <v>19</v>
      </c>
      <c r="G492" s="1626"/>
      <c r="H492" s="1626"/>
      <c r="I492" s="7"/>
      <c r="J492" s="1626" t="s">
        <v>20</v>
      </c>
      <c r="K492" s="1626"/>
      <c r="L492" s="1626"/>
      <c r="M492" s="7"/>
      <c r="N492" s="1626" t="s">
        <v>21</v>
      </c>
      <c r="O492" s="1626"/>
      <c r="P492" s="7"/>
    </row>
    <row r="493" spans="1:16" ht="12.75" customHeight="1" x14ac:dyDescent="0.2">
      <c r="A493" s="7"/>
      <c r="B493" s="647"/>
      <c r="C493" s="7"/>
      <c r="D493" s="1626" t="s">
        <v>22</v>
      </c>
      <c r="E493" s="20"/>
      <c r="F493" s="21" t="s">
        <v>23</v>
      </c>
      <c r="G493" s="21" t="s">
        <v>24</v>
      </c>
      <c r="H493" s="22" t="s">
        <v>25</v>
      </c>
      <c r="I493" s="7"/>
      <c r="J493" s="21" t="s">
        <v>23</v>
      </c>
      <c r="K493" s="23" t="s">
        <v>24</v>
      </c>
      <c r="L493" s="22" t="s">
        <v>25</v>
      </c>
      <c r="M493" s="7"/>
      <c r="N493" s="1626" t="s">
        <v>26</v>
      </c>
      <c r="O493" s="1626" t="s">
        <v>27</v>
      </c>
      <c r="P493" s="7"/>
    </row>
    <row r="494" spans="1:16" x14ac:dyDescent="0.2">
      <c r="A494" s="7"/>
      <c r="B494" s="647"/>
      <c r="C494" s="7"/>
      <c r="D494" s="1626"/>
      <c r="E494" s="20"/>
      <c r="F494" s="24" t="s">
        <v>452</v>
      </c>
      <c r="G494" s="24"/>
      <c r="H494" s="25" t="s">
        <v>452</v>
      </c>
      <c r="I494" s="7"/>
      <c r="J494" s="24" t="s">
        <v>452</v>
      </c>
      <c r="K494" s="25"/>
      <c r="L494" s="25" t="s">
        <v>452</v>
      </c>
      <c r="M494" s="7"/>
      <c r="N494" s="1626"/>
      <c r="O494" s="1626"/>
      <c r="P494" s="7"/>
    </row>
    <row r="495" spans="1:16" x14ac:dyDescent="0.2">
      <c r="A495" s="7"/>
      <c r="B495" s="26" t="s">
        <v>28</v>
      </c>
      <c r="C495" s="26"/>
      <c r="D495" s="1005" t="s">
        <v>1130</v>
      </c>
      <c r="E495" s="27"/>
      <c r="F495" s="1006">
        <v>23.71</v>
      </c>
      <c r="G495" s="32">
        <v>1</v>
      </c>
      <c r="H495" s="1007">
        <f>G495*F495</f>
        <v>23.71</v>
      </c>
      <c r="I495" s="30"/>
      <c r="J495" s="1008">
        <v>28.16</v>
      </c>
      <c r="K495" s="33">
        <v>1</v>
      </c>
      <c r="L495" s="1007">
        <f>K495*J495</f>
        <v>28.16</v>
      </c>
      <c r="M495" s="30"/>
      <c r="N495" s="34">
        <f>L495-H495</f>
        <v>4.4499999999999993</v>
      </c>
      <c r="O495" s="202">
        <f>IF((H495)=0,"",(N495/H495))</f>
        <v>0.1876845212990299</v>
      </c>
      <c r="P495" s="7"/>
    </row>
    <row r="496" spans="1:16" x14ac:dyDescent="0.2">
      <c r="A496" s="7"/>
      <c r="B496" s="26" t="s">
        <v>29</v>
      </c>
      <c r="C496" s="26"/>
      <c r="D496" s="1005" t="s">
        <v>1130</v>
      </c>
      <c r="E496" s="27"/>
      <c r="F496" s="1006">
        <v>6.06</v>
      </c>
      <c r="G496" s="32">
        <v>1</v>
      </c>
      <c r="H496" s="1007">
        <f t="shared" ref="H496:H504" si="42">G496*F496</f>
        <v>6.06</v>
      </c>
      <c r="I496" s="30"/>
      <c r="J496" s="1008">
        <v>6.06</v>
      </c>
      <c r="K496" s="33">
        <v>1</v>
      </c>
      <c r="L496" s="1007">
        <f>K496*J496</f>
        <v>6.06</v>
      </c>
      <c r="M496" s="30"/>
      <c r="N496" s="34">
        <f>L496-H496</f>
        <v>0</v>
      </c>
      <c r="O496" s="202">
        <f>IF((H496)=0,"",(N496/H496))</f>
        <v>0</v>
      </c>
      <c r="P496" s="7"/>
    </row>
    <row r="497" spans="1:16" x14ac:dyDescent="0.2">
      <c r="A497" s="7"/>
      <c r="B497" s="1009" t="s">
        <v>1131</v>
      </c>
      <c r="C497" s="26"/>
      <c r="D497" s="1005" t="s">
        <v>79</v>
      </c>
      <c r="E497" s="27"/>
      <c r="F497" s="1006">
        <v>-2.9999999999999997E-4</v>
      </c>
      <c r="G497" s="32">
        <f>F490</f>
        <v>5000</v>
      </c>
      <c r="H497" s="1007">
        <f t="shared" si="42"/>
        <v>-1.4999999999999998</v>
      </c>
      <c r="I497" s="30"/>
      <c r="J497" s="1008">
        <v>0</v>
      </c>
      <c r="K497" s="33">
        <f>F490</f>
        <v>5000</v>
      </c>
      <c r="L497" s="1007">
        <f t="shared" ref="L497:L504" si="43">K497*J497</f>
        <v>0</v>
      </c>
      <c r="M497" s="30"/>
      <c r="N497" s="34">
        <f t="shared" ref="N497:N535" si="44">L497-H497</f>
        <v>1.4999999999999998</v>
      </c>
      <c r="O497" s="202">
        <f t="shared" ref="O497:O505" si="45">IF((H497)=0,"",(N497/H497))</f>
        <v>-1</v>
      </c>
      <c r="P497" s="7"/>
    </row>
    <row r="498" spans="1:16" x14ac:dyDescent="0.2">
      <c r="A498" s="7"/>
      <c r="B498" s="1009" t="s">
        <v>36</v>
      </c>
      <c r="C498" s="26"/>
      <c r="D498" s="1005" t="s">
        <v>1130</v>
      </c>
      <c r="E498" s="27"/>
      <c r="F498" s="1006">
        <v>0.25</v>
      </c>
      <c r="G498" s="32">
        <v>1</v>
      </c>
      <c r="H498" s="1007">
        <f t="shared" si="42"/>
        <v>0.25</v>
      </c>
      <c r="I498" s="30"/>
      <c r="J498" s="1008">
        <v>0.25</v>
      </c>
      <c r="K498" s="33">
        <v>1</v>
      </c>
      <c r="L498" s="1007">
        <f t="shared" si="43"/>
        <v>0.25</v>
      </c>
      <c r="M498" s="30"/>
      <c r="N498" s="34">
        <f t="shared" si="44"/>
        <v>0</v>
      </c>
      <c r="O498" s="202">
        <f t="shared" si="45"/>
        <v>0</v>
      </c>
      <c r="P498" s="7"/>
    </row>
    <row r="499" spans="1:16" x14ac:dyDescent="0.2">
      <c r="A499" s="7"/>
      <c r="B499" s="26" t="s">
        <v>30</v>
      </c>
      <c r="C499" s="26"/>
      <c r="D499" s="1005" t="s">
        <v>79</v>
      </c>
      <c r="E499" s="27"/>
      <c r="F499" s="1006">
        <v>1.66E-2</v>
      </c>
      <c r="G499" s="32">
        <f>F490</f>
        <v>5000</v>
      </c>
      <c r="H499" s="1007">
        <f t="shared" si="42"/>
        <v>83</v>
      </c>
      <c r="I499" s="30"/>
      <c r="J499" s="1008">
        <v>1.9699999999999999E-2</v>
      </c>
      <c r="K499" s="32">
        <f>F490</f>
        <v>5000</v>
      </c>
      <c r="L499" s="1007">
        <f t="shared" si="43"/>
        <v>98.5</v>
      </c>
      <c r="M499" s="30"/>
      <c r="N499" s="34">
        <f t="shared" si="44"/>
        <v>15.5</v>
      </c>
      <c r="O499" s="202">
        <f t="shared" si="45"/>
        <v>0.18674698795180722</v>
      </c>
      <c r="P499" s="7"/>
    </row>
    <row r="500" spans="1:16" x14ac:dyDescent="0.2">
      <c r="A500" s="7"/>
      <c r="B500" s="26" t="s">
        <v>31</v>
      </c>
      <c r="C500" s="26"/>
      <c r="D500" s="1005"/>
      <c r="E500" s="27"/>
      <c r="F500" s="1006"/>
      <c r="G500" s="32"/>
      <c r="H500" s="1007">
        <f t="shared" si="42"/>
        <v>0</v>
      </c>
      <c r="I500" s="30"/>
      <c r="J500" s="1008"/>
      <c r="K500" s="32"/>
      <c r="L500" s="1007">
        <f t="shared" si="43"/>
        <v>0</v>
      </c>
      <c r="M500" s="30"/>
      <c r="N500" s="34">
        <f t="shared" si="44"/>
        <v>0</v>
      </c>
      <c r="O500" s="202" t="str">
        <f t="shared" si="45"/>
        <v/>
      </c>
      <c r="P500" s="7"/>
    </row>
    <row r="501" spans="1:16" x14ac:dyDescent="0.2">
      <c r="A501" s="7"/>
      <c r="B501" s="26" t="s">
        <v>1132</v>
      </c>
      <c r="C501" s="26"/>
      <c r="D501" s="1005" t="s">
        <v>80</v>
      </c>
      <c r="E501" s="27"/>
      <c r="F501" s="1006">
        <v>1E-4</v>
      </c>
      <c r="G501" s="32">
        <f>F490</f>
        <v>5000</v>
      </c>
      <c r="H501" s="1007">
        <f t="shared" si="42"/>
        <v>0.5</v>
      </c>
      <c r="I501" s="30"/>
      <c r="J501" s="1008">
        <v>0</v>
      </c>
      <c r="K501" s="32">
        <f>F490</f>
        <v>5000</v>
      </c>
      <c r="L501" s="1007">
        <f t="shared" si="43"/>
        <v>0</v>
      </c>
      <c r="M501" s="30"/>
      <c r="N501" s="34">
        <f t="shared" si="44"/>
        <v>-0.5</v>
      </c>
      <c r="O501" s="202">
        <f t="shared" si="45"/>
        <v>-1</v>
      </c>
      <c r="P501" s="7"/>
    </row>
    <row r="502" spans="1:16" x14ac:dyDescent="0.2">
      <c r="A502" s="7"/>
      <c r="B502" s="26" t="s">
        <v>1133</v>
      </c>
      <c r="C502" s="26"/>
      <c r="D502" s="1005" t="s">
        <v>80</v>
      </c>
      <c r="E502" s="27"/>
      <c r="F502" s="1006">
        <v>2.0000000000000001E-4</v>
      </c>
      <c r="G502" s="32">
        <f>F490</f>
        <v>5000</v>
      </c>
      <c r="H502" s="1007">
        <f t="shared" si="42"/>
        <v>1</v>
      </c>
      <c r="I502" s="30"/>
      <c r="J502" s="1008">
        <v>2.0000000000000001E-4</v>
      </c>
      <c r="K502" s="32">
        <f>F490</f>
        <v>5000</v>
      </c>
      <c r="L502" s="1007">
        <f t="shared" si="43"/>
        <v>1</v>
      </c>
      <c r="M502" s="30"/>
      <c r="N502" s="34">
        <f t="shared" si="44"/>
        <v>0</v>
      </c>
      <c r="O502" s="202">
        <f t="shared" si="45"/>
        <v>0</v>
      </c>
      <c r="P502" s="7"/>
    </row>
    <row r="503" spans="1:16" x14ac:dyDescent="0.2">
      <c r="A503" s="7"/>
      <c r="B503" s="26" t="s">
        <v>1134</v>
      </c>
      <c r="C503" s="26"/>
      <c r="D503" s="1005" t="s">
        <v>80</v>
      </c>
      <c r="E503" s="27"/>
      <c r="F503" s="1006">
        <v>0</v>
      </c>
      <c r="G503" s="32">
        <f>F490</f>
        <v>5000</v>
      </c>
      <c r="H503" s="1007">
        <f t="shared" si="42"/>
        <v>0</v>
      </c>
      <c r="I503" s="30"/>
      <c r="J503" s="1008">
        <v>2.9999999999999997E-4</v>
      </c>
      <c r="K503" s="32">
        <f>F490</f>
        <v>5000</v>
      </c>
      <c r="L503" s="1007">
        <f t="shared" si="43"/>
        <v>1.4999999999999998</v>
      </c>
      <c r="M503" s="30"/>
      <c r="N503" s="34">
        <f t="shared" si="44"/>
        <v>1.4999999999999998</v>
      </c>
      <c r="O503" s="202" t="str">
        <f t="shared" si="45"/>
        <v/>
      </c>
      <c r="P503" s="7"/>
    </row>
    <row r="504" spans="1:16" x14ac:dyDescent="0.2">
      <c r="A504" s="7"/>
      <c r="B504" s="1010" t="s">
        <v>1135</v>
      </c>
      <c r="C504" s="26"/>
      <c r="D504" s="1005" t="s">
        <v>1130</v>
      </c>
      <c r="E504" s="27"/>
      <c r="F504" s="1006">
        <v>0</v>
      </c>
      <c r="G504" s="32">
        <v>1</v>
      </c>
      <c r="H504" s="1007">
        <f t="shared" si="42"/>
        <v>0</v>
      </c>
      <c r="I504" s="30"/>
      <c r="J504" s="1008">
        <v>2.2400000000000002</v>
      </c>
      <c r="K504" s="32">
        <v>1</v>
      </c>
      <c r="L504" s="1007">
        <f t="shared" si="43"/>
        <v>2.2400000000000002</v>
      </c>
      <c r="M504" s="30"/>
      <c r="N504" s="34">
        <f t="shared" si="44"/>
        <v>2.2400000000000002</v>
      </c>
      <c r="O504" s="202" t="str">
        <f t="shared" si="45"/>
        <v/>
      </c>
      <c r="P504" s="7"/>
    </row>
    <row r="505" spans="1:16" x14ac:dyDescent="0.2">
      <c r="A505" s="29"/>
      <c r="B505" s="1011" t="s">
        <v>698</v>
      </c>
      <c r="C505" s="1012"/>
      <c r="D505" s="1013"/>
      <c r="E505" s="1012"/>
      <c r="F505" s="1014"/>
      <c r="G505" s="1015"/>
      <c r="H505" s="1016">
        <f>SUM(H495:H504)</f>
        <v>113.02</v>
      </c>
      <c r="I505" s="1017"/>
      <c r="J505" s="1018"/>
      <c r="K505" s="1019"/>
      <c r="L505" s="1016">
        <f>SUM(L495:L504)</f>
        <v>137.71</v>
      </c>
      <c r="M505" s="1017"/>
      <c r="N505" s="1020">
        <f t="shared" si="44"/>
        <v>24.690000000000012</v>
      </c>
      <c r="O505" s="1021">
        <f t="shared" si="45"/>
        <v>0.21845691028136624</v>
      </c>
      <c r="P505" s="29"/>
    </row>
    <row r="506" spans="1:16" ht="38.25" x14ac:dyDescent="0.2">
      <c r="A506" s="7"/>
      <c r="B506" s="1022" t="s">
        <v>1136</v>
      </c>
      <c r="C506" s="26"/>
      <c r="D506" s="1005" t="s">
        <v>80</v>
      </c>
      <c r="E506" s="27"/>
      <c r="F506" s="1006">
        <v>1.1999999999999999E-3</v>
      </c>
      <c r="G506" s="32">
        <f>F490</f>
        <v>5000</v>
      </c>
      <c r="H506" s="1007">
        <f>G506*F506</f>
        <v>5.9999999999999991</v>
      </c>
      <c r="I506" s="30"/>
      <c r="J506" s="1008">
        <v>0</v>
      </c>
      <c r="K506" s="32">
        <f>F490</f>
        <v>5000</v>
      </c>
      <c r="L506" s="1007">
        <f>K506*J506</f>
        <v>0</v>
      </c>
      <c r="M506" s="30"/>
      <c r="N506" s="34">
        <f t="shared" si="44"/>
        <v>-5.9999999999999991</v>
      </c>
      <c r="O506" s="202">
        <f>IF((H506)=0,"",(N506/H506))</f>
        <v>-1</v>
      </c>
      <c r="P506" s="7"/>
    </row>
    <row r="507" spans="1:16" ht="38.25" x14ac:dyDescent="0.2">
      <c r="A507" s="7"/>
      <c r="B507" s="1022" t="s">
        <v>1137</v>
      </c>
      <c r="C507" s="26"/>
      <c r="D507" s="1005" t="s">
        <v>80</v>
      </c>
      <c r="E507" s="27"/>
      <c r="F507" s="1006">
        <v>-1.6000000000000001E-3</v>
      </c>
      <c r="G507" s="32">
        <f>F490</f>
        <v>5000</v>
      </c>
      <c r="H507" s="1007">
        <f>G507*F507</f>
        <v>-8</v>
      </c>
      <c r="I507" s="30"/>
      <c r="J507" s="1008">
        <v>-1.6000000000000001E-3</v>
      </c>
      <c r="K507" s="32">
        <f>F490</f>
        <v>5000</v>
      </c>
      <c r="L507" s="1007">
        <f>K507*J507</f>
        <v>-8</v>
      </c>
      <c r="M507" s="30"/>
      <c r="N507" s="34">
        <f t="shared" si="44"/>
        <v>0</v>
      </c>
      <c r="O507" s="202">
        <f>IF((H507)=0,"",(N507/H507))</f>
        <v>0</v>
      </c>
      <c r="P507" s="7"/>
    </row>
    <row r="508" spans="1:16" ht="51" x14ac:dyDescent="0.2">
      <c r="A508" s="7"/>
      <c r="B508" s="1022" t="s">
        <v>1138</v>
      </c>
      <c r="C508" s="26"/>
      <c r="D508" s="1005" t="s">
        <v>80</v>
      </c>
      <c r="E508" s="27"/>
      <c r="F508" s="1006">
        <v>0</v>
      </c>
      <c r="G508" s="32">
        <f>F490</f>
        <v>5000</v>
      </c>
      <c r="H508" s="1007">
        <f>G508*F508</f>
        <v>0</v>
      </c>
      <c r="I508" s="30"/>
      <c r="J508" s="1008">
        <v>-1.1000000000000001E-3</v>
      </c>
      <c r="K508" s="32">
        <f>F490</f>
        <v>5000</v>
      </c>
      <c r="L508" s="1007">
        <f>K508*J508</f>
        <v>-5.5</v>
      </c>
      <c r="M508" s="30"/>
      <c r="N508" s="34">
        <f t="shared" si="44"/>
        <v>-5.5</v>
      </c>
      <c r="O508" s="202" t="str">
        <f>IF((H508)=0,"",(N508/H508))</f>
        <v/>
      </c>
      <c r="P508" s="7"/>
    </row>
    <row r="509" spans="1:16" x14ac:dyDescent="0.2">
      <c r="A509" s="7"/>
      <c r="B509" s="564" t="s">
        <v>808</v>
      </c>
      <c r="C509" s="26"/>
      <c r="D509" s="1005" t="s">
        <v>79</v>
      </c>
      <c r="E509" s="27"/>
      <c r="F509" s="1006">
        <v>2.0000000000000001E-4</v>
      </c>
      <c r="G509" s="32">
        <f>F490</f>
        <v>5000</v>
      </c>
      <c r="H509" s="1007">
        <f>G509*F509</f>
        <v>1</v>
      </c>
      <c r="I509" s="30"/>
      <c r="J509" s="1008">
        <v>2.0000000000000001E-4</v>
      </c>
      <c r="K509" s="32">
        <f>F490</f>
        <v>5000</v>
      </c>
      <c r="L509" s="1007">
        <f>K509*J509</f>
        <v>1</v>
      </c>
      <c r="M509" s="30"/>
      <c r="N509" s="34">
        <f t="shared" si="44"/>
        <v>0</v>
      </c>
      <c r="O509" s="202">
        <f>IF((H509)=0,"",(N509/H509))</f>
        <v>0</v>
      </c>
      <c r="P509" s="7"/>
    </row>
    <row r="510" spans="1:16" x14ac:dyDescent="0.2">
      <c r="A510" s="7"/>
      <c r="B510" s="564" t="s">
        <v>701</v>
      </c>
      <c r="C510" s="26"/>
      <c r="D510" s="1005"/>
      <c r="E510" s="27"/>
      <c r="F510" s="1023"/>
      <c r="G510" s="1024"/>
      <c r="H510" s="1025"/>
      <c r="I510" s="30"/>
      <c r="J510" s="1008"/>
      <c r="K510" s="32">
        <f>F490</f>
        <v>5000</v>
      </c>
      <c r="L510" s="1007">
        <f>K510*J510</f>
        <v>0</v>
      </c>
      <c r="M510" s="30"/>
      <c r="N510" s="34">
        <f t="shared" si="44"/>
        <v>0</v>
      </c>
      <c r="O510" s="202"/>
      <c r="P510" s="7"/>
    </row>
    <row r="511" spans="1:16" ht="25.5" x14ac:dyDescent="0.2">
      <c r="A511" s="7"/>
      <c r="B511" s="1026" t="s">
        <v>699</v>
      </c>
      <c r="C511" s="1027"/>
      <c r="D511" s="1027"/>
      <c r="E511" s="1027"/>
      <c r="F511" s="1028"/>
      <c r="G511" s="1029"/>
      <c r="H511" s="1030">
        <f>SUM(H505:H510)</f>
        <v>112.02</v>
      </c>
      <c r="I511" s="1017"/>
      <c r="J511" s="1029"/>
      <c r="K511" s="1031"/>
      <c r="L511" s="1030">
        <f>SUM(L505:L510)</f>
        <v>125.21000000000001</v>
      </c>
      <c r="M511" s="1017"/>
      <c r="N511" s="1020">
        <f t="shared" si="44"/>
        <v>13.190000000000012</v>
      </c>
      <c r="O511" s="1021">
        <f t="shared" ref="O511:O535" si="46">IF((H511)=0,"",(N511/H511))</f>
        <v>0.11774683092304956</v>
      </c>
      <c r="P511" s="7"/>
    </row>
    <row r="512" spans="1:16" x14ac:dyDescent="0.2">
      <c r="A512" s="7"/>
      <c r="B512" s="30" t="s">
        <v>32</v>
      </c>
      <c r="C512" s="30"/>
      <c r="D512" s="1032" t="s">
        <v>79</v>
      </c>
      <c r="E512" s="31"/>
      <c r="F512" s="1008">
        <v>6.3E-3</v>
      </c>
      <c r="G512" s="667">
        <f>F490*(1+F538)</f>
        <v>5178</v>
      </c>
      <c r="H512" s="1007">
        <f>G512*F512</f>
        <v>32.621400000000001</v>
      </c>
      <c r="I512" s="30"/>
      <c r="J512" s="1008">
        <v>5.7999999999999996E-3</v>
      </c>
      <c r="K512" s="668">
        <f>F490*(1+J538)</f>
        <v>5210.2703213950763</v>
      </c>
      <c r="L512" s="1007">
        <f>K512*J512</f>
        <v>30.219567864091442</v>
      </c>
      <c r="M512" s="30"/>
      <c r="N512" s="34">
        <f t="shared" si="44"/>
        <v>-2.4018321359085597</v>
      </c>
      <c r="O512" s="202">
        <f t="shared" si="46"/>
        <v>-7.3627500227107345E-2</v>
      </c>
      <c r="P512" s="7"/>
    </row>
    <row r="513" spans="1:16" ht="25.5" x14ac:dyDescent="0.2">
      <c r="A513" s="7"/>
      <c r="B513" s="35" t="s">
        <v>33</v>
      </c>
      <c r="C513" s="30"/>
      <c r="D513" s="1032" t="s">
        <v>79</v>
      </c>
      <c r="E513" s="31"/>
      <c r="F513" s="1008">
        <v>5.0000000000000001E-3</v>
      </c>
      <c r="G513" s="667">
        <f>G512</f>
        <v>5178</v>
      </c>
      <c r="H513" s="1007">
        <f>G513*F513</f>
        <v>25.89</v>
      </c>
      <c r="I513" s="30"/>
      <c r="J513" s="1008">
        <v>4.7999999999999996E-3</v>
      </c>
      <c r="K513" s="668">
        <f>K512</f>
        <v>5210.2703213950763</v>
      </c>
      <c r="L513" s="1007">
        <f>K513*J513</f>
        <v>25.009297542696363</v>
      </c>
      <c r="M513" s="30"/>
      <c r="N513" s="34">
        <f t="shared" si="44"/>
        <v>-0.88070245730363794</v>
      </c>
      <c r="O513" s="202">
        <f t="shared" si="46"/>
        <v>-3.4017089891990648E-2</v>
      </c>
      <c r="P513" s="7"/>
    </row>
    <row r="514" spans="1:16" ht="25.5" x14ac:dyDescent="0.2">
      <c r="A514" s="7"/>
      <c r="B514" s="1026" t="s">
        <v>700</v>
      </c>
      <c r="C514" s="1012"/>
      <c r="D514" s="1012"/>
      <c r="E514" s="1012"/>
      <c r="F514" s="1033"/>
      <c r="G514" s="1029"/>
      <c r="H514" s="1030">
        <f>SUM(H511:H513)</f>
        <v>170.53140000000002</v>
      </c>
      <c r="I514" s="1034"/>
      <c r="J514" s="1035"/>
      <c r="K514" s="1036"/>
      <c r="L514" s="1030">
        <f>SUM(L511:L513)</f>
        <v>180.43886540678781</v>
      </c>
      <c r="M514" s="1034"/>
      <c r="N514" s="1020">
        <f t="shared" si="44"/>
        <v>9.907465406787793</v>
      </c>
      <c r="O514" s="1021">
        <f t="shared" si="46"/>
        <v>5.8097602006362416E-2</v>
      </c>
      <c r="P514" s="7"/>
    </row>
    <row r="515" spans="1:16" ht="25.5" x14ac:dyDescent="0.2">
      <c r="A515" s="7"/>
      <c r="B515" s="28" t="s">
        <v>34</v>
      </c>
      <c r="C515" s="26"/>
      <c r="D515" s="1005" t="s">
        <v>79</v>
      </c>
      <c r="E515" s="27"/>
      <c r="F515" s="1037">
        <v>5.1999999999999998E-3</v>
      </c>
      <c r="G515" s="667">
        <f>F490*(1+F538)</f>
        <v>5178</v>
      </c>
      <c r="H515" s="1038">
        <f t="shared" ref="H515:H523" si="47">G515*F515</f>
        <v>26.925599999999999</v>
      </c>
      <c r="I515" s="30"/>
      <c r="J515" s="1039">
        <v>5.1999999999999998E-3</v>
      </c>
      <c r="K515" s="668">
        <f>F490*(1+J538)</f>
        <v>5210.2703213950763</v>
      </c>
      <c r="L515" s="1038">
        <f t="shared" ref="L515:L523" si="48">K515*J515</f>
        <v>27.093405671254395</v>
      </c>
      <c r="M515" s="30"/>
      <c r="N515" s="34">
        <f t="shared" si="44"/>
        <v>0.16780567125439561</v>
      </c>
      <c r="O515" s="565">
        <f t="shared" si="46"/>
        <v>6.2321980291765314E-3</v>
      </c>
      <c r="P515" s="7"/>
    </row>
    <row r="516" spans="1:16" ht="25.5" x14ac:dyDescent="0.2">
      <c r="A516" s="7"/>
      <c r="B516" s="28" t="s">
        <v>35</v>
      </c>
      <c r="C516" s="26"/>
      <c r="D516" s="1005" t="s">
        <v>79</v>
      </c>
      <c r="E516" s="27"/>
      <c r="F516" s="1037">
        <v>1.1000000000000001E-3</v>
      </c>
      <c r="G516" s="667">
        <f>F490*(1+F538)</f>
        <v>5178</v>
      </c>
      <c r="H516" s="1038">
        <f t="shared" si="47"/>
        <v>5.6958000000000002</v>
      </c>
      <c r="I516" s="30"/>
      <c r="J516" s="1039">
        <v>1.1000000000000001E-3</v>
      </c>
      <c r="K516" s="668">
        <f>F490*(1+J538)</f>
        <v>5210.2703213950763</v>
      </c>
      <c r="L516" s="1038">
        <f t="shared" si="48"/>
        <v>5.7312973535345844</v>
      </c>
      <c r="M516" s="30"/>
      <c r="N516" s="34">
        <f t="shared" si="44"/>
        <v>3.5497353534584164E-2</v>
      </c>
      <c r="O516" s="565">
        <f t="shared" si="46"/>
        <v>6.2321980291766147E-3</v>
      </c>
      <c r="P516" s="7"/>
    </row>
    <row r="517" spans="1:16" x14ac:dyDescent="0.2">
      <c r="A517" s="7"/>
      <c r="B517" s="26" t="s">
        <v>36</v>
      </c>
      <c r="C517" s="26"/>
      <c r="D517" s="1005"/>
      <c r="E517" s="27"/>
      <c r="F517" s="1037"/>
      <c r="G517" s="32">
        <v>1</v>
      </c>
      <c r="H517" s="1038">
        <f t="shared" si="47"/>
        <v>0</v>
      </c>
      <c r="I517" s="30"/>
      <c r="J517" s="1039"/>
      <c r="K517" s="33">
        <v>1</v>
      </c>
      <c r="L517" s="1038">
        <f t="shared" si="48"/>
        <v>0</v>
      </c>
      <c r="M517" s="30"/>
      <c r="N517" s="34">
        <f t="shared" si="44"/>
        <v>0</v>
      </c>
      <c r="O517" s="565" t="str">
        <f t="shared" si="46"/>
        <v/>
      </c>
      <c r="P517" s="7"/>
    </row>
    <row r="518" spans="1:16" x14ac:dyDescent="0.2">
      <c r="A518" s="7"/>
      <c r="B518" s="26" t="s">
        <v>37</v>
      </c>
      <c r="C518" s="26"/>
      <c r="D518" s="1005" t="s">
        <v>79</v>
      </c>
      <c r="E518" s="27"/>
      <c r="F518" s="1037">
        <v>7.0000000000000001E-3</v>
      </c>
      <c r="G518" s="667">
        <f>F490</f>
        <v>5000</v>
      </c>
      <c r="H518" s="1038">
        <f t="shared" si="47"/>
        <v>35</v>
      </c>
      <c r="I518" s="30"/>
      <c r="J518" s="1039">
        <v>7.0000000000000001E-3</v>
      </c>
      <c r="K518" s="668">
        <f>F490</f>
        <v>5000</v>
      </c>
      <c r="L518" s="1038">
        <f t="shared" si="48"/>
        <v>35</v>
      </c>
      <c r="M518" s="30"/>
      <c r="N518" s="34">
        <f t="shared" si="44"/>
        <v>0</v>
      </c>
      <c r="O518" s="565">
        <f t="shared" si="46"/>
        <v>0</v>
      </c>
      <c r="P518" s="7"/>
    </row>
    <row r="519" spans="1:16" x14ac:dyDescent="0.2">
      <c r="A519" s="7"/>
      <c r="B519" s="564" t="s">
        <v>777</v>
      </c>
      <c r="C519" s="26"/>
      <c r="D519" s="1005" t="s">
        <v>79</v>
      </c>
      <c r="E519" s="27"/>
      <c r="F519" s="1040">
        <v>7.4999999999999997E-2</v>
      </c>
      <c r="G519" s="667">
        <f>IF($G$515&gt;=0,0,$G$515)</f>
        <v>0</v>
      </c>
      <c r="H519" s="1038">
        <f>G519*F519</f>
        <v>0</v>
      </c>
      <c r="I519" s="30"/>
      <c r="J519" s="1037">
        <v>7.4999999999999997E-2</v>
      </c>
      <c r="K519" s="667">
        <f>IF($K$515&gt;=0,0,$K$515)</f>
        <v>0</v>
      </c>
      <c r="L519" s="1038">
        <f>K519*J519</f>
        <v>0</v>
      </c>
      <c r="M519" s="30"/>
      <c r="N519" s="34">
        <f t="shared" si="44"/>
        <v>0</v>
      </c>
      <c r="O519" s="565" t="str">
        <f t="shared" si="46"/>
        <v/>
      </c>
      <c r="P519" s="7"/>
    </row>
    <row r="520" spans="1:16" x14ac:dyDescent="0.2">
      <c r="A520" s="7"/>
      <c r="B520" s="564" t="s">
        <v>778</v>
      </c>
      <c r="C520" s="26"/>
      <c r="D520" s="1005" t="s">
        <v>79</v>
      </c>
      <c r="E520" s="27"/>
      <c r="F520" s="1040">
        <v>8.7999999999999995E-2</v>
      </c>
      <c r="G520" s="667">
        <f>IF($G$515&gt;=0,$G$515-0,0)</f>
        <v>5178</v>
      </c>
      <c r="H520" s="1038">
        <f>G520*F520</f>
        <v>455.66399999999999</v>
      </c>
      <c r="I520" s="30"/>
      <c r="J520" s="1037">
        <v>8.7999999999999995E-2</v>
      </c>
      <c r="K520" s="667">
        <f>IF($K$515&gt;=0,$K$515-0,0)</f>
        <v>5210.2703213950763</v>
      </c>
      <c r="L520" s="1038">
        <f>K520*J520</f>
        <v>458.50378828276666</v>
      </c>
      <c r="M520" s="30"/>
      <c r="N520" s="34">
        <f t="shared" si="44"/>
        <v>2.8397882827666763</v>
      </c>
      <c r="O520" s="565">
        <f t="shared" si="46"/>
        <v>6.2321980291764906E-3</v>
      </c>
      <c r="P520" s="7"/>
    </row>
    <row r="521" spans="1:16" x14ac:dyDescent="0.2">
      <c r="A521" s="7"/>
      <c r="B521" s="564" t="s">
        <v>779</v>
      </c>
      <c r="C521" s="26"/>
      <c r="D521" s="1005" t="s">
        <v>79</v>
      </c>
      <c r="E521" s="27"/>
      <c r="F521" s="1040">
        <v>6.5000000000000002E-2</v>
      </c>
      <c r="G521" s="669">
        <f>0.64*$G$515</f>
        <v>3313.92</v>
      </c>
      <c r="H521" s="1038">
        <f t="shared" si="47"/>
        <v>215.40480000000002</v>
      </c>
      <c r="I521" s="30"/>
      <c r="J521" s="1037">
        <v>6.5000000000000002E-2</v>
      </c>
      <c r="K521" s="1041">
        <f>0.64*$K$515</f>
        <v>3334.5730056928487</v>
      </c>
      <c r="L521" s="1038">
        <f t="shared" si="48"/>
        <v>216.74724537003519</v>
      </c>
      <c r="M521" s="30"/>
      <c r="N521" s="34">
        <f t="shared" si="44"/>
        <v>1.3424453700351648</v>
      </c>
      <c r="O521" s="565">
        <f t="shared" si="46"/>
        <v>6.2321980291765305E-3</v>
      </c>
      <c r="P521" s="7"/>
    </row>
    <row r="522" spans="1:16" x14ac:dyDescent="0.2">
      <c r="A522" s="7"/>
      <c r="B522" s="564" t="s">
        <v>780</v>
      </c>
      <c r="C522" s="26"/>
      <c r="D522" s="1005" t="s">
        <v>79</v>
      </c>
      <c r="E522" s="27"/>
      <c r="F522" s="1040">
        <v>0.1</v>
      </c>
      <c r="G522" s="669">
        <f>0.18*$G$515</f>
        <v>932.04</v>
      </c>
      <c r="H522" s="1038">
        <f t="shared" si="47"/>
        <v>93.204000000000008</v>
      </c>
      <c r="I522" s="30"/>
      <c r="J522" s="1037">
        <v>0.1</v>
      </c>
      <c r="K522" s="1041">
        <f>0.18*$K$515</f>
        <v>937.84865785111367</v>
      </c>
      <c r="L522" s="1038">
        <f t="shared" si="48"/>
        <v>93.784865785111379</v>
      </c>
      <c r="M522" s="30"/>
      <c r="N522" s="34">
        <f t="shared" si="44"/>
        <v>0.58086578511137077</v>
      </c>
      <c r="O522" s="565">
        <f t="shared" si="46"/>
        <v>6.2321980291765453E-3</v>
      </c>
      <c r="P522" s="7"/>
    </row>
    <row r="523" spans="1:16" ht="13.5" thickBot="1" x14ac:dyDescent="0.25">
      <c r="A523" s="7"/>
      <c r="B523" s="647" t="s">
        <v>781</v>
      </c>
      <c r="C523" s="26"/>
      <c r="D523" s="1005" t="s">
        <v>79</v>
      </c>
      <c r="E523" s="27"/>
      <c r="F523" s="1040">
        <v>0.11700000000000001</v>
      </c>
      <c r="G523" s="669">
        <f>0.18*$G$515</f>
        <v>932.04</v>
      </c>
      <c r="H523" s="1038">
        <f t="shared" si="47"/>
        <v>109.04868</v>
      </c>
      <c r="I523" s="30"/>
      <c r="J523" s="1037">
        <v>0.11700000000000001</v>
      </c>
      <c r="K523" s="1041">
        <f>0.18*$K$515</f>
        <v>937.84865785111367</v>
      </c>
      <c r="L523" s="1038">
        <f t="shared" si="48"/>
        <v>109.72829296858031</v>
      </c>
      <c r="M523" s="30"/>
      <c r="N523" s="34">
        <f t="shared" si="44"/>
        <v>0.67961296858030096</v>
      </c>
      <c r="O523" s="565">
        <f t="shared" si="46"/>
        <v>6.2321980291765193E-3</v>
      </c>
      <c r="P523" s="7"/>
    </row>
    <row r="524" spans="1:16" ht="13.5" thickBot="1" x14ac:dyDescent="0.25">
      <c r="A524" s="7"/>
      <c r="B524" s="1042"/>
      <c r="C524" s="1043"/>
      <c r="D524" s="1044"/>
      <c r="E524" s="1043"/>
      <c r="F524" s="1045"/>
      <c r="G524" s="1046"/>
      <c r="H524" s="1047"/>
      <c r="I524" s="1048"/>
      <c r="J524" s="1045"/>
      <c r="K524" s="1049"/>
      <c r="L524" s="1047"/>
      <c r="M524" s="1048"/>
      <c r="N524" s="1050"/>
      <c r="O524" s="1051"/>
      <c r="P524" s="7"/>
    </row>
    <row r="525" spans="1:16" x14ac:dyDescent="0.2">
      <c r="A525" s="7"/>
      <c r="B525" s="36" t="s">
        <v>782</v>
      </c>
      <c r="C525" s="26"/>
      <c r="D525" s="26"/>
      <c r="E525" s="26"/>
      <c r="F525" s="662"/>
      <c r="G525" s="652"/>
      <c r="H525" s="656">
        <f>SUM(H514:H520)</f>
        <v>693.81680000000006</v>
      </c>
      <c r="I525" s="660"/>
      <c r="J525" s="661"/>
      <c r="K525" s="661"/>
      <c r="L525" s="655">
        <f>SUM(L514:L520)</f>
        <v>706.76735671434346</v>
      </c>
      <c r="M525" s="654"/>
      <c r="N525" s="659">
        <f t="shared" si="44"/>
        <v>12.950556714343406</v>
      </c>
      <c r="O525" s="657">
        <f t="shared" si="46"/>
        <v>1.8665671852199896E-2</v>
      </c>
      <c r="P525" s="7"/>
    </row>
    <row r="526" spans="1:16" x14ac:dyDescent="0.2">
      <c r="A526" s="7"/>
      <c r="B526" s="650" t="s">
        <v>38</v>
      </c>
      <c r="C526" s="26"/>
      <c r="D526" s="26"/>
      <c r="E526" s="26"/>
      <c r="F526" s="649">
        <v>0.13</v>
      </c>
      <c r="G526" s="652"/>
      <c r="H526" s="670">
        <f>H525*F526</f>
        <v>90.196184000000017</v>
      </c>
      <c r="I526" s="648"/>
      <c r="J526" s="676">
        <v>0.13</v>
      </c>
      <c r="K526" s="677"/>
      <c r="L526" s="672">
        <f>L525*J526</f>
        <v>91.879756372864648</v>
      </c>
      <c r="M526" s="673"/>
      <c r="N526" s="674">
        <f t="shared" si="44"/>
        <v>1.6835723728646315</v>
      </c>
      <c r="O526" s="675">
        <f t="shared" si="46"/>
        <v>1.8665671852199767E-2</v>
      </c>
      <c r="P526" s="7"/>
    </row>
    <row r="527" spans="1:16" x14ac:dyDescent="0.2">
      <c r="A527" s="7"/>
      <c r="B527" s="651" t="s">
        <v>1139</v>
      </c>
      <c r="C527" s="26"/>
      <c r="D527" s="26"/>
      <c r="E527" s="26"/>
      <c r="F527" s="658"/>
      <c r="G527" s="653"/>
      <c r="H527" s="670">
        <f>H525+H526</f>
        <v>784.01298400000007</v>
      </c>
      <c r="I527" s="648"/>
      <c r="J527" s="648"/>
      <c r="K527" s="648"/>
      <c r="L527" s="672">
        <f>L525+L526</f>
        <v>798.64711308720814</v>
      </c>
      <c r="M527" s="673"/>
      <c r="N527" s="674">
        <f t="shared" si="44"/>
        <v>14.634129087208066</v>
      </c>
      <c r="O527" s="675">
        <f t="shared" si="46"/>
        <v>1.8665671852199917E-2</v>
      </c>
      <c r="P527" s="7"/>
    </row>
    <row r="528" spans="1:16" ht="12.75" customHeight="1" x14ac:dyDescent="0.2">
      <c r="A528" s="7"/>
      <c r="B528" s="1626" t="s">
        <v>1140</v>
      </c>
      <c r="C528" s="1626"/>
      <c r="D528" s="1626"/>
      <c r="E528" s="26"/>
      <c r="F528" s="658"/>
      <c r="G528" s="653"/>
      <c r="H528" s="1052">
        <f>ROUND(-H527*10%,2)</f>
        <v>-78.400000000000006</v>
      </c>
      <c r="I528" s="648"/>
      <c r="J528" s="648"/>
      <c r="K528" s="648"/>
      <c r="L528" s="1053">
        <f>ROUND(-L527*10%,2)</f>
        <v>-79.86</v>
      </c>
      <c r="M528" s="673"/>
      <c r="N528" s="1054">
        <f t="shared" si="44"/>
        <v>-1.4599999999999937</v>
      </c>
      <c r="O528" s="1055">
        <f t="shared" si="46"/>
        <v>1.8622448979591755E-2</v>
      </c>
      <c r="P528" s="7"/>
    </row>
    <row r="529" spans="1:16" ht="13.5" customHeight="1" thickBot="1" x14ac:dyDescent="0.25">
      <c r="A529" s="7"/>
      <c r="B529" s="1626" t="s">
        <v>785</v>
      </c>
      <c r="C529" s="1626"/>
      <c r="D529" s="1626"/>
      <c r="E529" s="1056"/>
      <c r="F529" s="1057"/>
      <c r="G529" s="1058"/>
      <c r="H529" s="1059">
        <f>SUM(H527:H528)</f>
        <v>705.6129840000001</v>
      </c>
      <c r="I529" s="1060"/>
      <c r="J529" s="1060"/>
      <c r="K529" s="1060"/>
      <c r="L529" s="1061">
        <f>SUM(L527:L528)</f>
        <v>718.78711308720813</v>
      </c>
      <c r="M529" s="1062"/>
      <c r="N529" s="1063">
        <f t="shared" si="44"/>
        <v>13.17412908720803</v>
      </c>
      <c r="O529" s="1064">
        <f t="shared" si="46"/>
        <v>1.8670474305229095E-2</v>
      </c>
      <c r="P529" s="7"/>
    </row>
    <row r="530" spans="1:16" ht="13.5" thickBot="1" x14ac:dyDescent="0.25">
      <c r="A530" s="7"/>
      <c r="B530" s="1042"/>
      <c r="C530" s="1043"/>
      <c r="D530" s="1044"/>
      <c r="E530" s="1043"/>
      <c r="F530" s="1065"/>
      <c r="G530" s="1066"/>
      <c r="H530" s="1067"/>
      <c r="I530" s="1068"/>
      <c r="J530" s="1065"/>
      <c r="K530" s="1046"/>
      <c r="L530" s="1069"/>
      <c r="M530" s="1048"/>
      <c r="N530" s="1070"/>
      <c r="O530" s="1051"/>
      <c r="P530" s="7"/>
    </row>
    <row r="531" spans="1:16" x14ac:dyDescent="0.2">
      <c r="A531" s="7"/>
      <c r="B531" s="36" t="s">
        <v>783</v>
      </c>
      <c r="C531" s="26"/>
      <c r="D531" s="26"/>
      <c r="E531" s="26"/>
      <c r="F531" s="662"/>
      <c r="G531" s="652"/>
      <c r="H531" s="656">
        <f>SUM(H514:H518,H521:H523)</f>
        <v>655.81028000000003</v>
      </c>
      <c r="I531" s="660"/>
      <c r="J531" s="661"/>
      <c r="K531" s="661"/>
      <c r="L531" s="666">
        <f>SUM(L514:L518,L521:L523)</f>
        <v>668.52397255530366</v>
      </c>
      <c r="M531" s="654"/>
      <c r="N531" s="659">
        <f>L531-H531</f>
        <v>12.713692555303624</v>
      </c>
      <c r="O531" s="657">
        <f>IF((H531)=0,"",(N531/H531))</f>
        <v>1.9386235536447558E-2</v>
      </c>
      <c r="P531" s="7"/>
    </row>
    <row r="532" spans="1:16" x14ac:dyDescent="0.2">
      <c r="A532" s="7"/>
      <c r="B532" s="650" t="s">
        <v>38</v>
      </c>
      <c r="C532" s="26"/>
      <c r="D532" s="26"/>
      <c r="E532" s="26"/>
      <c r="F532" s="649">
        <v>0.13</v>
      </c>
      <c r="G532" s="653"/>
      <c r="H532" s="670">
        <f>H531*F532</f>
        <v>85.255336400000004</v>
      </c>
      <c r="I532" s="648"/>
      <c r="J532" s="671">
        <v>0.13</v>
      </c>
      <c r="K532" s="648"/>
      <c r="L532" s="672">
        <f>L531*J532</f>
        <v>86.908116432189473</v>
      </c>
      <c r="M532" s="673"/>
      <c r="N532" s="674">
        <f t="shared" si="44"/>
        <v>1.6527800321894688</v>
      </c>
      <c r="O532" s="675">
        <f t="shared" si="46"/>
        <v>1.938623553644753E-2</v>
      </c>
      <c r="P532" s="7"/>
    </row>
    <row r="533" spans="1:16" x14ac:dyDescent="0.2">
      <c r="A533" s="7"/>
      <c r="B533" s="651" t="s">
        <v>1139</v>
      </c>
      <c r="C533" s="26"/>
      <c r="D533" s="26"/>
      <c r="E533" s="26"/>
      <c r="F533" s="658"/>
      <c r="G533" s="653"/>
      <c r="H533" s="670">
        <f>H531+H532</f>
        <v>741.06561640000007</v>
      </c>
      <c r="I533" s="648"/>
      <c r="J533" s="648"/>
      <c r="K533" s="648"/>
      <c r="L533" s="672">
        <f>L531+L532</f>
        <v>755.4320889874931</v>
      </c>
      <c r="M533" s="673"/>
      <c r="N533" s="674">
        <f t="shared" si="44"/>
        <v>14.366472587493035</v>
      </c>
      <c r="O533" s="675">
        <f t="shared" si="46"/>
        <v>1.9386235536447478E-2</v>
      </c>
      <c r="P533" s="7"/>
    </row>
    <row r="534" spans="1:16" ht="12.75" customHeight="1" x14ac:dyDescent="0.2">
      <c r="A534" s="7"/>
      <c r="B534" s="1626" t="s">
        <v>1140</v>
      </c>
      <c r="C534" s="1626"/>
      <c r="D534" s="1626"/>
      <c r="E534" s="26"/>
      <c r="F534" s="658"/>
      <c r="G534" s="653"/>
      <c r="H534" s="1052">
        <f>ROUND(-H533*10%,2)</f>
        <v>-74.11</v>
      </c>
      <c r="I534" s="648"/>
      <c r="J534" s="648"/>
      <c r="K534" s="648"/>
      <c r="L534" s="1053">
        <f>ROUND(-L533*10%,2)</f>
        <v>-75.540000000000006</v>
      </c>
      <c r="M534" s="673"/>
      <c r="N534" s="1054">
        <f t="shared" si="44"/>
        <v>-1.4300000000000068</v>
      </c>
      <c r="O534" s="1055">
        <f t="shared" si="46"/>
        <v>1.9295641613817392E-2</v>
      </c>
      <c r="P534" s="7"/>
    </row>
    <row r="535" spans="1:16" ht="13.5" customHeight="1" thickBot="1" x14ac:dyDescent="0.25">
      <c r="A535" s="7"/>
      <c r="B535" s="1626" t="s">
        <v>784</v>
      </c>
      <c r="C535" s="1626"/>
      <c r="D535" s="1626"/>
      <c r="E535" s="1056"/>
      <c r="F535" s="1071"/>
      <c r="G535" s="1072"/>
      <c r="H535" s="1073">
        <f>H533+H534</f>
        <v>666.95561640000005</v>
      </c>
      <c r="I535" s="1074"/>
      <c r="J535" s="1074"/>
      <c r="K535" s="1074"/>
      <c r="L535" s="1075">
        <f>L533+L534</f>
        <v>679.89208898749314</v>
      </c>
      <c r="M535" s="1076"/>
      <c r="N535" s="1077">
        <f t="shared" si="44"/>
        <v>12.936472587493085</v>
      </c>
      <c r="O535" s="1078">
        <f t="shared" si="46"/>
        <v>1.9396302046783519E-2</v>
      </c>
      <c r="P535" s="7"/>
    </row>
    <row r="536" spans="1:16" ht="13.5" thickBot="1" x14ac:dyDescent="0.25">
      <c r="A536" s="7"/>
      <c r="B536" s="1042"/>
      <c r="C536" s="1043"/>
      <c r="D536" s="1044"/>
      <c r="E536" s="1043"/>
      <c r="F536" s="1065"/>
      <c r="G536" s="1066"/>
      <c r="H536" s="1067"/>
      <c r="I536" s="1068"/>
      <c r="J536" s="1065"/>
      <c r="K536" s="1046"/>
      <c r="L536" s="1069"/>
      <c r="M536" s="1048"/>
      <c r="N536" s="1070"/>
      <c r="O536" s="1051"/>
      <c r="P536" s="7"/>
    </row>
    <row r="537" spans="1:16" x14ac:dyDescent="0.2">
      <c r="A537" s="7"/>
      <c r="B537" s="7"/>
      <c r="C537" s="7"/>
      <c r="D537" s="7"/>
      <c r="E537" s="7"/>
      <c r="F537" s="7"/>
      <c r="G537" s="7"/>
      <c r="H537" s="7"/>
      <c r="I537" s="7"/>
      <c r="J537" s="7"/>
      <c r="K537" s="7"/>
      <c r="L537" s="678"/>
      <c r="M537" s="7"/>
      <c r="N537" s="7"/>
      <c r="O537" s="7"/>
      <c r="P537" s="7"/>
    </row>
    <row r="538" spans="1:16" x14ac:dyDescent="0.2">
      <c r="A538" s="7"/>
      <c r="B538" s="8" t="s">
        <v>39</v>
      </c>
      <c r="C538" s="7"/>
      <c r="D538" s="7"/>
      <c r="E538" s="7"/>
      <c r="F538" s="1079">
        <v>3.5600000000000076E-2</v>
      </c>
      <c r="G538" s="7"/>
      <c r="H538" s="7"/>
      <c r="I538" s="7"/>
      <c r="J538" s="1079">
        <v>4.2054064279015257E-2</v>
      </c>
      <c r="K538" s="7"/>
      <c r="L538" s="7"/>
      <c r="M538" s="7"/>
      <c r="N538" s="7"/>
      <c r="O538" s="7"/>
      <c r="P538" s="7"/>
    </row>
    <row r="539" spans="1:16" x14ac:dyDescent="0.2">
      <c r="A539" s="7"/>
      <c r="B539" s="7"/>
      <c r="C539" s="7"/>
      <c r="D539" s="7"/>
      <c r="E539" s="7"/>
      <c r="F539" s="7"/>
      <c r="G539" s="7"/>
      <c r="H539" s="7"/>
      <c r="I539" s="7"/>
      <c r="J539" s="7"/>
      <c r="K539" s="7"/>
      <c r="L539" s="7"/>
      <c r="M539" s="7"/>
      <c r="N539" s="7"/>
      <c r="O539" s="7"/>
      <c r="P539" s="7"/>
    </row>
    <row r="540" spans="1:16" ht="14.25" x14ac:dyDescent="0.2">
      <c r="A540" s="214" t="s">
        <v>1141</v>
      </c>
      <c r="B540" s="7"/>
      <c r="C540" s="7"/>
      <c r="D540" s="7"/>
      <c r="E540" s="7"/>
      <c r="F540" s="7"/>
      <c r="G540" s="7"/>
      <c r="H540" s="7"/>
      <c r="I540" s="7"/>
      <c r="J540" s="7"/>
      <c r="K540" s="7"/>
      <c r="L540" s="7"/>
      <c r="M540" s="7"/>
      <c r="N540" s="7"/>
      <c r="O540" s="7"/>
      <c r="P540" s="7"/>
    </row>
    <row r="541" spans="1:16" x14ac:dyDescent="0.2">
      <c r="A541" s="7"/>
      <c r="B541" s="7"/>
      <c r="C541" s="7"/>
      <c r="D541" s="7"/>
      <c r="E541" s="7"/>
      <c r="F541" s="7"/>
      <c r="G541" s="7"/>
      <c r="H541" s="7"/>
      <c r="I541" s="7"/>
      <c r="J541" s="7"/>
      <c r="K541" s="7"/>
      <c r="L541" s="7"/>
      <c r="M541" s="7"/>
      <c r="N541" s="7"/>
      <c r="O541" s="7"/>
      <c r="P541" s="7"/>
    </row>
    <row r="542" spans="1:16" x14ac:dyDescent="0.2">
      <c r="A542" s="7" t="s">
        <v>107</v>
      </c>
      <c r="B542" s="7"/>
      <c r="C542" s="7"/>
      <c r="D542" s="7"/>
      <c r="E542" s="7"/>
      <c r="F542" s="7"/>
      <c r="G542" s="7"/>
      <c r="H542" s="7"/>
      <c r="I542" s="7"/>
      <c r="J542" s="7"/>
      <c r="K542" s="7"/>
      <c r="L542" s="7"/>
      <c r="M542" s="7"/>
      <c r="N542" s="7"/>
      <c r="O542" s="7"/>
      <c r="P542" s="7"/>
    </row>
    <row r="543" spans="1:16" x14ac:dyDescent="0.2">
      <c r="A543" s="7" t="s">
        <v>108</v>
      </c>
      <c r="B543" s="7"/>
      <c r="C543" s="7"/>
      <c r="D543" s="7"/>
      <c r="E543" s="7"/>
      <c r="F543" s="7"/>
      <c r="G543" s="7"/>
      <c r="H543" s="7"/>
      <c r="I543" s="7"/>
      <c r="J543" s="7"/>
      <c r="K543" s="7"/>
      <c r="L543" s="7"/>
      <c r="M543" s="7"/>
      <c r="N543" s="7"/>
      <c r="O543" s="7"/>
      <c r="P543" s="7"/>
    </row>
    <row r="544" spans="1:16" x14ac:dyDescent="0.2">
      <c r="A544" s="7"/>
      <c r="B544" s="7"/>
      <c r="C544" s="7"/>
      <c r="D544" s="7"/>
      <c r="E544" s="7"/>
      <c r="F544" s="7"/>
      <c r="G544" s="7"/>
      <c r="H544" s="7"/>
      <c r="I544" s="7"/>
      <c r="J544" s="7"/>
      <c r="K544" s="7"/>
      <c r="L544" s="7"/>
      <c r="M544" s="7"/>
      <c r="N544" s="7"/>
      <c r="O544" s="7"/>
      <c r="P544" s="7"/>
    </row>
    <row r="545" spans="1:16" x14ac:dyDescent="0.2">
      <c r="A545" s="7" t="s">
        <v>331</v>
      </c>
      <c r="B545" s="7"/>
      <c r="C545" s="7"/>
      <c r="D545" s="7"/>
      <c r="E545" s="7"/>
      <c r="F545" s="7"/>
      <c r="G545" s="7"/>
      <c r="H545" s="7"/>
      <c r="I545" s="7"/>
      <c r="J545" s="7"/>
      <c r="K545" s="7"/>
      <c r="L545" s="7"/>
      <c r="M545" s="7"/>
      <c r="N545" s="7"/>
      <c r="O545" s="7"/>
      <c r="P545" s="7"/>
    </row>
    <row r="546" spans="1:16" x14ac:dyDescent="0.2">
      <c r="A546" s="7" t="s">
        <v>109</v>
      </c>
      <c r="B546" s="7"/>
      <c r="C546" s="7"/>
      <c r="D546" s="7"/>
      <c r="E546" s="7"/>
      <c r="F546" s="7"/>
      <c r="G546" s="7"/>
      <c r="H546" s="7"/>
      <c r="I546" s="7"/>
      <c r="J546" s="7"/>
      <c r="K546" s="7"/>
      <c r="L546" s="7"/>
      <c r="M546" s="7"/>
      <c r="N546" s="7"/>
      <c r="O546" s="7"/>
      <c r="P546" s="7"/>
    </row>
    <row r="547" spans="1:16" x14ac:dyDescent="0.2">
      <c r="A547" s="7"/>
      <c r="B547" s="7"/>
      <c r="C547" s="7"/>
      <c r="D547" s="7"/>
      <c r="E547" s="7"/>
      <c r="F547" s="7"/>
      <c r="G547" s="7"/>
      <c r="H547" s="7"/>
      <c r="I547" s="7"/>
      <c r="J547" s="7"/>
      <c r="K547" s="7"/>
      <c r="L547" s="7"/>
      <c r="M547" s="7"/>
      <c r="N547" s="7"/>
      <c r="O547" s="7"/>
      <c r="P547" s="7"/>
    </row>
    <row r="548" spans="1:16" x14ac:dyDescent="0.2">
      <c r="A548" s="7" t="s">
        <v>110</v>
      </c>
      <c r="B548" s="7"/>
      <c r="C548" s="7"/>
      <c r="D548" s="7"/>
      <c r="E548" s="7"/>
      <c r="F548" s="7"/>
      <c r="G548" s="7"/>
      <c r="H548" s="7"/>
      <c r="I548" s="7"/>
      <c r="J548" s="7"/>
      <c r="K548" s="7"/>
      <c r="L548" s="7"/>
      <c r="M548" s="7"/>
      <c r="N548" s="7"/>
      <c r="O548" s="7"/>
      <c r="P548" s="7"/>
    </row>
    <row r="549" spans="1:16" x14ac:dyDescent="0.2">
      <c r="A549" s="7" t="s">
        <v>111</v>
      </c>
      <c r="B549" s="7"/>
      <c r="C549" s="7"/>
      <c r="D549" s="7"/>
      <c r="E549" s="7"/>
      <c r="F549" s="7"/>
      <c r="G549" s="7"/>
      <c r="H549" s="7"/>
      <c r="I549" s="7"/>
      <c r="J549" s="7"/>
      <c r="K549" s="7"/>
      <c r="L549" s="7"/>
      <c r="M549" s="7"/>
      <c r="N549" s="7"/>
      <c r="O549" s="7"/>
      <c r="P549" s="7"/>
    </row>
    <row r="550" spans="1:16" x14ac:dyDescent="0.2">
      <c r="A550" s="7" t="s">
        <v>112</v>
      </c>
      <c r="B550" s="7"/>
      <c r="C550" s="7"/>
      <c r="D550" s="7"/>
      <c r="E550" s="7"/>
      <c r="F550" s="7"/>
      <c r="G550" s="7"/>
      <c r="H550" s="7"/>
      <c r="I550" s="7"/>
      <c r="J550" s="7"/>
      <c r="K550" s="7"/>
      <c r="L550" s="7"/>
      <c r="M550" s="7"/>
      <c r="N550" s="7"/>
      <c r="O550" s="7"/>
      <c r="P550" s="7"/>
    </row>
    <row r="551" spans="1:16" x14ac:dyDescent="0.2">
      <c r="A551" s="7" t="s">
        <v>113</v>
      </c>
      <c r="B551" s="7"/>
      <c r="C551" s="7"/>
      <c r="D551" s="7"/>
      <c r="E551" s="7"/>
      <c r="F551" s="7"/>
      <c r="G551" s="7"/>
      <c r="H551" s="7"/>
      <c r="I551" s="7"/>
      <c r="J551" s="7"/>
      <c r="K551" s="7"/>
      <c r="L551" s="7"/>
      <c r="M551" s="7"/>
      <c r="N551" s="7"/>
      <c r="O551" s="7"/>
      <c r="P551" s="7"/>
    </row>
    <row r="552" spans="1:16" x14ac:dyDescent="0.2">
      <c r="A552" s="7" t="s">
        <v>114</v>
      </c>
      <c r="B552" s="7"/>
      <c r="C552" s="7"/>
      <c r="D552" s="7"/>
      <c r="E552" s="7"/>
      <c r="F552" s="7"/>
      <c r="G552" s="7"/>
      <c r="H552" s="7"/>
      <c r="I552" s="7"/>
      <c r="J552" s="7"/>
      <c r="K552" s="7"/>
      <c r="L552" s="7"/>
      <c r="M552" s="7"/>
      <c r="N552" s="7"/>
      <c r="O552" s="7"/>
      <c r="P552" s="7"/>
    </row>
    <row r="554" spans="1:16" ht="21.75" x14ac:dyDescent="0.2">
      <c r="A554" s="41"/>
      <c r="B554" s="41"/>
      <c r="C554" s="41"/>
      <c r="D554" s="41"/>
      <c r="E554" s="41"/>
      <c r="F554" s="41"/>
      <c r="G554" s="41"/>
      <c r="H554" s="41"/>
      <c r="I554" s="41"/>
      <c r="J554" s="41"/>
      <c r="K554" s="41"/>
      <c r="L554" s="37"/>
      <c r="M554" s="37"/>
      <c r="N554" s="16" t="s">
        <v>444</v>
      </c>
      <c r="O554" s="250" t="s">
        <v>866</v>
      </c>
    </row>
    <row r="555" spans="1:16" ht="18" x14ac:dyDescent="0.25">
      <c r="A555" s="40"/>
      <c r="B555" s="40"/>
      <c r="C555" s="40"/>
      <c r="D555" s="40"/>
      <c r="E555" s="40"/>
      <c r="F555" s="40"/>
      <c r="G555" s="40"/>
      <c r="H555" s="40"/>
      <c r="I555" s="40"/>
      <c r="J555" s="40"/>
      <c r="K555" s="40"/>
      <c r="L555" s="37"/>
      <c r="M555" s="37"/>
      <c r="N555" s="16" t="s">
        <v>445</v>
      </c>
      <c r="O555" s="1001"/>
    </row>
    <row r="556" spans="1:16" x14ac:dyDescent="0.2">
      <c r="A556" s="1626"/>
      <c r="B556" s="1626"/>
      <c r="C556" s="1626"/>
      <c r="D556" s="1626"/>
      <c r="E556" s="1626"/>
      <c r="F556" s="1626"/>
      <c r="G556" s="1626"/>
      <c r="H556" s="1626"/>
      <c r="I556" s="1626"/>
      <c r="J556" s="1626"/>
      <c r="K556" s="1626"/>
      <c r="L556" s="37"/>
      <c r="M556" s="37"/>
      <c r="N556" s="16" t="s">
        <v>446</v>
      </c>
      <c r="O556" s="1001"/>
    </row>
    <row r="557" spans="1:16" ht="18" x14ac:dyDescent="0.25">
      <c r="A557" s="40"/>
      <c r="B557" s="40"/>
      <c r="C557" s="40"/>
      <c r="D557" s="40"/>
      <c r="E557" s="40"/>
      <c r="F557" s="40"/>
      <c r="G557" s="40"/>
      <c r="H557" s="40"/>
      <c r="I557" s="38"/>
      <c r="J557" s="38"/>
      <c r="K557" s="38"/>
      <c r="L557" s="37"/>
      <c r="M557" s="37"/>
      <c r="N557" s="16" t="s">
        <v>447</v>
      </c>
      <c r="O557" s="1001"/>
    </row>
    <row r="558" spans="1:16" ht="15.75" x14ac:dyDescent="0.25">
      <c r="A558" s="37"/>
      <c r="B558" s="37"/>
      <c r="C558" s="39"/>
      <c r="D558" s="39"/>
      <c r="E558" s="39"/>
      <c r="F558" s="37"/>
      <c r="G558" s="37"/>
      <c r="H558" s="37"/>
      <c r="I558" s="37"/>
      <c r="J558" s="37"/>
      <c r="K558" s="37"/>
      <c r="L558" s="37"/>
      <c r="M558" s="37"/>
      <c r="N558" s="16" t="s">
        <v>448</v>
      </c>
      <c r="O558" s="1002" t="s">
        <v>1149</v>
      </c>
    </row>
    <row r="559" spans="1:16" x14ac:dyDescent="0.2">
      <c r="A559" s="37"/>
      <c r="B559" s="37"/>
      <c r="C559" s="37"/>
      <c r="D559" s="37"/>
      <c r="E559" s="37"/>
      <c r="F559" s="37"/>
      <c r="G559" s="37"/>
      <c r="H559" s="37"/>
      <c r="I559" s="37"/>
      <c r="J559" s="37"/>
      <c r="K559" s="37"/>
      <c r="L559" s="37"/>
      <c r="M559" s="37"/>
      <c r="N559" s="16"/>
      <c r="O559" s="250"/>
    </row>
    <row r="560" spans="1:16" x14ac:dyDescent="0.2">
      <c r="A560" s="37"/>
      <c r="B560" s="37"/>
      <c r="C560" s="37"/>
      <c r="D560" s="37"/>
      <c r="E560" s="37"/>
      <c r="F560" s="37"/>
      <c r="G560" s="37"/>
      <c r="H560" s="37"/>
      <c r="I560" s="37"/>
      <c r="J560" s="37"/>
      <c r="K560" s="37"/>
      <c r="L560" s="37"/>
      <c r="M560" s="37"/>
      <c r="N560" s="16" t="s">
        <v>449</v>
      </c>
      <c r="O560" s="1002"/>
    </row>
    <row r="561" spans="1:16" x14ac:dyDescent="0.2">
      <c r="A561" s="37"/>
      <c r="B561" s="37"/>
      <c r="C561" s="37"/>
      <c r="D561" s="37"/>
      <c r="E561" s="37"/>
      <c r="F561" s="37"/>
      <c r="G561" s="37"/>
      <c r="H561" s="37"/>
      <c r="I561" s="37"/>
      <c r="J561" s="37"/>
      <c r="K561" s="37"/>
      <c r="L561" s="37"/>
      <c r="M561" s="37"/>
      <c r="N561" s="7"/>
    </row>
    <row r="562" spans="1:16" x14ac:dyDescent="0.2">
      <c r="A562" s="7"/>
      <c r="B562" s="7"/>
      <c r="C562" s="7"/>
      <c r="D562" s="7"/>
      <c r="E562" s="7"/>
      <c r="F562" s="7"/>
      <c r="G562" s="7"/>
      <c r="H562" s="7"/>
      <c r="I562" s="7"/>
      <c r="J562" s="7"/>
      <c r="K562" s="7"/>
    </row>
    <row r="563" spans="1:16" x14ac:dyDescent="0.2">
      <c r="A563" s="7"/>
      <c r="B563" s="1626" t="s">
        <v>695</v>
      </c>
      <c r="C563" s="1626"/>
      <c r="D563" s="1626"/>
      <c r="E563" s="1626"/>
      <c r="F563" s="1626"/>
      <c r="G563" s="1626"/>
      <c r="H563" s="1626"/>
      <c r="I563" s="1626"/>
      <c r="J563" s="1626"/>
      <c r="K563" s="1626"/>
      <c r="L563" s="1626"/>
      <c r="M563" s="1626"/>
      <c r="N563" s="1626"/>
      <c r="O563" s="1626"/>
    </row>
    <row r="564" spans="1:16" x14ac:dyDescent="0.2">
      <c r="A564" s="7"/>
      <c r="B564" s="1626" t="s">
        <v>63</v>
      </c>
      <c r="C564" s="1626"/>
      <c r="D564" s="1626"/>
      <c r="E564" s="1626"/>
      <c r="F564" s="1626"/>
      <c r="G564" s="1626"/>
      <c r="H564" s="1626"/>
      <c r="I564" s="1626"/>
      <c r="J564" s="1626"/>
      <c r="K564" s="1626"/>
      <c r="L564" s="1626"/>
      <c r="M564" s="1626"/>
      <c r="N564" s="1626"/>
      <c r="O564" s="1626"/>
    </row>
    <row r="565" spans="1:16" x14ac:dyDescent="0.2">
      <c r="A565" s="7"/>
      <c r="B565" s="7"/>
      <c r="C565" s="7"/>
      <c r="D565" s="7"/>
      <c r="E565" s="7"/>
      <c r="F565" s="7"/>
      <c r="G565" s="7"/>
      <c r="H565" s="7"/>
      <c r="I565" s="7"/>
      <c r="J565" s="7"/>
      <c r="K565" s="7"/>
    </row>
    <row r="566" spans="1:16" x14ac:dyDescent="0.2">
      <c r="A566" s="7"/>
      <c r="B566" s="7"/>
      <c r="C566" s="7"/>
      <c r="D566" s="7"/>
      <c r="E566" s="7"/>
      <c r="F566" s="7"/>
      <c r="G566" s="7"/>
      <c r="H566" s="7"/>
      <c r="I566" s="7"/>
      <c r="J566" s="7"/>
      <c r="K566" s="7"/>
    </row>
    <row r="567" spans="1:16" x14ac:dyDescent="0.2">
      <c r="A567" s="7"/>
      <c r="B567" s="43" t="s">
        <v>40</v>
      </c>
      <c r="C567" s="7"/>
      <c r="D567" s="1626" t="s">
        <v>1146</v>
      </c>
      <c r="E567" s="1626"/>
      <c r="F567" s="1626"/>
      <c r="G567" s="1626"/>
      <c r="H567" s="1626"/>
      <c r="I567" s="1626"/>
      <c r="J567" s="1626"/>
      <c r="K567" s="1626"/>
      <c r="L567" s="1626"/>
      <c r="M567" s="1626"/>
      <c r="N567" s="1626"/>
      <c r="O567" s="1626"/>
      <c r="P567" s="7"/>
    </row>
    <row r="568" spans="1:16" ht="15.75" x14ac:dyDescent="0.25">
      <c r="A568" s="7"/>
      <c r="B568" s="1003"/>
      <c r="C568" s="7"/>
      <c r="D568" s="42"/>
      <c r="E568" s="42"/>
      <c r="F568" s="42"/>
      <c r="G568" s="42"/>
      <c r="H568" s="42"/>
      <c r="I568" s="42"/>
      <c r="J568" s="42"/>
      <c r="K568" s="42"/>
      <c r="L568" s="42"/>
      <c r="M568" s="42"/>
      <c r="N568" s="42"/>
      <c r="O568" s="42"/>
      <c r="P568" s="7"/>
    </row>
    <row r="569" spans="1:16" x14ac:dyDescent="0.2">
      <c r="A569" s="7"/>
      <c r="B569" s="647"/>
      <c r="C569" s="7"/>
      <c r="D569" s="8" t="s">
        <v>17</v>
      </c>
      <c r="E569" s="8"/>
      <c r="F569" s="1004">
        <v>10000</v>
      </c>
      <c r="G569" s="8" t="s">
        <v>18</v>
      </c>
      <c r="H569" s="7"/>
      <c r="I569" s="7"/>
      <c r="J569" s="7"/>
      <c r="K569" s="7"/>
      <c r="L569" s="7"/>
      <c r="M569" s="7"/>
      <c r="N569" s="7"/>
      <c r="O569" s="7"/>
      <c r="P569" s="7"/>
    </row>
    <row r="570" spans="1:16" x14ac:dyDescent="0.2">
      <c r="A570" s="7"/>
      <c r="B570" s="647"/>
      <c r="C570" s="7"/>
      <c r="D570" s="7"/>
      <c r="E570" s="7"/>
      <c r="F570" s="7"/>
      <c r="G570" s="7"/>
      <c r="H570" s="7"/>
      <c r="I570" s="7"/>
      <c r="J570" s="7"/>
      <c r="K570" s="7"/>
      <c r="L570" s="7"/>
      <c r="M570" s="7"/>
      <c r="N570" s="7"/>
      <c r="O570" s="7"/>
      <c r="P570" s="7"/>
    </row>
    <row r="571" spans="1:16" x14ac:dyDescent="0.2">
      <c r="A571" s="7"/>
      <c r="B571" s="647"/>
      <c r="C571" s="7"/>
      <c r="D571" s="19"/>
      <c r="E571" s="19"/>
      <c r="F571" s="1626" t="s">
        <v>19</v>
      </c>
      <c r="G571" s="1626"/>
      <c r="H571" s="1626"/>
      <c r="I571" s="7"/>
      <c r="J571" s="1626" t="s">
        <v>20</v>
      </c>
      <c r="K571" s="1626"/>
      <c r="L571" s="1626"/>
      <c r="M571" s="7"/>
      <c r="N571" s="1626" t="s">
        <v>21</v>
      </c>
      <c r="O571" s="1626"/>
      <c r="P571" s="7"/>
    </row>
    <row r="572" spans="1:16" ht="12.75" customHeight="1" x14ac:dyDescent="0.2">
      <c r="A572" s="7"/>
      <c r="B572" s="647"/>
      <c r="C572" s="7"/>
      <c r="D572" s="1626" t="s">
        <v>22</v>
      </c>
      <c r="E572" s="20"/>
      <c r="F572" s="21" t="s">
        <v>23</v>
      </c>
      <c r="G572" s="21" t="s">
        <v>24</v>
      </c>
      <c r="H572" s="22" t="s">
        <v>25</v>
      </c>
      <c r="I572" s="7"/>
      <c r="J572" s="21" t="s">
        <v>23</v>
      </c>
      <c r="K572" s="23" t="s">
        <v>24</v>
      </c>
      <c r="L572" s="22" t="s">
        <v>25</v>
      </c>
      <c r="M572" s="7"/>
      <c r="N572" s="1626" t="s">
        <v>26</v>
      </c>
      <c r="O572" s="1626" t="s">
        <v>27</v>
      </c>
      <c r="P572" s="7"/>
    </row>
    <row r="573" spans="1:16" x14ac:dyDescent="0.2">
      <c r="A573" s="7"/>
      <c r="B573" s="647"/>
      <c r="C573" s="7"/>
      <c r="D573" s="1626"/>
      <c r="E573" s="20"/>
      <c r="F573" s="24" t="s">
        <v>452</v>
      </c>
      <c r="G573" s="24"/>
      <c r="H573" s="25" t="s">
        <v>452</v>
      </c>
      <c r="I573" s="7"/>
      <c r="J573" s="24" t="s">
        <v>452</v>
      </c>
      <c r="K573" s="25"/>
      <c r="L573" s="25" t="s">
        <v>452</v>
      </c>
      <c r="M573" s="7"/>
      <c r="N573" s="1626"/>
      <c r="O573" s="1626"/>
      <c r="P573" s="7"/>
    </row>
    <row r="574" spans="1:16" x14ac:dyDescent="0.2">
      <c r="A574" s="7"/>
      <c r="B574" s="26" t="s">
        <v>28</v>
      </c>
      <c r="C574" s="26"/>
      <c r="D574" s="1005" t="s">
        <v>1130</v>
      </c>
      <c r="E574" s="27"/>
      <c r="F574" s="1006">
        <v>23.71</v>
      </c>
      <c r="G574" s="32">
        <v>1</v>
      </c>
      <c r="H574" s="1007">
        <f>G574*F574</f>
        <v>23.71</v>
      </c>
      <c r="I574" s="30"/>
      <c r="J574" s="1008">
        <v>28.16</v>
      </c>
      <c r="K574" s="33">
        <v>1</v>
      </c>
      <c r="L574" s="1007">
        <f>K574*J574</f>
        <v>28.16</v>
      </c>
      <c r="M574" s="30"/>
      <c r="N574" s="34">
        <f>L574-H574</f>
        <v>4.4499999999999993</v>
      </c>
      <c r="O574" s="202">
        <f>IF((H574)=0,"",(N574/H574))</f>
        <v>0.1876845212990299</v>
      </c>
      <c r="P574" s="7"/>
    </row>
    <row r="575" spans="1:16" x14ac:dyDescent="0.2">
      <c r="A575" s="7"/>
      <c r="B575" s="26" t="s">
        <v>29</v>
      </c>
      <c r="C575" s="26"/>
      <c r="D575" s="1005" t="s">
        <v>1130</v>
      </c>
      <c r="E575" s="27"/>
      <c r="F575" s="1006">
        <v>6.06</v>
      </c>
      <c r="G575" s="32">
        <v>1</v>
      </c>
      <c r="H575" s="1007">
        <f t="shared" ref="H575:H583" si="49">G575*F575</f>
        <v>6.06</v>
      </c>
      <c r="I575" s="30"/>
      <c r="J575" s="1008">
        <v>6.06</v>
      </c>
      <c r="K575" s="33">
        <v>1</v>
      </c>
      <c r="L575" s="1007">
        <f>K575*J575</f>
        <v>6.06</v>
      </c>
      <c r="M575" s="30"/>
      <c r="N575" s="34">
        <f>L575-H575</f>
        <v>0</v>
      </c>
      <c r="O575" s="202">
        <f>IF((H575)=0,"",(N575/H575))</f>
        <v>0</v>
      </c>
      <c r="P575" s="7"/>
    </row>
    <row r="576" spans="1:16" x14ac:dyDescent="0.2">
      <c r="A576" s="7"/>
      <c r="B576" s="1009" t="s">
        <v>1131</v>
      </c>
      <c r="C576" s="26"/>
      <c r="D576" s="1005" t="s">
        <v>79</v>
      </c>
      <c r="E576" s="27"/>
      <c r="F576" s="1006">
        <v>-2.9999999999999997E-4</v>
      </c>
      <c r="G576" s="32">
        <f>F569</f>
        <v>10000</v>
      </c>
      <c r="H576" s="1007">
        <f t="shared" si="49"/>
        <v>-2.9999999999999996</v>
      </c>
      <c r="I576" s="30"/>
      <c r="J576" s="1008">
        <v>0</v>
      </c>
      <c r="K576" s="33">
        <f>F569</f>
        <v>10000</v>
      </c>
      <c r="L576" s="1007">
        <f t="shared" ref="L576:L583" si="50">K576*J576</f>
        <v>0</v>
      </c>
      <c r="M576" s="30"/>
      <c r="N576" s="34">
        <f t="shared" ref="N576:N614" si="51">L576-H576</f>
        <v>2.9999999999999996</v>
      </c>
      <c r="O576" s="202">
        <f t="shared" ref="O576:O584" si="52">IF((H576)=0,"",(N576/H576))</f>
        <v>-1</v>
      </c>
      <c r="P576" s="7"/>
    </row>
    <row r="577" spans="1:16" x14ac:dyDescent="0.2">
      <c r="A577" s="7"/>
      <c r="B577" s="1009" t="s">
        <v>36</v>
      </c>
      <c r="C577" s="26"/>
      <c r="D577" s="1005" t="s">
        <v>1130</v>
      </c>
      <c r="E577" s="27"/>
      <c r="F577" s="1006">
        <v>0.25</v>
      </c>
      <c r="G577" s="32">
        <v>1</v>
      </c>
      <c r="H577" s="1007">
        <f t="shared" si="49"/>
        <v>0.25</v>
      </c>
      <c r="I577" s="30"/>
      <c r="J577" s="1008">
        <v>0.25</v>
      </c>
      <c r="K577" s="33">
        <v>1</v>
      </c>
      <c r="L577" s="1007">
        <f t="shared" si="50"/>
        <v>0.25</v>
      </c>
      <c r="M577" s="30"/>
      <c r="N577" s="34">
        <f t="shared" si="51"/>
        <v>0</v>
      </c>
      <c r="O577" s="202">
        <f t="shared" si="52"/>
        <v>0</v>
      </c>
      <c r="P577" s="7"/>
    </row>
    <row r="578" spans="1:16" x14ac:dyDescent="0.2">
      <c r="A578" s="7"/>
      <c r="B578" s="26" t="s">
        <v>30</v>
      </c>
      <c r="C578" s="26"/>
      <c r="D578" s="1005" t="s">
        <v>79</v>
      </c>
      <c r="E578" s="27"/>
      <c r="F578" s="1006">
        <v>1.66E-2</v>
      </c>
      <c r="G578" s="32">
        <f>F569</f>
        <v>10000</v>
      </c>
      <c r="H578" s="1007">
        <f t="shared" si="49"/>
        <v>166</v>
      </c>
      <c r="I578" s="30"/>
      <c r="J578" s="1008">
        <v>1.9699999999999999E-2</v>
      </c>
      <c r="K578" s="32">
        <f>F569</f>
        <v>10000</v>
      </c>
      <c r="L578" s="1007">
        <f t="shared" si="50"/>
        <v>197</v>
      </c>
      <c r="M578" s="30"/>
      <c r="N578" s="34">
        <f t="shared" si="51"/>
        <v>31</v>
      </c>
      <c r="O578" s="202">
        <f t="shared" si="52"/>
        <v>0.18674698795180722</v>
      </c>
      <c r="P578" s="7"/>
    </row>
    <row r="579" spans="1:16" x14ac:dyDescent="0.2">
      <c r="A579" s="7"/>
      <c r="B579" s="26" t="s">
        <v>31</v>
      </c>
      <c r="C579" s="26"/>
      <c r="D579" s="1005"/>
      <c r="E579" s="27"/>
      <c r="F579" s="1006"/>
      <c r="G579" s="32"/>
      <c r="H579" s="1007">
        <f t="shared" si="49"/>
        <v>0</v>
      </c>
      <c r="I579" s="30"/>
      <c r="J579" s="1008"/>
      <c r="K579" s="32"/>
      <c r="L579" s="1007">
        <f t="shared" si="50"/>
        <v>0</v>
      </c>
      <c r="M579" s="30"/>
      <c r="N579" s="34">
        <f t="shared" si="51"/>
        <v>0</v>
      </c>
      <c r="O579" s="202" t="str">
        <f t="shared" si="52"/>
        <v/>
      </c>
      <c r="P579" s="7"/>
    </row>
    <row r="580" spans="1:16" x14ac:dyDescent="0.2">
      <c r="A580" s="7"/>
      <c r="B580" s="26" t="s">
        <v>1132</v>
      </c>
      <c r="C580" s="26"/>
      <c r="D580" s="1005" t="s">
        <v>80</v>
      </c>
      <c r="E580" s="27"/>
      <c r="F580" s="1006">
        <v>1E-4</v>
      </c>
      <c r="G580" s="32">
        <f>F569</f>
        <v>10000</v>
      </c>
      <c r="H580" s="1007">
        <f t="shared" si="49"/>
        <v>1</v>
      </c>
      <c r="I580" s="30"/>
      <c r="J580" s="1008">
        <v>0</v>
      </c>
      <c r="K580" s="32">
        <f>F569</f>
        <v>10000</v>
      </c>
      <c r="L580" s="1007">
        <f t="shared" si="50"/>
        <v>0</v>
      </c>
      <c r="M580" s="30"/>
      <c r="N580" s="34">
        <f t="shared" si="51"/>
        <v>-1</v>
      </c>
      <c r="O580" s="202">
        <f t="shared" si="52"/>
        <v>-1</v>
      </c>
      <c r="P580" s="7"/>
    </row>
    <row r="581" spans="1:16" x14ac:dyDescent="0.2">
      <c r="A581" s="7"/>
      <c r="B581" s="26" t="s">
        <v>1133</v>
      </c>
      <c r="C581" s="26"/>
      <c r="D581" s="1005" t="s">
        <v>80</v>
      </c>
      <c r="E581" s="27"/>
      <c r="F581" s="1006">
        <v>2.0000000000000001E-4</v>
      </c>
      <c r="G581" s="32">
        <f>F569</f>
        <v>10000</v>
      </c>
      <c r="H581" s="1007">
        <f t="shared" si="49"/>
        <v>2</v>
      </c>
      <c r="I581" s="30"/>
      <c r="J581" s="1008">
        <v>2.0000000000000001E-4</v>
      </c>
      <c r="K581" s="32">
        <f>F569</f>
        <v>10000</v>
      </c>
      <c r="L581" s="1007">
        <f t="shared" si="50"/>
        <v>2</v>
      </c>
      <c r="M581" s="30"/>
      <c r="N581" s="34">
        <f t="shared" si="51"/>
        <v>0</v>
      </c>
      <c r="O581" s="202">
        <f t="shared" si="52"/>
        <v>0</v>
      </c>
      <c r="P581" s="7"/>
    </row>
    <row r="582" spans="1:16" x14ac:dyDescent="0.2">
      <c r="A582" s="7"/>
      <c r="B582" s="26" t="s">
        <v>1134</v>
      </c>
      <c r="C582" s="26"/>
      <c r="D582" s="1005" t="s">
        <v>80</v>
      </c>
      <c r="E582" s="27"/>
      <c r="F582" s="1006">
        <v>0</v>
      </c>
      <c r="G582" s="32">
        <f>F569</f>
        <v>10000</v>
      </c>
      <c r="H582" s="1007">
        <f t="shared" si="49"/>
        <v>0</v>
      </c>
      <c r="I582" s="30"/>
      <c r="J582" s="1008">
        <v>2.9999999999999997E-4</v>
      </c>
      <c r="K582" s="32">
        <f>F569</f>
        <v>10000</v>
      </c>
      <c r="L582" s="1007">
        <f t="shared" si="50"/>
        <v>2.9999999999999996</v>
      </c>
      <c r="M582" s="30"/>
      <c r="N582" s="34">
        <f t="shared" si="51"/>
        <v>2.9999999999999996</v>
      </c>
      <c r="O582" s="202" t="str">
        <f t="shared" si="52"/>
        <v/>
      </c>
      <c r="P582" s="7"/>
    </row>
    <row r="583" spans="1:16" x14ac:dyDescent="0.2">
      <c r="A583" s="7"/>
      <c r="B583" s="1010" t="s">
        <v>1135</v>
      </c>
      <c r="C583" s="26"/>
      <c r="D583" s="1005" t="s">
        <v>1130</v>
      </c>
      <c r="E583" s="27"/>
      <c r="F583" s="1006">
        <v>0</v>
      </c>
      <c r="G583" s="32">
        <v>1</v>
      </c>
      <c r="H583" s="1007">
        <f t="shared" si="49"/>
        <v>0</v>
      </c>
      <c r="I583" s="30"/>
      <c r="J583" s="1008">
        <v>2.2400000000000002</v>
      </c>
      <c r="K583" s="32">
        <v>1</v>
      </c>
      <c r="L583" s="1007">
        <f t="shared" si="50"/>
        <v>2.2400000000000002</v>
      </c>
      <c r="M583" s="30"/>
      <c r="N583" s="34">
        <f t="shared" si="51"/>
        <v>2.2400000000000002</v>
      </c>
      <c r="O583" s="202" t="str">
        <f t="shared" si="52"/>
        <v/>
      </c>
      <c r="P583" s="7"/>
    </row>
    <row r="584" spans="1:16" x14ac:dyDescent="0.2">
      <c r="A584" s="29"/>
      <c r="B584" s="1011" t="s">
        <v>698</v>
      </c>
      <c r="C584" s="1012"/>
      <c r="D584" s="1013"/>
      <c r="E584" s="1012"/>
      <c r="F584" s="1014"/>
      <c r="G584" s="1015"/>
      <c r="H584" s="1016">
        <f>SUM(H574:H583)</f>
        <v>196.02</v>
      </c>
      <c r="I584" s="1017"/>
      <c r="J584" s="1018"/>
      <c r="K584" s="1019"/>
      <c r="L584" s="1016">
        <f>SUM(L574:L583)</f>
        <v>238.71</v>
      </c>
      <c r="M584" s="1017"/>
      <c r="N584" s="1020">
        <f t="shared" si="51"/>
        <v>42.69</v>
      </c>
      <c r="O584" s="1021">
        <f t="shared" si="52"/>
        <v>0.21778389960208139</v>
      </c>
      <c r="P584" s="29"/>
    </row>
    <row r="585" spans="1:16" ht="38.25" x14ac:dyDescent="0.2">
      <c r="A585" s="7"/>
      <c r="B585" s="1022" t="s">
        <v>1136</v>
      </c>
      <c r="C585" s="26"/>
      <c r="D585" s="1005" t="s">
        <v>80</v>
      </c>
      <c r="E585" s="27"/>
      <c r="F585" s="1006">
        <v>1.1999999999999999E-3</v>
      </c>
      <c r="G585" s="32">
        <f>F569</f>
        <v>10000</v>
      </c>
      <c r="H585" s="1007">
        <f>G585*F585</f>
        <v>11.999999999999998</v>
      </c>
      <c r="I585" s="30"/>
      <c r="J585" s="1008">
        <v>0</v>
      </c>
      <c r="K585" s="32">
        <f>F569</f>
        <v>10000</v>
      </c>
      <c r="L585" s="1007">
        <f>K585*J585</f>
        <v>0</v>
      </c>
      <c r="M585" s="30"/>
      <c r="N585" s="34">
        <f t="shared" si="51"/>
        <v>-11.999999999999998</v>
      </c>
      <c r="O585" s="202">
        <f>IF((H585)=0,"",(N585/H585))</f>
        <v>-1</v>
      </c>
      <c r="P585" s="7"/>
    </row>
    <row r="586" spans="1:16" ht="38.25" x14ac:dyDescent="0.2">
      <c r="A586" s="7"/>
      <c r="B586" s="1022" t="s">
        <v>1137</v>
      </c>
      <c r="C586" s="26"/>
      <c r="D586" s="1005" t="s">
        <v>80</v>
      </c>
      <c r="E586" s="27"/>
      <c r="F586" s="1006">
        <v>-1.6000000000000001E-3</v>
      </c>
      <c r="G586" s="32">
        <f>F569</f>
        <v>10000</v>
      </c>
      <c r="H586" s="1007">
        <f>G586*F586</f>
        <v>-16</v>
      </c>
      <c r="I586" s="30"/>
      <c r="J586" s="1008">
        <v>-1.6000000000000001E-3</v>
      </c>
      <c r="K586" s="32">
        <f>F569</f>
        <v>10000</v>
      </c>
      <c r="L586" s="1007">
        <f>K586*J586</f>
        <v>-16</v>
      </c>
      <c r="M586" s="30"/>
      <c r="N586" s="34">
        <f t="shared" si="51"/>
        <v>0</v>
      </c>
      <c r="O586" s="202">
        <f>IF((H586)=0,"",(N586/H586))</f>
        <v>0</v>
      </c>
      <c r="P586" s="7"/>
    </row>
    <row r="587" spans="1:16" ht="51" x14ac:dyDescent="0.2">
      <c r="A587" s="7"/>
      <c r="B587" s="1022" t="s">
        <v>1138</v>
      </c>
      <c r="C587" s="26"/>
      <c r="D587" s="1005" t="s">
        <v>80</v>
      </c>
      <c r="E587" s="27"/>
      <c r="F587" s="1006">
        <v>0</v>
      </c>
      <c r="G587" s="32">
        <f>F569</f>
        <v>10000</v>
      </c>
      <c r="H587" s="1007">
        <f>G587*F587</f>
        <v>0</v>
      </c>
      <c r="I587" s="30"/>
      <c r="J587" s="1008">
        <v>-1.1000000000000001E-3</v>
      </c>
      <c r="K587" s="32">
        <f>F569</f>
        <v>10000</v>
      </c>
      <c r="L587" s="1007">
        <f>K587*J587</f>
        <v>-11</v>
      </c>
      <c r="M587" s="30"/>
      <c r="N587" s="34">
        <f t="shared" si="51"/>
        <v>-11</v>
      </c>
      <c r="O587" s="202" t="str">
        <f>IF((H587)=0,"",(N587/H587))</f>
        <v/>
      </c>
      <c r="P587" s="7"/>
    </row>
    <row r="588" spans="1:16" x14ac:dyDescent="0.2">
      <c r="A588" s="7"/>
      <c r="B588" s="564" t="s">
        <v>808</v>
      </c>
      <c r="C588" s="26"/>
      <c r="D588" s="1005" t="s">
        <v>79</v>
      </c>
      <c r="E588" s="27"/>
      <c r="F588" s="1006">
        <v>2.0000000000000001E-4</v>
      </c>
      <c r="G588" s="32">
        <f>F569</f>
        <v>10000</v>
      </c>
      <c r="H588" s="1007">
        <f>G588*F588</f>
        <v>2</v>
      </c>
      <c r="I588" s="30"/>
      <c r="J588" s="1008">
        <v>2.0000000000000001E-4</v>
      </c>
      <c r="K588" s="32">
        <f>F569</f>
        <v>10000</v>
      </c>
      <c r="L588" s="1007">
        <f>K588*J588</f>
        <v>2</v>
      </c>
      <c r="M588" s="30"/>
      <c r="N588" s="34">
        <f t="shared" si="51"/>
        <v>0</v>
      </c>
      <c r="O588" s="202">
        <f>IF((H588)=0,"",(N588/H588))</f>
        <v>0</v>
      </c>
      <c r="P588" s="7"/>
    </row>
    <row r="589" spans="1:16" x14ac:dyDescent="0.2">
      <c r="A589" s="7"/>
      <c r="B589" s="564" t="s">
        <v>701</v>
      </c>
      <c r="C589" s="26"/>
      <c r="D589" s="1005"/>
      <c r="E589" s="27"/>
      <c r="F589" s="1023"/>
      <c r="G589" s="1024"/>
      <c r="H589" s="1025"/>
      <c r="I589" s="30"/>
      <c r="J589" s="1008"/>
      <c r="K589" s="32">
        <f>F569</f>
        <v>10000</v>
      </c>
      <c r="L589" s="1007">
        <f>K589*J589</f>
        <v>0</v>
      </c>
      <c r="M589" s="30"/>
      <c r="N589" s="34">
        <f t="shared" si="51"/>
        <v>0</v>
      </c>
      <c r="O589" s="202"/>
      <c r="P589" s="7"/>
    </row>
    <row r="590" spans="1:16" ht="25.5" x14ac:dyDescent="0.2">
      <c r="A590" s="7"/>
      <c r="B590" s="1026" t="s">
        <v>699</v>
      </c>
      <c r="C590" s="1027"/>
      <c r="D590" s="1027"/>
      <c r="E590" s="1027"/>
      <c r="F590" s="1028"/>
      <c r="G590" s="1029"/>
      <c r="H590" s="1030">
        <f>SUM(H584:H589)</f>
        <v>194.02</v>
      </c>
      <c r="I590" s="1017"/>
      <c r="J590" s="1029"/>
      <c r="K590" s="1031"/>
      <c r="L590" s="1030">
        <f>SUM(L584:L589)</f>
        <v>213.71</v>
      </c>
      <c r="M590" s="1017"/>
      <c r="N590" s="1020">
        <f t="shared" si="51"/>
        <v>19.689999999999998</v>
      </c>
      <c r="O590" s="1021">
        <f t="shared" ref="O590:O614" si="53">IF((H590)=0,"",(N590/H590))</f>
        <v>0.10148438305329346</v>
      </c>
      <c r="P590" s="7"/>
    </row>
    <row r="591" spans="1:16" x14ac:dyDescent="0.2">
      <c r="A591" s="7"/>
      <c r="B591" s="30" t="s">
        <v>32</v>
      </c>
      <c r="C591" s="30"/>
      <c r="D591" s="1032" t="s">
        <v>79</v>
      </c>
      <c r="E591" s="31"/>
      <c r="F591" s="1008">
        <v>6.3E-3</v>
      </c>
      <c r="G591" s="667">
        <f>F569*(1+F617)</f>
        <v>10356</v>
      </c>
      <c r="H591" s="1007">
        <f>G591*F591</f>
        <v>65.242800000000003</v>
      </c>
      <c r="I591" s="30"/>
      <c r="J591" s="1008">
        <v>5.7999999999999996E-3</v>
      </c>
      <c r="K591" s="668">
        <f>F569*(1+J617)</f>
        <v>10420.540642790153</v>
      </c>
      <c r="L591" s="1007">
        <f>K591*J591</f>
        <v>60.439135728182883</v>
      </c>
      <c r="M591" s="30"/>
      <c r="N591" s="34">
        <f t="shared" si="51"/>
        <v>-4.8036642718171194</v>
      </c>
      <c r="O591" s="202">
        <f t="shared" si="53"/>
        <v>-7.3627500227107345E-2</v>
      </c>
      <c r="P591" s="7"/>
    </row>
    <row r="592" spans="1:16" ht="25.5" x14ac:dyDescent="0.2">
      <c r="A592" s="7"/>
      <c r="B592" s="35" t="s">
        <v>33</v>
      </c>
      <c r="C592" s="30"/>
      <c r="D592" s="1032" t="s">
        <v>79</v>
      </c>
      <c r="E592" s="31"/>
      <c r="F592" s="1008">
        <v>5.0000000000000001E-3</v>
      </c>
      <c r="G592" s="667">
        <f>G591</f>
        <v>10356</v>
      </c>
      <c r="H592" s="1007">
        <f>G592*F592</f>
        <v>51.78</v>
      </c>
      <c r="I592" s="30"/>
      <c r="J592" s="1008">
        <v>4.7999999999999996E-3</v>
      </c>
      <c r="K592" s="668">
        <f>K591</f>
        <v>10420.540642790153</v>
      </c>
      <c r="L592" s="1007">
        <f>K592*J592</f>
        <v>50.018595085392725</v>
      </c>
      <c r="M592" s="30"/>
      <c r="N592" s="34">
        <f t="shared" si="51"/>
        <v>-1.7614049146072759</v>
      </c>
      <c r="O592" s="202">
        <f t="shared" si="53"/>
        <v>-3.4017089891990648E-2</v>
      </c>
      <c r="P592" s="7"/>
    </row>
    <row r="593" spans="1:16" ht="25.5" x14ac:dyDescent="0.2">
      <c r="A593" s="7"/>
      <c r="B593" s="1026" t="s">
        <v>700</v>
      </c>
      <c r="C593" s="1012"/>
      <c r="D593" s="1012"/>
      <c r="E593" s="1012"/>
      <c r="F593" s="1033"/>
      <c r="G593" s="1029"/>
      <c r="H593" s="1030">
        <f>SUM(H590:H592)</f>
        <v>311.04280000000006</v>
      </c>
      <c r="I593" s="1034"/>
      <c r="J593" s="1035"/>
      <c r="K593" s="1036"/>
      <c r="L593" s="1030">
        <f>SUM(L590:L592)</f>
        <v>324.16773081357564</v>
      </c>
      <c r="M593" s="1034"/>
      <c r="N593" s="1020">
        <f t="shared" si="51"/>
        <v>13.124930813575588</v>
      </c>
      <c r="O593" s="1021">
        <f t="shared" si="53"/>
        <v>4.2196542770241222E-2</v>
      </c>
      <c r="P593" s="7"/>
    </row>
    <row r="594" spans="1:16" ht="25.5" x14ac:dyDescent="0.2">
      <c r="A594" s="7"/>
      <c r="B594" s="28" t="s">
        <v>34</v>
      </c>
      <c r="C594" s="26"/>
      <c r="D594" s="1005" t="s">
        <v>79</v>
      </c>
      <c r="E594" s="27"/>
      <c r="F594" s="1037">
        <v>5.1999999999999998E-3</v>
      </c>
      <c r="G594" s="667">
        <f>F569*(1+F617)</f>
        <v>10356</v>
      </c>
      <c r="H594" s="1038">
        <f t="shared" ref="H594:H602" si="54">G594*F594</f>
        <v>53.851199999999999</v>
      </c>
      <c r="I594" s="30"/>
      <c r="J594" s="1039">
        <v>5.1999999999999998E-3</v>
      </c>
      <c r="K594" s="668">
        <f>F569*(1+J617)</f>
        <v>10420.540642790153</v>
      </c>
      <c r="L594" s="1038">
        <f t="shared" ref="L594:L602" si="55">K594*J594</f>
        <v>54.18681134250879</v>
      </c>
      <c r="M594" s="30"/>
      <c r="N594" s="34">
        <f t="shared" si="51"/>
        <v>0.33561134250879121</v>
      </c>
      <c r="O594" s="565">
        <f t="shared" si="53"/>
        <v>6.2321980291765314E-3</v>
      </c>
      <c r="P594" s="7"/>
    </row>
    <row r="595" spans="1:16" ht="25.5" x14ac:dyDescent="0.2">
      <c r="A595" s="7"/>
      <c r="B595" s="28" t="s">
        <v>35</v>
      </c>
      <c r="C595" s="26"/>
      <c r="D595" s="1005" t="s">
        <v>79</v>
      </c>
      <c r="E595" s="27"/>
      <c r="F595" s="1037">
        <v>1.1000000000000001E-3</v>
      </c>
      <c r="G595" s="667">
        <f>F569*(1+F617)</f>
        <v>10356</v>
      </c>
      <c r="H595" s="1038">
        <f t="shared" si="54"/>
        <v>11.3916</v>
      </c>
      <c r="I595" s="30"/>
      <c r="J595" s="1039">
        <v>1.1000000000000001E-3</v>
      </c>
      <c r="K595" s="668">
        <f>F569*(1+J617)</f>
        <v>10420.540642790153</v>
      </c>
      <c r="L595" s="1038">
        <f t="shared" si="55"/>
        <v>11.462594707069169</v>
      </c>
      <c r="M595" s="30"/>
      <c r="N595" s="34">
        <f t="shared" si="51"/>
        <v>7.0994707069168328E-2</v>
      </c>
      <c r="O595" s="565">
        <f t="shared" si="53"/>
        <v>6.2321980291766147E-3</v>
      </c>
      <c r="P595" s="7"/>
    </row>
    <row r="596" spans="1:16" x14ac:dyDescent="0.2">
      <c r="A596" s="7"/>
      <c r="B596" s="26" t="s">
        <v>36</v>
      </c>
      <c r="C596" s="26"/>
      <c r="D596" s="1005"/>
      <c r="E596" s="27"/>
      <c r="F596" s="1037"/>
      <c r="G596" s="32">
        <v>1</v>
      </c>
      <c r="H596" s="1038">
        <f t="shared" si="54"/>
        <v>0</v>
      </c>
      <c r="I596" s="30"/>
      <c r="J596" s="1039"/>
      <c r="K596" s="33">
        <v>1</v>
      </c>
      <c r="L596" s="1038">
        <f t="shared" si="55"/>
        <v>0</v>
      </c>
      <c r="M596" s="30"/>
      <c r="N596" s="34">
        <f t="shared" si="51"/>
        <v>0</v>
      </c>
      <c r="O596" s="565" t="str">
        <f t="shared" si="53"/>
        <v/>
      </c>
      <c r="P596" s="7"/>
    </row>
    <row r="597" spans="1:16" x14ac:dyDescent="0.2">
      <c r="A597" s="7"/>
      <c r="B597" s="26" t="s">
        <v>37</v>
      </c>
      <c r="C597" s="26"/>
      <c r="D597" s="1005" t="s">
        <v>79</v>
      </c>
      <c r="E597" s="27"/>
      <c r="F597" s="1037">
        <v>7.0000000000000001E-3</v>
      </c>
      <c r="G597" s="667">
        <f>F569</f>
        <v>10000</v>
      </c>
      <c r="H597" s="1038">
        <f t="shared" si="54"/>
        <v>70</v>
      </c>
      <c r="I597" s="30"/>
      <c r="J597" s="1039">
        <v>7.0000000000000001E-3</v>
      </c>
      <c r="K597" s="668">
        <f>F569</f>
        <v>10000</v>
      </c>
      <c r="L597" s="1038">
        <f t="shared" si="55"/>
        <v>70</v>
      </c>
      <c r="M597" s="30"/>
      <c r="N597" s="34">
        <f t="shared" si="51"/>
        <v>0</v>
      </c>
      <c r="O597" s="565">
        <f t="shared" si="53"/>
        <v>0</v>
      </c>
      <c r="P597" s="7"/>
    </row>
    <row r="598" spans="1:16" x14ac:dyDescent="0.2">
      <c r="A598" s="7"/>
      <c r="B598" s="564" t="s">
        <v>777</v>
      </c>
      <c r="C598" s="26"/>
      <c r="D598" s="1005" t="s">
        <v>79</v>
      </c>
      <c r="E598" s="27"/>
      <c r="F598" s="1040">
        <v>7.4999999999999997E-2</v>
      </c>
      <c r="G598" s="667">
        <f>IF($G$594&gt;=0,0,$G$594)</f>
        <v>0</v>
      </c>
      <c r="H598" s="1038">
        <f>G598*F598</f>
        <v>0</v>
      </c>
      <c r="I598" s="30"/>
      <c r="J598" s="1037">
        <v>7.4999999999999997E-2</v>
      </c>
      <c r="K598" s="667">
        <f>IF($K$594&gt;=0,0,$K$594)</f>
        <v>0</v>
      </c>
      <c r="L598" s="1038">
        <f>K598*J598</f>
        <v>0</v>
      </c>
      <c r="M598" s="30"/>
      <c r="N598" s="34">
        <f t="shared" si="51"/>
        <v>0</v>
      </c>
      <c r="O598" s="565" t="str">
        <f t="shared" si="53"/>
        <v/>
      </c>
      <c r="P598" s="7"/>
    </row>
    <row r="599" spans="1:16" x14ac:dyDescent="0.2">
      <c r="A599" s="7"/>
      <c r="B599" s="564" t="s">
        <v>778</v>
      </c>
      <c r="C599" s="26"/>
      <c r="D599" s="1005" t="s">
        <v>79</v>
      </c>
      <c r="E599" s="27"/>
      <c r="F599" s="1040">
        <v>8.7999999999999995E-2</v>
      </c>
      <c r="G599" s="667">
        <f>IF($G$594&gt;=0,$G$594-0,0)</f>
        <v>10356</v>
      </c>
      <c r="H599" s="1038">
        <f>G599*F599</f>
        <v>911.32799999999997</v>
      </c>
      <c r="I599" s="30"/>
      <c r="J599" s="1037">
        <v>8.7999999999999995E-2</v>
      </c>
      <c r="K599" s="667">
        <f>IF($K$594&gt;=0,$K$594-0,0)</f>
        <v>10420.540642790153</v>
      </c>
      <c r="L599" s="1038">
        <f>K599*J599</f>
        <v>917.00757656553333</v>
      </c>
      <c r="M599" s="30"/>
      <c r="N599" s="34">
        <f t="shared" si="51"/>
        <v>5.6795765655333526</v>
      </c>
      <c r="O599" s="565">
        <f t="shared" si="53"/>
        <v>6.2321980291764906E-3</v>
      </c>
      <c r="P599" s="7"/>
    </row>
    <row r="600" spans="1:16" x14ac:dyDescent="0.2">
      <c r="A600" s="7"/>
      <c r="B600" s="564" t="s">
        <v>779</v>
      </c>
      <c r="C600" s="26"/>
      <c r="D600" s="1005" t="s">
        <v>79</v>
      </c>
      <c r="E600" s="27"/>
      <c r="F600" s="1040">
        <v>6.5000000000000002E-2</v>
      </c>
      <c r="G600" s="669">
        <f>0.64*$G$594</f>
        <v>6627.84</v>
      </c>
      <c r="H600" s="1038">
        <f t="shared" si="54"/>
        <v>430.80960000000005</v>
      </c>
      <c r="I600" s="30"/>
      <c r="J600" s="1037">
        <v>6.5000000000000002E-2</v>
      </c>
      <c r="K600" s="1041">
        <f>0.64*$K$594</f>
        <v>6669.1460113856974</v>
      </c>
      <c r="L600" s="1038">
        <f t="shared" si="55"/>
        <v>433.49449074007038</v>
      </c>
      <c r="M600" s="30"/>
      <c r="N600" s="34">
        <f t="shared" si="51"/>
        <v>2.6848907400703297</v>
      </c>
      <c r="O600" s="565">
        <f t="shared" si="53"/>
        <v>6.2321980291765305E-3</v>
      </c>
      <c r="P600" s="7"/>
    </row>
    <row r="601" spans="1:16" x14ac:dyDescent="0.2">
      <c r="A601" s="7"/>
      <c r="B601" s="564" t="s">
        <v>780</v>
      </c>
      <c r="C601" s="26"/>
      <c r="D601" s="1005" t="s">
        <v>79</v>
      </c>
      <c r="E601" s="27"/>
      <c r="F601" s="1040">
        <v>0.1</v>
      </c>
      <c r="G601" s="669">
        <f>0.18*$G$594</f>
        <v>1864.08</v>
      </c>
      <c r="H601" s="1038">
        <f t="shared" si="54"/>
        <v>186.40800000000002</v>
      </c>
      <c r="I601" s="30"/>
      <c r="J601" s="1037">
        <v>0.1</v>
      </c>
      <c r="K601" s="1041">
        <f>0.18*$K$594</f>
        <v>1875.6973157022273</v>
      </c>
      <c r="L601" s="1038">
        <f t="shared" si="55"/>
        <v>187.56973157022276</v>
      </c>
      <c r="M601" s="30"/>
      <c r="N601" s="34">
        <f t="shared" si="51"/>
        <v>1.1617315702227415</v>
      </c>
      <c r="O601" s="565">
        <f t="shared" si="53"/>
        <v>6.2321980291765453E-3</v>
      </c>
      <c r="P601" s="7"/>
    </row>
    <row r="602" spans="1:16" ht="13.5" thickBot="1" x14ac:dyDescent="0.25">
      <c r="A602" s="7"/>
      <c r="B602" s="647" t="s">
        <v>781</v>
      </c>
      <c r="C602" s="26"/>
      <c r="D602" s="1005" t="s">
        <v>79</v>
      </c>
      <c r="E602" s="27"/>
      <c r="F602" s="1040">
        <v>0.11700000000000001</v>
      </c>
      <c r="G602" s="669">
        <f>0.18*$G$594</f>
        <v>1864.08</v>
      </c>
      <c r="H602" s="1038">
        <f t="shared" si="54"/>
        <v>218.09736000000001</v>
      </c>
      <c r="I602" s="30"/>
      <c r="J602" s="1037">
        <v>0.11700000000000001</v>
      </c>
      <c r="K602" s="1041">
        <f>0.18*$K$594</f>
        <v>1875.6973157022273</v>
      </c>
      <c r="L602" s="1038">
        <f t="shared" si="55"/>
        <v>219.45658593716061</v>
      </c>
      <c r="M602" s="30"/>
      <c r="N602" s="34">
        <f t="shared" si="51"/>
        <v>1.3592259371606019</v>
      </c>
      <c r="O602" s="565">
        <f t="shared" si="53"/>
        <v>6.2321980291765193E-3</v>
      </c>
      <c r="P602" s="7"/>
    </row>
    <row r="603" spans="1:16" ht="13.5" thickBot="1" x14ac:dyDescent="0.25">
      <c r="A603" s="7"/>
      <c r="B603" s="1042"/>
      <c r="C603" s="1043"/>
      <c r="D603" s="1044"/>
      <c r="E603" s="1043"/>
      <c r="F603" s="1045"/>
      <c r="G603" s="1046"/>
      <c r="H603" s="1047"/>
      <c r="I603" s="1048"/>
      <c r="J603" s="1045"/>
      <c r="K603" s="1049"/>
      <c r="L603" s="1047"/>
      <c r="M603" s="1048"/>
      <c r="N603" s="1050"/>
      <c r="O603" s="1051"/>
      <c r="P603" s="7"/>
    </row>
    <row r="604" spans="1:16" x14ac:dyDescent="0.2">
      <c r="A604" s="7"/>
      <c r="B604" s="36" t="s">
        <v>782</v>
      </c>
      <c r="C604" s="26"/>
      <c r="D604" s="26"/>
      <c r="E604" s="26"/>
      <c r="F604" s="662"/>
      <c r="G604" s="652"/>
      <c r="H604" s="656">
        <f>SUM(H593:H599)</f>
        <v>1357.6136000000001</v>
      </c>
      <c r="I604" s="660"/>
      <c r="J604" s="661"/>
      <c r="K604" s="661"/>
      <c r="L604" s="655">
        <f>SUM(L593:L599)</f>
        <v>1376.8247134286869</v>
      </c>
      <c r="M604" s="654"/>
      <c r="N604" s="659">
        <f t="shared" si="51"/>
        <v>19.211113428686758</v>
      </c>
      <c r="O604" s="657">
        <f t="shared" si="53"/>
        <v>1.4150648924470672E-2</v>
      </c>
      <c r="P604" s="7"/>
    </row>
    <row r="605" spans="1:16" x14ac:dyDescent="0.2">
      <c r="A605" s="7"/>
      <c r="B605" s="650" t="s">
        <v>38</v>
      </c>
      <c r="C605" s="26"/>
      <c r="D605" s="26"/>
      <c r="E605" s="26"/>
      <c r="F605" s="649">
        <v>0.13</v>
      </c>
      <c r="G605" s="652"/>
      <c r="H605" s="670">
        <f>H604*F605</f>
        <v>176.48976800000003</v>
      </c>
      <c r="I605" s="648"/>
      <c r="J605" s="676">
        <v>0.13</v>
      </c>
      <c r="K605" s="677"/>
      <c r="L605" s="672">
        <f>L604*J605</f>
        <v>178.98721274572929</v>
      </c>
      <c r="M605" s="673"/>
      <c r="N605" s="674">
        <f t="shared" si="51"/>
        <v>2.4974447457292683</v>
      </c>
      <c r="O605" s="675">
        <f t="shared" si="53"/>
        <v>1.4150648924470613E-2</v>
      </c>
      <c r="P605" s="7"/>
    </row>
    <row r="606" spans="1:16" x14ac:dyDescent="0.2">
      <c r="A606" s="7"/>
      <c r="B606" s="651" t="s">
        <v>1139</v>
      </c>
      <c r="C606" s="26"/>
      <c r="D606" s="26"/>
      <c r="E606" s="26"/>
      <c r="F606" s="658"/>
      <c r="G606" s="653"/>
      <c r="H606" s="670">
        <f>H604+H605</f>
        <v>1534.103368</v>
      </c>
      <c r="I606" s="648"/>
      <c r="J606" s="648"/>
      <c r="K606" s="648"/>
      <c r="L606" s="672">
        <f>L604+L605</f>
        <v>1555.8119261744162</v>
      </c>
      <c r="M606" s="673"/>
      <c r="N606" s="674">
        <f t="shared" si="51"/>
        <v>21.708558174416112</v>
      </c>
      <c r="O606" s="675">
        <f t="shared" si="53"/>
        <v>1.4150648924470721E-2</v>
      </c>
      <c r="P606" s="7"/>
    </row>
    <row r="607" spans="1:16" ht="12.75" customHeight="1" x14ac:dyDescent="0.2">
      <c r="A607" s="7"/>
      <c r="B607" s="1626" t="s">
        <v>1140</v>
      </c>
      <c r="C607" s="1626"/>
      <c r="D607" s="1626"/>
      <c r="E607" s="26"/>
      <c r="F607" s="658"/>
      <c r="G607" s="653"/>
      <c r="H607" s="1052">
        <f>ROUND(-H606*10%,2)</f>
        <v>-153.41</v>
      </c>
      <c r="I607" s="648"/>
      <c r="J607" s="648"/>
      <c r="K607" s="648"/>
      <c r="L607" s="1053">
        <f>ROUND(-L606*10%,2)</f>
        <v>-155.58000000000001</v>
      </c>
      <c r="M607" s="673"/>
      <c r="N607" s="1054">
        <f t="shared" si="51"/>
        <v>-2.1700000000000159</v>
      </c>
      <c r="O607" s="1055">
        <f t="shared" si="53"/>
        <v>1.4145101362362401E-2</v>
      </c>
      <c r="P607" s="7"/>
    </row>
    <row r="608" spans="1:16" ht="13.5" customHeight="1" thickBot="1" x14ac:dyDescent="0.25">
      <c r="A608" s="7"/>
      <c r="B608" s="1626" t="s">
        <v>785</v>
      </c>
      <c r="C608" s="1626"/>
      <c r="D608" s="1626"/>
      <c r="E608" s="1056"/>
      <c r="F608" s="1057"/>
      <c r="G608" s="1058"/>
      <c r="H608" s="1059">
        <f>SUM(H606:H607)</f>
        <v>1380.693368</v>
      </c>
      <c r="I608" s="1060"/>
      <c r="J608" s="1060"/>
      <c r="K608" s="1060"/>
      <c r="L608" s="1061">
        <f>SUM(L606:L607)</f>
        <v>1400.2319261744162</v>
      </c>
      <c r="M608" s="1062"/>
      <c r="N608" s="1063">
        <f t="shared" si="51"/>
        <v>19.538558174416266</v>
      </c>
      <c r="O608" s="1064">
        <f t="shared" si="53"/>
        <v>1.4151265318757052E-2</v>
      </c>
      <c r="P608" s="7"/>
    </row>
    <row r="609" spans="1:16" ht="13.5" thickBot="1" x14ac:dyDescent="0.25">
      <c r="A609" s="7"/>
      <c r="B609" s="1042"/>
      <c r="C609" s="1043"/>
      <c r="D609" s="1044"/>
      <c r="E609" s="1043"/>
      <c r="F609" s="1065"/>
      <c r="G609" s="1066"/>
      <c r="H609" s="1067"/>
      <c r="I609" s="1068"/>
      <c r="J609" s="1065"/>
      <c r="K609" s="1046"/>
      <c r="L609" s="1069"/>
      <c r="M609" s="1048"/>
      <c r="N609" s="1070"/>
      <c r="O609" s="1051"/>
      <c r="P609" s="7"/>
    </row>
    <row r="610" spans="1:16" x14ac:dyDescent="0.2">
      <c r="A610" s="7"/>
      <c r="B610" s="36" t="s">
        <v>783</v>
      </c>
      <c r="C610" s="26"/>
      <c r="D610" s="26"/>
      <c r="E610" s="26"/>
      <c r="F610" s="662"/>
      <c r="G610" s="652"/>
      <c r="H610" s="656">
        <f>SUM(H593:H597,H600:H602)</f>
        <v>1281.6005600000001</v>
      </c>
      <c r="I610" s="660"/>
      <c r="J610" s="661"/>
      <c r="K610" s="661"/>
      <c r="L610" s="666">
        <f>SUM(L593:L597,L600:L602)</f>
        <v>1300.3379451106073</v>
      </c>
      <c r="M610" s="654"/>
      <c r="N610" s="659">
        <f>L610-H610</f>
        <v>18.737385110607192</v>
      </c>
      <c r="O610" s="657">
        <f>IF((H610)=0,"",(N610/H610))</f>
        <v>1.4620300345848157E-2</v>
      </c>
      <c r="P610" s="7"/>
    </row>
    <row r="611" spans="1:16" x14ac:dyDescent="0.2">
      <c r="A611" s="7"/>
      <c r="B611" s="650" t="s">
        <v>38</v>
      </c>
      <c r="C611" s="26"/>
      <c r="D611" s="26"/>
      <c r="E611" s="26"/>
      <c r="F611" s="649">
        <v>0.13</v>
      </c>
      <c r="G611" s="653"/>
      <c r="H611" s="670">
        <f>H610*F611</f>
        <v>166.60807280000003</v>
      </c>
      <c r="I611" s="648"/>
      <c r="J611" s="671">
        <v>0.13</v>
      </c>
      <c r="K611" s="648"/>
      <c r="L611" s="672">
        <f>L610*J611</f>
        <v>169.04393286437895</v>
      </c>
      <c r="M611" s="673"/>
      <c r="N611" s="674">
        <f t="shared" si="51"/>
        <v>2.4358600643789146</v>
      </c>
      <c r="O611" s="675">
        <f t="shared" si="53"/>
        <v>1.4620300345848032E-2</v>
      </c>
      <c r="P611" s="7"/>
    </row>
    <row r="612" spans="1:16" x14ac:dyDescent="0.2">
      <c r="A612" s="7"/>
      <c r="B612" s="651" t="s">
        <v>1139</v>
      </c>
      <c r="C612" s="26"/>
      <c r="D612" s="26"/>
      <c r="E612" s="26"/>
      <c r="F612" s="658"/>
      <c r="G612" s="653"/>
      <c r="H612" s="670">
        <f>H610+H611</f>
        <v>1448.2086328</v>
      </c>
      <c r="I612" s="648"/>
      <c r="J612" s="648"/>
      <c r="K612" s="648"/>
      <c r="L612" s="672">
        <f>L610+L611</f>
        <v>1469.3818779749863</v>
      </c>
      <c r="M612" s="673"/>
      <c r="N612" s="674">
        <f t="shared" si="51"/>
        <v>21.173245174986278</v>
      </c>
      <c r="O612" s="675">
        <f t="shared" si="53"/>
        <v>1.4620300345848261E-2</v>
      </c>
      <c r="P612" s="7"/>
    </row>
    <row r="613" spans="1:16" ht="12.75" customHeight="1" x14ac:dyDescent="0.2">
      <c r="A613" s="7"/>
      <c r="B613" s="1626" t="s">
        <v>1140</v>
      </c>
      <c r="C613" s="1626"/>
      <c r="D613" s="1626"/>
      <c r="E613" s="26"/>
      <c r="F613" s="658"/>
      <c r="G613" s="653"/>
      <c r="H613" s="1052">
        <f>ROUND(-H612*10%,2)</f>
        <v>-144.82</v>
      </c>
      <c r="I613" s="648"/>
      <c r="J613" s="648"/>
      <c r="K613" s="648"/>
      <c r="L613" s="1053">
        <f>ROUND(-L612*10%,2)</f>
        <v>-146.94</v>
      </c>
      <c r="M613" s="673"/>
      <c r="N613" s="1054">
        <f t="shared" si="51"/>
        <v>-2.1200000000000045</v>
      </c>
      <c r="O613" s="1055">
        <f t="shared" si="53"/>
        <v>1.463886203563047E-2</v>
      </c>
      <c r="P613" s="7"/>
    </row>
    <row r="614" spans="1:16" ht="13.5" customHeight="1" thickBot="1" x14ac:dyDescent="0.25">
      <c r="A614" s="7"/>
      <c r="B614" s="1626" t="s">
        <v>784</v>
      </c>
      <c r="C614" s="1626"/>
      <c r="D614" s="1626"/>
      <c r="E614" s="1056"/>
      <c r="F614" s="1071"/>
      <c r="G614" s="1072"/>
      <c r="H614" s="1073">
        <f>H612+H613</f>
        <v>1303.3886328000001</v>
      </c>
      <c r="I614" s="1074"/>
      <c r="J614" s="1074"/>
      <c r="K614" s="1074"/>
      <c r="L614" s="1075">
        <f>L612+L613</f>
        <v>1322.4418779749863</v>
      </c>
      <c r="M614" s="1076"/>
      <c r="N614" s="1077">
        <f t="shared" si="51"/>
        <v>19.053245174986159</v>
      </c>
      <c r="O614" s="1078">
        <f t="shared" si="53"/>
        <v>1.4618237949532436E-2</v>
      </c>
      <c r="P614" s="7"/>
    </row>
    <row r="615" spans="1:16" ht="13.5" thickBot="1" x14ac:dyDescent="0.25">
      <c r="A615" s="7"/>
      <c r="B615" s="1042"/>
      <c r="C615" s="1043"/>
      <c r="D615" s="1044"/>
      <c r="E615" s="1043"/>
      <c r="F615" s="1065"/>
      <c r="G615" s="1066"/>
      <c r="H615" s="1067"/>
      <c r="I615" s="1068"/>
      <c r="J615" s="1065"/>
      <c r="K615" s="1046"/>
      <c r="L615" s="1069"/>
      <c r="M615" s="1048"/>
      <c r="N615" s="1070"/>
      <c r="O615" s="1051"/>
      <c r="P615" s="7"/>
    </row>
    <row r="616" spans="1:16" x14ac:dyDescent="0.2">
      <c r="A616" s="7"/>
      <c r="B616" s="7"/>
      <c r="C616" s="7"/>
      <c r="D616" s="7"/>
      <c r="E616" s="7"/>
      <c r="F616" s="7"/>
      <c r="G616" s="7"/>
      <c r="H616" s="7"/>
      <c r="I616" s="7"/>
      <c r="J616" s="7"/>
      <c r="K616" s="7"/>
      <c r="L616" s="678"/>
      <c r="M616" s="7"/>
      <c r="N616" s="7"/>
      <c r="O616" s="7"/>
      <c r="P616" s="7"/>
    </row>
    <row r="617" spans="1:16" x14ac:dyDescent="0.2">
      <c r="A617" s="7"/>
      <c r="B617" s="8" t="s">
        <v>39</v>
      </c>
      <c r="C617" s="7"/>
      <c r="D617" s="7"/>
      <c r="E617" s="7"/>
      <c r="F617" s="1079">
        <v>3.5600000000000076E-2</v>
      </c>
      <c r="G617" s="7"/>
      <c r="H617" s="7"/>
      <c r="I617" s="7"/>
      <c r="J617" s="1079">
        <v>4.2054064279015257E-2</v>
      </c>
      <c r="K617" s="7"/>
      <c r="L617" s="7"/>
      <c r="M617" s="7"/>
      <c r="N617" s="7"/>
      <c r="O617" s="7"/>
      <c r="P617" s="7"/>
    </row>
    <row r="618" spans="1:16" x14ac:dyDescent="0.2">
      <c r="A618" s="7"/>
      <c r="B618" s="7"/>
      <c r="C618" s="7"/>
      <c r="D618" s="7"/>
      <c r="E618" s="7"/>
      <c r="F618" s="7"/>
      <c r="G618" s="7"/>
      <c r="H618" s="7"/>
      <c r="I618" s="7"/>
      <c r="J618" s="7"/>
      <c r="K618" s="7"/>
      <c r="L618" s="7"/>
      <c r="M618" s="7"/>
      <c r="N618" s="7"/>
      <c r="O618" s="7"/>
      <c r="P618" s="7"/>
    </row>
    <row r="619" spans="1:16" ht="14.25" x14ac:dyDescent="0.2">
      <c r="A619" s="214" t="s">
        <v>1141</v>
      </c>
      <c r="B619" s="7"/>
      <c r="C619" s="7"/>
      <c r="D619" s="7"/>
      <c r="E619" s="7"/>
      <c r="F619" s="7"/>
      <c r="G619" s="7"/>
      <c r="H619" s="7"/>
      <c r="I619" s="7"/>
      <c r="J619" s="7"/>
      <c r="K619" s="7"/>
      <c r="L619" s="7"/>
      <c r="M619" s="7"/>
      <c r="N619" s="7"/>
      <c r="O619" s="7"/>
      <c r="P619" s="7"/>
    </row>
    <row r="620" spans="1:16" x14ac:dyDescent="0.2">
      <c r="A620" s="7"/>
      <c r="B620" s="7"/>
      <c r="C620" s="7"/>
      <c r="D620" s="7"/>
      <c r="E620" s="7"/>
      <c r="F620" s="7"/>
      <c r="G620" s="7"/>
      <c r="H620" s="7"/>
      <c r="I620" s="7"/>
      <c r="J620" s="7"/>
      <c r="K620" s="7"/>
      <c r="L620" s="7"/>
      <c r="M620" s="7"/>
      <c r="N620" s="7"/>
      <c r="O620" s="7"/>
      <c r="P620" s="7"/>
    </row>
    <row r="621" spans="1:16" x14ac:dyDescent="0.2">
      <c r="A621" s="7" t="s">
        <v>107</v>
      </c>
      <c r="B621" s="7"/>
      <c r="C621" s="7"/>
      <c r="D621" s="7"/>
      <c r="E621" s="7"/>
      <c r="F621" s="7"/>
      <c r="G621" s="7"/>
      <c r="H621" s="7"/>
      <c r="I621" s="7"/>
      <c r="J621" s="7"/>
      <c r="K621" s="7"/>
      <c r="L621" s="7"/>
      <c r="M621" s="7"/>
      <c r="N621" s="7"/>
      <c r="O621" s="7"/>
      <c r="P621" s="7"/>
    </row>
    <row r="622" spans="1:16" x14ac:dyDescent="0.2">
      <c r="A622" s="7" t="s">
        <v>108</v>
      </c>
      <c r="B622" s="7"/>
      <c r="C622" s="7"/>
      <c r="D622" s="7"/>
      <c r="E622" s="7"/>
      <c r="F622" s="7"/>
      <c r="G622" s="7"/>
      <c r="H622" s="7"/>
      <c r="I622" s="7"/>
      <c r="J622" s="7"/>
      <c r="K622" s="7"/>
      <c r="L622" s="7"/>
      <c r="M622" s="7"/>
      <c r="N622" s="7"/>
      <c r="O622" s="7"/>
      <c r="P622" s="7"/>
    </row>
    <row r="623" spans="1:16" x14ac:dyDescent="0.2">
      <c r="A623" s="7"/>
      <c r="B623" s="7"/>
      <c r="C623" s="7"/>
      <c r="D623" s="7"/>
      <c r="E623" s="7"/>
      <c r="F623" s="7"/>
      <c r="G623" s="7"/>
      <c r="H623" s="7"/>
      <c r="I623" s="7"/>
      <c r="J623" s="7"/>
      <c r="K623" s="7"/>
      <c r="L623" s="7"/>
      <c r="M623" s="7"/>
      <c r="N623" s="7"/>
      <c r="O623" s="7"/>
      <c r="P623" s="7"/>
    </row>
    <row r="624" spans="1:16" x14ac:dyDescent="0.2">
      <c r="A624" s="7" t="s">
        <v>331</v>
      </c>
      <c r="B624" s="7"/>
      <c r="C624" s="7"/>
      <c r="D624" s="7"/>
      <c r="E624" s="7"/>
      <c r="F624" s="7"/>
      <c r="G624" s="7"/>
      <c r="H624" s="7"/>
      <c r="I624" s="7"/>
      <c r="J624" s="7"/>
      <c r="K624" s="7"/>
      <c r="L624" s="7"/>
      <c r="M624" s="7"/>
      <c r="N624" s="7"/>
      <c r="O624" s="7"/>
      <c r="P624" s="7"/>
    </row>
    <row r="625" spans="1:16" x14ac:dyDescent="0.2">
      <c r="A625" s="7" t="s">
        <v>109</v>
      </c>
      <c r="B625" s="7"/>
      <c r="C625" s="7"/>
      <c r="D625" s="7"/>
      <c r="E625" s="7"/>
      <c r="F625" s="7"/>
      <c r="G625" s="7"/>
      <c r="H625" s="7"/>
      <c r="I625" s="7"/>
      <c r="J625" s="7"/>
      <c r="K625" s="7"/>
      <c r="L625" s="7"/>
      <c r="M625" s="7"/>
      <c r="N625" s="7"/>
      <c r="O625" s="7"/>
      <c r="P625" s="7"/>
    </row>
    <row r="626" spans="1:16" x14ac:dyDescent="0.2">
      <c r="A626" s="7"/>
      <c r="B626" s="7"/>
      <c r="C626" s="7"/>
      <c r="D626" s="7"/>
      <c r="E626" s="7"/>
      <c r="F626" s="7"/>
      <c r="G626" s="7"/>
      <c r="H626" s="7"/>
      <c r="I626" s="7"/>
      <c r="J626" s="7"/>
      <c r="K626" s="7"/>
      <c r="L626" s="7"/>
      <c r="M626" s="7"/>
      <c r="N626" s="7"/>
      <c r="O626" s="7"/>
      <c r="P626" s="7"/>
    </row>
    <row r="627" spans="1:16" x14ac:dyDescent="0.2">
      <c r="A627" s="7" t="s">
        <v>110</v>
      </c>
      <c r="B627" s="7"/>
      <c r="C627" s="7"/>
      <c r="D627" s="7"/>
      <c r="E627" s="7"/>
      <c r="F627" s="7"/>
      <c r="G627" s="7"/>
      <c r="H627" s="7"/>
      <c r="I627" s="7"/>
      <c r="J627" s="7"/>
      <c r="K627" s="7"/>
      <c r="L627" s="7"/>
      <c r="M627" s="7"/>
      <c r="N627" s="7"/>
      <c r="O627" s="7"/>
      <c r="P627" s="7"/>
    </row>
    <row r="628" spans="1:16" x14ac:dyDescent="0.2">
      <c r="A628" s="7" t="s">
        <v>111</v>
      </c>
      <c r="B628" s="7"/>
      <c r="C628" s="7"/>
      <c r="D628" s="7"/>
      <c r="E628" s="7"/>
      <c r="F628" s="7"/>
      <c r="G628" s="7"/>
      <c r="H628" s="7"/>
      <c r="I628" s="7"/>
      <c r="J628" s="7"/>
      <c r="K628" s="7"/>
      <c r="L628" s="7"/>
      <c r="M628" s="7"/>
      <c r="N628" s="7"/>
      <c r="O628" s="7"/>
      <c r="P628" s="7"/>
    </row>
    <row r="629" spans="1:16" x14ac:dyDescent="0.2">
      <c r="A629" s="7" t="s">
        <v>112</v>
      </c>
      <c r="B629" s="7"/>
      <c r="C629" s="7"/>
      <c r="D629" s="7"/>
      <c r="E629" s="7"/>
      <c r="F629" s="7"/>
      <c r="G629" s="7"/>
      <c r="H629" s="7"/>
      <c r="I629" s="7"/>
      <c r="J629" s="7"/>
      <c r="K629" s="7"/>
      <c r="L629" s="7"/>
      <c r="M629" s="7"/>
      <c r="N629" s="7"/>
      <c r="O629" s="7"/>
      <c r="P629" s="7"/>
    </row>
    <row r="630" spans="1:16" x14ac:dyDescent="0.2">
      <c r="A630" s="7" t="s">
        <v>113</v>
      </c>
      <c r="B630" s="7"/>
      <c r="C630" s="7"/>
      <c r="D630" s="7"/>
      <c r="E630" s="7"/>
      <c r="F630" s="7"/>
      <c r="G630" s="7"/>
      <c r="H630" s="7"/>
      <c r="I630" s="7"/>
      <c r="J630" s="7"/>
      <c r="K630" s="7"/>
      <c r="L630" s="7"/>
      <c r="M630" s="7"/>
      <c r="N630" s="7"/>
      <c r="O630" s="7"/>
      <c r="P630" s="7"/>
    </row>
    <row r="631" spans="1:16" x14ac:dyDescent="0.2">
      <c r="A631" s="7" t="s">
        <v>114</v>
      </c>
      <c r="B631" s="7"/>
      <c r="C631" s="7"/>
      <c r="D631" s="7"/>
      <c r="E631" s="7"/>
      <c r="F631" s="7"/>
      <c r="G631" s="7"/>
      <c r="H631" s="7"/>
      <c r="I631" s="7"/>
      <c r="J631" s="7"/>
      <c r="K631" s="7"/>
      <c r="L631" s="7"/>
      <c r="M631" s="7"/>
      <c r="N631" s="7"/>
      <c r="O631" s="7"/>
      <c r="P631" s="7"/>
    </row>
    <row r="633" spans="1:16" ht="21.75" x14ac:dyDescent="0.2">
      <c r="A633" s="41"/>
      <c r="B633" s="41"/>
      <c r="C633" s="41"/>
      <c r="D633" s="41"/>
      <c r="E633" s="41"/>
      <c r="F633" s="41"/>
      <c r="G633" s="41"/>
      <c r="H633" s="41"/>
      <c r="I633" s="41"/>
      <c r="J633" s="41"/>
      <c r="K633" s="41"/>
      <c r="L633" s="37"/>
      <c r="M633" s="37"/>
      <c r="N633" s="16" t="s">
        <v>444</v>
      </c>
      <c r="O633" s="250" t="s">
        <v>866</v>
      </c>
    </row>
    <row r="634" spans="1:16" ht="18" x14ac:dyDescent="0.25">
      <c r="A634" s="40"/>
      <c r="B634" s="40"/>
      <c r="C634" s="40"/>
      <c r="D634" s="40"/>
      <c r="E634" s="40"/>
      <c r="F634" s="40"/>
      <c r="G634" s="40"/>
      <c r="H634" s="40"/>
      <c r="I634" s="40"/>
      <c r="J634" s="40"/>
      <c r="K634" s="40"/>
      <c r="L634" s="37"/>
      <c r="M634" s="37"/>
      <c r="N634" s="16" t="s">
        <v>445</v>
      </c>
      <c r="O634" s="1001"/>
    </row>
    <row r="635" spans="1:16" x14ac:dyDescent="0.2">
      <c r="A635" s="1626"/>
      <c r="B635" s="1626"/>
      <c r="C635" s="1626"/>
      <c r="D635" s="1626"/>
      <c r="E635" s="1626"/>
      <c r="F635" s="1626"/>
      <c r="G635" s="1626"/>
      <c r="H635" s="1626"/>
      <c r="I635" s="1626"/>
      <c r="J635" s="1626"/>
      <c r="K635" s="1626"/>
      <c r="L635" s="37"/>
      <c r="M635" s="37"/>
      <c r="N635" s="16" t="s">
        <v>446</v>
      </c>
      <c r="O635" s="1001"/>
    </row>
    <row r="636" spans="1:16" ht="18" x14ac:dyDescent="0.25">
      <c r="A636" s="40"/>
      <c r="B636" s="40"/>
      <c r="C636" s="40"/>
      <c r="D636" s="40"/>
      <c r="E636" s="40"/>
      <c r="F636" s="40"/>
      <c r="G636" s="40"/>
      <c r="H636" s="40"/>
      <c r="I636" s="38"/>
      <c r="J636" s="38"/>
      <c r="K636" s="38"/>
      <c r="L636" s="37"/>
      <c r="M636" s="37"/>
      <c r="N636" s="16" t="s">
        <v>447</v>
      </c>
      <c r="O636" s="1001"/>
    </row>
    <row r="637" spans="1:16" ht="15.75" x14ac:dyDescent="0.25">
      <c r="A637" s="37"/>
      <c r="B637" s="37"/>
      <c r="C637" s="39"/>
      <c r="D637" s="39"/>
      <c r="E637" s="39"/>
      <c r="F637" s="37"/>
      <c r="G637" s="37"/>
      <c r="H637" s="37"/>
      <c r="I637" s="37"/>
      <c r="J637" s="37"/>
      <c r="K637" s="37"/>
      <c r="L637" s="37"/>
      <c r="M637" s="37"/>
      <c r="N637" s="16" t="s">
        <v>448</v>
      </c>
      <c r="O637" s="1002" t="s">
        <v>1150</v>
      </c>
    </row>
    <row r="638" spans="1:16" x14ac:dyDescent="0.2">
      <c r="A638" s="37"/>
      <c r="B638" s="37"/>
      <c r="C638" s="37"/>
      <c r="D638" s="37"/>
      <c r="E638" s="37"/>
      <c r="F638" s="37"/>
      <c r="G638" s="37"/>
      <c r="H638" s="37"/>
      <c r="I638" s="37"/>
      <c r="J638" s="37"/>
      <c r="K638" s="37"/>
      <c r="L638" s="37"/>
      <c r="M638" s="37"/>
      <c r="N638" s="16"/>
      <c r="O638" s="250"/>
    </row>
    <row r="639" spans="1:16" x14ac:dyDescent="0.2">
      <c r="A639" s="37"/>
      <c r="B639" s="37"/>
      <c r="C639" s="37"/>
      <c r="D639" s="37"/>
      <c r="E639" s="37"/>
      <c r="F639" s="37"/>
      <c r="G639" s="37"/>
      <c r="H639" s="37"/>
      <c r="I639" s="37"/>
      <c r="J639" s="37"/>
      <c r="K639" s="37"/>
      <c r="L639" s="37"/>
      <c r="M639" s="37"/>
      <c r="N639" s="16" t="s">
        <v>449</v>
      </c>
      <c r="O639" s="1002"/>
    </row>
    <row r="640" spans="1:16" x14ac:dyDescent="0.2">
      <c r="A640" s="37"/>
      <c r="B640" s="37"/>
      <c r="C640" s="37"/>
      <c r="D640" s="37"/>
      <c r="E640" s="37"/>
      <c r="F640" s="37"/>
      <c r="G640" s="37"/>
      <c r="H640" s="37"/>
      <c r="I640" s="37"/>
      <c r="J640" s="37"/>
      <c r="K640" s="37"/>
      <c r="L640" s="37"/>
      <c r="M640" s="37"/>
      <c r="N640" s="7"/>
    </row>
    <row r="641" spans="1:16" x14ac:dyDescent="0.2">
      <c r="A641" s="7"/>
      <c r="B641" s="7"/>
      <c r="C641" s="7"/>
      <c r="D641" s="7"/>
      <c r="E641" s="7"/>
      <c r="F641" s="7"/>
      <c r="G641" s="7"/>
      <c r="H641" s="7"/>
      <c r="I641" s="7"/>
      <c r="J641" s="7"/>
      <c r="K641" s="7"/>
    </row>
    <row r="642" spans="1:16" x14ac:dyDescent="0.2">
      <c r="A642" s="7"/>
      <c r="B642" s="1626" t="s">
        <v>695</v>
      </c>
      <c r="C642" s="1626"/>
      <c r="D642" s="1626"/>
      <c r="E642" s="1626"/>
      <c r="F642" s="1626"/>
      <c r="G642" s="1626"/>
      <c r="H642" s="1626"/>
      <c r="I642" s="1626"/>
      <c r="J642" s="1626"/>
      <c r="K642" s="1626"/>
      <c r="L642" s="1626"/>
      <c r="M642" s="1626"/>
      <c r="N642" s="1626"/>
      <c r="O642" s="1626"/>
    </row>
    <row r="643" spans="1:16" x14ac:dyDescent="0.2">
      <c r="A643" s="7"/>
      <c r="B643" s="1626" t="s">
        <v>63</v>
      </c>
      <c r="C643" s="1626"/>
      <c r="D643" s="1626"/>
      <c r="E643" s="1626"/>
      <c r="F643" s="1626"/>
      <c r="G643" s="1626"/>
      <c r="H643" s="1626"/>
      <c r="I643" s="1626"/>
      <c r="J643" s="1626"/>
      <c r="K643" s="1626"/>
      <c r="L643" s="1626"/>
      <c r="M643" s="1626"/>
      <c r="N643" s="1626"/>
      <c r="O643" s="1626"/>
    </row>
    <row r="644" spans="1:16" x14ac:dyDescent="0.2">
      <c r="A644" s="7"/>
      <c r="B644" s="7"/>
      <c r="C644" s="7"/>
      <c r="D644" s="7"/>
      <c r="E644" s="7"/>
      <c r="F644" s="7"/>
      <c r="G644" s="7"/>
      <c r="H644" s="7"/>
      <c r="I644" s="7"/>
      <c r="J644" s="7"/>
      <c r="K644" s="7"/>
    </row>
    <row r="645" spans="1:16" x14ac:dyDescent="0.2">
      <c r="A645" s="7"/>
      <c r="B645" s="7"/>
      <c r="C645" s="7"/>
      <c r="D645" s="7"/>
      <c r="E645" s="7"/>
      <c r="F645" s="7"/>
      <c r="G645" s="7"/>
      <c r="H645" s="7"/>
      <c r="I645" s="7"/>
      <c r="J645" s="7"/>
      <c r="K645" s="7"/>
    </row>
    <row r="646" spans="1:16" x14ac:dyDescent="0.2">
      <c r="A646" s="7"/>
      <c r="B646" s="43" t="s">
        <v>40</v>
      </c>
      <c r="C646" s="7"/>
      <c r="D646" s="1626" t="s">
        <v>1151</v>
      </c>
      <c r="E646" s="1626"/>
      <c r="F646" s="1626"/>
      <c r="G646" s="1626"/>
      <c r="H646" s="1626"/>
      <c r="I646" s="1626"/>
      <c r="J646" s="1626"/>
      <c r="K646" s="1626"/>
      <c r="L646" s="1626"/>
      <c r="M646" s="1626"/>
      <c r="N646" s="1626"/>
      <c r="O646" s="1626"/>
      <c r="P646" s="7"/>
    </row>
    <row r="647" spans="1:16" ht="15.75" x14ac:dyDescent="0.25">
      <c r="A647" s="7"/>
      <c r="B647" s="1003"/>
      <c r="C647" s="7"/>
      <c r="D647" s="42"/>
      <c r="E647" s="42"/>
      <c r="F647" s="42"/>
      <c r="G647" s="42"/>
      <c r="H647" s="42"/>
      <c r="I647" s="42"/>
      <c r="J647" s="42"/>
      <c r="K647" s="42"/>
      <c r="L647" s="42"/>
      <c r="M647" s="42"/>
      <c r="N647" s="42"/>
      <c r="O647" s="42"/>
      <c r="P647" s="7"/>
    </row>
    <row r="648" spans="1:16" x14ac:dyDescent="0.2">
      <c r="A648" s="7"/>
      <c r="B648" s="647"/>
      <c r="C648" s="7"/>
      <c r="D648" s="8" t="s">
        <v>17</v>
      </c>
      <c r="E648" s="8"/>
      <c r="F648" s="1004">
        <v>26000</v>
      </c>
      <c r="G648" s="8" t="s">
        <v>18</v>
      </c>
      <c r="H648" s="7"/>
      <c r="I648" s="7"/>
      <c r="J648" s="7"/>
      <c r="K648" s="7"/>
      <c r="L648" s="7"/>
      <c r="M648" s="7"/>
      <c r="N648" s="7"/>
      <c r="O648" s="7"/>
      <c r="P648" s="7"/>
    </row>
    <row r="649" spans="1:16" x14ac:dyDescent="0.2">
      <c r="A649" s="7"/>
      <c r="B649" s="647"/>
      <c r="C649" s="7"/>
      <c r="D649" s="7"/>
      <c r="E649" s="7"/>
      <c r="F649" s="7"/>
      <c r="G649" s="7"/>
      <c r="H649" s="7"/>
      <c r="I649" s="7"/>
      <c r="J649" s="7"/>
      <c r="K649" s="7"/>
      <c r="L649" s="7"/>
      <c r="M649" s="7"/>
      <c r="N649" s="7"/>
      <c r="O649" s="7"/>
      <c r="P649" s="7"/>
    </row>
    <row r="650" spans="1:16" x14ac:dyDescent="0.2">
      <c r="A650" s="7"/>
      <c r="B650" s="647"/>
      <c r="C650" s="7"/>
      <c r="D650" s="19"/>
      <c r="E650" s="19"/>
      <c r="F650" s="1626" t="s">
        <v>19</v>
      </c>
      <c r="G650" s="1626"/>
      <c r="H650" s="1626"/>
      <c r="I650" s="7"/>
      <c r="J650" s="1626" t="s">
        <v>20</v>
      </c>
      <c r="K650" s="1626"/>
      <c r="L650" s="1626"/>
      <c r="M650" s="7"/>
      <c r="N650" s="1626" t="s">
        <v>21</v>
      </c>
      <c r="O650" s="1626"/>
      <c r="P650" s="7"/>
    </row>
    <row r="651" spans="1:16" ht="12.75" customHeight="1" x14ac:dyDescent="0.2">
      <c r="A651" s="7"/>
      <c r="B651" s="647"/>
      <c r="C651" s="7"/>
      <c r="D651" s="1626" t="s">
        <v>22</v>
      </c>
      <c r="E651" s="20"/>
      <c r="F651" s="21" t="s">
        <v>23</v>
      </c>
      <c r="G651" s="21" t="s">
        <v>24</v>
      </c>
      <c r="H651" s="22" t="s">
        <v>25</v>
      </c>
      <c r="I651" s="7"/>
      <c r="J651" s="21" t="s">
        <v>23</v>
      </c>
      <c r="K651" s="23" t="s">
        <v>24</v>
      </c>
      <c r="L651" s="22" t="s">
        <v>25</v>
      </c>
      <c r="M651" s="7"/>
      <c r="N651" s="1626" t="s">
        <v>26</v>
      </c>
      <c r="O651" s="1626" t="s">
        <v>27</v>
      </c>
      <c r="P651" s="7"/>
    </row>
    <row r="652" spans="1:16" x14ac:dyDescent="0.2">
      <c r="A652" s="7"/>
      <c r="B652" s="647"/>
      <c r="C652" s="7"/>
      <c r="D652" s="1626"/>
      <c r="E652" s="20"/>
      <c r="F652" s="24" t="s">
        <v>452</v>
      </c>
      <c r="G652" s="24"/>
      <c r="H652" s="25" t="s">
        <v>452</v>
      </c>
      <c r="I652" s="7"/>
      <c r="J652" s="24" t="s">
        <v>452</v>
      </c>
      <c r="K652" s="25"/>
      <c r="L652" s="25" t="s">
        <v>452</v>
      </c>
      <c r="M652" s="7"/>
      <c r="N652" s="1626"/>
      <c r="O652" s="1626"/>
      <c r="P652" s="7"/>
    </row>
    <row r="653" spans="1:16" x14ac:dyDescent="0.2">
      <c r="A653" s="7"/>
      <c r="B653" s="26" t="s">
        <v>28</v>
      </c>
      <c r="C653" s="26"/>
      <c r="D653" s="1005" t="s">
        <v>1130</v>
      </c>
      <c r="E653" s="27"/>
      <c r="F653" s="1006">
        <v>142</v>
      </c>
      <c r="G653" s="32">
        <v>1</v>
      </c>
      <c r="H653" s="1007">
        <f>G653*F653</f>
        <v>142</v>
      </c>
      <c r="I653" s="30"/>
      <c r="J653" s="1008">
        <v>142</v>
      </c>
      <c r="K653" s="33">
        <v>1</v>
      </c>
      <c r="L653" s="1007">
        <f>K653*J653</f>
        <v>142</v>
      </c>
      <c r="M653" s="30"/>
      <c r="N653" s="34">
        <f>L653-H653</f>
        <v>0</v>
      </c>
      <c r="O653" s="202">
        <f>IF((H653)=0,"",(N653/H653))</f>
        <v>0</v>
      </c>
      <c r="P653" s="7"/>
    </row>
    <row r="654" spans="1:16" x14ac:dyDescent="0.2">
      <c r="A654" s="7"/>
      <c r="B654" s="26" t="s">
        <v>29</v>
      </c>
      <c r="C654" s="26"/>
      <c r="D654" s="1005" t="s">
        <v>1130</v>
      </c>
      <c r="E654" s="27"/>
      <c r="F654" s="1006">
        <v>0</v>
      </c>
      <c r="G654" s="32">
        <v>1</v>
      </c>
      <c r="H654" s="1007">
        <f t="shared" ref="H654:H662" si="56">G654*F654</f>
        <v>0</v>
      </c>
      <c r="I654" s="30"/>
      <c r="J654" s="1008">
        <v>0</v>
      </c>
      <c r="K654" s="33">
        <v>1</v>
      </c>
      <c r="L654" s="1007">
        <f>K654*J654</f>
        <v>0</v>
      </c>
      <c r="M654" s="30"/>
      <c r="N654" s="34">
        <f>L654-H654</f>
        <v>0</v>
      </c>
      <c r="O654" s="202" t="str">
        <f>IF((H654)=0,"",(N654/H654))</f>
        <v/>
      </c>
      <c r="P654" s="7"/>
    </row>
    <row r="655" spans="1:16" x14ac:dyDescent="0.2">
      <c r="A655" s="7"/>
      <c r="B655" s="1009" t="s">
        <v>1131</v>
      </c>
      <c r="C655" s="26"/>
      <c r="D655" s="1005" t="s">
        <v>80</v>
      </c>
      <c r="E655" s="27"/>
      <c r="F655" s="1006">
        <v>-6.1400000000000003E-2</v>
      </c>
      <c r="G655" s="32">
        <v>60</v>
      </c>
      <c r="H655" s="1007">
        <f t="shared" si="56"/>
        <v>-3.6840000000000002</v>
      </c>
      <c r="I655" s="30"/>
      <c r="J655" s="1008">
        <v>0</v>
      </c>
      <c r="K655" s="33">
        <v>60</v>
      </c>
      <c r="L655" s="1007">
        <f t="shared" ref="L655:L662" si="57">K655*J655</f>
        <v>0</v>
      </c>
      <c r="M655" s="30"/>
      <c r="N655" s="34">
        <f t="shared" ref="N655:N693" si="58">L655-H655</f>
        <v>3.6840000000000002</v>
      </c>
      <c r="O655" s="202">
        <f t="shared" ref="O655:O663" si="59">IF((H655)=0,"",(N655/H655))</f>
        <v>-1</v>
      </c>
      <c r="P655" s="7"/>
    </row>
    <row r="656" spans="1:16" x14ac:dyDescent="0.2">
      <c r="A656" s="7"/>
      <c r="B656" s="1009" t="s">
        <v>36</v>
      </c>
      <c r="C656" s="26"/>
      <c r="D656" s="1005" t="s">
        <v>1130</v>
      </c>
      <c r="E656" s="27"/>
      <c r="F656" s="1006">
        <v>0.25</v>
      </c>
      <c r="G656" s="32">
        <v>1</v>
      </c>
      <c r="H656" s="1007">
        <f t="shared" si="56"/>
        <v>0.25</v>
      </c>
      <c r="I656" s="30"/>
      <c r="J656" s="1008">
        <v>0.25</v>
      </c>
      <c r="K656" s="33">
        <v>1</v>
      </c>
      <c r="L656" s="1007">
        <f t="shared" si="57"/>
        <v>0.25</v>
      </c>
      <c r="M656" s="30"/>
      <c r="N656" s="34">
        <f t="shared" si="58"/>
        <v>0</v>
      </c>
      <c r="O656" s="202">
        <f t="shared" si="59"/>
        <v>0</v>
      </c>
      <c r="P656" s="7"/>
    </row>
    <row r="657" spans="1:16" x14ac:dyDescent="0.2">
      <c r="A657" s="7"/>
      <c r="B657" s="26" t="s">
        <v>30</v>
      </c>
      <c r="C657" s="26"/>
      <c r="D657" s="1005" t="s">
        <v>80</v>
      </c>
      <c r="E657" s="27"/>
      <c r="F657" s="1006">
        <v>3.5617000000000001</v>
      </c>
      <c r="G657" s="32">
        <v>60</v>
      </c>
      <c r="H657" s="1007">
        <f t="shared" si="56"/>
        <v>213.702</v>
      </c>
      <c r="I657" s="30"/>
      <c r="J657" s="1008">
        <v>4.4310999999999998</v>
      </c>
      <c r="K657" s="32">
        <v>60</v>
      </c>
      <c r="L657" s="1007">
        <f t="shared" si="57"/>
        <v>265.86599999999999</v>
      </c>
      <c r="M657" s="30"/>
      <c r="N657" s="34">
        <f t="shared" si="58"/>
        <v>52.163999999999987</v>
      </c>
      <c r="O657" s="202">
        <f t="shared" si="59"/>
        <v>0.24409692001010747</v>
      </c>
      <c r="P657" s="7"/>
    </row>
    <row r="658" spans="1:16" x14ac:dyDescent="0.2">
      <c r="A658" s="7"/>
      <c r="B658" s="26" t="s">
        <v>31</v>
      </c>
      <c r="C658" s="26"/>
      <c r="D658" s="1005"/>
      <c r="E658" s="27"/>
      <c r="F658" s="1006"/>
      <c r="G658" s="32"/>
      <c r="H658" s="1007">
        <f t="shared" si="56"/>
        <v>0</v>
      </c>
      <c r="I658" s="30"/>
      <c r="J658" s="1008"/>
      <c r="K658" s="32"/>
      <c r="L658" s="1007">
        <f t="shared" si="57"/>
        <v>0</v>
      </c>
      <c r="M658" s="30"/>
      <c r="N658" s="34">
        <f t="shared" si="58"/>
        <v>0</v>
      </c>
      <c r="O658" s="202" t="str">
        <f t="shared" si="59"/>
        <v/>
      </c>
      <c r="P658" s="7"/>
    </row>
    <row r="659" spans="1:16" x14ac:dyDescent="0.2">
      <c r="A659" s="7"/>
      <c r="B659" s="26" t="s">
        <v>1132</v>
      </c>
      <c r="C659" s="26"/>
      <c r="D659" s="1005" t="s">
        <v>80</v>
      </c>
      <c r="E659" s="27"/>
      <c r="F659" s="1006">
        <v>0</v>
      </c>
      <c r="G659" s="32">
        <v>60</v>
      </c>
      <c r="H659" s="1007">
        <f t="shared" si="56"/>
        <v>0</v>
      </c>
      <c r="I659" s="30"/>
      <c r="J659" s="1008">
        <v>0</v>
      </c>
      <c r="K659" s="32">
        <v>60</v>
      </c>
      <c r="L659" s="1007">
        <f t="shared" si="57"/>
        <v>0</v>
      </c>
      <c r="M659" s="30"/>
      <c r="N659" s="34">
        <f t="shared" si="58"/>
        <v>0</v>
      </c>
      <c r="O659" s="202" t="str">
        <f t="shared" si="59"/>
        <v/>
      </c>
      <c r="P659" s="7"/>
    </row>
    <row r="660" spans="1:16" x14ac:dyDescent="0.2">
      <c r="A660" s="7"/>
      <c r="B660" s="26" t="s">
        <v>1133</v>
      </c>
      <c r="C660" s="26"/>
      <c r="D660" s="1005" t="s">
        <v>80</v>
      </c>
      <c r="E660" s="27"/>
      <c r="F660" s="1006">
        <v>1.49E-2</v>
      </c>
      <c r="G660" s="32">
        <v>60</v>
      </c>
      <c r="H660" s="1007">
        <f t="shared" si="56"/>
        <v>0.89400000000000002</v>
      </c>
      <c r="I660" s="30"/>
      <c r="J660" s="1008">
        <v>1.49E-2</v>
      </c>
      <c r="K660" s="32">
        <v>60</v>
      </c>
      <c r="L660" s="1007">
        <f t="shared" si="57"/>
        <v>0.89400000000000002</v>
      </c>
      <c r="M660" s="30"/>
      <c r="N660" s="34">
        <f t="shared" si="58"/>
        <v>0</v>
      </c>
      <c r="O660" s="202">
        <f t="shared" si="59"/>
        <v>0</v>
      </c>
      <c r="P660" s="7"/>
    </row>
    <row r="661" spans="1:16" x14ac:dyDescent="0.2">
      <c r="A661" s="7"/>
      <c r="B661" s="26" t="s">
        <v>1134</v>
      </c>
      <c r="C661" s="26"/>
      <c r="D661" s="1005" t="s">
        <v>80</v>
      </c>
      <c r="E661" s="27"/>
      <c r="F661" s="1006">
        <v>0</v>
      </c>
      <c r="G661" s="32">
        <v>60</v>
      </c>
      <c r="H661" s="1007">
        <f t="shared" si="56"/>
        <v>0</v>
      </c>
      <c r="I661" s="30"/>
      <c r="J661" s="1008">
        <v>4.3999999999999997E-2</v>
      </c>
      <c r="K661" s="32">
        <v>60</v>
      </c>
      <c r="L661" s="1007">
        <f t="shared" si="57"/>
        <v>2.6399999999999997</v>
      </c>
      <c r="M661" s="30"/>
      <c r="N661" s="34">
        <f t="shared" si="58"/>
        <v>2.6399999999999997</v>
      </c>
      <c r="O661" s="202" t="str">
        <f t="shared" si="59"/>
        <v/>
      </c>
      <c r="P661" s="7"/>
    </row>
    <row r="662" spans="1:16" x14ac:dyDescent="0.2">
      <c r="A662" s="7"/>
      <c r="B662" s="1010" t="s">
        <v>1135</v>
      </c>
      <c r="C662" s="26"/>
      <c r="D662" s="1005" t="s">
        <v>1130</v>
      </c>
      <c r="E662" s="27"/>
      <c r="F662" s="1006">
        <v>0</v>
      </c>
      <c r="G662" s="32">
        <v>1</v>
      </c>
      <c r="H662" s="1007">
        <f t="shared" si="56"/>
        <v>0</v>
      </c>
      <c r="I662" s="30"/>
      <c r="J662" s="1008">
        <v>0</v>
      </c>
      <c r="K662" s="32">
        <v>1</v>
      </c>
      <c r="L662" s="1007">
        <f t="shared" si="57"/>
        <v>0</v>
      </c>
      <c r="M662" s="30"/>
      <c r="N662" s="34">
        <f t="shared" si="58"/>
        <v>0</v>
      </c>
      <c r="O662" s="202" t="str">
        <f t="shared" si="59"/>
        <v/>
      </c>
      <c r="P662" s="7"/>
    </row>
    <row r="663" spans="1:16" x14ac:dyDescent="0.2">
      <c r="A663" s="29"/>
      <c r="B663" s="1011" t="s">
        <v>698</v>
      </c>
      <c r="C663" s="1012"/>
      <c r="D663" s="1013"/>
      <c r="E663" s="1012"/>
      <c r="F663" s="1014"/>
      <c r="G663" s="1015"/>
      <c r="H663" s="1016">
        <f>SUM(H653:H662)</f>
        <v>353.16200000000003</v>
      </c>
      <c r="I663" s="1017"/>
      <c r="J663" s="1018"/>
      <c r="K663" s="1019"/>
      <c r="L663" s="1016">
        <f>SUM(L653:L662)</f>
        <v>411.65</v>
      </c>
      <c r="M663" s="1017"/>
      <c r="N663" s="1020">
        <f t="shared" si="58"/>
        <v>58.487999999999943</v>
      </c>
      <c r="O663" s="1021">
        <f t="shared" si="59"/>
        <v>0.16561238185308708</v>
      </c>
      <c r="P663" s="29"/>
    </row>
    <row r="664" spans="1:16" ht="38.25" x14ac:dyDescent="0.2">
      <c r="A664" s="7"/>
      <c r="B664" s="1022" t="s">
        <v>1136</v>
      </c>
      <c r="C664" s="26"/>
      <c r="D664" s="1005" t="s">
        <v>80</v>
      </c>
      <c r="E664" s="27"/>
      <c r="F664" s="1006">
        <v>0.41860000000000003</v>
      </c>
      <c r="G664" s="32">
        <v>60</v>
      </c>
      <c r="H664" s="1007">
        <f>G664*F664</f>
        <v>25.116000000000003</v>
      </c>
      <c r="I664" s="30"/>
      <c r="J664" s="1008">
        <v>0</v>
      </c>
      <c r="K664" s="32">
        <v>60</v>
      </c>
      <c r="L664" s="1007">
        <f>K664*J664</f>
        <v>0</v>
      </c>
      <c r="M664" s="30"/>
      <c r="N664" s="34">
        <f t="shared" si="58"/>
        <v>-25.116000000000003</v>
      </c>
      <c r="O664" s="202">
        <f>IF((H664)=0,"",(N664/H664))</f>
        <v>-1</v>
      </c>
      <c r="P664" s="7"/>
    </row>
    <row r="665" spans="1:16" ht="38.25" x14ac:dyDescent="0.2">
      <c r="A665" s="7"/>
      <c r="B665" s="1022" t="s">
        <v>1137</v>
      </c>
      <c r="C665" s="26"/>
      <c r="D665" s="1005" t="s">
        <v>80</v>
      </c>
      <c r="E665" s="27"/>
      <c r="F665" s="1006">
        <v>-0.44640000000000002</v>
      </c>
      <c r="G665" s="32">
        <v>60</v>
      </c>
      <c r="H665" s="1007">
        <f>G665*F665</f>
        <v>-26.784000000000002</v>
      </c>
      <c r="I665" s="30"/>
      <c r="J665" s="1008">
        <v>-0.44640000000000002</v>
      </c>
      <c r="K665" s="32">
        <v>60</v>
      </c>
      <c r="L665" s="1007">
        <f>K665*J665</f>
        <v>-26.784000000000002</v>
      </c>
      <c r="M665" s="30"/>
      <c r="N665" s="34">
        <f t="shared" si="58"/>
        <v>0</v>
      </c>
      <c r="O665" s="202">
        <f>IF((H665)=0,"",(N665/H665))</f>
        <v>0</v>
      </c>
      <c r="P665" s="7"/>
    </row>
    <row r="666" spans="1:16" ht="51" x14ac:dyDescent="0.2">
      <c r="A666" s="7"/>
      <c r="B666" s="1022" t="s">
        <v>1138</v>
      </c>
      <c r="C666" s="26"/>
      <c r="D666" s="1005" t="s">
        <v>80</v>
      </c>
      <c r="E666" s="27"/>
      <c r="F666" s="1006">
        <v>0</v>
      </c>
      <c r="G666" s="32">
        <v>60</v>
      </c>
      <c r="H666" s="1007">
        <f>G666*F666</f>
        <v>0</v>
      </c>
      <c r="I666" s="30"/>
      <c r="J666" s="1008">
        <v>-0.43740000000000001</v>
      </c>
      <c r="K666" s="32">
        <v>60</v>
      </c>
      <c r="L666" s="1007">
        <f>K666*J666</f>
        <v>-26.244</v>
      </c>
      <c r="M666" s="30"/>
      <c r="N666" s="34">
        <f t="shared" si="58"/>
        <v>-26.244</v>
      </c>
      <c r="O666" s="202" t="str">
        <f>IF((H666)=0,"",(N666/H666))</f>
        <v/>
      </c>
      <c r="P666" s="7"/>
    </row>
    <row r="667" spans="1:16" x14ac:dyDescent="0.2">
      <c r="A667" s="7"/>
      <c r="B667" s="564" t="s">
        <v>808</v>
      </c>
      <c r="C667" s="26"/>
      <c r="D667" s="1005" t="s">
        <v>80</v>
      </c>
      <c r="E667" s="27"/>
      <c r="F667" s="1006">
        <v>7.22E-2</v>
      </c>
      <c r="G667" s="32">
        <v>60</v>
      </c>
      <c r="H667" s="1007">
        <f>G667*F667</f>
        <v>4.3319999999999999</v>
      </c>
      <c r="I667" s="30"/>
      <c r="J667" s="1008">
        <v>7.4800000000000005E-2</v>
      </c>
      <c r="K667" s="32">
        <v>60</v>
      </c>
      <c r="L667" s="1007">
        <f>K667*J667</f>
        <v>4.4880000000000004</v>
      </c>
      <c r="M667" s="30"/>
      <c r="N667" s="34">
        <f t="shared" si="58"/>
        <v>0.15600000000000058</v>
      </c>
      <c r="O667" s="202">
        <f>IF((H667)=0,"",(N667/H667))</f>
        <v>3.6011080332410107E-2</v>
      </c>
      <c r="P667" s="7"/>
    </row>
    <row r="668" spans="1:16" x14ac:dyDescent="0.2">
      <c r="A668" s="7"/>
      <c r="B668" s="564" t="s">
        <v>701</v>
      </c>
      <c r="C668" s="26"/>
      <c r="D668" s="1005"/>
      <c r="E668" s="27"/>
      <c r="F668" s="1023"/>
      <c r="G668" s="1024"/>
      <c r="H668" s="1025"/>
      <c r="I668" s="30"/>
      <c r="J668" s="1008"/>
      <c r="K668" s="32">
        <f>F648</f>
        <v>26000</v>
      </c>
      <c r="L668" s="1007">
        <f>K668*J668</f>
        <v>0</v>
      </c>
      <c r="M668" s="30"/>
      <c r="N668" s="34">
        <f t="shared" si="58"/>
        <v>0</v>
      </c>
      <c r="O668" s="202"/>
      <c r="P668" s="7"/>
    </row>
    <row r="669" spans="1:16" ht="25.5" x14ac:dyDescent="0.2">
      <c r="A669" s="7"/>
      <c r="B669" s="1026" t="s">
        <v>699</v>
      </c>
      <c r="C669" s="1027"/>
      <c r="D669" s="1027"/>
      <c r="E669" s="1027"/>
      <c r="F669" s="1028"/>
      <c r="G669" s="1029"/>
      <c r="H669" s="1030">
        <f>SUM(H663:H668)</f>
        <v>355.82600000000002</v>
      </c>
      <c r="I669" s="1017"/>
      <c r="J669" s="1029"/>
      <c r="K669" s="1031"/>
      <c r="L669" s="1030">
        <f>SUM(L663:L668)</f>
        <v>363.10999999999996</v>
      </c>
      <c r="M669" s="1017"/>
      <c r="N669" s="1020">
        <f t="shared" si="58"/>
        <v>7.283999999999935</v>
      </c>
      <c r="O669" s="1021">
        <f t="shared" ref="O669:O693" si="60">IF((H669)=0,"",(N669/H669))</f>
        <v>2.0470679489413182E-2</v>
      </c>
      <c r="P669" s="7"/>
    </row>
    <row r="670" spans="1:16" x14ac:dyDescent="0.2">
      <c r="A670" s="7"/>
      <c r="B670" s="30" t="s">
        <v>32</v>
      </c>
      <c r="C670" s="30"/>
      <c r="D670" s="1032" t="s">
        <v>80</v>
      </c>
      <c r="E670" s="31"/>
      <c r="F670" s="1008">
        <v>2.5648</v>
      </c>
      <c r="G670" s="667">
        <f>60</f>
        <v>60</v>
      </c>
      <c r="H670" s="1007">
        <f>G670*F670</f>
        <v>153.88800000000001</v>
      </c>
      <c r="I670" s="30"/>
      <c r="J670" s="1008">
        <v>2.3589000000000002</v>
      </c>
      <c r="K670" s="668">
        <f>60</f>
        <v>60</v>
      </c>
      <c r="L670" s="1007">
        <f>K670*J670</f>
        <v>141.53400000000002</v>
      </c>
      <c r="M670" s="30"/>
      <c r="N670" s="34">
        <f t="shared" si="58"/>
        <v>-12.353999999999985</v>
      </c>
      <c r="O670" s="202">
        <f t="shared" si="60"/>
        <v>-8.0279164067373579E-2</v>
      </c>
      <c r="P670" s="7"/>
    </row>
    <row r="671" spans="1:16" ht="25.5" x14ac:dyDescent="0.2">
      <c r="A671" s="7"/>
      <c r="B671" s="35" t="s">
        <v>33</v>
      </c>
      <c r="C671" s="30"/>
      <c r="D671" s="1032" t="s">
        <v>80</v>
      </c>
      <c r="E671" s="31"/>
      <c r="F671" s="1008">
        <v>1.9998</v>
      </c>
      <c r="G671" s="667">
        <f>G670</f>
        <v>60</v>
      </c>
      <c r="H671" s="1007">
        <f>G671*F671</f>
        <v>119.988</v>
      </c>
      <c r="I671" s="30"/>
      <c r="J671" s="1008">
        <v>1.9261999999999999</v>
      </c>
      <c r="K671" s="668">
        <f>K670</f>
        <v>60</v>
      </c>
      <c r="L671" s="1007">
        <f>K671*J671</f>
        <v>115.57199999999999</v>
      </c>
      <c r="M671" s="30"/>
      <c r="N671" s="34">
        <f t="shared" si="58"/>
        <v>-4.416000000000011</v>
      </c>
      <c r="O671" s="202">
        <f t="shared" si="60"/>
        <v>-3.6803680368036898E-2</v>
      </c>
      <c r="P671" s="7"/>
    </row>
    <row r="672" spans="1:16" ht="25.5" x14ac:dyDescent="0.2">
      <c r="A672" s="7"/>
      <c r="B672" s="1026" t="s">
        <v>700</v>
      </c>
      <c r="C672" s="1012"/>
      <c r="D672" s="1012"/>
      <c r="E672" s="1012"/>
      <c r="F672" s="1033"/>
      <c r="G672" s="1029"/>
      <c r="H672" s="1030">
        <f>SUM(H669:H671)</f>
        <v>629.702</v>
      </c>
      <c r="I672" s="1034"/>
      <c r="J672" s="1035"/>
      <c r="K672" s="1036"/>
      <c r="L672" s="1030">
        <f>SUM(L669:L671)</f>
        <v>620.21600000000001</v>
      </c>
      <c r="M672" s="1034"/>
      <c r="N672" s="1020">
        <f t="shared" si="58"/>
        <v>-9.48599999999999</v>
      </c>
      <c r="O672" s="1021">
        <f t="shared" si="60"/>
        <v>-1.506426849525647E-2</v>
      </c>
      <c r="P672" s="7"/>
    </row>
    <row r="673" spans="1:16" ht="25.5" x14ac:dyDescent="0.2">
      <c r="A673" s="7"/>
      <c r="B673" s="28" t="s">
        <v>34</v>
      </c>
      <c r="C673" s="26"/>
      <c r="D673" s="1005" t="s">
        <v>79</v>
      </c>
      <c r="E673" s="27"/>
      <c r="F673" s="1037">
        <v>5.1999999999999998E-3</v>
      </c>
      <c r="G673" s="667">
        <f>F648*(1+F696)</f>
        <v>26925.600000000002</v>
      </c>
      <c r="H673" s="1038">
        <f t="shared" ref="H673:H681" si="61">G673*F673</f>
        <v>140.01312000000001</v>
      </c>
      <c r="I673" s="30"/>
      <c r="J673" s="1039">
        <v>5.1999999999999998E-3</v>
      </c>
      <c r="K673" s="668">
        <f>F648*(1+J696)</f>
        <v>27093.405671254397</v>
      </c>
      <c r="L673" s="1038">
        <f t="shared" ref="L673:L681" si="62">K673*J673</f>
        <v>140.88570949052286</v>
      </c>
      <c r="M673" s="30"/>
      <c r="N673" s="34">
        <f t="shared" si="58"/>
        <v>0.87258949052284152</v>
      </c>
      <c r="O673" s="565">
        <f t="shared" si="60"/>
        <v>6.2321980291764187E-3</v>
      </c>
      <c r="P673" s="7"/>
    </row>
    <row r="674" spans="1:16" ht="25.5" x14ac:dyDescent="0.2">
      <c r="A674" s="7"/>
      <c r="B674" s="28" t="s">
        <v>35</v>
      </c>
      <c r="C674" s="26"/>
      <c r="D674" s="1005" t="s">
        <v>79</v>
      </c>
      <c r="E674" s="27"/>
      <c r="F674" s="1037">
        <v>1.1000000000000001E-3</v>
      </c>
      <c r="G674" s="667">
        <f>F648*(1+F696)</f>
        <v>26925.600000000002</v>
      </c>
      <c r="H674" s="1038">
        <f t="shared" si="61"/>
        <v>29.618160000000003</v>
      </c>
      <c r="I674" s="30"/>
      <c r="J674" s="1039">
        <v>1.1000000000000001E-3</v>
      </c>
      <c r="K674" s="668">
        <f>F648*(1+J696)</f>
        <v>27093.405671254397</v>
      </c>
      <c r="L674" s="1038">
        <f t="shared" si="62"/>
        <v>29.802746238379839</v>
      </c>
      <c r="M674" s="30"/>
      <c r="N674" s="34">
        <f t="shared" si="58"/>
        <v>0.18458623837983623</v>
      </c>
      <c r="O674" s="565">
        <f t="shared" si="60"/>
        <v>6.2321980291765661E-3</v>
      </c>
      <c r="P674" s="7"/>
    </row>
    <row r="675" spans="1:16" x14ac:dyDescent="0.2">
      <c r="A675" s="7"/>
      <c r="B675" s="26" t="s">
        <v>36</v>
      </c>
      <c r="C675" s="26"/>
      <c r="D675" s="1005"/>
      <c r="E675" s="27"/>
      <c r="F675" s="1037"/>
      <c r="G675" s="32">
        <v>1</v>
      </c>
      <c r="H675" s="1038">
        <f t="shared" si="61"/>
        <v>0</v>
      </c>
      <c r="I675" s="30"/>
      <c r="J675" s="1039"/>
      <c r="K675" s="33">
        <v>1</v>
      </c>
      <c r="L675" s="1038">
        <f t="shared" si="62"/>
        <v>0</v>
      </c>
      <c r="M675" s="30"/>
      <c r="N675" s="34">
        <f t="shared" si="58"/>
        <v>0</v>
      </c>
      <c r="O675" s="565" t="str">
        <f t="shared" si="60"/>
        <v/>
      </c>
      <c r="P675" s="7"/>
    </row>
    <row r="676" spans="1:16" x14ac:dyDescent="0.2">
      <c r="A676" s="7"/>
      <c r="B676" s="26" t="s">
        <v>37</v>
      </c>
      <c r="C676" s="26"/>
      <c r="D676" s="1005" t="s">
        <v>79</v>
      </c>
      <c r="E676" s="27"/>
      <c r="F676" s="1037">
        <v>7.0000000000000001E-3</v>
      </c>
      <c r="G676" s="667">
        <f>F648</f>
        <v>26000</v>
      </c>
      <c r="H676" s="1038">
        <f t="shared" si="61"/>
        <v>182</v>
      </c>
      <c r="I676" s="30"/>
      <c r="J676" s="1039">
        <v>7.0000000000000001E-3</v>
      </c>
      <c r="K676" s="668">
        <f>F648</f>
        <v>26000</v>
      </c>
      <c r="L676" s="1038">
        <f t="shared" si="62"/>
        <v>182</v>
      </c>
      <c r="M676" s="30"/>
      <c r="N676" s="34">
        <f t="shared" si="58"/>
        <v>0</v>
      </c>
      <c r="O676" s="565">
        <f t="shared" si="60"/>
        <v>0</v>
      </c>
      <c r="P676" s="7"/>
    </row>
    <row r="677" spans="1:16" x14ac:dyDescent="0.2">
      <c r="A677" s="7"/>
      <c r="B677" s="564" t="s">
        <v>777</v>
      </c>
      <c r="C677" s="26"/>
      <c r="D677" s="1005" t="s">
        <v>79</v>
      </c>
      <c r="E677" s="27"/>
      <c r="F677" s="1040">
        <v>7.4999999999999997E-2</v>
      </c>
      <c r="G677" s="667">
        <f>IF($G$673&gt;=750,750,$G$673)</f>
        <v>750</v>
      </c>
      <c r="H677" s="1038">
        <f>G677*F677</f>
        <v>56.25</v>
      </c>
      <c r="I677" s="30"/>
      <c r="J677" s="1037">
        <v>7.4999999999999997E-2</v>
      </c>
      <c r="K677" s="667">
        <f>IF($K$673&gt;=750,750,$K$673)</f>
        <v>750</v>
      </c>
      <c r="L677" s="1038">
        <f>K677*J677</f>
        <v>56.25</v>
      </c>
      <c r="M677" s="30"/>
      <c r="N677" s="34">
        <f t="shared" si="58"/>
        <v>0</v>
      </c>
      <c r="O677" s="565">
        <f t="shared" si="60"/>
        <v>0</v>
      </c>
      <c r="P677" s="7"/>
    </row>
    <row r="678" spans="1:16" x14ac:dyDescent="0.2">
      <c r="A678" s="7"/>
      <c r="B678" s="564" t="s">
        <v>778</v>
      </c>
      <c r="C678" s="26"/>
      <c r="D678" s="1005" t="s">
        <v>79</v>
      </c>
      <c r="E678" s="27"/>
      <c r="F678" s="1040">
        <v>8.7999999999999995E-2</v>
      </c>
      <c r="G678" s="667">
        <f>IF($G$673&gt;=750,$G$673-750,0)</f>
        <v>26175.600000000002</v>
      </c>
      <c r="H678" s="1038">
        <f>G678*F678</f>
        <v>2303.4528</v>
      </c>
      <c r="I678" s="30"/>
      <c r="J678" s="1037">
        <v>8.7999999999999995E-2</v>
      </c>
      <c r="K678" s="667">
        <f>IF($K$673&gt;=750,$K$673-750,0)</f>
        <v>26343.405671254397</v>
      </c>
      <c r="L678" s="1038">
        <f>K678*J678</f>
        <v>2318.2196990703869</v>
      </c>
      <c r="M678" s="30"/>
      <c r="N678" s="34">
        <f t="shared" si="58"/>
        <v>14.766899070386899</v>
      </c>
      <c r="O678" s="565">
        <f t="shared" si="60"/>
        <v>6.4107669453382756E-3</v>
      </c>
      <c r="P678" s="7"/>
    </row>
    <row r="679" spans="1:16" x14ac:dyDescent="0.2">
      <c r="A679" s="7"/>
      <c r="B679" s="564" t="s">
        <v>779</v>
      </c>
      <c r="C679" s="26"/>
      <c r="D679" s="1005" t="s">
        <v>79</v>
      </c>
      <c r="E679" s="27"/>
      <c r="F679" s="1040">
        <v>6.5000000000000002E-2</v>
      </c>
      <c r="G679" s="669">
        <f>0.64*$G$673</f>
        <v>17232.384000000002</v>
      </c>
      <c r="H679" s="1038">
        <f t="shared" si="61"/>
        <v>1120.1049600000001</v>
      </c>
      <c r="I679" s="30"/>
      <c r="J679" s="1037">
        <v>6.5000000000000002E-2</v>
      </c>
      <c r="K679" s="1041">
        <f>0.64*$K$673</f>
        <v>17339.779629602814</v>
      </c>
      <c r="L679" s="1038">
        <f t="shared" si="62"/>
        <v>1127.0856759241829</v>
      </c>
      <c r="M679" s="30"/>
      <c r="N679" s="34">
        <f t="shared" si="58"/>
        <v>6.9807159241827321</v>
      </c>
      <c r="O679" s="565">
        <f t="shared" si="60"/>
        <v>6.2321980291764187E-3</v>
      </c>
      <c r="P679" s="7"/>
    </row>
    <row r="680" spans="1:16" x14ac:dyDescent="0.2">
      <c r="A680" s="7"/>
      <c r="B680" s="564" t="s">
        <v>780</v>
      </c>
      <c r="C680" s="26"/>
      <c r="D680" s="1005" t="s">
        <v>79</v>
      </c>
      <c r="E680" s="27"/>
      <c r="F680" s="1040">
        <v>0.1</v>
      </c>
      <c r="G680" s="669">
        <f>0.18*$G$673</f>
        <v>4846.6080000000002</v>
      </c>
      <c r="H680" s="1038">
        <f t="shared" si="61"/>
        <v>484.66080000000005</v>
      </c>
      <c r="I680" s="30"/>
      <c r="J680" s="1037">
        <v>0.1</v>
      </c>
      <c r="K680" s="1041">
        <f>0.18*$K$673</f>
        <v>4876.8130208257917</v>
      </c>
      <c r="L680" s="1038">
        <f t="shared" si="62"/>
        <v>487.68130208257918</v>
      </c>
      <c r="M680" s="30"/>
      <c r="N680" s="34">
        <f t="shared" si="58"/>
        <v>3.020502082579128</v>
      </c>
      <c r="O680" s="565">
        <f t="shared" si="60"/>
        <v>6.2321980291765453E-3</v>
      </c>
      <c r="P680" s="7"/>
    </row>
    <row r="681" spans="1:16" ht="13.5" thickBot="1" x14ac:dyDescent="0.25">
      <c r="A681" s="7"/>
      <c r="B681" s="647" t="s">
        <v>781</v>
      </c>
      <c r="C681" s="26"/>
      <c r="D681" s="1005" t="s">
        <v>79</v>
      </c>
      <c r="E681" s="27"/>
      <c r="F681" s="1040">
        <v>0.11700000000000001</v>
      </c>
      <c r="G681" s="669">
        <f>0.18*$G$673</f>
        <v>4846.6080000000002</v>
      </c>
      <c r="H681" s="1038">
        <f t="shared" si="61"/>
        <v>567.05313600000011</v>
      </c>
      <c r="I681" s="30"/>
      <c r="J681" s="1037">
        <v>0.11700000000000001</v>
      </c>
      <c r="K681" s="1041">
        <f>0.18*$K$673</f>
        <v>4876.8130208257917</v>
      </c>
      <c r="L681" s="1038">
        <f t="shared" si="62"/>
        <v>570.58712343661762</v>
      </c>
      <c r="M681" s="30"/>
      <c r="N681" s="34">
        <f t="shared" si="58"/>
        <v>3.5339874366175081</v>
      </c>
      <c r="O681" s="565">
        <f t="shared" si="60"/>
        <v>6.2321980291764187E-3</v>
      </c>
      <c r="P681" s="7"/>
    </row>
    <row r="682" spans="1:16" ht="13.5" thickBot="1" x14ac:dyDescent="0.25">
      <c r="A682" s="7"/>
      <c r="B682" s="1042"/>
      <c r="C682" s="1043"/>
      <c r="D682" s="1044"/>
      <c r="E682" s="1043"/>
      <c r="F682" s="1045"/>
      <c r="G682" s="1046"/>
      <c r="H682" s="1047"/>
      <c r="I682" s="1048"/>
      <c r="J682" s="1045"/>
      <c r="K682" s="1049"/>
      <c r="L682" s="1047"/>
      <c r="M682" s="1048"/>
      <c r="N682" s="1050"/>
      <c r="O682" s="1051"/>
      <c r="P682" s="7"/>
    </row>
    <row r="683" spans="1:16" x14ac:dyDescent="0.2">
      <c r="A683" s="7"/>
      <c r="B683" s="36" t="s">
        <v>782</v>
      </c>
      <c r="C683" s="26"/>
      <c r="D683" s="26"/>
      <c r="E683" s="26"/>
      <c r="F683" s="662"/>
      <c r="G683" s="652"/>
      <c r="H683" s="656">
        <f>SUM(H672:H678)</f>
        <v>3341.0360799999999</v>
      </c>
      <c r="I683" s="660"/>
      <c r="J683" s="661"/>
      <c r="K683" s="661"/>
      <c r="L683" s="655">
        <f>SUM(L672:L678)</f>
        <v>3347.3741547992895</v>
      </c>
      <c r="M683" s="654"/>
      <c r="N683" s="659">
        <f t="shared" si="58"/>
        <v>6.3380747992896431</v>
      </c>
      <c r="O683" s="657">
        <f t="shared" si="60"/>
        <v>1.8970387171902805E-3</v>
      </c>
      <c r="P683" s="7"/>
    </row>
    <row r="684" spans="1:16" x14ac:dyDescent="0.2">
      <c r="A684" s="7"/>
      <c r="B684" s="650" t="s">
        <v>38</v>
      </c>
      <c r="C684" s="26"/>
      <c r="D684" s="26"/>
      <c r="E684" s="26"/>
      <c r="F684" s="649">
        <v>0.13</v>
      </c>
      <c r="G684" s="652"/>
      <c r="H684" s="670">
        <f>H683*F684</f>
        <v>434.3346904</v>
      </c>
      <c r="I684" s="648"/>
      <c r="J684" s="676">
        <v>0.13</v>
      </c>
      <c r="K684" s="677"/>
      <c r="L684" s="672">
        <f>L683*J684</f>
        <v>435.15864012390767</v>
      </c>
      <c r="M684" s="673"/>
      <c r="N684" s="674">
        <f t="shared" si="58"/>
        <v>0.82394972390767407</v>
      </c>
      <c r="O684" s="675">
        <f t="shared" si="60"/>
        <v>1.8970387171903275E-3</v>
      </c>
      <c r="P684" s="7"/>
    </row>
    <row r="685" spans="1:16" x14ac:dyDescent="0.2">
      <c r="A685" s="7"/>
      <c r="B685" s="651" t="s">
        <v>1139</v>
      </c>
      <c r="C685" s="26"/>
      <c r="D685" s="26"/>
      <c r="E685" s="26"/>
      <c r="F685" s="658"/>
      <c r="G685" s="653"/>
      <c r="H685" s="670">
        <f>H683+H684</f>
        <v>3775.3707703999999</v>
      </c>
      <c r="I685" s="648"/>
      <c r="J685" s="648"/>
      <c r="K685" s="648"/>
      <c r="L685" s="672">
        <f>L683+L684</f>
        <v>3782.5327949231973</v>
      </c>
      <c r="M685" s="673"/>
      <c r="N685" s="674">
        <f t="shared" si="58"/>
        <v>7.1620245231974877</v>
      </c>
      <c r="O685" s="675">
        <f t="shared" si="60"/>
        <v>1.8970387171903312E-3</v>
      </c>
      <c r="P685" s="7"/>
    </row>
    <row r="686" spans="1:16" ht="12.75" customHeight="1" x14ac:dyDescent="0.2">
      <c r="A686" s="7"/>
      <c r="B686" s="1626" t="s">
        <v>1140</v>
      </c>
      <c r="C686" s="1626"/>
      <c r="D686" s="1626"/>
      <c r="E686" s="26"/>
      <c r="F686" s="658"/>
      <c r="G686" s="653"/>
      <c r="H686" s="1052">
        <f>ROUND(-H685*10%,2)</f>
        <v>-377.54</v>
      </c>
      <c r="I686" s="648"/>
      <c r="J686" s="648"/>
      <c r="K686" s="648"/>
      <c r="L686" s="1053">
        <f>ROUND(-L685*10%,2)</f>
        <v>-378.25</v>
      </c>
      <c r="M686" s="673"/>
      <c r="N686" s="1054">
        <f t="shared" si="58"/>
        <v>-0.70999999999997954</v>
      </c>
      <c r="O686" s="1055">
        <f t="shared" si="60"/>
        <v>1.8805954335963859E-3</v>
      </c>
      <c r="P686" s="7"/>
    </row>
    <row r="687" spans="1:16" ht="13.5" customHeight="1" thickBot="1" x14ac:dyDescent="0.25">
      <c r="A687" s="7"/>
      <c r="B687" s="1626" t="s">
        <v>785</v>
      </c>
      <c r="C687" s="1626"/>
      <c r="D687" s="1626"/>
      <c r="E687" s="1056"/>
      <c r="F687" s="1057"/>
      <c r="G687" s="1058"/>
      <c r="H687" s="1059">
        <f>SUM(H685:H686)</f>
        <v>3397.8307703999999</v>
      </c>
      <c r="I687" s="1060"/>
      <c r="J687" s="1060"/>
      <c r="K687" s="1060"/>
      <c r="L687" s="1061">
        <f>SUM(L685:L686)</f>
        <v>3404.2827949231973</v>
      </c>
      <c r="M687" s="1062"/>
      <c r="N687" s="1063">
        <f t="shared" si="58"/>
        <v>6.4520245231974513</v>
      </c>
      <c r="O687" s="1064">
        <f t="shared" si="60"/>
        <v>1.8988657644176626E-3</v>
      </c>
      <c r="P687" s="7"/>
    </row>
    <row r="688" spans="1:16" ht="13.5" thickBot="1" x14ac:dyDescent="0.25">
      <c r="A688" s="7"/>
      <c r="B688" s="1042"/>
      <c r="C688" s="1043"/>
      <c r="D688" s="1044"/>
      <c r="E688" s="1043"/>
      <c r="F688" s="1065"/>
      <c r="G688" s="1066"/>
      <c r="H688" s="1067"/>
      <c r="I688" s="1068"/>
      <c r="J688" s="1065"/>
      <c r="K688" s="1046"/>
      <c r="L688" s="1069"/>
      <c r="M688" s="1048"/>
      <c r="N688" s="1070"/>
      <c r="O688" s="1051"/>
      <c r="P688" s="7"/>
    </row>
    <row r="689" spans="1:16" x14ac:dyDescent="0.2">
      <c r="A689" s="7"/>
      <c r="B689" s="36" t="s">
        <v>783</v>
      </c>
      <c r="C689" s="26"/>
      <c r="D689" s="26"/>
      <c r="E689" s="26"/>
      <c r="F689" s="662"/>
      <c r="G689" s="652"/>
      <c r="H689" s="656">
        <f>SUM(H672:H676,H679:H681)</f>
        <v>3153.1521760000005</v>
      </c>
      <c r="I689" s="660"/>
      <c r="J689" s="661"/>
      <c r="K689" s="661"/>
      <c r="L689" s="666">
        <f>SUM(L672:L676,L679:L681)</f>
        <v>3158.2585571722825</v>
      </c>
      <c r="M689" s="654"/>
      <c r="N689" s="659">
        <f>L689-H689</f>
        <v>5.1063811722819992</v>
      </c>
      <c r="O689" s="657">
        <f>IF((H689)=0,"",(N689/H689))</f>
        <v>1.619452816501806E-3</v>
      </c>
      <c r="P689" s="7"/>
    </row>
    <row r="690" spans="1:16" x14ac:dyDescent="0.2">
      <c r="A690" s="7"/>
      <c r="B690" s="650" t="s">
        <v>38</v>
      </c>
      <c r="C690" s="26"/>
      <c r="D690" s="26"/>
      <c r="E690" s="26"/>
      <c r="F690" s="649">
        <v>0.13</v>
      </c>
      <c r="G690" s="653"/>
      <c r="H690" s="670">
        <f>H689*F690</f>
        <v>409.90978288000008</v>
      </c>
      <c r="I690" s="648"/>
      <c r="J690" s="671">
        <v>0.13</v>
      </c>
      <c r="K690" s="648"/>
      <c r="L690" s="672">
        <f>L689*J690</f>
        <v>410.57361243239671</v>
      </c>
      <c r="M690" s="673"/>
      <c r="N690" s="674">
        <f t="shared" si="58"/>
        <v>0.66382955239663488</v>
      </c>
      <c r="O690" s="675">
        <f t="shared" si="60"/>
        <v>1.6194528165017449E-3</v>
      </c>
      <c r="P690" s="7"/>
    </row>
    <row r="691" spans="1:16" x14ac:dyDescent="0.2">
      <c r="A691" s="7"/>
      <c r="B691" s="651" t="s">
        <v>1139</v>
      </c>
      <c r="C691" s="26"/>
      <c r="D691" s="26"/>
      <c r="E691" s="26"/>
      <c r="F691" s="658"/>
      <c r="G691" s="653"/>
      <c r="H691" s="670">
        <f>H689+H690</f>
        <v>3563.0619588800005</v>
      </c>
      <c r="I691" s="648"/>
      <c r="J691" s="648"/>
      <c r="K691" s="648"/>
      <c r="L691" s="672">
        <f>L689+L690</f>
        <v>3568.8321696046792</v>
      </c>
      <c r="M691" s="673"/>
      <c r="N691" s="674">
        <f t="shared" si="58"/>
        <v>5.7702107246786909</v>
      </c>
      <c r="O691" s="675">
        <f t="shared" si="60"/>
        <v>1.6194528165018149E-3</v>
      </c>
      <c r="P691" s="7"/>
    </row>
    <row r="692" spans="1:16" ht="12.75" customHeight="1" x14ac:dyDescent="0.2">
      <c r="A692" s="7"/>
      <c r="B692" s="1626" t="s">
        <v>1140</v>
      </c>
      <c r="C692" s="1626"/>
      <c r="D692" s="1626"/>
      <c r="E692" s="26"/>
      <c r="F692" s="658"/>
      <c r="G692" s="653"/>
      <c r="H692" s="1052">
        <f>ROUND(-H691*10%,2)</f>
        <v>-356.31</v>
      </c>
      <c r="I692" s="648"/>
      <c r="J692" s="648"/>
      <c r="K692" s="648"/>
      <c r="L692" s="1053">
        <f>ROUND(-L691*10%,2)</f>
        <v>-356.88</v>
      </c>
      <c r="M692" s="673"/>
      <c r="N692" s="1054">
        <f t="shared" si="58"/>
        <v>-0.56999999999999318</v>
      </c>
      <c r="O692" s="1055">
        <f t="shared" si="60"/>
        <v>1.5997305716931693E-3</v>
      </c>
      <c r="P692" s="7"/>
    </row>
    <row r="693" spans="1:16" ht="13.5" customHeight="1" thickBot="1" x14ac:dyDescent="0.25">
      <c r="A693" s="7"/>
      <c r="B693" s="1626" t="s">
        <v>784</v>
      </c>
      <c r="C693" s="1626"/>
      <c r="D693" s="1626"/>
      <c r="E693" s="1056"/>
      <c r="F693" s="1071"/>
      <c r="G693" s="1072"/>
      <c r="H693" s="1073">
        <f>H691+H692</f>
        <v>3206.7519588800005</v>
      </c>
      <c r="I693" s="1074"/>
      <c r="J693" s="1074"/>
      <c r="K693" s="1074"/>
      <c r="L693" s="1075">
        <f>L691+L692</f>
        <v>3211.9521696046791</v>
      </c>
      <c r="M693" s="1076"/>
      <c r="N693" s="1077">
        <f t="shared" si="58"/>
        <v>5.2002107246785272</v>
      </c>
      <c r="O693" s="1078">
        <f t="shared" si="60"/>
        <v>1.6216442030317704E-3</v>
      </c>
      <c r="P693" s="7"/>
    </row>
    <row r="694" spans="1:16" ht="13.5" thickBot="1" x14ac:dyDescent="0.25">
      <c r="A694" s="7"/>
      <c r="B694" s="1042"/>
      <c r="C694" s="1043"/>
      <c r="D694" s="1044"/>
      <c r="E694" s="1043"/>
      <c r="F694" s="1065"/>
      <c r="G694" s="1066"/>
      <c r="H694" s="1067"/>
      <c r="I694" s="1068"/>
      <c r="J694" s="1065"/>
      <c r="K694" s="1046"/>
      <c r="L694" s="1069"/>
      <c r="M694" s="1048"/>
      <c r="N694" s="1070"/>
      <c r="O694" s="1051"/>
      <c r="P694" s="7"/>
    </row>
    <row r="695" spans="1:16" x14ac:dyDescent="0.2">
      <c r="A695" s="7"/>
      <c r="B695" s="7"/>
      <c r="C695" s="7"/>
      <c r="D695" s="7"/>
      <c r="E695" s="7"/>
      <c r="F695" s="7"/>
      <c r="G695" s="7"/>
      <c r="H695" s="7"/>
      <c r="I695" s="7"/>
      <c r="J695" s="7"/>
      <c r="K695" s="7"/>
      <c r="L695" s="678"/>
      <c r="M695" s="7"/>
      <c r="N695" s="7"/>
      <c r="O695" s="7"/>
      <c r="P695" s="7"/>
    </row>
    <row r="696" spans="1:16" x14ac:dyDescent="0.2">
      <c r="A696" s="7"/>
      <c r="B696" s="8" t="s">
        <v>39</v>
      </c>
      <c r="C696" s="7"/>
      <c r="D696" s="7"/>
      <c r="E696" s="7"/>
      <c r="F696" s="1079">
        <v>3.5600000000000076E-2</v>
      </c>
      <c r="G696" s="7"/>
      <c r="H696" s="7"/>
      <c r="I696" s="7"/>
      <c r="J696" s="1079">
        <v>4.2054064279015257E-2</v>
      </c>
      <c r="K696" s="7"/>
      <c r="L696" s="7"/>
      <c r="M696" s="7"/>
      <c r="N696" s="7"/>
      <c r="O696" s="7"/>
      <c r="P696" s="7"/>
    </row>
    <row r="697" spans="1:16" x14ac:dyDescent="0.2">
      <c r="A697" s="7"/>
      <c r="B697" s="7"/>
      <c r="C697" s="7"/>
      <c r="D697" s="7"/>
      <c r="E697" s="7"/>
      <c r="F697" s="7"/>
      <c r="G697" s="7"/>
      <c r="H697" s="7"/>
      <c r="I697" s="7"/>
      <c r="J697" s="7"/>
      <c r="K697" s="7"/>
      <c r="L697" s="7"/>
      <c r="M697" s="7"/>
      <c r="N697" s="7"/>
      <c r="O697" s="7"/>
      <c r="P697" s="7"/>
    </row>
    <row r="698" spans="1:16" ht="14.25" x14ac:dyDescent="0.2">
      <c r="A698" s="214" t="s">
        <v>1141</v>
      </c>
      <c r="B698" s="7"/>
      <c r="C698" s="7"/>
      <c r="D698" s="7"/>
      <c r="E698" s="7"/>
      <c r="F698" s="7"/>
      <c r="G698" s="7"/>
      <c r="H698" s="7"/>
      <c r="I698" s="7"/>
      <c r="J698" s="7"/>
      <c r="K698" s="7"/>
      <c r="L698" s="7"/>
      <c r="M698" s="7"/>
      <c r="N698" s="7"/>
      <c r="O698" s="7"/>
      <c r="P698" s="7"/>
    </row>
    <row r="699" spans="1:16" x14ac:dyDescent="0.2">
      <c r="A699" s="7"/>
      <c r="B699" s="7"/>
      <c r="C699" s="7"/>
      <c r="D699" s="7"/>
      <c r="E699" s="7"/>
      <c r="F699" s="7"/>
      <c r="G699" s="7"/>
      <c r="H699" s="7"/>
      <c r="I699" s="7"/>
      <c r="J699" s="7"/>
      <c r="K699" s="7"/>
      <c r="L699" s="7"/>
      <c r="M699" s="7"/>
      <c r="N699" s="7"/>
      <c r="O699" s="7"/>
      <c r="P699" s="7"/>
    </row>
    <row r="700" spans="1:16" x14ac:dyDescent="0.2">
      <c r="A700" s="7" t="s">
        <v>107</v>
      </c>
      <c r="B700" s="7"/>
      <c r="C700" s="7"/>
      <c r="D700" s="7"/>
      <c r="E700" s="7"/>
      <c r="F700" s="7"/>
      <c r="G700" s="7"/>
      <c r="H700" s="7"/>
      <c r="I700" s="7"/>
      <c r="J700" s="7"/>
      <c r="K700" s="7"/>
      <c r="L700" s="7"/>
      <c r="M700" s="7"/>
      <c r="N700" s="7"/>
      <c r="O700" s="7"/>
      <c r="P700" s="7"/>
    </row>
    <row r="701" spans="1:16" x14ac:dyDescent="0.2">
      <c r="A701" s="7" t="s">
        <v>108</v>
      </c>
      <c r="B701" s="7"/>
      <c r="C701" s="7"/>
      <c r="D701" s="7"/>
      <c r="E701" s="7"/>
      <c r="F701" s="7"/>
      <c r="G701" s="7"/>
      <c r="H701" s="7"/>
      <c r="I701" s="7"/>
      <c r="J701" s="7"/>
      <c r="K701" s="7"/>
      <c r="L701" s="7"/>
      <c r="M701" s="7"/>
      <c r="N701" s="7"/>
      <c r="O701" s="7"/>
      <c r="P701" s="7"/>
    </row>
    <row r="702" spans="1:16" x14ac:dyDescent="0.2">
      <c r="A702" s="7"/>
      <c r="B702" s="7"/>
      <c r="C702" s="7"/>
      <c r="D702" s="7"/>
      <c r="E702" s="7"/>
      <c r="F702" s="7"/>
      <c r="G702" s="7"/>
      <c r="H702" s="7"/>
      <c r="I702" s="7"/>
      <c r="J702" s="7"/>
      <c r="K702" s="7"/>
      <c r="L702" s="7"/>
      <c r="M702" s="7"/>
      <c r="N702" s="7"/>
      <c r="O702" s="7"/>
      <c r="P702" s="7"/>
    </row>
    <row r="703" spans="1:16" x14ac:dyDescent="0.2">
      <c r="A703" s="7" t="s">
        <v>331</v>
      </c>
      <c r="B703" s="7"/>
      <c r="C703" s="7"/>
      <c r="D703" s="7"/>
      <c r="E703" s="7"/>
      <c r="F703" s="7"/>
      <c r="G703" s="7"/>
      <c r="H703" s="7"/>
      <c r="I703" s="7"/>
      <c r="J703" s="7"/>
      <c r="K703" s="7"/>
      <c r="L703" s="7"/>
      <c r="M703" s="7"/>
      <c r="N703" s="7"/>
      <c r="O703" s="7"/>
      <c r="P703" s="7"/>
    </row>
    <row r="704" spans="1:16" x14ac:dyDescent="0.2">
      <c r="A704" s="7" t="s">
        <v>109</v>
      </c>
      <c r="B704" s="7"/>
      <c r="C704" s="7"/>
      <c r="D704" s="7"/>
      <c r="E704" s="7"/>
      <c r="F704" s="7"/>
      <c r="G704" s="7"/>
      <c r="H704" s="7"/>
      <c r="I704" s="7"/>
      <c r="J704" s="7"/>
      <c r="K704" s="7"/>
      <c r="L704" s="7"/>
      <c r="M704" s="7"/>
      <c r="N704" s="7"/>
      <c r="O704" s="7"/>
      <c r="P704" s="7"/>
    </row>
    <row r="705" spans="1:16" x14ac:dyDescent="0.2">
      <c r="A705" s="7"/>
      <c r="B705" s="7"/>
      <c r="C705" s="7"/>
      <c r="D705" s="7"/>
      <c r="E705" s="7"/>
      <c r="F705" s="7"/>
      <c r="G705" s="7"/>
      <c r="H705" s="7"/>
      <c r="I705" s="7"/>
      <c r="J705" s="7"/>
      <c r="K705" s="7"/>
      <c r="L705" s="7"/>
      <c r="M705" s="7"/>
      <c r="N705" s="7"/>
      <c r="O705" s="7"/>
      <c r="P705" s="7"/>
    </row>
    <row r="706" spans="1:16" x14ac:dyDescent="0.2">
      <c r="A706" s="7" t="s">
        <v>110</v>
      </c>
      <c r="B706" s="7"/>
      <c r="C706" s="7"/>
      <c r="D706" s="7"/>
      <c r="E706" s="7"/>
      <c r="F706" s="7"/>
      <c r="G706" s="7"/>
      <c r="H706" s="7"/>
      <c r="I706" s="7"/>
      <c r="J706" s="7"/>
      <c r="K706" s="7"/>
      <c r="L706" s="7"/>
      <c r="M706" s="7"/>
      <c r="N706" s="7"/>
      <c r="O706" s="7"/>
      <c r="P706" s="7"/>
    </row>
    <row r="707" spans="1:16" x14ac:dyDescent="0.2">
      <c r="A707" s="7" t="s">
        <v>111</v>
      </c>
      <c r="B707" s="7"/>
      <c r="C707" s="7"/>
      <c r="D707" s="7"/>
      <c r="E707" s="7"/>
      <c r="F707" s="7"/>
      <c r="G707" s="7"/>
      <c r="H707" s="7"/>
      <c r="I707" s="7"/>
      <c r="J707" s="7"/>
      <c r="K707" s="7"/>
      <c r="L707" s="7"/>
      <c r="M707" s="7"/>
      <c r="N707" s="7"/>
      <c r="O707" s="7"/>
      <c r="P707" s="7"/>
    </row>
    <row r="708" spans="1:16" x14ac:dyDescent="0.2">
      <c r="A708" s="7" t="s">
        <v>112</v>
      </c>
      <c r="B708" s="7"/>
      <c r="C708" s="7"/>
      <c r="D708" s="7"/>
      <c r="E708" s="7"/>
      <c r="F708" s="7"/>
      <c r="G708" s="7"/>
      <c r="H708" s="7"/>
      <c r="I708" s="7"/>
      <c r="J708" s="7"/>
      <c r="K708" s="7"/>
      <c r="L708" s="7"/>
      <c r="M708" s="7"/>
      <c r="N708" s="7"/>
      <c r="O708" s="7"/>
      <c r="P708" s="7"/>
    </row>
    <row r="709" spans="1:16" x14ac:dyDescent="0.2">
      <c r="A709" s="7" t="s">
        <v>113</v>
      </c>
      <c r="B709" s="7"/>
      <c r="C709" s="7"/>
      <c r="D709" s="7"/>
      <c r="E709" s="7"/>
      <c r="F709" s="7"/>
      <c r="G709" s="7"/>
      <c r="H709" s="7"/>
      <c r="I709" s="7"/>
      <c r="J709" s="7"/>
      <c r="K709" s="7"/>
      <c r="L709" s="7"/>
      <c r="M709" s="7"/>
      <c r="N709" s="7"/>
      <c r="O709" s="7"/>
      <c r="P709" s="7"/>
    </row>
    <row r="710" spans="1:16" x14ac:dyDescent="0.2">
      <c r="A710" s="7" t="s">
        <v>114</v>
      </c>
      <c r="B710" s="7"/>
      <c r="C710" s="7"/>
      <c r="D710" s="7"/>
      <c r="E710" s="7"/>
      <c r="F710" s="7"/>
      <c r="G710" s="7"/>
      <c r="H710" s="7"/>
      <c r="I710" s="7"/>
      <c r="J710" s="7"/>
      <c r="K710" s="7"/>
      <c r="L710" s="7"/>
      <c r="M710" s="7"/>
      <c r="N710" s="7"/>
      <c r="O710" s="7"/>
      <c r="P710" s="7"/>
    </row>
    <row r="712" spans="1:16" ht="21.75" x14ac:dyDescent="0.2">
      <c r="A712" s="41"/>
      <c r="B712" s="41"/>
      <c r="C712" s="41"/>
      <c r="D712" s="41"/>
      <c r="E712" s="41"/>
      <c r="F712" s="41"/>
      <c r="G712" s="41"/>
      <c r="H712" s="41"/>
      <c r="I712" s="41"/>
      <c r="J712" s="41"/>
      <c r="K712" s="41"/>
      <c r="L712" s="37"/>
      <c r="M712" s="37"/>
      <c r="N712" s="16" t="s">
        <v>444</v>
      </c>
      <c r="O712" s="250" t="s">
        <v>866</v>
      </c>
    </row>
    <row r="713" spans="1:16" ht="18" x14ac:dyDescent="0.25">
      <c r="A713" s="40"/>
      <c r="B713" s="40"/>
      <c r="C713" s="40"/>
      <c r="D713" s="40"/>
      <c r="E713" s="40"/>
      <c r="F713" s="40"/>
      <c r="G713" s="40"/>
      <c r="H713" s="40"/>
      <c r="I713" s="40"/>
      <c r="J713" s="40"/>
      <c r="K713" s="40"/>
      <c r="L713" s="37"/>
      <c r="M713" s="37"/>
      <c r="N713" s="16" t="s">
        <v>445</v>
      </c>
      <c r="O713" s="1001"/>
    </row>
    <row r="714" spans="1:16" x14ac:dyDescent="0.2">
      <c r="A714" s="1626"/>
      <c r="B714" s="1626"/>
      <c r="C714" s="1626"/>
      <c r="D714" s="1626"/>
      <c r="E714" s="1626"/>
      <c r="F714" s="1626"/>
      <c r="G714" s="1626"/>
      <c r="H714" s="1626"/>
      <c r="I714" s="1626"/>
      <c r="J714" s="1626"/>
      <c r="K714" s="1626"/>
      <c r="L714" s="37"/>
      <c r="M714" s="37"/>
      <c r="N714" s="16" t="s">
        <v>446</v>
      </c>
      <c r="O714" s="1001"/>
    </row>
    <row r="715" spans="1:16" ht="18" x14ac:dyDescent="0.25">
      <c r="A715" s="40"/>
      <c r="B715" s="40"/>
      <c r="C715" s="40"/>
      <c r="D715" s="40"/>
      <c r="E715" s="40"/>
      <c r="F715" s="40"/>
      <c r="G715" s="40"/>
      <c r="H715" s="40"/>
      <c r="I715" s="38"/>
      <c r="J715" s="38"/>
      <c r="K715" s="38"/>
      <c r="L715" s="37"/>
      <c r="M715" s="37"/>
      <c r="N715" s="16" t="s">
        <v>447</v>
      </c>
      <c r="O715" s="1001"/>
    </row>
    <row r="716" spans="1:16" ht="15.75" x14ac:dyDescent="0.25">
      <c r="A716" s="37"/>
      <c r="B716" s="37"/>
      <c r="C716" s="39"/>
      <c r="D716" s="39"/>
      <c r="E716" s="39"/>
      <c r="F716" s="37"/>
      <c r="G716" s="37"/>
      <c r="H716" s="37"/>
      <c r="I716" s="37"/>
      <c r="J716" s="37"/>
      <c r="K716" s="37"/>
      <c r="L716" s="37"/>
      <c r="M716" s="37"/>
      <c r="N716" s="16" t="s">
        <v>448</v>
      </c>
      <c r="O716" s="1002" t="s">
        <v>1152</v>
      </c>
    </row>
    <row r="717" spans="1:16" x14ac:dyDescent="0.2">
      <c r="A717" s="37"/>
      <c r="B717" s="37"/>
      <c r="C717" s="37"/>
      <c r="D717" s="37"/>
      <c r="E717" s="37"/>
      <c r="F717" s="37"/>
      <c r="G717" s="37"/>
      <c r="H717" s="37"/>
      <c r="I717" s="37"/>
      <c r="J717" s="37"/>
      <c r="K717" s="37"/>
      <c r="L717" s="37"/>
      <c r="M717" s="37"/>
      <c r="N717" s="16"/>
      <c r="O717" s="250"/>
    </row>
    <row r="718" spans="1:16" x14ac:dyDescent="0.2">
      <c r="A718" s="37"/>
      <c r="B718" s="37"/>
      <c r="C718" s="37"/>
      <c r="D718" s="37"/>
      <c r="E718" s="37"/>
      <c r="F718" s="37"/>
      <c r="G718" s="37"/>
      <c r="H718" s="37"/>
      <c r="I718" s="37"/>
      <c r="J718" s="37"/>
      <c r="K718" s="37"/>
      <c r="L718" s="37"/>
      <c r="M718" s="37"/>
      <c r="N718" s="16" t="s">
        <v>449</v>
      </c>
      <c r="O718" s="1002"/>
    </row>
    <row r="719" spans="1:16" x14ac:dyDescent="0.2">
      <c r="A719" s="37"/>
      <c r="B719" s="37"/>
      <c r="C719" s="37"/>
      <c r="D719" s="37"/>
      <c r="E719" s="37"/>
      <c r="F719" s="37"/>
      <c r="G719" s="37"/>
      <c r="H719" s="37"/>
      <c r="I719" s="37"/>
      <c r="J719" s="37"/>
      <c r="K719" s="37"/>
      <c r="L719" s="37"/>
      <c r="M719" s="37"/>
      <c r="N719" s="7"/>
    </row>
    <row r="720" spans="1:16" x14ac:dyDescent="0.2">
      <c r="A720" s="7"/>
      <c r="B720" s="7"/>
      <c r="C720" s="7"/>
      <c r="D720" s="7"/>
      <c r="E720" s="7"/>
      <c r="F720" s="7"/>
      <c r="G720" s="7"/>
      <c r="H720" s="7"/>
      <c r="I720" s="7"/>
      <c r="J720" s="7"/>
      <c r="K720" s="7"/>
    </row>
    <row r="721" spans="1:16" x14ac:dyDescent="0.2">
      <c r="A721" s="7"/>
      <c r="B721" s="1626" t="s">
        <v>695</v>
      </c>
      <c r="C721" s="1626"/>
      <c r="D721" s="1626"/>
      <c r="E721" s="1626"/>
      <c r="F721" s="1626"/>
      <c r="G721" s="1626"/>
      <c r="H721" s="1626"/>
      <c r="I721" s="1626"/>
      <c r="J721" s="1626"/>
      <c r="K721" s="1626"/>
      <c r="L721" s="1626"/>
      <c r="M721" s="1626"/>
      <c r="N721" s="1626"/>
      <c r="O721" s="1626"/>
    </row>
    <row r="722" spans="1:16" x14ac:dyDescent="0.2">
      <c r="A722" s="7"/>
      <c r="B722" s="1626" t="s">
        <v>63</v>
      </c>
      <c r="C722" s="1626"/>
      <c r="D722" s="1626"/>
      <c r="E722" s="1626"/>
      <c r="F722" s="1626"/>
      <c r="G722" s="1626"/>
      <c r="H722" s="1626"/>
      <c r="I722" s="1626"/>
      <c r="J722" s="1626"/>
      <c r="K722" s="1626"/>
      <c r="L722" s="1626"/>
      <c r="M722" s="1626"/>
      <c r="N722" s="1626"/>
      <c r="O722" s="1626"/>
    </row>
    <row r="723" spans="1:16" x14ac:dyDescent="0.2">
      <c r="A723" s="7"/>
      <c r="B723" s="7"/>
      <c r="C723" s="7"/>
      <c r="D723" s="7"/>
      <c r="E723" s="7"/>
      <c r="F723" s="7"/>
      <c r="G723" s="7"/>
      <c r="H723" s="7"/>
      <c r="I723" s="7"/>
      <c r="J723" s="7"/>
      <c r="K723" s="7"/>
    </row>
    <row r="724" spans="1:16" x14ac:dyDescent="0.2">
      <c r="A724" s="7"/>
      <c r="B724" s="7"/>
      <c r="C724" s="7"/>
      <c r="D724" s="7"/>
      <c r="E724" s="7"/>
      <c r="F724" s="7"/>
      <c r="G724" s="7"/>
      <c r="H724" s="7"/>
      <c r="I724" s="7"/>
      <c r="J724" s="7"/>
      <c r="K724" s="7"/>
    </row>
    <row r="725" spans="1:16" x14ac:dyDescent="0.2">
      <c r="A725" s="7"/>
      <c r="B725" s="43" t="s">
        <v>40</v>
      </c>
      <c r="C725" s="7"/>
      <c r="D725" s="1626" t="s">
        <v>1151</v>
      </c>
      <c r="E725" s="1626"/>
      <c r="F725" s="1626"/>
      <c r="G725" s="1626"/>
      <c r="H725" s="1626"/>
      <c r="I725" s="1626"/>
      <c r="J725" s="1626"/>
      <c r="K725" s="1626"/>
      <c r="L725" s="1626"/>
      <c r="M725" s="1626"/>
      <c r="N725" s="1626"/>
      <c r="O725" s="1626"/>
      <c r="P725" s="7"/>
    </row>
    <row r="726" spans="1:16" ht="15.75" x14ac:dyDescent="0.25">
      <c r="A726" s="7"/>
      <c r="B726" s="1003"/>
      <c r="C726" s="7"/>
      <c r="D726" s="42"/>
      <c r="E726" s="42"/>
      <c r="F726" s="42"/>
      <c r="G726" s="42"/>
      <c r="H726" s="42"/>
      <c r="I726" s="42"/>
      <c r="J726" s="42"/>
      <c r="K726" s="42"/>
      <c r="L726" s="42"/>
      <c r="M726" s="42"/>
      <c r="N726" s="42"/>
      <c r="O726" s="42"/>
      <c r="P726" s="7"/>
    </row>
    <row r="727" spans="1:16" x14ac:dyDescent="0.2">
      <c r="A727" s="7"/>
      <c r="B727" s="647"/>
      <c r="C727" s="7"/>
      <c r="D727" s="8" t="s">
        <v>17</v>
      </c>
      <c r="E727" s="8"/>
      <c r="F727" s="1004">
        <v>52000</v>
      </c>
      <c r="G727" s="8" t="s">
        <v>18</v>
      </c>
      <c r="H727" s="7"/>
      <c r="I727" s="7"/>
      <c r="J727" s="7"/>
      <c r="K727" s="7"/>
      <c r="L727" s="7"/>
      <c r="M727" s="7"/>
      <c r="N727" s="7"/>
      <c r="O727" s="7"/>
      <c r="P727" s="7"/>
    </row>
    <row r="728" spans="1:16" x14ac:dyDescent="0.2">
      <c r="A728" s="7"/>
      <c r="B728" s="647"/>
      <c r="C728" s="7"/>
      <c r="D728" s="7"/>
      <c r="E728" s="7"/>
      <c r="F728" s="7"/>
      <c r="G728" s="7"/>
      <c r="H728" s="7"/>
      <c r="I728" s="7"/>
      <c r="J728" s="7"/>
      <c r="K728" s="7"/>
      <c r="L728" s="7"/>
      <c r="M728" s="7"/>
      <c r="N728" s="7"/>
      <c r="O728" s="7"/>
      <c r="P728" s="7"/>
    </row>
    <row r="729" spans="1:16" x14ac:dyDescent="0.2">
      <c r="A729" s="7"/>
      <c r="B729" s="647"/>
      <c r="C729" s="7"/>
      <c r="D729" s="19"/>
      <c r="E729" s="19"/>
      <c r="F729" s="1626" t="s">
        <v>19</v>
      </c>
      <c r="G729" s="1626"/>
      <c r="H729" s="1626"/>
      <c r="I729" s="7"/>
      <c r="J729" s="1626" t="s">
        <v>20</v>
      </c>
      <c r="K729" s="1626"/>
      <c r="L729" s="1626"/>
      <c r="M729" s="7"/>
      <c r="N729" s="1626" t="s">
        <v>21</v>
      </c>
      <c r="O729" s="1626"/>
      <c r="P729" s="7"/>
    </row>
    <row r="730" spans="1:16" ht="12.75" customHeight="1" x14ac:dyDescent="0.2">
      <c r="A730" s="7"/>
      <c r="B730" s="647"/>
      <c r="C730" s="7"/>
      <c r="D730" s="1626" t="s">
        <v>22</v>
      </c>
      <c r="E730" s="20"/>
      <c r="F730" s="21" t="s">
        <v>23</v>
      </c>
      <c r="G730" s="21" t="s">
        <v>24</v>
      </c>
      <c r="H730" s="22" t="s">
        <v>25</v>
      </c>
      <c r="I730" s="7"/>
      <c r="J730" s="21" t="s">
        <v>23</v>
      </c>
      <c r="K730" s="23" t="s">
        <v>24</v>
      </c>
      <c r="L730" s="22" t="s">
        <v>25</v>
      </c>
      <c r="M730" s="7"/>
      <c r="N730" s="1626" t="s">
        <v>26</v>
      </c>
      <c r="O730" s="1626" t="s">
        <v>27</v>
      </c>
      <c r="P730" s="7"/>
    </row>
    <row r="731" spans="1:16" x14ac:dyDescent="0.2">
      <c r="A731" s="7"/>
      <c r="B731" s="647"/>
      <c r="C731" s="7"/>
      <c r="D731" s="1626"/>
      <c r="E731" s="20"/>
      <c r="F731" s="24" t="s">
        <v>452</v>
      </c>
      <c r="G731" s="24"/>
      <c r="H731" s="25" t="s">
        <v>452</v>
      </c>
      <c r="I731" s="7"/>
      <c r="J731" s="24" t="s">
        <v>452</v>
      </c>
      <c r="K731" s="25"/>
      <c r="L731" s="25" t="s">
        <v>452</v>
      </c>
      <c r="M731" s="7"/>
      <c r="N731" s="1626"/>
      <c r="O731" s="1626"/>
      <c r="P731" s="7"/>
    </row>
    <row r="732" spans="1:16" x14ac:dyDescent="0.2">
      <c r="A732" s="7"/>
      <c r="B732" s="26" t="s">
        <v>28</v>
      </c>
      <c r="C732" s="26"/>
      <c r="D732" s="1005" t="s">
        <v>1130</v>
      </c>
      <c r="E732" s="27"/>
      <c r="F732" s="1006">
        <v>142</v>
      </c>
      <c r="G732" s="32">
        <v>1</v>
      </c>
      <c r="H732" s="1007">
        <f>G732*F732</f>
        <v>142</v>
      </c>
      <c r="I732" s="30"/>
      <c r="J732" s="1008">
        <v>142</v>
      </c>
      <c r="K732" s="33">
        <v>1</v>
      </c>
      <c r="L732" s="1007">
        <f>K732*J732</f>
        <v>142</v>
      </c>
      <c r="M732" s="30"/>
      <c r="N732" s="34">
        <f>L732-H732</f>
        <v>0</v>
      </c>
      <c r="O732" s="202">
        <f>IF((H732)=0,"",(N732/H732))</f>
        <v>0</v>
      </c>
      <c r="P732" s="7"/>
    </row>
    <row r="733" spans="1:16" x14ac:dyDescent="0.2">
      <c r="A733" s="7"/>
      <c r="B733" s="26" t="s">
        <v>29</v>
      </c>
      <c r="C733" s="26"/>
      <c r="D733" s="1005" t="s">
        <v>1130</v>
      </c>
      <c r="E733" s="27"/>
      <c r="F733" s="1006">
        <v>0</v>
      </c>
      <c r="G733" s="32">
        <v>1</v>
      </c>
      <c r="H733" s="1007">
        <f t="shared" ref="H733:H741" si="63">G733*F733</f>
        <v>0</v>
      </c>
      <c r="I733" s="30"/>
      <c r="J733" s="1008">
        <v>0</v>
      </c>
      <c r="K733" s="33">
        <v>1</v>
      </c>
      <c r="L733" s="1007">
        <f>K733*J733</f>
        <v>0</v>
      </c>
      <c r="M733" s="30"/>
      <c r="N733" s="34">
        <f>L733-H733</f>
        <v>0</v>
      </c>
      <c r="O733" s="202" t="str">
        <f>IF((H733)=0,"",(N733/H733))</f>
        <v/>
      </c>
      <c r="P733" s="7"/>
    </row>
    <row r="734" spans="1:16" x14ac:dyDescent="0.2">
      <c r="A734" s="7"/>
      <c r="B734" s="1009" t="s">
        <v>1131</v>
      </c>
      <c r="C734" s="26"/>
      <c r="D734" s="1005" t="s">
        <v>80</v>
      </c>
      <c r="E734" s="27"/>
      <c r="F734" s="1006">
        <v>-6.1400000000000003E-2</v>
      </c>
      <c r="G734" s="32">
        <v>135</v>
      </c>
      <c r="H734" s="1007">
        <f t="shared" si="63"/>
        <v>-8.2889999999999997</v>
      </c>
      <c r="I734" s="30"/>
      <c r="J734" s="1008">
        <v>0</v>
      </c>
      <c r="K734" s="33">
        <v>135</v>
      </c>
      <c r="L734" s="1007">
        <f t="shared" ref="L734:L741" si="64">K734*J734</f>
        <v>0</v>
      </c>
      <c r="M734" s="30"/>
      <c r="N734" s="34">
        <f t="shared" ref="N734:N772" si="65">L734-H734</f>
        <v>8.2889999999999997</v>
      </c>
      <c r="O734" s="202">
        <f t="shared" ref="O734:O742" si="66">IF((H734)=0,"",(N734/H734))</f>
        <v>-1</v>
      </c>
      <c r="P734" s="7"/>
    </row>
    <row r="735" spans="1:16" x14ac:dyDescent="0.2">
      <c r="A735" s="7"/>
      <c r="B735" s="1009" t="s">
        <v>36</v>
      </c>
      <c r="C735" s="26"/>
      <c r="D735" s="1005" t="s">
        <v>1130</v>
      </c>
      <c r="E735" s="27"/>
      <c r="F735" s="1006">
        <v>0.25</v>
      </c>
      <c r="G735" s="32">
        <v>1</v>
      </c>
      <c r="H735" s="1007">
        <f t="shared" si="63"/>
        <v>0.25</v>
      </c>
      <c r="I735" s="30"/>
      <c r="J735" s="1008">
        <v>0.25</v>
      </c>
      <c r="K735" s="33">
        <v>1</v>
      </c>
      <c r="L735" s="1007">
        <f t="shared" si="64"/>
        <v>0.25</v>
      </c>
      <c r="M735" s="30"/>
      <c r="N735" s="34">
        <f t="shared" si="65"/>
        <v>0</v>
      </c>
      <c r="O735" s="202">
        <f t="shared" si="66"/>
        <v>0</v>
      </c>
      <c r="P735" s="7"/>
    </row>
    <row r="736" spans="1:16" x14ac:dyDescent="0.2">
      <c r="A736" s="7"/>
      <c r="B736" s="26" t="s">
        <v>30</v>
      </c>
      <c r="C736" s="26"/>
      <c r="D736" s="1005" t="s">
        <v>80</v>
      </c>
      <c r="E736" s="27"/>
      <c r="F736" s="1006">
        <v>3.5617000000000001</v>
      </c>
      <c r="G736" s="32">
        <v>135</v>
      </c>
      <c r="H736" s="1007">
        <f t="shared" si="63"/>
        <v>480.8295</v>
      </c>
      <c r="I736" s="30"/>
      <c r="J736" s="1008">
        <v>4.4310999999999998</v>
      </c>
      <c r="K736" s="32">
        <v>135</v>
      </c>
      <c r="L736" s="1007">
        <f t="shared" si="64"/>
        <v>598.19849999999997</v>
      </c>
      <c r="M736" s="30"/>
      <c r="N736" s="34">
        <f t="shared" si="65"/>
        <v>117.36899999999997</v>
      </c>
      <c r="O736" s="202">
        <f t="shared" si="66"/>
        <v>0.24409692001010747</v>
      </c>
      <c r="P736" s="7"/>
    </row>
    <row r="737" spans="1:16" x14ac:dyDescent="0.2">
      <c r="A737" s="7"/>
      <c r="B737" s="26" t="s">
        <v>31</v>
      </c>
      <c r="C737" s="26"/>
      <c r="D737" s="1005"/>
      <c r="E737" s="27"/>
      <c r="F737" s="1006"/>
      <c r="G737" s="32"/>
      <c r="H737" s="1007">
        <f t="shared" si="63"/>
        <v>0</v>
      </c>
      <c r="I737" s="30"/>
      <c r="J737" s="1008"/>
      <c r="K737" s="32"/>
      <c r="L737" s="1007">
        <f t="shared" si="64"/>
        <v>0</v>
      </c>
      <c r="M737" s="30"/>
      <c r="N737" s="34">
        <f t="shared" si="65"/>
        <v>0</v>
      </c>
      <c r="O737" s="202" t="str">
        <f t="shared" si="66"/>
        <v/>
      </c>
      <c r="P737" s="7"/>
    </row>
    <row r="738" spans="1:16" x14ac:dyDescent="0.2">
      <c r="A738" s="7"/>
      <c r="B738" s="26" t="s">
        <v>1132</v>
      </c>
      <c r="C738" s="26"/>
      <c r="D738" s="1005" t="s">
        <v>80</v>
      </c>
      <c r="E738" s="27"/>
      <c r="F738" s="1006">
        <v>0</v>
      </c>
      <c r="G738" s="32">
        <v>135</v>
      </c>
      <c r="H738" s="1007">
        <f t="shared" si="63"/>
        <v>0</v>
      </c>
      <c r="I738" s="30"/>
      <c r="J738" s="1008">
        <v>0</v>
      </c>
      <c r="K738" s="32">
        <v>135</v>
      </c>
      <c r="L738" s="1007">
        <f t="shared" si="64"/>
        <v>0</v>
      </c>
      <c r="M738" s="30"/>
      <c r="N738" s="34">
        <f t="shared" si="65"/>
        <v>0</v>
      </c>
      <c r="O738" s="202" t="str">
        <f t="shared" si="66"/>
        <v/>
      </c>
      <c r="P738" s="7"/>
    </row>
    <row r="739" spans="1:16" x14ac:dyDescent="0.2">
      <c r="A739" s="7"/>
      <c r="B739" s="26" t="s">
        <v>1133</v>
      </c>
      <c r="C739" s="26"/>
      <c r="D739" s="1005" t="s">
        <v>80</v>
      </c>
      <c r="E739" s="27"/>
      <c r="F739" s="1006">
        <v>1.49E-2</v>
      </c>
      <c r="G739" s="32">
        <v>135</v>
      </c>
      <c r="H739" s="1007">
        <f t="shared" si="63"/>
        <v>2.0114999999999998</v>
      </c>
      <c r="I739" s="30"/>
      <c r="J739" s="1008">
        <v>1.49E-2</v>
      </c>
      <c r="K739" s="32">
        <v>135</v>
      </c>
      <c r="L739" s="1007">
        <f t="shared" si="64"/>
        <v>2.0114999999999998</v>
      </c>
      <c r="M739" s="30"/>
      <c r="N739" s="34">
        <f t="shared" si="65"/>
        <v>0</v>
      </c>
      <c r="O739" s="202">
        <f t="shared" si="66"/>
        <v>0</v>
      </c>
      <c r="P739" s="7"/>
    </row>
    <row r="740" spans="1:16" x14ac:dyDescent="0.2">
      <c r="A740" s="7"/>
      <c r="B740" s="26" t="s">
        <v>1134</v>
      </c>
      <c r="C740" s="26"/>
      <c r="D740" s="1005" t="s">
        <v>80</v>
      </c>
      <c r="E740" s="27"/>
      <c r="F740" s="1006">
        <v>0</v>
      </c>
      <c r="G740" s="32">
        <v>135</v>
      </c>
      <c r="H740" s="1007">
        <f t="shared" si="63"/>
        <v>0</v>
      </c>
      <c r="I740" s="30"/>
      <c r="J740" s="1008">
        <v>4.3999999999999997E-2</v>
      </c>
      <c r="K740" s="32">
        <v>135</v>
      </c>
      <c r="L740" s="1007">
        <f t="shared" si="64"/>
        <v>5.9399999999999995</v>
      </c>
      <c r="M740" s="30"/>
      <c r="N740" s="34">
        <f t="shared" si="65"/>
        <v>5.9399999999999995</v>
      </c>
      <c r="O740" s="202" t="str">
        <f t="shared" si="66"/>
        <v/>
      </c>
      <c r="P740" s="7"/>
    </row>
    <row r="741" spans="1:16" x14ac:dyDescent="0.2">
      <c r="A741" s="7"/>
      <c r="B741" s="1010" t="s">
        <v>1135</v>
      </c>
      <c r="C741" s="26"/>
      <c r="D741" s="1005" t="s">
        <v>1130</v>
      </c>
      <c r="E741" s="27"/>
      <c r="F741" s="1006">
        <v>0</v>
      </c>
      <c r="G741" s="32">
        <v>1</v>
      </c>
      <c r="H741" s="1007">
        <f t="shared" si="63"/>
        <v>0</v>
      </c>
      <c r="I741" s="30"/>
      <c r="J741" s="1008">
        <v>0</v>
      </c>
      <c r="K741" s="32">
        <v>1</v>
      </c>
      <c r="L741" s="1007">
        <f t="shared" si="64"/>
        <v>0</v>
      </c>
      <c r="M741" s="30"/>
      <c r="N741" s="34">
        <f t="shared" si="65"/>
        <v>0</v>
      </c>
      <c r="O741" s="202" t="str">
        <f t="shared" si="66"/>
        <v/>
      </c>
      <c r="P741" s="7"/>
    </row>
    <row r="742" spans="1:16" x14ac:dyDescent="0.2">
      <c r="A742" s="29"/>
      <c r="B742" s="1011" t="s">
        <v>698</v>
      </c>
      <c r="C742" s="1012"/>
      <c r="D742" s="1013"/>
      <c r="E742" s="1012"/>
      <c r="F742" s="1014"/>
      <c r="G742" s="1015"/>
      <c r="H742" s="1016">
        <f>SUM(H732:H741)</f>
        <v>616.80200000000002</v>
      </c>
      <c r="I742" s="1017"/>
      <c r="J742" s="1018"/>
      <c r="K742" s="1019"/>
      <c r="L742" s="1016">
        <f>SUM(L732:L741)</f>
        <v>748.4</v>
      </c>
      <c r="M742" s="1017"/>
      <c r="N742" s="1020">
        <f t="shared" si="65"/>
        <v>131.59799999999996</v>
      </c>
      <c r="O742" s="1021">
        <f t="shared" si="66"/>
        <v>0.21335533931472328</v>
      </c>
      <c r="P742" s="29"/>
    </row>
    <row r="743" spans="1:16" ht="38.25" x14ac:dyDescent="0.2">
      <c r="A743" s="7"/>
      <c r="B743" s="1022" t="s">
        <v>1136</v>
      </c>
      <c r="C743" s="26"/>
      <c r="D743" s="1005" t="s">
        <v>80</v>
      </c>
      <c r="E743" s="27"/>
      <c r="F743" s="1006">
        <v>0.41860000000000003</v>
      </c>
      <c r="G743" s="32">
        <v>135</v>
      </c>
      <c r="H743" s="1007">
        <f>G743*F743</f>
        <v>56.511000000000003</v>
      </c>
      <c r="I743" s="30"/>
      <c r="J743" s="1008">
        <v>0</v>
      </c>
      <c r="K743" s="32">
        <v>135</v>
      </c>
      <c r="L743" s="1007">
        <f>K743*J743</f>
        <v>0</v>
      </c>
      <c r="M743" s="30"/>
      <c r="N743" s="34">
        <f t="shared" si="65"/>
        <v>-56.511000000000003</v>
      </c>
      <c r="O743" s="202">
        <f>IF((H743)=0,"",(N743/H743))</f>
        <v>-1</v>
      </c>
      <c r="P743" s="7"/>
    </row>
    <row r="744" spans="1:16" ht="38.25" x14ac:dyDescent="0.2">
      <c r="A744" s="7"/>
      <c r="B744" s="1022" t="s">
        <v>1137</v>
      </c>
      <c r="C744" s="26"/>
      <c r="D744" s="1005" t="s">
        <v>80</v>
      </c>
      <c r="E744" s="27"/>
      <c r="F744" s="1006">
        <v>-0.44640000000000002</v>
      </c>
      <c r="G744" s="32">
        <v>135</v>
      </c>
      <c r="H744" s="1007">
        <f>G744*F744</f>
        <v>-60.264000000000003</v>
      </c>
      <c r="I744" s="30"/>
      <c r="J744" s="1008">
        <v>-0.44640000000000002</v>
      </c>
      <c r="K744" s="32">
        <v>135</v>
      </c>
      <c r="L744" s="1007">
        <f>K744*J744</f>
        <v>-60.264000000000003</v>
      </c>
      <c r="M744" s="30"/>
      <c r="N744" s="34">
        <f t="shared" si="65"/>
        <v>0</v>
      </c>
      <c r="O744" s="202">
        <f>IF((H744)=0,"",(N744/H744))</f>
        <v>0</v>
      </c>
      <c r="P744" s="7"/>
    </row>
    <row r="745" spans="1:16" ht="51" x14ac:dyDescent="0.2">
      <c r="A745" s="7"/>
      <c r="B745" s="1022" t="s">
        <v>1138</v>
      </c>
      <c r="C745" s="26"/>
      <c r="D745" s="1005" t="s">
        <v>80</v>
      </c>
      <c r="E745" s="27"/>
      <c r="F745" s="1006">
        <v>0</v>
      </c>
      <c r="G745" s="32">
        <v>135</v>
      </c>
      <c r="H745" s="1007">
        <f>G745*F745</f>
        <v>0</v>
      </c>
      <c r="I745" s="30"/>
      <c r="J745" s="1008">
        <v>-0.43740000000000001</v>
      </c>
      <c r="K745" s="32">
        <v>135</v>
      </c>
      <c r="L745" s="1007">
        <f>K745*J745</f>
        <v>-59.048999999999999</v>
      </c>
      <c r="M745" s="30"/>
      <c r="N745" s="34">
        <f t="shared" si="65"/>
        <v>-59.048999999999999</v>
      </c>
      <c r="O745" s="202" t="str">
        <f>IF((H745)=0,"",(N745/H745))</f>
        <v/>
      </c>
      <c r="P745" s="7"/>
    </row>
    <row r="746" spans="1:16" x14ac:dyDescent="0.2">
      <c r="A746" s="7"/>
      <c r="B746" s="564" t="s">
        <v>808</v>
      </c>
      <c r="C746" s="26"/>
      <c r="D746" s="1005" t="s">
        <v>80</v>
      </c>
      <c r="E746" s="27"/>
      <c r="F746" s="1006">
        <v>7.22E-2</v>
      </c>
      <c r="G746" s="32">
        <v>135</v>
      </c>
      <c r="H746" s="1007">
        <f>G746*F746</f>
        <v>9.7469999999999999</v>
      </c>
      <c r="I746" s="30"/>
      <c r="J746" s="1008">
        <v>7.4800000000000005E-2</v>
      </c>
      <c r="K746" s="32">
        <v>135</v>
      </c>
      <c r="L746" s="1007">
        <f>K746*J746</f>
        <v>10.098000000000001</v>
      </c>
      <c r="M746" s="30"/>
      <c r="N746" s="34">
        <f t="shared" si="65"/>
        <v>0.35100000000000087</v>
      </c>
      <c r="O746" s="202">
        <f>IF((H746)=0,"",(N746/H746))</f>
        <v>3.6011080332410059E-2</v>
      </c>
      <c r="P746" s="7"/>
    </row>
    <row r="747" spans="1:16" x14ac:dyDescent="0.2">
      <c r="A747" s="7"/>
      <c r="B747" s="564" t="s">
        <v>701</v>
      </c>
      <c r="C747" s="26"/>
      <c r="D747" s="1005"/>
      <c r="E747" s="27"/>
      <c r="F747" s="1023"/>
      <c r="G747" s="1024"/>
      <c r="H747" s="1025"/>
      <c r="I747" s="30"/>
      <c r="J747" s="1008"/>
      <c r="K747" s="32">
        <f>F727</f>
        <v>52000</v>
      </c>
      <c r="L747" s="1007">
        <f>K747*J747</f>
        <v>0</v>
      </c>
      <c r="M747" s="30"/>
      <c r="N747" s="34">
        <f t="shared" si="65"/>
        <v>0</v>
      </c>
      <c r="O747" s="202"/>
      <c r="P747" s="7"/>
    </row>
    <row r="748" spans="1:16" ht="25.5" x14ac:dyDescent="0.2">
      <c r="A748" s="7"/>
      <c r="B748" s="1026" t="s">
        <v>699</v>
      </c>
      <c r="C748" s="1027"/>
      <c r="D748" s="1027"/>
      <c r="E748" s="1027"/>
      <c r="F748" s="1028"/>
      <c r="G748" s="1029"/>
      <c r="H748" s="1030">
        <f>SUM(H742:H747)</f>
        <v>622.79599999999994</v>
      </c>
      <c r="I748" s="1017"/>
      <c r="J748" s="1029"/>
      <c r="K748" s="1031"/>
      <c r="L748" s="1030">
        <f>SUM(L742:L747)</f>
        <v>639.18499999999995</v>
      </c>
      <c r="M748" s="1017"/>
      <c r="N748" s="1020">
        <f t="shared" si="65"/>
        <v>16.38900000000001</v>
      </c>
      <c r="O748" s="1021">
        <f t="shared" ref="O748:O772" si="67">IF((H748)=0,"",(N748/H748))</f>
        <v>2.6315197913923678E-2</v>
      </c>
      <c r="P748" s="7"/>
    </row>
    <row r="749" spans="1:16" x14ac:dyDescent="0.2">
      <c r="A749" s="7"/>
      <c r="B749" s="30" t="s">
        <v>32</v>
      </c>
      <c r="C749" s="30"/>
      <c r="D749" s="1032" t="s">
        <v>80</v>
      </c>
      <c r="E749" s="31"/>
      <c r="F749" s="1008">
        <v>2.5648</v>
      </c>
      <c r="G749" s="667">
        <f>135</f>
        <v>135</v>
      </c>
      <c r="H749" s="1007">
        <f>G749*F749</f>
        <v>346.24799999999999</v>
      </c>
      <c r="I749" s="30"/>
      <c r="J749" s="1008">
        <v>2.3589000000000002</v>
      </c>
      <c r="K749" s="668">
        <f>135</f>
        <v>135</v>
      </c>
      <c r="L749" s="1007">
        <f>K749*J749</f>
        <v>318.45150000000001</v>
      </c>
      <c r="M749" s="30"/>
      <c r="N749" s="34">
        <f t="shared" si="65"/>
        <v>-27.79649999999998</v>
      </c>
      <c r="O749" s="202">
        <f t="shared" si="67"/>
        <v>-8.0279164067373621E-2</v>
      </c>
      <c r="P749" s="7"/>
    </row>
    <row r="750" spans="1:16" ht="25.5" x14ac:dyDescent="0.2">
      <c r="A750" s="7"/>
      <c r="B750" s="35" t="s">
        <v>33</v>
      </c>
      <c r="C750" s="30"/>
      <c r="D750" s="1032" t="s">
        <v>80</v>
      </c>
      <c r="E750" s="31"/>
      <c r="F750" s="1008">
        <v>1.9998</v>
      </c>
      <c r="G750" s="667">
        <f>G749</f>
        <v>135</v>
      </c>
      <c r="H750" s="1007">
        <f>G750*F750</f>
        <v>269.97300000000001</v>
      </c>
      <c r="I750" s="30"/>
      <c r="J750" s="1008">
        <v>1.9261999999999999</v>
      </c>
      <c r="K750" s="668">
        <f>K749</f>
        <v>135</v>
      </c>
      <c r="L750" s="1007">
        <f>K750*J750</f>
        <v>260.03699999999998</v>
      </c>
      <c r="M750" s="30"/>
      <c r="N750" s="34">
        <f t="shared" si="65"/>
        <v>-9.9360000000000355</v>
      </c>
      <c r="O750" s="202">
        <f t="shared" si="67"/>
        <v>-3.6803680368036933E-2</v>
      </c>
      <c r="P750" s="7"/>
    </row>
    <row r="751" spans="1:16" ht="25.5" x14ac:dyDescent="0.2">
      <c r="A751" s="7"/>
      <c r="B751" s="1026" t="s">
        <v>700</v>
      </c>
      <c r="C751" s="1012"/>
      <c r="D751" s="1012"/>
      <c r="E751" s="1012"/>
      <c r="F751" s="1033"/>
      <c r="G751" s="1029"/>
      <c r="H751" s="1030">
        <f>SUM(H748:H750)</f>
        <v>1239.0169999999998</v>
      </c>
      <c r="I751" s="1034"/>
      <c r="J751" s="1035"/>
      <c r="K751" s="1036"/>
      <c r="L751" s="1030">
        <f>SUM(L748:L750)</f>
        <v>1217.6734999999999</v>
      </c>
      <c r="M751" s="1034"/>
      <c r="N751" s="1020">
        <f t="shared" si="65"/>
        <v>-21.343499999999949</v>
      </c>
      <c r="O751" s="1021">
        <f t="shared" si="67"/>
        <v>-1.7226155896166034E-2</v>
      </c>
      <c r="P751" s="7"/>
    </row>
    <row r="752" spans="1:16" ht="25.5" x14ac:dyDescent="0.2">
      <c r="A752" s="7"/>
      <c r="B752" s="28" t="s">
        <v>34</v>
      </c>
      <c r="C752" s="26"/>
      <c r="D752" s="1005" t="s">
        <v>79</v>
      </c>
      <c r="E752" s="27"/>
      <c r="F752" s="1037">
        <v>5.1999999999999998E-3</v>
      </c>
      <c r="G752" s="667">
        <f>F727*(1+F775)</f>
        <v>53851.200000000004</v>
      </c>
      <c r="H752" s="1038">
        <f t="shared" ref="H752:H760" si="68">G752*F752</f>
        <v>280.02624000000003</v>
      </c>
      <c r="I752" s="30"/>
      <c r="J752" s="1039">
        <v>5.1999999999999998E-3</v>
      </c>
      <c r="K752" s="668">
        <f>F727*(1+J775)</f>
        <v>54186.811342508794</v>
      </c>
      <c r="L752" s="1038">
        <f t="shared" ref="L752:L760" si="69">K752*J752</f>
        <v>281.77141898104571</v>
      </c>
      <c r="M752" s="30"/>
      <c r="N752" s="34">
        <f t="shared" si="65"/>
        <v>1.745178981045683</v>
      </c>
      <c r="O752" s="565">
        <f t="shared" si="67"/>
        <v>6.2321980291764187E-3</v>
      </c>
      <c r="P752" s="7"/>
    </row>
    <row r="753" spans="1:16" ht="25.5" x14ac:dyDescent="0.2">
      <c r="A753" s="7"/>
      <c r="B753" s="28" t="s">
        <v>35</v>
      </c>
      <c r="C753" s="26"/>
      <c r="D753" s="1005" t="s">
        <v>79</v>
      </c>
      <c r="E753" s="27"/>
      <c r="F753" s="1037">
        <v>1.1000000000000001E-3</v>
      </c>
      <c r="G753" s="667">
        <f>F727*(1+F775)</f>
        <v>53851.200000000004</v>
      </c>
      <c r="H753" s="1038">
        <f t="shared" si="68"/>
        <v>59.236320000000006</v>
      </c>
      <c r="I753" s="30"/>
      <c r="J753" s="1039">
        <v>1.1000000000000001E-3</v>
      </c>
      <c r="K753" s="668">
        <f>F727*(1+J775)</f>
        <v>54186.811342508794</v>
      </c>
      <c r="L753" s="1038">
        <f t="shared" si="69"/>
        <v>59.605492476759679</v>
      </c>
      <c r="M753" s="30"/>
      <c r="N753" s="34">
        <f t="shared" si="65"/>
        <v>0.36917247675967246</v>
      </c>
      <c r="O753" s="565">
        <f t="shared" si="67"/>
        <v>6.2321980291765661E-3</v>
      </c>
      <c r="P753" s="7"/>
    </row>
    <row r="754" spans="1:16" x14ac:dyDescent="0.2">
      <c r="A754" s="7"/>
      <c r="B754" s="26" t="s">
        <v>36</v>
      </c>
      <c r="C754" s="26"/>
      <c r="D754" s="1005"/>
      <c r="E754" s="27"/>
      <c r="F754" s="1037"/>
      <c r="G754" s="32">
        <v>1</v>
      </c>
      <c r="H754" s="1038">
        <f t="shared" si="68"/>
        <v>0</v>
      </c>
      <c r="I754" s="30"/>
      <c r="J754" s="1039"/>
      <c r="K754" s="33">
        <v>1</v>
      </c>
      <c r="L754" s="1038">
        <f t="shared" si="69"/>
        <v>0</v>
      </c>
      <c r="M754" s="30"/>
      <c r="N754" s="34">
        <f t="shared" si="65"/>
        <v>0</v>
      </c>
      <c r="O754" s="565" t="str">
        <f t="shared" si="67"/>
        <v/>
      </c>
      <c r="P754" s="7"/>
    </row>
    <row r="755" spans="1:16" x14ac:dyDescent="0.2">
      <c r="A755" s="7"/>
      <c r="B755" s="26" t="s">
        <v>37</v>
      </c>
      <c r="C755" s="26"/>
      <c r="D755" s="1005" t="s">
        <v>79</v>
      </c>
      <c r="E755" s="27"/>
      <c r="F755" s="1037">
        <v>7.0000000000000001E-3</v>
      </c>
      <c r="G755" s="667">
        <f>F727</f>
        <v>52000</v>
      </c>
      <c r="H755" s="1038">
        <f t="shared" si="68"/>
        <v>364</v>
      </c>
      <c r="I755" s="30"/>
      <c r="J755" s="1039">
        <v>7.0000000000000001E-3</v>
      </c>
      <c r="K755" s="668">
        <f>F727</f>
        <v>52000</v>
      </c>
      <c r="L755" s="1038">
        <f t="shared" si="69"/>
        <v>364</v>
      </c>
      <c r="M755" s="30"/>
      <c r="N755" s="34">
        <f t="shared" si="65"/>
        <v>0</v>
      </c>
      <c r="O755" s="565">
        <f t="shared" si="67"/>
        <v>0</v>
      </c>
      <c r="P755" s="7"/>
    </row>
    <row r="756" spans="1:16" x14ac:dyDescent="0.2">
      <c r="A756" s="7"/>
      <c r="B756" s="564" t="s">
        <v>777</v>
      </c>
      <c r="C756" s="26"/>
      <c r="D756" s="1005" t="s">
        <v>79</v>
      </c>
      <c r="E756" s="27"/>
      <c r="F756" s="1040">
        <v>7.4999999999999997E-2</v>
      </c>
      <c r="G756" s="667">
        <f>IF($G$752&gt;=750,750,$G$752)</f>
        <v>750</v>
      </c>
      <c r="H756" s="1038">
        <f>G756*F756</f>
        <v>56.25</v>
      </c>
      <c r="I756" s="30"/>
      <c r="J756" s="1037">
        <v>7.4999999999999997E-2</v>
      </c>
      <c r="K756" s="667">
        <f>IF($K$752&gt;=750,750,$K$752)</f>
        <v>750</v>
      </c>
      <c r="L756" s="1038">
        <f>K756*J756</f>
        <v>56.25</v>
      </c>
      <c r="M756" s="30"/>
      <c r="N756" s="34">
        <f t="shared" si="65"/>
        <v>0</v>
      </c>
      <c r="O756" s="565">
        <f t="shared" si="67"/>
        <v>0</v>
      </c>
      <c r="P756" s="7"/>
    </row>
    <row r="757" spans="1:16" x14ac:dyDescent="0.2">
      <c r="A757" s="7"/>
      <c r="B757" s="564" t="s">
        <v>778</v>
      </c>
      <c r="C757" s="26"/>
      <c r="D757" s="1005" t="s">
        <v>79</v>
      </c>
      <c r="E757" s="27"/>
      <c r="F757" s="1040">
        <v>8.7999999999999995E-2</v>
      </c>
      <c r="G757" s="667">
        <f>IF($G$752&gt;=750,$G$752-750,0)</f>
        <v>53101.200000000004</v>
      </c>
      <c r="H757" s="1038">
        <f>G757*F757</f>
        <v>4672.9056</v>
      </c>
      <c r="I757" s="30"/>
      <c r="J757" s="1037">
        <v>8.7999999999999995E-2</v>
      </c>
      <c r="K757" s="667">
        <f>IF($K$752&gt;=750,$K$752-750,0)</f>
        <v>53436.811342508794</v>
      </c>
      <c r="L757" s="1038">
        <f>K757*J757</f>
        <v>4702.4393981407738</v>
      </c>
      <c r="M757" s="30"/>
      <c r="N757" s="34">
        <f t="shared" si="65"/>
        <v>29.533798140773797</v>
      </c>
      <c r="O757" s="565">
        <f t="shared" si="67"/>
        <v>6.320221435839362E-3</v>
      </c>
      <c r="P757" s="7"/>
    </row>
    <row r="758" spans="1:16" x14ac:dyDescent="0.2">
      <c r="A758" s="7"/>
      <c r="B758" s="564" t="s">
        <v>779</v>
      </c>
      <c r="C758" s="26"/>
      <c r="D758" s="1005" t="s">
        <v>79</v>
      </c>
      <c r="E758" s="27"/>
      <c r="F758" s="1040">
        <v>6.5000000000000002E-2</v>
      </c>
      <c r="G758" s="669">
        <f>0.64*$G$752</f>
        <v>34464.768000000004</v>
      </c>
      <c r="H758" s="1038">
        <f t="shared" si="68"/>
        <v>2240.2099200000002</v>
      </c>
      <c r="I758" s="30"/>
      <c r="J758" s="1037">
        <v>6.5000000000000002E-2</v>
      </c>
      <c r="K758" s="1041">
        <f>0.64*$K$752</f>
        <v>34679.559259205627</v>
      </c>
      <c r="L758" s="1038">
        <f t="shared" si="69"/>
        <v>2254.1713518483657</v>
      </c>
      <c r="M758" s="30"/>
      <c r="N758" s="34">
        <f t="shared" si="65"/>
        <v>13.961431848365464</v>
      </c>
      <c r="O758" s="565">
        <f t="shared" si="67"/>
        <v>6.2321980291764187E-3</v>
      </c>
      <c r="P758" s="7"/>
    </row>
    <row r="759" spans="1:16" x14ac:dyDescent="0.2">
      <c r="A759" s="7"/>
      <c r="B759" s="564" t="s">
        <v>780</v>
      </c>
      <c r="C759" s="26"/>
      <c r="D759" s="1005" t="s">
        <v>79</v>
      </c>
      <c r="E759" s="27"/>
      <c r="F759" s="1040">
        <v>0.1</v>
      </c>
      <c r="G759" s="669">
        <f>0.18*$G$752</f>
        <v>9693.2160000000003</v>
      </c>
      <c r="H759" s="1038">
        <f t="shared" si="68"/>
        <v>969.3216000000001</v>
      </c>
      <c r="I759" s="30"/>
      <c r="J759" s="1037">
        <v>0.1</v>
      </c>
      <c r="K759" s="1041">
        <f>0.18*$K$752</f>
        <v>9753.6260416515834</v>
      </c>
      <c r="L759" s="1038">
        <f t="shared" si="69"/>
        <v>975.36260416515836</v>
      </c>
      <c r="M759" s="30"/>
      <c r="N759" s="34">
        <f t="shared" si="65"/>
        <v>6.041004165158256</v>
      </c>
      <c r="O759" s="565">
        <f t="shared" si="67"/>
        <v>6.2321980291765453E-3</v>
      </c>
      <c r="P759" s="7"/>
    </row>
    <row r="760" spans="1:16" ht="13.5" thickBot="1" x14ac:dyDescent="0.25">
      <c r="A760" s="7"/>
      <c r="B760" s="647" t="s">
        <v>781</v>
      </c>
      <c r="C760" s="26"/>
      <c r="D760" s="1005" t="s">
        <v>79</v>
      </c>
      <c r="E760" s="27"/>
      <c r="F760" s="1040">
        <v>0.11700000000000001</v>
      </c>
      <c r="G760" s="669">
        <f>0.18*$G$752</f>
        <v>9693.2160000000003</v>
      </c>
      <c r="H760" s="1038">
        <f t="shared" si="68"/>
        <v>1134.1062720000002</v>
      </c>
      <c r="I760" s="30"/>
      <c r="J760" s="1037">
        <v>0.11700000000000001</v>
      </c>
      <c r="K760" s="1041">
        <f>0.18*$K$752</f>
        <v>9753.6260416515834</v>
      </c>
      <c r="L760" s="1038">
        <f t="shared" si="69"/>
        <v>1141.1742468732352</v>
      </c>
      <c r="M760" s="30"/>
      <c r="N760" s="34">
        <f t="shared" si="65"/>
        <v>7.0679748732350163</v>
      </c>
      <c r="O760" s="565">
        <f t="shared" si="67"/>
        <v>6.2321980291764187E-3</v>
      </c>
      <c r="P760" s="7"/>
    </row>
    <row r="761" spans="1:16" ht="13.5" thickBot="1" x14ac:dyDescent="0.25">
      <c r="A761" s="7"/>
      <c r="B761" s="1042"/>
      <c r="C761" s="1043"/>
      <c r="D761" s="1044"/>
      <c r="E761" s="1043"/>
      <c r="F761" s="1045"/>
      <c r="G761" s="1046"/>
      <c r="H761" s="1047"/>
      <c r="I761" s="1048"/>
      <c r="J761" s="1045"/>
      <c r="K761" s="1049"/>
      <c r="L761" s="1047"/>
      <c r="M761" s="1048"/>
      <c r="N761" s="1050"/>
      <c r="O761" s="1051"/>
      <c r="P761" s="7"/>
    </row>
    <row r="762" spans="1:16" x14ac:dyDescent="0.2">
      <c r="A762" s="7"/>
      <c r="B762" s="36" t="s">
        <v>782</v>
      </c>
      <c r="C762" s="26"/>
      <c r="D762" s="26"/>
      <c r="E762" s="26"/>
      <c r="F762" s="662"/>
      <c r="G762" s="652"/>
      <c r="H762" s="656">
        <f>SUM(H751:H757)</f>
        <v>6671.43516</v>
      </c>
      <c r="I762" s="660"/>
      <c r="J762" s="661"/>
      <c r="K762" s="661"/>
      <c r="L762" s="655">
        <f>SUM(L751:L757)</f>
        <v>6681.7398095985791</v>
      </c>
      <c r="M762" s="654"/>
      <c r="N762" s="659">
        <f t="shared" si="65"/>
        <v>10.30464959857909</v>
      </c>
      <c r="O762" s="657">
        <f t="shared" si="67"/>
        <v>1.5445926328360043E-3</v>
      </c>
      <c r="P762" s="7"/>
    </row>
    <row r="763" spans="1:16" x14ac:dyDescent="0.2">
      <c r="A763" s="7"/>
      <c r="B763" s="650" t="s">
        <v>38</v>
      </c>
      <c r="C763" s="26"/>
      <c r="D763" s="26"/>
      <c r="E763" s="26"/>
      <c r="F763" s="649">
        <v>0.13</v>
      </c>
      <c r="G763" s="652"/>
      <c r="H763" s="670">
        <f>H762*F763</f>
        <v>867.28657080000005</v>
      </c>
      <c r="I763" s="648"/>
      <c r="J763" s="676">
        <v>0.13</v>
      </c>
      <c r="K763" s="677"/>
      <c r="L763" s="672">
        <f>L762*J763</f>
        <v>868.62617524781535</v>
      </c>
      <c r="M763" s="673"/>
      <c r="N763" s="674">
        <f t="shared" si="65"/>
        <v>1.3396044478153044</v>
      </c>
      <c r="O763" s="675">
        <f t="shared" si="67"/>
        <v>1.5445926328360306E-3</v>
      </c>
      <c r="P763" s="7"/>
    </row>
    <row r="764" spans="1:16" x14ac:dyDescent="0.2">
      <c r="A764" s="7"/>
      <c r="B764" s="651" t="s">
        <v>1139</v>
      </c>
      <c r="C764" s="26"/>
      <c r="D764" s="26"/>
      <c r="E764" s="26"/>
      <c r="F764" s="658"/>
      <c r="G764" s="653"/>
      <c r="H764" s="670">
        <f>H762+H763</f>
        <v>7538.7217307999999</v>
      </c>
      <c r="I764" s="648"/>
      <c r="J764" s="648"/>
      <c r="K764" s="648"/>
      <c r="L764" s="672">
        <f>L762+L763</f>
        <v>7550.365984846394</v>
      </c>
      <c r="M764" s="673"/>
      <c r="N764" s="674">
        <f t="shared" si="65"/>
        <v>11.644254046394053</v>
      </c>
      <c r="O764" s="675">
        <f t="shared" si="67"/>
        <v>1.544592632835962E-3</v>
      </c>
      <c r="P764" s="7"/>
    </row>
    <row r="765" spans="1:16" ht="12.75" customHeight="1" x14ac:dyDescent="0.2">
      <c r="A765" s="7"/>
      <c r="B765" s="1626" t="s">
        <v>1140</v>
      </c>
      <c r="C765" s="1626"/>
      <c r="D765" s="1626"/>
      <c r="E765" s="26"/>
      <c r="F765" s="658"/>
      <c r="G765" s="653"/>
      <c r="H765" s="1052">
        <f>ROUND(-H764*10%,2)</f>
        <v>-753.87</v>
      </c>
      <c r="I765" s="648"/>
      <c r="J765" s="648"/>
      <c r="K765" s="648"/>
      <c r="L765" s="1053">
        <f>ROUND(-L764*10%,2)</f>
        <v>-755.04</v>
      </c>
      <c r="M765" s="673"/>
      <c r="N765" s="1054">
        <f t="shared" si="65"/>
        <v>-1.1699999999999591</v>
      </c>
      <c r="O765" s="1055">
        <f t="shared" si="67"/>
        <v>1.551991722710758E-3</v>
      </c>
      <c r="P765" s="7"/>
    </row>
    <row r="766" spans="1:16" ht="13.5" customHeight="1" thickBot="1" x14ac:dyDescent="0.25">
      <c r="A766" s="7"/>
      <c r="B766" s="1626" t="s">
        <v>785</v>
      </c>
      <c r="C766" s="1626"/>
      <c r="D766" s="1626"/>
      <c r="E766" s="1056"/>
      <c r="F766" s="1057"/>
      <c r="G766" s="1058"/>
      <c r="H766" s="1059">
        <f>SUM(H764:H765)</f>
        <v>6784.8517308</v>
      </c>
      <c r="I766" s="1060"/>
      <c r="J766" s="1060"/>
      <c r="K766" s="1060"/>
      <c r="L766" s="1061">
        <f>SUM(L764:L765)</f>
        <v>6795.325984846394</v>
      </c>
      <c r="M766" s="1062"/>
      <c r="N766" s="1063">
        <f t="shared" si="65"/>
        <v>10.47425404639398</v>
      </c>
      <c r="O766" s="1064">
        <f t="shared" si="67"/>
        <v>1.5437705143718687E-3</v>
      </c>
      <c r="P766" s="7"/>
    </row>
    <row r="767" spans="1:16" ht="13.5" thickBot="1" x14ac:dyDescent="0.25">
      <c r="A767" s="7"/>
      <c r="B767" s="1042"/>
      <c r="C767" s="1043"/>
      <c r="D767" s="1044"/>
      <c r="E767" s="1043"/>
      <c r="F767" s="1065"/>
      <c r="G767" s="1066"/>
      <c r="H767" s="1067"/>
      <c r="I767" s="1068"/>
      <c r="J767" s="1065"/>
      <c r="K767" s="1046"/>
      <c r="L767" s="1069"/>
      <c r="M767" s="1048"/>
      <c r="N767" s="1070"/>
      <c r="O767" s="1051"/>
      <c r="P767" s="7"/>
    </row>
    <row r="768" spans="1:16" x14ac:dyDescent="0.2">
      <c r="A768" s="7"/>
      <c r="B768" s="36" t="s">
        <v>783</v>
      </c>
      <c r="C768" s="26"/>
      <c r="D768" s="26"/>
      <c r="E768" s="26"/>
      <c r="F768" s="662"/>
      <c r="G768" s="652"/>
      <c r="H768" s="656">
        <f>SUM(H751:H755,H758:H760)</f>
        <v>6285.9173520000004</v>
      </c>
      <c r="I768" s="660"/>
      <c r="J768" s="661"/>
      <c r="K768" s="661"/>
      <c r="L768" s="666">
        <f>SUM(L751:L755,L758:L760)</f>
        <v>6293.7586143445651</v>
      </c>
      <c r="M768" s="654"/>
      <c r="N768" s="659">
        <f>L768-H768</f>
        <v>7.8412623445647114</v>
      </c>
      <c r="O768" s="657">
        <f>IF((H768)=0,"",(N768/H768))</f>
        <v>1.2474332552383693E-3</v>
      </c>
      <c r="P768" s="7"/>
    </row>
    <row r="769" spans="1:16" x14ac:dyDescent="0.2">
      <c r="A769" s="7"/>
      <c r="B769" s="650" t="s">
        <v>38</v>
      </c>
      <c r="C769" s="26"/>
      <c r="D769" s="26"/>
      <c r="E769" s="26"/>
      <c r="F769" s="649">
        <v>0.13</v>
      </c>
      <c r="G769" s="653"/>
      <c r="H769" s="670">
        <f>H768*F769</f>
        <v>817.16925576000006</v>
      </c>
      <c r="I769" s="648"/>
      <c r="J769" s="671">
        <v>0.13</v>
      </c>
      <c r="K769" s="648"/>
      <c r="L769" s="672">
        <f>L768*J769</f>
        <v>818.18861986479351</v>
      </c>
      <c r="M769" s="673"/>
      <c r="N769" s="674">
        <f t="shared" si="65"/>
        <v>1.0193641047934534</v>
      </c>
      <c r="O769" s="675">
        <f t="shared" si="67"/>
        <v>1.2474332552384194E-3</v>
      </c>
      <c r="P769" s="7"/>
    </row>
    <row r="770" spans="1:16" x14ac:dyDescent="0.2">
      <c r="A770" s="7"/>
      <c r="B770" s="651" t="s">
        <v>1139</v>
      </c>
      <c r="C770" s="26"/>
      <c r="D770" s="26"/>
      <c r="E770" s="26"/>
      <c r="F770" s="658"/>
      <c r="G770" s="653"/>
      <c r="H770" s="670">
        <f>H768+H769</f>
        <v>7103.0866077600003</v>
      </c>
      <c r="I770" s="648"/>
      <c r="J770" s="648"/>
      <c r="K770" s="648"/>
      <c r="L770" s="672">
        <f>L768+L769</f>
        <v>7111.9472342093586</v>
      </c>
      <c r="M770" s="673"/>
      <c r="N770" s="674">
        <f t="shared" si="65"/>
        <v>8.8606264493582785</v>
      </c>
      <c r="O770" s="675">
        <f t="shared" si="67"/>
        <v>1.2474332552383912E-3</v>
      </c>
      <c r="P770" s="7"/>
    </row>
    <row r="771" spans="1:16" ht="12.75" customHeight="1" x14ac:dyDescent="0.2">
      <c r="A771" s="7"/>
      <c r="B771" s="1626" t="s">
        <v>1140</v>
      </c>
      <c r="C771" s="1626"/>
      <c r="D771" s="1626"/>
      <c r="E771" s="26"/>
      <c r="F771" s="658"/>
      <c r="G771" s="653"/>
      <c r="H771" s="1052">
        <f>ROUND(-H770*10%,2)</f>
        <v>-710.31</v>
      </c>
      <c r="I771" s="648"/>
      <c r="J771" s="648"/>
      <c r="K771" s="648"/>
      <c r="L771" s="1053">
        <f>ROUND(-L770*10%,2)</f>
        <v>-711.19</v>
      </c>
      <c r="M771" s="673"/>
      <c r="N771" s="1054">
        <f t="shared" si="65"/>
        <v>-0.88000000000010914</v>
      </c>
      <c r="O771" s="1055">
        <f t="shared" si="67"/>
        <v>1.2388956934297831E-3</v>
      </c>
      <c r="P771" s="7"/>
    </row>
    <row r="772" spans="1:16" ht="13.5" customHeight="1" thickBot="1" x14ac:dyDescent="0.25">
      <c r="A772" s="7"/>
      <c r="B772" s="1626" t="s">
        <v>784</v>
      </c>
      <c r="C772" s="1626"/>
      <c r="D772" s="1626"/>
      <c r="E772" s="1056"/>
      <c r="F772" s="1071"/>
      <c r="G772" s="1072"/>
      <c r="H772" s="1073">
        <f>H770+H771</f>
        <v>6392.7766077600008</v>
      </c>
      <c r="I772" s="1074"/>
      <c r="J772" s="1074"/>
      <c r="K772" s="1074"/>
      <c r="L772" s="1075">
        <f>L770+L771</f>
        <v>6400.757234209359</v>
      </c>
      <c r="M772" s="1076"/>
      <c r="N772" s="1077">
        <f t="shared" si="65"/>
        <v>7.9806264493581693</v>
      </c>
      <c r="O772" s="1078">
        <f t="shared" si="67"/>
        <v>1.2483818752043868E-3</v>
      </c>
      <c r="P772" s="7"/>
    </row>
    <row r="773" spans="1:16" ht="13.5" thickBot="1" x14ac:dyDescent="0.25">
      <c r="A773" s="7"/>
      <c r="B773" s="1042"/>
      <c r="C773" s="1043"/>
      <c r="D773" s="1044"/>
      <c r="E773" s="1043"/>
      <c r="F773" s="1065"/>
      <c r="G773" s="1066"/>
      <c r="H773" s="1067"/>
      <c r="I773" s="1068"/>
      <c r="J773" s="1065"/>
      <c r="K773" s="1046"/>
      <c r="L773" s="1069"/>
      <c r="M773" s="1048"/>
      <c r="N773" s="1070"/>
      <c r="O773" s="1051"/>
      <c r="P773" s="7"/>
    </row>
    <row r="774" spans="1:16" x14ac:dyDescent="0.2">
      <c r="A774" s="7"/>
      <c r="B774" s="7"/>
      <c r="C774" s="7"/>
      <c r="D774" s="7"/>
      <c r="E774" s="7"/>
      <c r="F774" s="7"/>
      <c r="G774" s="7"/>
      <c r="H774" s="7"/>
      <c r="I774" s="7"/>
      <c r="J774" s="7"/>
      <c r="K774" s="7"/>
      <c r="L774" s="678"/>
      <c r="M774" s="7"/>
      <c r="N774" s="7"/>
      <c r="O774" s="7"/>
      <c r="P774" s="7"/>
    </row>
    <row r="775" spans="1:16" x14ac:dyDescent="0.2">
      <c r="A775" s="7"/>
      <c r="B775" s="8" t="s">
        <v>39</v>
      </c>
      <c r="C775" s="7"/>
      <c r="D775" s="7"/>
      <c r="E775" s="7"/>
      <c r="F775" s="1079">
        <v>3.5600000000000076E-2</v>
      </c>
      <c r="G775" s="7"/>
      <c r="H775" s="7"/>
      <c r="I775" s="7"/>
      <c r="J775" s="1079">
        <v>4.2054064279015257E-2</v>
      </c>
      <c r="K775" s="7"/>
      <c r="L775" s="7"/>
      <c r="M775" s="7"/>
      <c r="N775" s="7"/>
      <c r="O775" s="7"/>
      <c r="P775" s="7"/>
    </row>
    <row r="776" spans="1:16" x14ac:dyDescent="0.2">
      <c r="A776" s="7"/>
      <c r="B776" s="7"/>
      <c r="C776" s="7"/>
      <c r="D776" s="7"/>
      <c r="E776" s="7"/>
      <c r="F776" s="7"/>
      <c r="G776" s="7"/>
      <c r="H776" s="7"/>
      <c r="I776" s="7"/>
      <c r="J776" s="7"/>
      <c r="K776" s="7"/>
      <c r="L776" s="7"/>
      <c r="M776" s="7"/>
      <c r="N776" s="7"/>
      <c r="O776" s="7"/>
      <c r="P776" s="7"/>
    </row>
    <row r="777" spans="1:16" ht="14.25" x14ac:dyDescent="0.2">
      <c r="A777" s="214" t="s">
        <v>1141</v>
      </c>
      <c r="B777" s="7"/>
      <c r="C777" s="7"/>
      <c r="D777" s="7"/>
      <c r="E777" s="7"/>
      <c r="F777" s="7"/>
      <c r="G777" s="7"/>
      <c r="H777" s="7"/>
      <c r="I777" s="7"/>
      <c r="J777" s="7"/>
      <c r="K777" s="7"/>
      <c r="L777" s="7"/>
      <c r="M777" s="7"/>
      <c r="N777" s="7"/>
      <c r="O777" s="7"/>
      <c r="P777" s="7"/>
    </row>
    <row r="778" spans="1:16" x14ac:dyDescent="0.2">
      <c r="A778" s="7"/>
      <c r="B778" s="7"/>
      <c r="C778" s="7"/>
      <c r="D778" s="7"/>
      <c r="E778" s="7"/>
      <c r="F778" s="7"/>
      <c r="G778" s="7"/>
      <c r="H778" s="7"/>
      <c r="I778" s="7"/>
      <c r="J778" s="7"/>
      <c r="K778" s="7"/>
      <c r="L778" s="7"/>
      <c r="M778" s="7"/>
      <c r="N778" s="7"/>
      <c r="O778" s="7"/>
      <c r="P778" s="7"/>
    </row>
    <row r="779" spans="1:16" x14ac:dyDescent="0.2">
      <c r="A779" s="7" t="s">
        <v>107</v>
      </c>
      <c r="B779" s="7"/>
      <c r="C779" s="7"/>
      <c r="D779" s="7"/>
      <c r="E779" s="7"/>
      <c r="F779" s="7"/>
      <c r="G779" s="7"/>
      <c r="H779" s="7"/>
      <c r="I779" s="7"/>
      <c r="J779" s="7"/>
      <c r="K779" s="7"/>
      <c r="L779" s="7"/>
      <c r="M779" s="7"/>
      <c r="N779" s="7"/>
      <c r="O779" s="7"/>
      <c r="P779" s="7"/>
    </row>
    <row r="780" spans="1:16" x14ac:dyDescent="0.2">
      <c r="A780" s="7" t="s">
        <v>108</v>
      </c>
      <c r="B780" s="7"/>
      <c r="C780" s="7"/>
      <c r="D780" s="7"/>
      <c r="E780" s="7"/>
      <c r="F780" s="7"/>
      <c r="G780" s="7"/>
      <c r="H780" s="7"/>
      <c r="I780" s="7"/>
      <c r="J780" s="7"/>
      <c r="K780" s="7"/>
      <c r="L780" s="7"/>
      <c r="M780" s="7"/>
      <c r="N780" s="7"/>
      <c r="O780" s="7"/>
      <c r="P780" s="7"/>
    </row>
    <row r="781" spans="1:16" x14ac:dyDescent="0.2">
      <c r="A781" s="7"/>
      <c r="B781" s="7"/>
      <c r="C781" s="7"/>
      <c r="D781" s="7"/>
      <c r="E781" s="7"/>
      <c r="F781" s="7"/>
      <c r="G781" s="7"/>
      <c r="H781" s="7"/>
      <c r="I781" s="7"/>
      <c r="J781" s="7"/>
      <c r="K781" s="7"/>
      <c r="L781" s="7"/>
      <c r="M781" s="7"/>
      <c r="N781" s="7"/>
      <c r="O781" s="7"/>
      <c r="P781" s="7"/>
    </row>
    <row r="782" spans="1:16" x14ac:dyDescent="0.2">
      <c r="A782" s="7" t="s">
        <v>331</v>
      </c>
      <c r="B782" s="7"/>
      <c r="C782" s="7"/>
      <c r="D782" s="7"/>
      <c r="E782" s="7"/>
      <c r="F782" s="7"/>
      <c r="G782" s="7"/>
      <c r="H782" s="7"/>
      <c r="I782" s="7"/>
      <c r="J782" s="7"/>
      <c r="K782" s="7"/>
      <c r="L782" s="7"/>
      <c r="M782" s="7"/>
      <c r="N782" s="7"/>
      <c r="O782" s="7"/>
      <c r="P782" s="7"/>
    </row>
    <row r="783" spans="1:16" x14ac:dyDescent="0.2">
      <c r="A783" s="7" t="s">
        <v>109</v>
      </c>
      <c r="B783" s="7"/>
      <c r="C783" s="7"/>
      <c r="D783" s="7"/>
      <c r="E783" s="7"/>
      <c r="F783" s="7"/>
      <c r="G783" s="7"/>
      <c r="H783" s="7"/>
      <c r="I783" s="7"/>
      <c r="J783" s="7"/>
      <c r="K783" s="7"/>
      <c r="L783" s="7"/>
      <c r="M783" s="7"/>
      <c r="N783" s="7"/>
      <c r="O783" s="7"/>
      <c r="P783" s="7"/>
    </row>
    <row r="784" spans="1:16" x14ac:dyDescent="0.2">
      <c r="A784" s="7"/>
      <c r="B784" s="7"/>
      <c r="C784" s="7"/>
      <c r="D784" s="7"/>
      <c r="E784" s="7"/>
      <c r="F784" s="7"/>
      <c r="G784" s="7"/>
      <c r="H784" s="7"/>
      <c r="I784" s="7"/>
      <c r="J784" s="7"/>
      <c r="K784" s="7"/>
      <c r="L784" s="7"/>
      <c r="M784" s="7"/>
      <c r="N784" s="7"/>
      <c r="O784" s="7"/>
      <c r="P784" s="7"/>
    </row>
    <row r="785" spans="1:16" x14ac:dyDescent="0.2">
      <c r="A785" s="7" t="s">
        <v>110</v>
      </c>
      <c r="B785" s="7"/>
      <c r="C785" s="7"/>
      <c r="D785" s="7"/>
      <c r="E785" s="7"/>
      <c r="F785" s="7"/>
      <c r="G785" s="7"/>
      <c r="H785" s="7"/>
      <c r="I785" s="7"/>
      <c r="J785" s="7"/>
      <c r="K785" s="7"/>
      <c r="L785" s="7"/>
      <c r="M785" s="7"/>
      <c r="N785" s="7"/>
      <c r="O785" s="7"/>
      <c r="P785" s="7"/>
    </row>
    <row r="786" spans="1:16" x14ac:dyDescent="0.2">
      <c r="A786" s="7" t="s">
        <v>111</v>
      </c>
      <c r="B786" s="7"/>
      <c r="C786" s="7"/>
      <c r="D786" s="7"/>
      <c r="E786" s="7"/>
      <c r="F786" s="7"/>
      <c r="G786" s="7"/>
      <c r="H786" s="7"/>
      <c r="I786" s="7"/>
      <c r="J786" s="7"/>
      <c r="K786" s="7"/>
      <c r="L786" s="7"/>
      <c r="M786" s="7"/>
      <c r="N786" s="7"/>
      <c r="O786" s="7"/>
      <c r="P786" s="7"/>
    </row>
    <row r="787" spans="1:16" x14ac:dyDescent="0.2">
      <c r="A787" s="7" t="s">
        <v>112</v>
      </c>
      <c r="B787" s="7"/>
      <c r="C787" s="7"/>
      <c r="D787" s="7"/>
      <c r="E787" s="7"/>
      <c r="F787" s="7"/>
      <c r="G787" s="7"/>
      <c r="H787" s="7"/>
      <c r="I787" s="7"/>
      <c r="J787" s="7"/>
      <c r="K787" s="7"/>
      <c r="L787" s="7"/>
      <c r="M787" s="7"/>
      <c r="N787" s="7"/>
      <c r="O787" s="7"/>
      <c r="P787" s="7"/>
    </row>
    <row r="788" spans="1:16" x14ac:dyDescent="0.2">
      <c r="A788" s="7" t="s">
        <v>113</v>
      </c>
      <c r="B788" s="7"/>
      <c r="C788" s="7"/>
      <c r="D788" s="7"/>
      <c r="E788" s="7"/>
      <c r="F788" s="7"/>
      <c r="G788" s="7"/>
      <c r="H788" s="7"/>
      <c r="I788" s="7"/>
      <c r="J788" s="7"/>
      <c r="K788" s="7"/>
      <c r="L788" s="7"/>
      <c r="M788" s="7"/>
      <c r="N788" s="7"/>
      <c r="O788" s="7"/>
      <c r="P788" s="7"/>
    </row>
    <row r="789" spans="1:16" x14ac:dyDescent="0.2">
      <c r="A789" s="7" t="s">
        <v>114</v>
      </c>
      <c r="B789" s="7"/>
      <c r="C789" s="7"/>
      <c r="D789" s="7"/>
      <c r="E789" s="7"/>
      <c r="F789" s="7"/>
      <c r="G789" s="7"/>
      <c r="H789" s="7"/>
      <c r="I789" s="7"/>
      <c r="J789" s="7"/>
      <c r="K789" s="7"/>
      <c r="L789" s="7"/>
      <c r="M789" s="7"/>
      <c r="N789" s="7"/>
      <c r="O789" s="7"/>
      <c r="P789" s="7"/>
    </row>
    <row r="791" spans="1:16" ht="21.75" x14ac:dyDescent="0.2">
      <c r="A791" s="41"/>
      <c r="B791" s="41"/>
      <c r="C791" s="41"/>
      <c r="D791" s="41"/>
      <c r="E791" s="41"/>
      <c r="F791" s="41"/>
      <c r="G791" s="41"/>
      <c r="H791" s="41"/>
      <c r="I791" s="41"/>
      <c r="J791" s="41"/>
      <c r="K791" s="41"/>
      <c r="L791" s="37"/>
      <c r="M791" s="37"/>
      <c r="N791" s="16" t="s">
        <v>444</v>
      </c>
      <c r="O791" s="250" t="s">
        <v>866</v>
      </c>
    </row>
    <row r="792" spans="1:16" ht="18" x14ac:dyDescent="0.25">
      <c r="A792" s="40"/>
      <c r="B792" s="40"/>
      <c r="C792" s="40"/>
      <c r="D792" s="40"/>
      <c r="E792" s="40"/>
      <c r="F792" s="40"/>
      <c r="G792" s="40"/>
      <c r="H792" s="40"/>
      <c r="I792" s="40"/>
      <c r="J792" s="40"/>
      <c r="K792" s="40"/>
      <c r="L792" s="37"/>
      <c r="M792" s="37"/>
      <c r="N792" s="16" t="s">
        <v>445</v>
      </c>
      <c r="O792" s="1001"/>
    </row>
    <row r="793" spans="1:16" x14ac:dyDescent="0.2">
      <c r="A793" s="1626"/>
      <c r="B793" s="1626"/>
      <c r="C793" s="1626"/>
      <c r="D793" s="1626"/>
      <c r="E793" s="1626"/>
      <c r="F793" s="1626"/>
      <c r="G793" s="1626"/>
      <c r="H793" s="1626"/>
      <c r="I793" s="1626"/>
      <c r="J793" s="1626"/>
      <c r="K793" s="1626"/>
      <c r="L793" s="37"/>
      <c r="M793" s="37"/>
      <c r="N793" s="16" t="s">
        <v>446</v>
      </c>
      <c r="O793" s="1001"/>
    </row>
    <row r="794" spans="1:16" ht="18" x14ac:dyDescent="0.25">
      <c r="A794" s="40"/>
      <c r="B794" s="40"/>
      <c r="C794" s="40"/>
      <c r="D794" s="40"/>
      <c r="E794" s="40"/>
      <c r="F794" s="40"/>
      <c r="G794" s="40"/>
      <c r="H794" s="40"/>
      <c r="I794" s="38"/>
      <c r="J794" s="38"/>
      <c r="K794" s="38"/>
      <c r="L794" s="37"/>
      <c r="M794" s="37"/>
      <c r="N794" s="16" t="s">
        <v>447</v>
      </c>
      <c r="O794" s="1001"/>
    </row>
    <row r="795" spans="1:16" ht="15.75" x14ac:dyDescent="0.25">
      <c r="A795" s="37"/>
      <c r="B795" s="37"/>
      <c r="C795" s="39"/>
      <c r="D795" s="39"/>
      <c r="E795" s="39"/>
      <c r="F795" s="37"/>
      <c r="G795" s="37"/>
      <c r="H795" s="37"/>
      <c r="I795" s="37"/>
      <c r="J795" s="37"/>
      <c r="K795" s="37"/>
      <c r="L795" s="37"/>
      <c r="M795" s="37"/>
      <c r="N795" s="16" t="s">
        <v>448</v>
      </c>
      <c r="O795" s="1002" t="s">
        <v>1153</v>
      </c>
    </row>
    <row r="796" spans="1:16" x14ac:dyDescent="0.2">
      <c r="A796" s="37"/>
      <c r="B796" s="37"/>
      <c r="C796" s="37"/>
      <c r="D796" s="37"/>
      <c r="E796" s="37"/>
      <c r="F796" s="37"/>
      <c r="G796" s="37"/>
      <c r="H796" s="37"/>
      <c r="I796" s="37"/>
      <c r="J796" s="37"/>
      <c r="K796" s="37"/>
      <c r="L796" s="37"/>
      <c r="M796" s="37"/>
      <c r="N796" s="16"/>
      <c r="O796" s="250"/>
    </row>
    <row r="797" spans="1:16" x14ac:dyDescent="0.2">
      <c r="A797" s="37"/>
      <c r="B797" s="37"/>
      <c r="C797" s="37"/>
      <c r="D797" s="37"/>
      <c r="E797" s="37"/>
      <c r="F797" s="37"/>
      <c r="G797" s="37"/>
      <c r="H797" s="37"/>
      <c r="I797" s="37"/>
      <c r="J797" s="37"/>
      <c r="K797" s="37"/>
      <c r="L797" s="37"/>
      <c r="M797" s="37"/>
      <c r="N797" s="16" t="s">
        <v>449</v>
      </c>
      <c r="O797" s="1002"/>
    </row>
    <row r="798" spans="1:16" x14ac:dyDescent="0.2">
      <c r="A798" s="37"/>
      <c r="B798" s="37"/>
      <c r="C798" s="37"/>
      <c r="D798" s="37"/>
      <c r="E798" s="37"/>
      <c r="F798" s="37"/>
      <c r="G798" s="37"/>
      <c r="H798" s="37"/>
      <c r="I798" s="37"/>
      <c r="J798" s="37"/>
      <c r="K798" s="37"/>
      <c r="L798" s="37"/>
      <c r="M798" s="37"/>
      <c r="N798" s="7"/>
    </row>
    <row r="799" spans="1:16" x14ac:dyDescent="0.2">
      <c r="A799" s="7"/>
      <c r="B799" s="7"/>
      <c r="C799" s="7"/>
      <c r="D799" s="7"/>
      <c r="E799" s="7"/>
      <c r="F799" s="7"/>
      <c r="G799" s="7"/>
      <c r="H799" s="7"/>
      <c r="I799" s="7"/>
      <c r="J799" s="7"/>
      <c r="K799" s="7"/>
    </row>
    <row r="800" spans="1:16" x14ac:dyDescent="0.2">
      <c r="A800" s="7"/>
      <c r="B800" s="1626" t="s">
        <v>695</v>
      </c>
      <c r="C800" s="1626"/>
      <c r="D800" s="1626"/>
      <c r="E800" s="1626"/>
      <c r="F800" s="1626"/>
      <c r="G800" s="1626"/>
      <c r="H800" s="1626"/>
      <c r="I800" s="1626"/>
      <c r="J800" s="1626"/>
      <c r="K800" s="1626"/>
      <c r="L800" s="1626"/>
      <c r="M800" s="1626"/>
      <c r="N800" s="1626"/>
      <c r="O800" s="1626"/>
    </row>
    <row r="801" spans="1:16" x14ac:dyDescent="0.2">
      <c r="A801" s="7"/>
      <c r="B801" s="1626" t="s">
        <v>63</v>
      </c>
      <c r="C801" s="1626"/>
      <c r="D801" s="1626"/>
      <c r="E801" s="1626"/>
      <c r="F801" s="1626"/>
      <c r="G801" s="1626"/>
      <c r="H801" s="1626"/>
      <c r="I801" s="1626"/>
      <c r="J801" s="1626"/>
      <c r="K801" s="1626"/>
      <c r="L801" s="1626"/>
      <c r="M801" s="1626"/>
      <c r="N801" s="1626"/>
      <c r="O801" s="1626"/>
    </row>
    <row r="802" spans="1:16" x14ac:dyDescent="0.2">
      <c r="A802" s="7"/>
      <c r="B802" s="7"/>
      <c r="C802" s="7"/>
      <c r="D802" s="7"/>
      <c r="E802" s="7"/>
      <c r="F802" s="7"/>
      <c r="G802" s="7"/>
      <c r="H802" s="7"/>
      <c r="I802" s="7"/>
      <c r="J802" s="7"/>
      <c r="K802" s="7"/>
    </row>
    <row r="803" spans="1:16" x14ac:dyDescent="0.2">
      <c r="A803" s="7"/>
      <c r="B803" s="7"/>
      <c r="C803" s="7"/>
      <c r="D803" s="7"/>
      <c r="E803" s="7"/>
      <c r="F803" s="7"/>
      <c r="G803" s="7"/>
      <c r="H803" s="7"/>
      <c r="I803" s="7"/>
      <c r="J803" s="7"/>
      <c r="K803" s="7"/>
    </row>
    <row r="804" spans="1:16" x14ac:dyDescent="0.2">
      <c r="A804" s="7"/>
      <c r="B804" s="43" t="s">
        <v>40</v>
      </c>
      <c r="C804" s="7"/>
      <c r="D804" s="1626" t="s">
        <v>1151</v>
      </c>
      <c r="E804" s="1626"/>
      <c r="F804" s="1626"/>
      <c r="G804" s="1626"/>
      <c r="H804" s="1626"/>
      <c r="I804" s="1626"/>
      <c r="J804" s="1626"/>
      <c r="K804" s="1626"/>
      <c r="L804" s="1626"/>
      <c r="M804" s="1626"/>
      <c r="N804" s="1626"/>
      <c r="O804" s="1626"/>
      <c r="P804" s="7"/>
    </row>
    <row r="805" spans="1:16" ht="15.75" x14ac:dyDescent="0.25">
      <c r="A805" s="7"/>
      <c r="B805" s="1003"/>
      <c r="C805" s="7"/>
      <c r="D805" s="42"/>
      <c r="E805" s="42"/>
      <c r="F805" s="42"/>
      <c r="G805" s="42"/>
      <c r="H805" s="42"/>
      <c r="I805" s="42"/>
      <c r="J805" s="42"/>
      <c r="K805" s="42"/>
      <c r="L805" s="42"/>
      <c r="M805" s="42"/>
      <c r="N805" s="42"/>
      <c r="O805" s="42"/>
      <c r="P805" s="7"/>
    </row>
    <row r="806" spans="1:16" x14ac:dyDescent="0.2">
      <c r="A806" s="7"/>
      <c r="B806" s="647"/>
      <c r="C806" s="7"/>
      <c r="D806" s="8" t="s">
        <v>17</v>
      </c>
      <c r="E806" s="8"/>
      <c r="F806" s="1004">
        <v>165000</v>
      </c>
      <c r="G806" s="8" t="s">
        <v>18</v>
      </c>
      <c r="H806" s="7"/>
      <c r="I806" s="7"/>
      <c r="J806" s="7"/>
      <c r="K806" s="7"/>
      <c r="L806" s="7"/>
      <c r="M806" s="7"/>
      <c r="N806" s="7"/>
      <c r="O806" s="7"/>
      <c r="P806" s="7"/>
    </row>
    <row r="807" spans="1:16" x14ac:dyDescent="0.2">
      <c r="A807" s="7"/>
      <c r="B807" s="647"/>
      <c r="C807" s="7"/>
      <c r="D807" s="7"/>
      <c r="E807" s="7"/>
      <c r="F807" s="7"/>
      <c r="G807" s="7"/>
      <c r="H807" s="7"/>
      <c r="I807" s="7"/>
      <c r="J807" s="7"/>
      <c r="K807" s="7"/>
      <c r="L807" s="7"/>
      <c r="M807" s="7"/>
      <c r="N807" s="7"/>
      <c r="O807" s="7"/>
      <c r="P807" s="7"/>
    </row>
    <row r="808" spans="1:16" x14ac:dyDescent="0.2">
      <c r="A808" s="7"/>
      <c r="B808" s="647"/>
      <c r="C808" s="7"/>
      <c r="D808" s="19"/>
      <c r="E808" s="19"/>
      <c r="F808" s="1626" t="s">
        <v>19</v>
      </c>
      <c r="G808" s="1626"/>
      <c r="H808" s="1626"/>
      <c r="I808" s="7"/>
      <c r="J808" s="1626" t="s">
        <v>20</v>
      </c>
      <c r="K808" s="1626"/>
      <c r="L808" s="1626"/>
      <c r="M808" s="7"/>
      <c r="N808" s="1626" t="s">
        <v>21</v>
      </c>
      <c r="O808" s="1626"/>
      <c r="P808" s="7"/>
    </row>
    <row r="809" spans="1:16" ht="12.75" customHeight="1" x14ac:dyDescent="0.2">
      <c r="A809" s="7"/>
      <c r="B809" s="647"/>
      <c r="C809" s="7"/>
      <c r="D809" s="1626" t="s">
        <v>22</v>
      </c>
      <c r="E809" s="20"/>
      <c r="F809" s="21" t="s">
        <v>23</v>
      </c>
      <c r="G809" s="21" t="s">
        <v>24</v>
      </c>
      <c r="H809" s="22" t="s">
        <v>25</v>
      </c>
      <c r="I809" s="7"/>
      <c r="J809" s="21" t="s">
        <v>23</v>
      </c>
      <c r="K809" s="23" t="s">
        <v>24</v>
      </c>
      <c r="L809" s="22" t="s">
        <v>25</v>
      </c>
      <c r="M809" s="7"/>
      <c r="N809" s="1626" t="s">
        <v>26</v>
      </c>
      <c r="O809" s="1626" t="s">
        <v>27</v>
      </c>
      <c r="P809" s="7"/>
    </row>
    <row r="810" spans="1:16" x14ac:dyDescent="0.2">
      <c r="A810" s="7"/>
      <c r="B810" s="647"/>
      <c r="C810" s="7"/>
      <c r="D810" s="1626"/>
      <c r="E810" s="20"/>
      <c r="F810" s="24" t="s">
        <v>452</v>
      </c>
      <c r="G810" s="24"/>
      <c r="H810" s="25" t="s">
        <v>452</v>
      </c>
      <c r="I810" s="7"/>
      <c r="J810" s="24" t="s">
        <v>452</v>
      </c>
      <c r="K810" s="25"/>
      <c r="L810" s="25" t="s">
        <v>452</v>
      </c>
      <c r="M810" s="7"/>
      <c r="N810" s="1626"/>
      <c r="O810" s="1626"/>
      <c r="P810" s="7"/>
    </row>
    <row r="811" spans="1:16" x14ac:dyDescent="0.2">
      <c r="A811" s="7"/>
      <c r="B811" s="26" t="s">
        <v>28</v>
      </c>
      <c r="C811" s="26"/>
      <c r="D811" s="1005" t="s">
        <v>1130</v>
      </c>
      <c r="E811" s="27"/>
      <c r="F811" s="1006">
        <v>142</v>
      </c>
      <c r="G811" s="32">
        <v>1</v>
      </c>
      <c r="H811" s="1007">
        <f>G811*F811</f>
        <v>142</v>
      </c>
      <c r="I811" s="30"/>
      <c r="J811" s="1008">
        <v>142</v>
      </c>
      <c r="K811" s="33">
        <v>1</v>
      </c>
      <c r="L811" s="1007">
        <f>K811*J811</f>
        <v>142</v>
      </c>
      <c r="M811" s="30"/>
      <c r="N811" s="34">
        <f>L811-H811</f>
        <v>0</v>
      </c>
      <c r="O811" s="202">
        <f>IF((H811)=0,"",(N811/H811))</f>
        <v>0</v>
      </c>
      <c r="P811" s="7"/>
    </row>
    <row r="812" spans="1:16" x14ac:dyDescent="0.2">
      <c r="A812" s="7"/>
      <c r="B812" s="26" t="s">
        <v>29</v>
      </c>
      <c r="C812" s="26"/>
      <c r="D812" s="1005" t="s">
        <v>1130</v>
      </c>
      <c r="E812" s="27"/>
      <c r="F812" s="1006">
        <v>0</v>
      </c>
      <c r="G812" s="32">
        <v>1</v>
      </c>
      <c r="H812" s="1007">
        <f t="shared" ref="H812:H820" si="70">G812*F812</f>
        <v>0</v>
      </c>
      <c r="I812" s="30"/>
      <c r="J812" s="1008">
        <v>0</v>
      </c>
      <c r="K812" s="33">
        <v>1</v>
      </c>
      <c r="L812" s="1007">
        <f>K812*J812</f>
        <v>0</v>
      </c>
      <c r="M812" s="30"/>
      <c r="N812" s="34">
        <f>L812-H812</f>
        <v>0</v>
      </c>
      <c r="O812" s="202" t="str">
        <f>IF((H812)=0,"",(N812/H812))</f>
        <v/>
      </c>
      <c r="P812" s="7"/>
    </row>
    <row r="813" spans="1:16" x14ac:dyDescent="0.2">
      <c r="A813" s="7"/>
      <c r="B813" s="1009" t="s">
        <v>1131</v>
      </c>
      <c r="C813" s="26"/>
      <c r="D813" s="1005" t="s">
        <v>80</v>
      </c>
      <c r="E813" s="27"/>
      <c r="F813" s="1006">
        <v>-6.1400000000000003E-2</v>
      </c>
      <c r="G813" s="32">
        <v>355</v>
      </c>
      <c r="H813" s="1007">
        <f t="shared" si="70"/>
        <v>-21.797000000000001</v>
      </c>
      <c r="I813" s="30"/>
      <c r="J813" s="1008">
        <v>0</v>
      </c>
      <c r="K813" s="33">
        <v>355</v>
      </c>
      <c r="L813" s="1007">
        <f t="shared" ref="L813:L820" si="71">K813*J813</f>
        <v>0</v>
      </c>
      <c r="M813" s="30"/>
      <c r="N813" s="34">
        <f t="shared" ref="N813:N851" si="72">L813-H813</f>
        <v>21.797000000000001</v>
      </c>
      <c r="O813" s="202">
        <f t="shared" ref="O813:O821" si="73">IF((H813)=0,"",(N813/H813))</f>
        <v>-1</v>
      </c>
      <c r="P813" s="7"/>
    </row>
    <row r="814" spans="1:16" x14ac:dyDescent="0.2">
      <c r="A814" s="7"/>
      <c r="B814" s="1009" t="s">
        <v>36</v>
      </c>
      <c r="C814" s="26"/>
      <c r="D814" s="1005" t="s">
        <v>1130</v>
      </c>
      <c r="E814" s="27"/>
      <c r="F814" s="1006">
        <v>0.25</v>
      </c>
      <c r="G814" s="32">
        <v>1</v>
      </c>
      <c r="H814" s="1007">
        <f t="shared" si="70"/>
        <v>0.25</v>
      </c>
      <c r="I814" s="30"/>
      <c r="J814" s="1008">
        <v>0.25</v>
      </c>
      <c r="K814" s="33">
        <v>1</v>
      </c>
      <c r="L814" s="1007">
        <f t="shared" si="71"/>
        <v>0.25</v>
      </c>
      <c r="M814" s="30"/>
      <c r="N814" s="34">
        <f t="shared" si="72"/>
        <v>0</v>
      </c>
      <c r="O814" s="202">
        <f t="shared" si="73"/>
        <v>0</v>
      </c>
      <c r="P814" s="7"/>
    </row>
    <row r="815" spans="1:16" x14ac:dyDescent="0.2">
      <c r="A815" s="7"/>
      <c r="B815" s="26" t="s">
        <v>30</v>
      </c>
      <c r="C815" s="26"/>
      <c r="D815" s="1005" t="s">
        <v>80</v>
      </c>
      <c r="E815" s="27"/>
      <c r="F815" s="1006">
        <v>3.5617000000000001</v>
      </c>
      <c r="G815" s="32">
        <v>355</v>
      </c>
      <c r="H815" s="1007">
        <f t="shared" si="70"/>
        <v>1264.4035000000001</v>
      </c>
      <c r="I815" s="30"/>
      <c r="J815" s="1008">
        <v>4.4310999999999998</v>
      </c>
      <c r="K815" s="32">
        <v>355</v>
      </c>
      <c r="L815" s="1007">
        <f t="shared" si="71"/>
        <v>1573.0404999999998</v>
      </c>
      <c r="M815" s="30"/>
      <c r="N815" s="34">
        <f t="shared" si="72"/>
        <v>308.63699999999972</v>
      </c>
      <c r="O815" s="202">
        <f t="shared" si="73"/>
        <v>0.24409692001010727</v>
      </c>
      <c r="P815" s="7"/>
    </row>
    <row r="816" spans="1:16" x14ac:dyDescent="0.2">
      <c r="A816" s="7"/>
      <c r="B816" s="26" t="s">
        <v>31</v>
      </c>
      <c r="C816" s="26"/>
      <c r="D816" s="1005"/>
      <c r="E816" s="27"/>
      <c r="F816" s="1006"/>
      <c r="G816" s="32"/>
      <c r="H816" s="1007">
        <f t="shared" si="70"/>
        <v>0</v>
      </c>
      <c r="I816" s="30"/>
      <c r="J816" s="1008"/>
      <c r="K816" s="32"/>
      <c r="L816" s="1007">
        <f t="shared" si="71"/>
        <v>0</v>
      </c>
      <c r="M816" s="30"/>
      <c r="N816" s="34">
        <f t="shared" si="72"/>
        <v>0</v>
      </c>
      <c r="O816" s="202" t="str">
        <f t="shared" si="73"/>
        <v/>
      </c>
      <c r="P816" s="7"/>
    </row>
    <row r="817" spans="1:16" x14ac:dyDescent="0.2">
      <c r="A817" s="7"/>
      <c r="B817" s="26" t="s">
        <v>1132</v>
      </c>
      <c r="C817" s="26"/>
      <c r="D817" s="1005" t="s">
        <v>80</v>
      </c>
      <c r="E817" s="27"/>
      <c r="F817" s="1006">
        <v>0</v>
      </c>
      <c r="G817" s="32">
        <v>355</v>
      </c>
      <c r="H817" s="1007">
        <f t="shared" si="70"/>
        <v>0</v>
      </c>
      <c r="I817" s="30"/>
      <c r="J817" s="1008">
        <v>0</v>
      </c>
      <c r="K817" s="32">
        <v>355</v>
      </c>
      <c r="L817" s="1007">
        <f t="shared" si="71"/>
        <v>0</v>
      </c>
      <c r="M817" s="30"/>
      <c r="N817" s="34">
        <f t="shared" si="72"/>
        <v>0</v>
      </c>
      <c r="O817" s="202" t="str">
        <f t="shared" si="73"/>
        <v/>
      </c>
      <c r="P817" s="7"/>
    </row>
    <row r="818" spans="1:16" x14ac:dyDescent="0.2">
      <c r="A818" s="7"/>
      <c r="B818" s="26" t="s">
        <v>1133</v>
      </c>
      <c r="C818" s="26"/>
      <c r="D818" s="1005" t="s">
        <v>80</v>
      </c>
      <c r="E818" s="27"/>
      <c r="F818" s="1006">
        <v>1.49E-2</v>
      </c>
      <c r="G818" s="32">
        <v>355</v>
      </c>
      <c r="H818" s="1007">
        <f t="shared" si="70"/>
        <v>5.2895000000000003</v>
      </c>
      <c r="I818" s="30"/>
      <c r="J818" s="1008">
        <v>1.49E-2</v>
      </c>
      <c r="K818" s="32">
        <v>355</v>
      </c>
      <c r="L818" s="1007">
        <f t="shared" si="71"/>
        <v>5.2895000000000003</v>
      </c>
      <c r="M818" s="30"/>
      <c r="N818" s="34">
        <f t="shared" si="72"/>
        <v>0</v>
      </c>
      <c r="O818" s="202">
        <f t="shared" si="73"/>
        <v>0</v>
      </c>
      <c r="P818" s="7"/>
    </row>
    <row r="819" spans="1:16" x14ac:dyDescent="0.2">
      <c r="A819" s="7"/>
      <c r="B819" s="26" t="s">
        <v>1134</v>
      </c>
      <c r="C819" s="26"/>
      <c r="D819" s="1005" t="s">
        <v>80</v>
      </c>
      <c r="E819" s="27"/>
      <c r="F819" s="1006">
        <v>0</v>
      </c>
      <c r="G819" s="32">
        <v>355</v>
      </c>
      <c r="H819" s="1007">
        <f t="shared" si="70"/>
        <v>0</v>
      </c>
      <c r="I819" s="30"/>
      <c r="J819" s="1008">
        <v>4.3999999999999997E-2</v>
      </c>
      <c r="K819" s="32">
        <v>355</v>
      </c>
      <c r="L819" s="1007">
        <f t="shared" si="71"/>
        <v>15.62</v>
      </c>
      <c r="M819" s="30"/>
      <c r="N819" s="34">
        <f t="shared" si="72"/>
        <v>15.62</v>
      </c>
      <c r="O819" s="202" t="str">
        <f t="shared" si="73"/>
        <v/>
      </c>
      <c r="P819" s="7"/>
    </row>
    <row r="820" spans="1:16" x14ac:dyDescent="0.2">
      <c r="A820" s="7"/>
      <c r="B820" s="1010" t="s">
        <v>1135</v>
      </c>
      <c r="C820" s="26"/>
      <c r="D820" s="1005" t="s">
        <v>1130</v>
      </c>
      <c r="E820" s="27"/>
      <c r="F820" s="1006">
        <v>0</v>
      </c>
      <c r="G820" s="32">
        <v>1</v>
      </c>
      <c r="H820" s="1007">
        <f t="shared" si="70"/>
        <v>0</v>
      </c>
      <c r="I820" s="30"/>
      <c r="J820" s="1008">
        <v>0</v>
      </c>
      <c r="K820" s="32">
        <v>1</v>
      </c>
      <c r="L820" s="1007">
        <f t="shared" si="71"/>
        <v>0</v>
      </c>
      <c r="M820" s="30"/>
      <c r="N820" s="34">
        <f t="shared" si="72"/>
        <v>0</v>
      </c>
      <c r="O820" s="202" t="str">
        <f t="shared" si="73"/>
        <v/>
      </c>
      <c r="P820" s="7"/>
    </row>
    <row r="821" spans="1:16" x14ac:dyDescent="0.2">
      <c r="A821" s="29"/>
      <c r="B821" s="1011" t="s">
        <v>698</v>
      </c>
      <c r="C821" s="1012"/>
      <c r="D821" s="1013"/>
      <c r="E821" s="1012"/>
      <c r="F821" s="1014"/>
      <c r="G821" s="1015"/>
      <c r="H821" s="1016">
        <f>SUM(H811:H820)</f>
        <v>1390.1460000000002</v>
      </c>
      <c r="I821" s="1017"/>
      <c r="J821" s="1018"/>
      <c r="K821" s="1019"/>
      <c r="L821" s="1016">
        <f>SUM(L811:L820)</f>
        <v>1736.1999999999998</v>
      </c>
      <c r="M821" s="1017"/>
      <c r="N821" s="1020">
        <f t="shared" si="72"/>
        <v>346.05399999999963</v>
      </c>
      <c r="O821" s="1021">
        <f t="shared" si="73"/>
        <v>0.24893356525141933</v>
      </c>
      <c r="P821" s="29"/>
    </row>
    <row r="822" spans="1:16" ht="38.25" x14ac:dyDescent="0.2">
      <c r="A822" s="7"/>
      <c r="B822" s="1022" t="s">
        <v>1136</v>
      </c>
      <c r="C822" s="26"/>
      <c r="D822" s="1005" t="s">
        <v>80</v>
      </c>
      <c r="E822" s="27"/>
      <c r="F822" s="1006">
        <v>0.41860000000000003</v>
      </c>
      <c r="G822" s="32">
        <v>355</v>
      </c>
      <c r="H822" s="1007">
        <f>G822*F822</f>
        <v>148.60300000000001</v>
      </c>
      <c r="I822" s="30"/>
      <c r="J822" s="1008">
        <v>0</v>
      </c>
      <c r="K822" s="32">
        <v>355</v>
      </c>
      <c r="L822" s="1007">
        <f>K822*J822</f>
        <v>0</v>
      </c>
      <c r="M822" s="30"/>
      <c r="N822" s="34">
        <f t="shared" si="72"/>
        <v>-148.60300000000001</v>
      </c>
      <c r="O822" s="202">
        <f>IF((H822)=0,"",(N822/H822))</f>
        <v>-1</v>
      </c>
      <c r="P822" s="7"/>
    </row>
    <row r="823" spans="1:16" ht="38.25" x14ac:dyDescent="0.2">
      <c r="A823" s="7"/>
      <c r="B823" s="1022" t="s">
        <v>1137</v>
      </c>
      <c r="C823" s="26"/>
      <c r="D823" s="1005" t="s">
        <v>80</v>
      </c>
      <c r="E823" s="27"/>
      <c r="F823" s="1006">
        <v>-0.44640000000000002</v>
      </c>
      <c r="G823" s="32">
        <v>355</v>
      </c>
      <c r="H823" s="1007">
        <f>G823*F823</f>
        <v>-158.47200000000001</v>
      </c>
      <c r="I823" s="30"/>
      <c r="J823" s="1008">
        <v>-0.44640000000000002</v>
      </c>
      <c r="K823" s="32">
        <v>355</v>
      </c>
      <c r="L823" s="1007">
        <f>K823*J823</f>
        <v>-158.47200000000001</v>
      </c>
      <c r="M823" s="30"/>
      <c r="N823" s="34">
        <f t="shared" si="72"/>
        <v>0</v>
      </c>
      <c r="O823" s="202">
        <f>IF((H823)=0,"",(N823/H823))</f>
        <v>0</v>
      </c>
      <c r="P823" s="7"/>
    </row>
    <row r="824" spans="1:16" ht="51" x14ac:dyDescent="0.2">
      <c r="A824" s="7"/>
      <c r="B824" s="1022" t="s">
        <v>1138</v>
      </c>
      <c r="C824" s="26"/>
      <c r="D824" s="1005" t="s">
        <v>80</v>
      </c>
      <c r="E824" s="27"/>
      <c r="F824" s="1006">
        <v>0</v>
      </c>
      <c r="G824" s="32">
        <v>355</v>
      </c>
      <c r="H824" s="1007">
        <f>G824*F824</f>
        <v>0</v>
      </c>
      <c r="I824" s="30"/>
      <c r="J824" s="1008">
        <v>-0.43740000000000001</v>
      </c>
      <c r="K824" s="32">
        <v>355</v>
      </c>
      <c r="L824" s="1007">
        <f>K824*J824</f>
        <v>-155.27700000000002</v>
      </c>
      <c r="M824" s="30"/>
      <c r="N824" s="34">
        <f t="shared" si="72"/>
        <v>-155.27700000000002</v>
      </c>
      <c r="O824" s="202" t="str">
        <f>IF((H824)=0,"",(N824/H824))</f>
        <v/>
      </c>
      <c r="P824" s="7"/>
    </row>
    <row r="825" spans="1:16" x14ac:dyDescent="0.2">
      <c r="A825" s="7"/>
      <c r="B825" s="564" t="s">
        <v>808</v>
      </c>
      <c r="C825" s="26"/>
      <c r="D825" s="1005" t="s">
        <v>80</v>
      </c>
      <c r="E825" s="27"/>
      <c r="F825" s="1006">
        <v>7.22E-2</v>
      </c>
      <c r="G825" s="32">
        <v>355</v>
      </c>
      <c r="H825" s="1007">
        <f>G825*F825</f>
        <v>25.631</v>
      </c>
      <c r="I825" s="30"/>
      <c r="J825" s="1008">
        <v>7.4800000000000005E-2</v>
      </c>
      <c r="K825" s="32">
        <v>355</v>
      </c>
      <c r="L825" s="1007">
        <f>K825*J825</f>
        <v>26.554000000000002</v>
      </c>
      <c r="M825" s="30"/>
      <c r="N825" s="34">
        <f t="shared" si="72"/>
        <v>0.92300000000000182</v>
      </c>
      <c r="O825" s="202">
        <f>IF((H825)=0,"",(N825/H825))</f>
        <v>3.6011080332410045E-2</v>
      </c>
      <c r="P825" s="7"/>
    </row>
    <row r="826" spans="1:16" x14ac:dyDescent="0.2">
      <c r="A826" s="7"/>
      <c r="B826" s="564" t="s">
        <v>701</v>
      </c>
      <c r="C826" s="26"/>
      <c r="D826" s="1005"/>
      <c r="E826" s="27"/>
      <c r="F826" s="1023"/>
      <c r="G826" s="1024"/>
      <c r="H826" s="1025"/>
      <c r="I826" s="30"/>
      <c r="J826" s="1008"/>
      <c r="K826" s="32">
        <f>F806</f>
        <v>165000</v>
      </c>
      <c r="L826" s="1007">
        <f>K826*J826</f>
        <v>0</v>
      </c>
      <c r="M826" s="30"/>
      <c r="N826" s="34">
        <f t="shared" si="72"/>
        <v>0</v>
      </c>
      <c r="O826" s="202"/>
      <c r="P826" s="7"/>
    </row>
    <row r="827" spans="1:16" ht="25.5" x14ac:dyDescent="0.2">
      <c r="A827" s="7"/>
      <c r="B827" s="1026" t="s">
        <v>699</v>
      </c>
      <c r="C827" s="1027"/>
      <c r="D827" s="1027"/>
      <c r="E827" s="1027"/>
      <c r="F827" s="1028"/>
      <c r="G827" s="1029"/>
      <c r="H827" s="1030">
        <f>SUM(H821:H826)</f>
        <v>1405.9080000000004</v>
      </c>
      <c r="I827" s="1017"/>
      <c r="J827" s="1029"/>
      <c r="K827" s="1031"/>
      <c r="L827" s="1030">
        <f>SUM(L821:L826)</f>
        <v>1449.0049999999999</v>
      </c>
      <c r="M827" s="1017"/>
      <c r="N827" s="1020">
        <f t="shared" si="72"/>
        <v>43.096999999999525</v>
      </c>
      <c r="O827" s="1021">
        <f t="shared" ref="O827:O851" si="74">IF((H827)=0,"",(N827/H827))</f>
        <v>3.0654210659587622E-2</v>
      </c>
      <c r="P827" s="7"/>
    </row>
    <row r="828" spans="1:16" x14ac:dyDescent="0.2">
      <c r="A828" s="7"/>
      <c r="B828" s="30" t="s">
        <v>32</v>
      </c>
      <c r="C828" s="30"/>
      <c r="D828" s="1032" t="s">
        <v>80</v>
      </c>
      <c r="E828" s="31"/>
      <c r="F828" s="1008">
        <v>2.5648</v>
      </c>
      <c r="G828" s="667">
        <f>355</f>
        <v>355</v>
      </c>
      <c r="H828" s="1007">
        <f>G828*F828</f>
        <v>910.50400000000002</v>
      </c>
      <c r="I828" s="30"/>
      <c r="J828" s="1008">
        <v>2.3589000000000002</v>
      </c>
      <c r="K828" s="668">
        <f>355</f>
        <v>355</v>
      </c>
      <c r="L828" s="1007">
        <f>K828*J828</f>
        <v>837.40950000000009</v>
      </c>
      <c r="M828" s="30"/>
      <c r="N828" s="34">
        <f t="shared" si="72"/>
        <v>-73.094499999999925</v>
      </c>
      <c r="O828" s="202">
        <f t="shared" si="74"/>
        <v>-8.0279164067373593E-2</v>
      </c>
      <c r="P828" s="7"/>
    </row>
    <row r="829" spans="1:16" ht="25.5" x14ac:dyDescent="0.2">
      <c r="A829" s="7"/>
      <c r="B829" s="35" t="s">
        <v>33</v>
      </c>
      <c r="C829" s="30"/>
      <c r="D829" s="1032" t="s">
        <v>80</v>
      </c>
      <c r="E829" s="31"/>
      <c r="F829" s="1008">
        <v>1.9998</v>
      </c>
      <c r="G829" s="667">
        <f>G828</f>
        <v>355</v>
      </c>
      <c r="H829" s="1007">
        <f>G829*F829</f>
        <v>709.92899999999997</v>
      </c>
      <c r="I829" s="30"/>
      <c r="J829" s="1008">
        <v>1.9261999999999999</v>
      </c>
      <c r="K829" s="668">
        <f>K828</f>
        <v>355</v>
      </c>
      <c r="L829" s="1007">
        <f>K829*J829</f>
        <v>683.80099999999993</v>
      </c>
      <c r="M829" s="30"/>
      <c r="N829" s="34">
        <f t="shared" si="72"/>
        <v>-26.128000000000043</v>
      </c>
      <c r="O829" s="202">
        <f t="shared" si="74"/>
        <v>-3.6803680368036863E-2</v>
      </c>
      <c r="P829" s="7"/>
    </row>
    <row r="830" spans="1:16" ht="25.5" x14ac:dyDescent="0.2">
      <c r="A830" s="7"/>
      <c r="B830" s="1026" t="s">
        <v>700</v>
      </c>
      <c r="C830" s="1012"/>
      <c r="D830" s="1012"/>
      <c r="E830" s="1012"/>
      <c r="F830" s="1033"/>
      <c r="G830" s="1029"/>
      <c r="H830" s="1030">
        <f>SUM(H827:H829)</f>
        <v>3026.3410000000003</v>
      </c>
      <c r="I830" s="1034"/>
      <c r="J830" s="1035"/>
      <c r="K830" s="1036"/>
      <c r="L830" s="1030">
        <f>SUM(L827:L829)</f>
        <v>2970.2154999999998</v>
      </c>
      <c r="M830" s="1034"/>
      <c r="N830" s="1020">
        <f t="shared" si="72"/>
        <v>-56.125500000000557</v>
      </c>
      <c r="O830" s="1021">
        <f t="shared" si="74"/>
        <v>-1.8545662897869259E-2</v>
      </c>
      <c r="P830" s="7"/>
    </row>
    <row r="831" spans="1:16" ht="25.5" x14ac:dyDescent="0.2">
      <c r="A831" s="7"/>
      <c r="B831" s="28" t="s">
        <v>34</v>
      </c>
      <c r="C831" s="26"/>
      <c r="D831" s="1005" t="s">
        <v>79</v>
      </c>
      <c r="E831" s="27"/>
      <c r="F831" s="1037">
        <v>5.1999999999999998E-3</v>
      </c>
      <c r="G831" s="667">
        <f>F806*(1+F854)</f>
        <v>170874</v>
      </c>
      <c r="H831" s="1038">
        <f t="shared" ref="H831:H839" si="75">G831*F831</f>
        <v>888.54480000000001</v>
      </c>
      <c r="I831" s="30"/>
      <c r="J831" s="1039">
        <v>5.1999999999999998E-3</v>
      </c>
      <c r="K831" s="668">
        <f>F806*(1+J854)</f>
        <v>171938.92060603751</v>
      </c>
      <c r="L831" s="1038">
        <f t="shared" ref="L831:L839" si="76">K831*J831</f>
        <v>894.08238715139498</v>
      </c>
      <c r="M831" s="30"/>
      <c r="N831" s="34">
        <f t="shared" si="72"/>
        <v>5.5375871513949733</v>
      </c>
      <c r="O831" s="565">
        <f t="shared" si="74"/>
        <v>6.2321980291764395E-3</v>
      </c>
      <c r="P831" s="7"/>
    </row>
    <row r="832" spans="1:16" ht="25.5" x14ac:dyDescent="0.2">
      <c r="A832" s="7"/>
      <c r="B832" s="28" t="s">
        <v>35</v>
      </c>
      <c r="C832" s="26"/>
      <c r="D832" s="1005" t="s">
        <v>79</v>
      </c>
      <c r="E832" s="27"/>
      <c r="F832" s="1037">
        <v>1.1000000000000001E-3</v>
      </c>
      <c r="G832" s="667">
        <f>F806*(1+F854)</f>
        <v>170874</v>
      </c>
      <c r="H832" s="1038">
        <f t="shared" si="75"/>
        <v>187.9614</v>
      </c>
      <c r="I832" s="30"/>
      <c r="J832" s="1039">
        <v>1.1000000000000001E-3</v>
      </c>
      <c r="K832" s="668">
        <f>F806*(1+J854)</f>
        <v>171938.92060603751</v>
      </c>
      <c r="L832" s="1038">
        <f t="shared" si="76"/>
        <v>189.13281266664129</v>
      </c>
      <c r="M832" s="30"/>
      <c r="N832" s="34">
        <f t="shared" si="72"/>
        <v>1.1714126666412881</v>
      </c>
      <c r="O832" s="565">
        <f t="shared" si="74"/>
        <v>6.2321980291766719E-3</v>
      </c>
      <c r="P832" s="7"/>
    </row>
    <row r="833" spans="1:16" x14ac:dyDescent="0.2">
      <c r="A833" s="7"/>
      <c r="B833" s="26" t="s">
        <v>36</v>
      </c>
      <c r="C833" s="26"/>
      <c r="D833" s="1005"/>
      <c r="E833" s="27"/>
      <c r="F833" s="1037"/>
      <c r="G833" s="32">
        <v>1</v>
      </c>
      <c r="H833" s="1038">
        <f t="shared" si="75"/>
        <v>0</v>
      </c>
      <c r="I833" s="30"/>
      <c r="J833" s="1039"/>
      <c r="K833" s="33">
        <v>1</v>
      </c>
      <c r="L833" s="1038">
        <f t="shared" si="76"/>
        <v>0</v>
      </c>
      <c r="M833" s="30"/>
      <c r="N833" s="34">
        <f t="shared" si="72"/>
        <v>0</v>
      </c>
      <c r="O833" s="565" t="str">
        <f t="shared" si="74"/>
        <v/>
      </c>
      <c r="P833" s="7"/>
    </row>
    <row r="834" spans="1:16" x14ac:dyDescent="0.2">
      <c r="A834" s="7"/>
      <c r="B834" s="26" t="s">
        <v>37</v>
      </c>
      <c r="C834" s="26"/>
      <c r="D834" s="1005" t="s">
        <v>79</v>
      </c>
      <c r="E834" s="27"/>
      <c r="F834" s="1037">
        <v>7.0000000000000001E-3</v>
      </c>
      <c r="G834" s="667">
        <f>F806</f>
        <v>165000</v>
      </c>
      <c r="H834" s="1038">
        <f t="shared" si="75"/>
        <v>1155</v>
      </c>
      <c r="I834" s="30"/>
      <c r="J834" s="1039">
        <v>7.0000000000000001E-3</v>
      </c>
      <c r="K834" s="668">
        <f>F806</f>
        <v>165000</v>
      </c>
      <c r="L834" s="1038">
        <f t="shared" si="76"/>
        <v>1155</v>
      </c>
      <c r="M834" s="30"/>
      <c r="N834" s="34">
        <f t="shared" si="72"/>
        <v>0</v>
      </c>
      <c r="O834" s="565">
        <f t="shared" si="74"/>
        <v>0</v>
      </c>
      <c r="P834" s="7"/>
    </row>
    <row r="835" spans="1:16" x14ac:dyDescent="0.2">
      <c r="A835" s="7"/>
      <c r="B835" s="564" t="s">
        <v>777</v>
      </c>
      <c r="C835" s="26"/>
      <c r="D835" s="1005" t="s">
        <v>79</v>
      </c>
      <c r="E835" s="27"/>
      <c r="F835" s="1040">
        <v>7.4999999999999997E-2</v>
      </c>
      <c r="G835" s="667">
        <f>IF($G$831&gt;=750,750,$G$831)</f>
        <v>750</v>
      </c>
      <c r="H835" s="1038">
        <f>G835*F835</f>
        <v>56.25</v>
      </c>
      <c r="I835" s="30"/>
      <c r="J835" s="1037">
        <v>7.4999999999999997E-2</v>
      </c>
      <c r="K835" s="667">
        <f>IF($K$831&gt;=750,750,$K$831)</f>
        <v>750</v>
      </c>
      <c r="L835" s="1038">
        <f>K835*J835</f>
        <v>56.25</v>
      </c>
      <c r="M835" s="30"/>
      <c r="N835" s="34">
        <f t="shared" si="72"/>
        <v>0</v>
      </c>
      <c r="O835" s="565">
        <f t="shared" si="74"/>
        <v>0</v>
      </c>
      <c r="P835" s="7"/>
    </row>
    <row r="836" spans="1:16" x14ac:dyDescent="0.2">
      <c r="A836" s="7"/>
      <c r="B836" s="564" t="s">
        <v>778</v>
      </c>
      <c r="C836" s="26"/>
      <c r="D836" s="1005" t="s">
        <v>79</v>
      </c>
      <c r="E836" s="27"/>
      <c r="F836" s="1040">
        <v>8.7999999999999995E-2</v>
      </c>
      <c r="G836" s="667">
        <f>IF($G$831&gt;=750,$G$831-750,0)</f>
        <v>170124</v>
      </c>
      <c r="H836" s="1038">
        <f>G836*F836</f>
        <v>14970.911999999998</v>
      </c>
      <c r="I836" s="30"/>
      <c r="J836" s="1037">
        <v>8.7999999999999995E-2</v>
      </c>
      <c r="K836" s="667">
        <f>IF($K$831&gt;=750,$K$831-750,0)</f>
        <v>171188.92060603751</v>
      </c>
      <c r="L836" s="1038">
        <f>K836*J836</f>
        <v>15064.625013331301</v>
      </c>
      <c r="M836" s="30"/>
      <c r="N836" s="34">
        <f t="shared" si="72"/>
        <v>93.713013331302136</v>
      </c>
      <c r="O836" s="565">
        <f t="shared" si="74"/>
        <v>6.2596729799294891E-3</v>
      </c>
      <c r="P836" s="7"/>
    </row>
    <row r="837" spans="1:16" x14ac:dyDescent="0.2">
      <c r="A837" s="7"/>
      <c r="B837" s="564" t="s">
        <v>779</v>
      </c>
      <c r="C837" s="26"/>
      <c r="D837" s="1005" t="s">
        <v>79</v>
      </c>
      <c r="E837" s="27"/>
      <c r="F837" s="1040">
        <v>6.5000000000000002E-2</v>
      </c>
      <c r="G837" s="669">
        <f>0.64*$G$831</f>
        <v>109359.36</v>
      </c>
      <c r="H837" s="1038">
        <f t="shared" si="75"/>
        <v>7108.3584000000001</v>
      </c>
      <c r="I837" s="30"/>
      <c r="J837" s="1037">
        <v>6.5000000000000002E-2</v>
      </c>
      <c r="K837" s="1041">
        <f>0.64*$K$831</f>
        <v>110040.90918786402</v>
      </c>
      <c r="L837" s="1038">
        <f t="shared" si="76"/>
        <v>7152.6590972111617</v>
      </c>
      <c r="M837" s="30"/>
      <c r="N837" s="34">
        <f t="shared" si="72"/>
        <v>44.300697211161605</v>
      </c>
      <c r="O837" s="565">
        <f t="shared" si="74"/>
        <v>6.2321980291766953E-3</v>
      </c>
      <c r="P837" s="7"/>
    </row>
    <row r="838" spans="1:16" x14ac:dyDescent="0.2">
      <c r="A838" s="7"/>
      <c r="B838" s="564" t="s">
        <v>780</v>
      </c>
      <c r="C838" s="26"/>
      <c r="D838" s="1005" t="s">
        <v>79</v>
      </c>
      <c r="E838" s="27"/>
      <c r="F838" s="1040">
        <v>0.1</v>
      </c>
      <c r="G838" s="669">
        <f>0.18*$G$831</f>
        <v>30757.32</v>
      </c>
      <c r="H838" s="1038">
        <f t="shared" si="75"/>
        <v>3075.732</v>
      </c>
      <c r="I838" s="30"/>
      <c r="J838" s="1037">
        <v>0.1</v>
      </c>
      <c r="K838" s="1041">
        <f>0.18*$K$831</f>
        <v>30949.005709086752</v>
      </c>
      <c r="L838" s="1038">
        <f t="shared" si="76"/>
        <v>3094.9005709086755</v>
      </c>
      <c r="M838" s="30"/>
      <c r="N838" s="34">
        <f t="shared" si="72"/>
        <v>19.16857090867552</v>
      </c>
      <c r="O838" s="565">
        <f t="shared" si="74"/>
        <v>6.2321980291766381E-3</v>
      </c>
      <c r="P838" s="7"/>
    </row>
    <row r="839" spans="1:16" ht="13.5" thickBot="1" x14ac:dyDescent="0.25">
      <c r="A839" s="7"/>
      <c r="B839" s="647" t="s">
        <v>781</v>
      </c>
      <c r="C839" s="26"/>
      <c r="D839" s="1005" t="s">
        <v>79</v>
      </c>
      <c r="E839" s="27"/>
      <c r="F839" s="1040">
        <v>0.11700000000000001</v>
      </c>
      <c r="G839" s="669">
        <f>0.18*$G$831</f>
        <v>30757.32</v>
      </c>
      <c r="H839" s="1038">
        <f t="shared" si="75"/>
        <v>3598.60644</v>
      </c>
      <c r="I839" s="30"/>
      <c r="J839" s="1037">
        <v>0.11700000000000001</v>
      </c>
      <c r="K839" s="1041">
        <f>0.18*$K$831</f>
        <v>30949.005709086752</v>
      </c>
      <c r="L839" s="1038">
        <f t="shared" si="76"/>
        <v>3621.03366796315</v>
      </c>
      <c r="M839" s="30"/>
      <c r="N839" s="34">
        <f t="shared" si="72"/>
        <v>22.427227963150017</v>
      </c>
      <c r="O839" s="565">
        <f t="shared" si="74"/>
        <v>6.2321980291765436E-3</v>
      </c>
      <c r="P839" s="7"/>
    </row>
    <row r="840" spans="1:16" ht="13.5" thickBot="1" x14ac:dyDescent="0.25">
      <c r="A840" s="7"/>
      <c r="B840" s="1042"/>
      <c r="C840" s="1043"/>
      <c r="D840" s="1044"/>
      <c r="E840" s="1043"/>
      <c r="F840" s="1045"/>
      <c r="G840" s="1046"/>
      <c r="H840" s="1047"/>
      <c r="I840" s="1048"/>
      <c r="J840" s="1045"/>
      <c r="K840" s="1049"/>
      <c r="L840" s="1047"/>
      <c r="M840" s="1048"/>
      <c r="N840" s="1050"/>
      <c r="O840" s="1051"/>
      <c r="P840" s="7"/>
    </row>
    <row r="841" spans="1:16" x14ac:dyDescent="0.2">
      <c r="A841" s="7"/>
      <c r="B841" s="36" t="s">
        <v>782</v>
      </c>
      <c r="C841" s="26"/>
      <c r="D841" s="26"/>
      <c r="E841" s="26"/>
      <c r="F841" s="662"/>
      <c r="G841" s="652"/>
      <c r="H841" s="656">
        <f>SUM(H830:H836)</f>
        <v>20285.0092</v>
      </c>
      <c r="I841" s="660"/>
      <c r="J841" s="661"/>
      <c r="K841" s="661"/>
      <c r="L841" s="655">
        <f>SUM(L830:L836)</f>
        <v>20329.305713149337</v>
      </c>
      <c r="M841" s="654"/>
      <c r="N841" s="659">
        <f t="shared" si="72"/>
        <v>44.296513149336533</v>
      </c>
      <c r="O841" s="657">
        <f t="shared" si="74"/>
        <v>2.1837068306252744E-3</v>
      </c>
      <c r="P841" s="7"/>
    </row>
    <row r="842" spans="1:16" x14ac:dyDescent="0.2">
      <c r="A842" s="7"/>
      <c r="B842" s="650" t="s">
        <v>38</v>
      </c>
      <c r="C842" s="26"/>
      <c r="D842" s="26"/>
      <c r="E842" s="26"/>
      <c r="F842" s="649">
        <v>0.13</v>
      </c>
      <c r="G842" s="652"/>
      <c r="H842" s="670">
        <f>H841*F842</f>
        <v>2637.0511960000003</v>
      </c>
      <c r="I842" s="648"/>
      <c r="J842" s="676">
        <v>0.13</v>
      </c>
      <c r="K842" s="677"/>
      <c r="L842" s="672">
        <f>L841*J842</f>
        <v>2642.809742709414</v>
      </c>
      <c r="M842" s="673"/>
      <c r="N842" s="674">
        <f t="shared" si="72"/>
        <v>5.758546709413622</v>
      </c>
      <c r="O842" s="675">
        <f t="shared" si="74"/>
        <v>2.1837068306252258E-3</v>
      </c>
      <c r="P842" s="7"/>
    </row>
    <row r="843" spans="1:16" x14ac:dyDescent="0.2">
      <c r="A843" s="7"/>
      <c r="B843" s="651" t="s">
        <v>1139</v>
      </c>
      <c r="C843" s="26"/>
      <c r="D843" s="26"/>
      <c r="E843" s="26"/>
      <c r="F843" s="658"/>
      <c r="G843" s="653"/>
      <c r="H843" s="670">
        <f>H841+H842</f>
        <v>22922.060396000001</v>
      </c>
      <c r="I843" s="648"/>
      <c r="J843" s="648"/>
      <c r="K843" s="648"/>
      <c r="L843" s="672">
        <f>L841+L842</f>
        <v>22972.115455858751</v>
      </c>
      <c r="M843" s="673"/>
      <c r="N843" s="674">
        <f t="shared" si="72"/>
        <v>50.05505985875061</v>
      </c>
      <c r="O843" s="675">
        <f t="shared" si="74"/>
        <v>2.1837068306252887E-3</v>
      </c>
      <c r="P843" s="7"/>
    </row>
    <row r="844" spans="1:16" ht="12.75" customHeight="1" x14ac:dyDescent="0.2">
      <c r="A844" s="7"/>
      <c r="B844" s="1626" t="s">
        <v>1140</v>
      </c>
      <c r="C844" s="1626"/>
      <c r="D844" s="1626"/>
      <c r="E844" s="26"/>
      <c r="F844" s="658"/>
      <c r="G844" s="653"/>
      <c r="H844" s="1052">
        <f>ROUND(-H843*10%,2)</f>
        <v>-2292.21</v>
      </c>
      <c r="I844" s="648"/>
      <c r="J844" s="648"/>
      <c r="K844" s="648"/>
      <c r="L844" s="1053">
        <f>ROUND(-L843*10%,2)</f>
        <v>-2297.21</v>
      </c>
      <c r="M844" s="673"/>
      <c r="N844" s="1054">
        <f t="shared" si="72"/>
        <v>-5</v>
      </c>
      <c r="O844" s="1055">
        <f t="shared" si="74"/>
        <v>2.1813010151774926E-3</v>
      </c>
      <c r="P844" s="7"/>
    </row>
    <row r="845" spans="1:16" ht="13.5" customHeight="1" thickBot="1" x14ac:dyDescent="0.25">
      <c r="A845" s="7"/>
      <c r="B845" s="1626" t="s">
        <v>785</v>
      </c>
      <c r="C845" s="1626"/>
      <c r="D845" s="1626"/>
      <c r="E845" s="1056"/>
      <c r="F845" s="1057"/>
      <c r="G845" s="1058"/>
      <c r="H845" s="1059">
        <f>SUM(H843:H844)</f>
        <v>20629.850396000002</v>
      </c>
      <c r="I845" s="1060"/>
      <c r="J845" s="1060"/>
      <c r="K845" s="1060"/>
      <c r="L845" s="1061">
        <f>SUM(L843:L844)</f>
        <v>20674.905455858752</v>
      </c>
      <c r="M845" s="1062"/>
      <c r="N845" s="1063">
        <f t="shared" si="72"/>
        <v>45.05505985875061</v>
      </c>
      <c r="O845" s="1064">
        <f t="shared" si="74"/>
        <v>2.1839741439659932E-3</v>
      </c>
      <c r="P845" s="7"/>
    </row>
    <row r="846" spans="1:16" ht="13.5" thickBot="1" x14ac:dyDescent="0.25">
      <c r="A846" s="7"/>
      <c r="B846" s="1042"/>
      <c r="C846" s="1043"/>
      <c r="D846" s="1044"/>
      <c r="E846" s="1043"/>
      <c r="F846" s="1065"/>
      <c r="G846" s="1066"/>
      <c r="H846" s="1067"/>
      <c r="I846" s="1068"/>
      <c r="J846" s="1065"/>
      <c r="K846" s="1046"/>
      <c r="L846" s="1069"/>
      <c r="M846" s="1048"/>
      <c r="N846" s="1070"/>
      <c r="O846" s="1051"/>
      <c r="P846" s="7"/>
    </row>
    <row r="847" spans="1:16" x14ac:dyDescent="0.2">
      <c r="A847" s="7"/>
      <c r="B847" s="36" t="s">
        <v>783</v>
      </c>
      <c r="C847" s="26"/>
      <c r="D847" s="26"/>
      <c r="E847" s="26"/>
      <c r="F847" s="662"/>
      <c r="G847" s="652"/>
      <c r="H847" s="656">
        <f>SUM(H830:H834,H837:H839)</f>
        <v>19040.544040000001</v>
      </c>
      <c r="I847" s="660"/>
      <c r="J847" s="661"/>
      <c r="K847" s="661"/>
      <c r="L847" s="666">
        <f>SUM(L830:L834,L837:L839)</f>
        <v>19077.024035901024</v>
      </c>
      <c r="M847" s="654"/>
      <c r="N847" s="659">
        <f>L847-H847</f>
        <v>36.479995901023358</v>
      </c>
      <c r="O847" s="657">
        <f>IF((H847)=0,"",(N847/H847))</f>
        <v>1.9159114269207277E-3</v>
      </c>
      <c r="P847" s="7"/>
    </row>
    <row r="848" spans="1:16" x14ac:dyDescent="0.2">
      <c r="A848" s="7"/>
      <c r="B848" s="650" t="s">
        <v>38</v>
      </c>
      <c r="C848" s="26"/>
      <c r="D848" s="26"/>
      <c r="E848" s="26"/>
      <c r="F848" s="649">
        <v>0.13</v>
      </c>
      <c r="G848" s="653"/>
      <c r="H848" s="670">
        <f>H847*F848</f>
        <v>2475.2707252</v>
      </c>
      <c r="I848" s="648"/>
      <c r="J848" s="671">
        <v>0.13</v>
      </c>
      <c r="K848" s="648"/>
      <c r="L848" s="672">
        <f>L847*J848</f>
        <v>2480.0131246671331</v>
      </c>
      <c r="M848" s="673"/>
      <c r="N848" s="674">
        <f t="shared" si="72"/>
        <v>4.7423994671330547</v>
      </c>
      <c r="O848" s="675">
        <f t="shared" si="74"/>
        <v>1.9159114269207351E-3</v>
      </c>
      <c r="P848" s="7"/>
    </row>
    <row r="849" spans="1:16" x14ac:dyDescent="0.2">
      <c r="A849" s="7"/>
      <c r="B849" s="651" t="s">
        <v>1139</v>
      </c>
      <c r="C849" s="26"/>
      <c r="D849" s="26"/>
      <c r="E849" s="26"/>
      <c r="F849" s="658"/>
      <c r="G849" s="653"/>
      <c r="H849" s="670">
        <f>H847+H848</f>
        <v>21515.814765200001</v>
      </c>
      <c r="I849" s="648"/>
      <c r="J849" s="648"/>
      <c r="K849" s="648"/>
      <c r="L849" s="672">
        <f>L847+L848</f>
        <v>21557.037160568158</v>
      </c>
      <c r="M849" s="673"/>
      <c r="N849" s="674">
        <f t="shared" si="72"/>
        <v>41.222395368156867</v>
      </c>
      <c r="O849" s="675">
        <f t="shared" si="74"/>
        <v>1.9159114269207496E-3</v>
      </c>
      <c r="P849" s="7"/>
    </row>
    <row r="850" spans="1:16" ht="12.75" customHeight="1" x14ac:dyDescent="0.2">
      <c r="A850" s="7"/>
      <c r="B850" s="1626" t="s">
        <v>1140</v>
      </c>
      <c r="C850" s="1626"/>
      <c r="D850" s="1626"/>
      <c r="E850" s="26"/>
      <c r="F850" s="658"/>
      <c r="G850" s="653"/>
      <c r="H850" s="1052">
        <f>ROUND(-H849*10%,2)</f>
        <v>-2151.58</v>
      </c>
      <c r="I850" s="648"/>
      <c r="J850" s="648"/>
      <c r="K850" s="648"/>
      <c r="L850" s="1053">
        <f>ROUND(-L849*10%,2)</f>
        <v>-2155.6999999999998</v>
      </c>
      <c r="M850" s="673"/>
      <c r="N850" s="1054">
        <f t="shared" si="72"/>
        <v>-4.1199999999998909</v>
      </c>
      <c r="O850" s="1055">
        <f t="shared" si="74"/>
        <v>1.9148718616086276E-3</v>
      </c>
      <c r="P850" s="7"/>
    </row>
    <row r="851" spans="1:16" ht="13.5" customHeight="1" thickBot="1" x14ac:dyDescent="0.25">
      <c r="A851" s="7"/>
      <c r="B851" s="1626" t="s">
        <v>784</v>
      </c>
      <c r="C851" s="1626"/>
      <c r="D851" s="1626"/>
      <c r="E851" s="1056"/>
      <c r="F851" s="1071"/>
      <c r="G851" s="1072"/>
      <c r="H851" s="1073">
        <f>H849+H850</f>
        <v>19364.234765200003</v>
      </c>
      <c r="I851" s="1074"/>
      <c r="J851" s="1074"/>
      <c r="K851" s="1074"/>
      <c r="L851" s="1075">
        <f>L849+L850</f>
        <v>19401.337160568157</v>
      </c>
      <c r="M851" s="1076"/>
      <c r="N851" s="1077">
        <f t="shared" si="72"/>
        <v>37.102395368154248</v>
      </c>
      <c r="O851" s="1078">
        <f t="shared" si="74"/>
        <v>1.9160269340894368E-3</v>
      </c>
      <c r="P851" s="7"/>
    </row>
    <row r="852" spans="1:16" ht="13.5" thickBot="1" x14ac:dyDescent="0.25">
      <c r="A852" s="7"/>
      <c r="B852" s="1042"/>
      <c r="C852" s="1043"/>
      <c r="D852" s="1044"/>
      <c r="E852" s="1043"/>
      <c r="F852" s="1065"/>
      <c r="G852" s="1066"/>
      <c r="H852" s="1067"/>
      <c r="I852" s="1068"/>
      <c r="J852" s="1065"/>
      <c r="K852" s="1046"/>
      <c r="L852" s="1069"/>
      <c r="M852" s="1048"/>
      <c r="N852" s="1070"/>
      <c r="O852" s="1051"/>
      <c r="P852" s="7"/>
    </row>
    <row r="853" spans="1:16" x14ac:dyDescent="0.2">
      <c r="A853" s="7"/>
      <c r="B853" s="7"/>
      <c r="C853" s="7"/>
      <c r="D853" s="7"/>
      <c r="E853" s="7"/>
      <c r="F853" s="7"/>
      <c r="G853" s="7"/>
      <c r="H853" s="7"/>
      <c r="I853" s="7"/>
      <c r="J853" s="7"/>
      <c r="K853" s="7"/>
      <c r="L853" s="678"/>
      <c r="M853" s="7"/>
      <c r="N853" s="7"/>
      <c r="O853" s="7"/>
      <c r="P853" s="7"/>
    </row>
    <row r="854" spans="1:16" x14ac:dyDescent="0.2">
      <c r="A854" s="7"/>
      <c r="B854" s="8" t="s">
        <v>39</v>
      </c>
      <c r="C854" s="7"/>
      <c r="D854" s="7"/>
      <c r="E854" s="7"/>
      <c r="F854" s="1079">
        <v>3.5600000000000076E-2</v>
      </c>
      <c r="G854" s="7"/>
      <c r="H854" s="7"/>
      <c r="I854" s="7"/>
      <c r="J854" s="1079">
        <v>4.2054064279015257E-2</v>
      </c>
      <c r="K854" s="7"/>
      <c r="L854" s="7"/>
      <c r="M854" s="7"/>
      <c r="N854" s="7"/>
      <c r="O854" s="7"/>
      <c r="P854" s="7"/>
    </row>
    <row r="855" spans="1:16" x14ac:dyDescent="0.2">
      <c r="A855" s="7"/>
      <c r="B855" s="7"/>
      <c r="C855" s="7"/>
      <c r="D855" s="7"/>
      <c r="E855" s="7"/>
      <c r="F855" s="7"/>
      <c r="G855" s="7"/>
      <c r="H855" s="7"/>
      <c r="I855" s="7"/>
      <c r="J855" s="7"/>
      <c r="K855" s="7"/>
      <c r="L855" s="7"/>
      <c r="M855" s="7"/>
      <c r="N855" s="7"/>
      <c r="O855" s="7"/>
      <c r="P855" s="7"/>
    </row>
    <row r="856" spans="1:16" ht="14.25" x14ac:dyDescent="0.2">
      <c r="A856" s="214" t="s">
        <v>1141</v>
      </c>
      <c r="B856" s="7"/>
      <c r="C856" s="7"/>
      <c r="D856" s="7"/>
      <c r="E856" s="7"/>
      <c r="F856" s="7"/>
      <c r="G856" s="7"/>
      <c r="H856" s="7"/>
      <c r="I856" s="7"/>
      <c r="J856" s="7"/>
      <c r="K856" s="7"/>
      <c r="L856" s="7"/>
      <c r="M856" s="7"/>
      <c r="N856" s="7"/>
      <c r="O856" s="7"/>
      <c r="P856" s="7"/>
    </row>
    <row r="857" spans="1:16" x14ac:dyDescent="0.2">
      <c r="A857" s="7"/>
      <c r="B857" s="7"/>
      <c r="C857" s="7"/>
      <c r="D857" s="7"/>
      <c r="E857" s="7"/>
      <c r="F857" s="7"/>
      <c r="G857" s="7"/>
      <c r="H857" s="7"/>
      <c r="I857" s="7"/>
      <c r="J857" s="7"/>
      <c r="K857" s="7"/>
      <c r="L857" s="7"/>
      <c r="M857" s="7"/>
      <c r="N857" s="7"/>
      <c r="O857" s="7"/>
      <c r="P857" s="7"/>
    </row>
    <row r="858" spans="1:16" x14ac:dyDescent="0.2">
      <c r="A858" s="7" t="s">
        <v>107</v>
      </c>
      <c r="B858" s="7"/>
      <c r="C858" s="7"/>
      <c r="D858" s="7"/>
      <c r="E858" s="7"/>
      <c r="F858" s="7"/>
      <c r="G858" s="7"/>
      <c r="H858" s="7"/>
      <c r="I858" s="7"/>
      <c r="J858" s="7"/>
      <c r="K858" s="7"/>
      <c r="L858" s="7"/>
      <c r="M858" s="7"/>
      <c r="N858" s="7"/>
      <c r="O858" s="7"/>
      <c r="P858" s="7"/>
    </row>
    <row r="859" spans="1:16" x14ac:dyDescent="0.2">
      <c r="A859" s="7" t="s">
        <v>108</v>
      </c>
      <c r="B859" s="7"/>
      <c r="C859" s="7"/>
      <c r="D859" s="7"/>
      <c r="E859" s="7"/>
      <c r="F859" s="7"/>
      <c r="G859" s="7"/>
      <c r="H859" s="7"/>
      <c r="I859" s="7"/>
      <c r="J859" s="7"/>
      <c r="K859" s="7"/>
      <c r="L859" s="7"/>
      <c r="M859" s="7"/>
      <c r="N859" s="7"/>
      <c r="O859" s="7"/>
      <c r="P859" s="7"/>
    </row>
    <row r="860" spans="1:16" x14ac:dyDescent="0.2">
      <c r="A860" s="7"/>
      <c r="B860" s="7"/>
      <c r="C860" s="7"/>
      <c r="D860" s="7"/>
      <c r="E860" s="7"/>
      <c r="F860" s="7"/>
      <c r="G860" s="7"/>
      <c r="H860" s="7"/>
      <c r="I860" s="7"/>
      <c r="J860" s="7"/>
      <c r="K860" s="7"/>
      <c r="L860" s="7"/>
      <c r="M860" s="7"/>
      <c r="N860" s="7"/>
      <c r="O860" s="7"/>
      <c r="P860" s="7"/>
    </row>
    <row r="861" spans="1:16" x14ac:dyDescent="0.2">
      <c r="A861" s="7" t="s">
        <v>331</v>
      </c>
      <c r="B861" s="7"/>
      <c r="C861" s="7"/>
      <c r="D861" s="7"/>
      <c r="E861" s="7"/>
      <c r="F861" s="7"/>
      <c r="G861" s="7"/>
      <c r="H861" s="7"/>
      <c r="I861" s="7"/>
      <c r="J861" s="7"/>
      <c r="K861" s="7"/>
      <c r="L861" s="7"/>
      <c r="M861" s="7"/>
      <c r="N861" s="7"/>
      <c r="O861" s="7"/>
      <c r="P861" s="7"/>
    </row>
    <row r="862" spans="1:16" x14ac:dyDescent="0.2">
      <c r="A862" s="7" t="s">
        <v>109</v>
      </c>
      <c r="B862" s="7"/>
      <c r="C862" s="7"/>
      <c r="D862" s="7"/>
      <c r="E862" s="7"/>
      <c r="F862" s="7"/>
      <c r="G862" s="7"/>
      <c r="H862" s="7"/>
      <c r="I862" s="7"/>
      <c r="J862" s="7"/>
      <c r="K862" s="7"/>
      <c r="L862" s="7"/>
      <c r="M862" s="7"/>
      <c r="N862" s="7"/>
      <c r="O862" s="7"/>
      <c r="P862" s="7"/>
    </row>
    <row r="863" spans="1:16" x14ac:dyDescent="0.2">
      <c r="A863" s="7"/>
      <c r="B863" s="7"/>
      <c r="C863" s="7"/>
      <c r="D863" s="7"/>
      <c r="E863" s="7"/>
      <c r="F863" s="7"/>
      <c r="G863" s="7"/>
      <c r="H863" s="7"/>
      <c r="I863" s="7"/>
      <c r="J863" s="7"/>
      <c r="K863" s="7"/>
      <c r="L863" s="7"/>
      <c r="M863" s="7"/>
      <c r="N863" s="7"/>
      <c r="O863" s="7"/>
      <c r="P863" s="7"/>
    </row>
    <row r="864" spans="1:16" x14ac:dyDescent="0.2">
      <c r="A864" s="7" t="s">
        <v>110</v>
      </c>
      <c r="B864" s="7"/>
      <c r="C864" s="7"/>
      <c r="D864" s="7"/>
      <c r="E864" s="7"/>
      <c r="F864" s="7"/>
      <c r="G864" s="7"/>
      <c r="H864" s="7"/>
      <c r="I864" s="7"/>
      <c r="J864" s="7"/>
      <c r="K864" s="7"/>
      <c r="L864" s="7"/>
      <c r="M864" s="7"/>
      <c r="N864" s="7"/>
      <c r="O864" s="7"/>
      <c r="P864" s="7"/>
    </row>
    <row r="865" spans="1:16" x14ac:dyDescent="0.2">
      <c r="A865" s="7" t="s">
        <v>111</v>
      </c>
      <c r="B865" s="7"/>
      <c r="C865" s="7"/>
      <c r="D865" s="7"/>
      <c r="E865" s="7"/>
      <c r="F865" s="7"/>
      <c r="G865" s="7"/>
      <c r="H865" s="7"/>
      <c r="I865" s="7"/>
      <c r="J865" s="7"/>
      <c r="K865" s="7"/>
      <c r="L865" s="7"/>
      <c r="M865" s="7"/>
      <c r="N865" s="7"/>
      <c r="O865" s="7"/>
      <c r="P865" s="7"/>
    </row>
    <row r="866" spans="1:16" x14ac:dyDescent="0.2">
      <c r="A866" s="7" t="s">
        <v>112</v>
      </c>
      <c r="B866" s="7"/>
      <c r="C866" s="7"/>
      <c r="D866" s="7"/>
      <c r="E866" s="7"/>
      <c r="F866" s="7"/>
      <c r="G866" s="7"/>
      <c r="H866" s="7"/>
      <c r="I866" s="7"/>
      <c r="J866" s="7"/>
      <c r="K866" s="7"/>
      <c r="L866" s="7"/>
      <c r="M866" s="7"/>
      <c r="N866" s="7"/>
      <c r="O866" s="7"/>
      <c r="P866" s="7"/>
    </row>
    <row r="867" spans="1:16" x14ac:dyDescent="0.2">
      <c r="A867" s="7" t="s">
        <v>113</v>
      </c>
      <c r="B867" s="7"/>
      <c r="C867" s="7"/>
      <c r="D867" s="7"/>
      <c r="E867" s="7"/>
      <c r="F867" s="7"/>
      <c r="G867" s="7"/>
      <c r="H867" s="7"/>
      <c r="I867" s="7"/>
      <c r="J867" s="7"/>
      <c r="K867" s="7"/>
      <c r="L867" s="7"/>
      <c r="M867" s="7"/>
      <c r="N867" s="7"/>
      <c r="O867" s="7"/>
      <c r="P867" s="7"/>
    </row>
    <row r="868" spans="1:16" x14ac:dyDescent="0.2">
      <c r="A868" s="7" t="s">
        <v>114</v>
      </c>
      <c r="B868" s="7"/>
      <c r="C868" s="7"/>
      <c r="D868" s="7"/>
      <c r="E868" s="7"/>
      <c r="F868" s="7"/>
      <c r="G868" s="7"/>
      <c r="H868" s="7"/>
      <c r="I868" s="7"/>
      <c r="J868" s="7"/>
      <c r="K868" s="7"/>
      <c r="L868" s="7"/>
      <c r="M868" s="7"/>
      <c r="N868" s="7"/>
      <c r="O868" s="7"/>
      <c r="P868" s="7"/>
    </row>
    <row r="870" spans="1:16" ht="21.75" x14ac:dyDescent="0.2">
      <c r="A870" s="41"/>
      <c r="B870" s="41"/>
      <c r="C870" s="41"/>
      <c r="D870" s="41"/>
      <c r="E870" s="41"/>
      <c r="F870" s="41"/>
      <c r="G870" s="41"/>
      <c r="H870" s="41"/>
      <c r="I870" s="41"/>
      <c r="J870" s="41"/>
      <c r="K870" s="41"/>
      <c r="L870" s="37"/>
      <c r="M870" s="37"/>
      <c r="N870" s="16" t="s">
        <v>444</v>
      </c>
      <c r="O870" s="250" t="s">
        <v>866</v>
      </c>
    </row>
    <row r="871" spans="1:16" ht="18" x14ac:dyDescent="0.25">
      <c r="A871" s="40"/>
      <c r="B871" s="40"/>
      <c r="C871" s="40"/>
      <c r="D871" s="40"/>
      <c r="E871" s="40"/>
      <c r="F871" s="40"/>
      <c r="G871" s="40"/>
      <c r="H871" s="40"/>
      <c r="I871" s="40"/>
      <c r="J871" s="40"/>
      <c r="K871" s="40"/>
      <c r="L871" s="37"/>
      <c r="M871" s="37"/>
      <c r="N871" s="16" t="s">
        <v>445</v>
      </c>
      <c r="O871" s="1001"/>
    </row>
    <row r="872" spans="1:16" x14ac:dyDescent="0.2">
      <c r="A872" s="1626"/>
      <c r="B872" s="1626"/>
      <c r="C872" s="1626"/>
      <c r="D872" s="1626"/>
      <c r="E872" s="1626"/>
      <c r="F872" s="1626"/>
      <c r="G872" s="1626"/>
      <c r="H872" s="1626"/>
      <c r="I872" s="1626"/>
      <c r="J872" s="1626"/>
      <c r="K872" s="1626"/>
      <c r="L872" s="37"/>
      <c r="M872" s="37"/>
      <c r="N872" s="16" t="s">
        <v>446</v>
      </c>
      <c r="O872" s="1001"/>
    </row>
    <row r="873" spans="1:16" ht="18" x14ac:dyDescent="0.25">
      <c r="A873" s="40"/>
      <c r="B873" s="40"/>
      <c r="C873" s="40"/>
      <c r="D873" s="40"/>
      <c r="E873" s="40"/>
      <c r="F873" s="40"/>
      <c r="G873" s="40"/>
      <c r="H873" s="40"/>
      <c r="I873" s="38"/>
      <c r="J873" s="38"/>
      <c r="K873" s="38"/>
      <c r="L873" s="37"/>
      <c r="M873" s="37"/>
      <c r="N873" s="16" t="s">
        <v>447</v>
      </c>
      <c r="O873" s="1001"/>
    </row>
    <row r="874" spans="1:16" ht="15.75" x14ac:dyDescent="0.25">
      <c r="A874" s="37"/>
      <c r="B874" s="37"/>
      <c r="C874" s="39"/>
      <c r="D874" s="39"/>
      <c r="E874" s="39"/>
      <c r="F874" s="37"/>
      <c r="G874" s="37"/>
      <c r="H874" s="37"/>
      <c r="I874" s="37"/>
      <c r="J874" s="37"/>
      <c r="K874" s="37"/>
      <c r="L874" s="37"/>
      <c r="M874" s="37"/>
      <c r="N874" s="16" t="s">
        <v>448</v>
      </c>
      <c r="O874" s="1002" t="s">
        <v>1154</v>
      </c>
    </row>
    <row r="875" spans="1:16" x14ac:dyDescent="0.2">
      <c r="A875" s="37"/>
      <c r="B875" s="37"/>
      <c r="C875" s="37"/>
      <c r="D875" s="37"/>
      <c r="E875" s="37"/>
      <c r="F875" s="37"/>
      <c r="G875" s="37"/>
      <c r="H875" s="37"/>
      <c r="I875" s="37"/>
      <c r="J875" s="37"/>
      <c r="K875" s="37"/>
      <c r="L875" s="37"/>
      <c r="M875" s="37"/>
      <c r="N875" s="16"/>
      <c r="O875" s="250"/>
    </row>
    <row r="876" spans="1:16" x14ac:dyDescent="0.2">
      <c r="A876" s="37"/>
      <c r="B876" s="37"/>
      <c r="C876" s="37"/>
      <c r="D876" s="37"/>
      <c r="E876" s="37"/>
      <c r="F876" s="37"/>
      <c r="G876" s="37"/>
      <c r="H876" s="37"/>
      <c r="I876" s="37"/>
      <c r="J876" s="37"/>
      <c r="K876" s="37"/>
      <c r="L876" s="37"/>
      <c r="M876" s="37"/>
      <c r="N876" s="16" t="s">
        <v>449</v>
      </c>
      <c r="O876" s="1002"/>
    </row>
    <row r="877" spans="1:16" x14ac:dyDescent="0.2">
      <c r="A877" s="37"/>
      <c r="B877" s="37"/>
      <c r="C877" s="37"/>
      <c r="D877" s="37"/>
      <c r="E877" s="37"/>
      <c r="F877" s="37"/>
      <c r="G877" s="37"/>
      <c r="H877" s="37"/>
      <c r="I877" s="37"/>
      <c r="J877" s="37"/>
      <c r="K877" s="37"/>
      <c r="L877" s="37"/>
      <c r="M877" s="37"/>
      <c r="N877" s="7"/>
    </row>
    <row r="878" spans="1:16" x14ac:dyDescent="0.2">
      <c r="A878" s="7"/>
      <c r="B878" s="7"/>
      <c r="C878" s="7"/>
      <c r="D878" s="7"/>
      <c r="E878" s="7"/>
      <c r="F878" s="7"/>
      <c r="G878" s="7"/>
      <c r="H878" s="7"/>
      <c r="I878" s="7"/>
      <c r="J878" s="7"/>
      <c r="K878" s="7"/>
    </row>
    <row r="879" spans="1:16" x14ac:dyDescent="0.2">
      <c r="A879" s="7"/>
      <c r="B879" s="1626" t="s">
        <v>695</v>
      </c>
      <c r="C879" s="1626"/>
      <c r="D879" s="1626"/>
      <c r="E879" s="1626"/>
      <c r="F879" s="1626"/>
      <c r="G879" s="1626"/>
      <c r="H879" s="1626"/>
      <c r="I879" s="1626"/>
      <c r="J879" s="1626"/>
      <c r="K879" s="1626"/>
      <c r="L879" s="1626"/>
      <c r="M879" s="1626"/>
      <c r="N879" s="1626"/>
      <c r="O879" s="1626"/>
    </row>
    <row r="880" spans="1:16" x14ac:dyDescent="0.2">
      <c r="A880" s="7"/>
      <c r="B880" s="1626" t="s">
        <v>63</v>
      </c>
      <c r="C880" s="1626"/>
      <c r="D880" s="1626"/>
      <c r="E880" s="1626"/>
      <c r="F880" s="1626"/>
      <c r="G880" s="1626"/>
      <c r="H880" s="1626"/>
      <c r="I880" s="1626"/>
      <c r="J880" s="1626"/>
      <c r="K880" s="1626"/>
      <c r="L880" s="1626"/>
      <c r="M880" s="1626"/>
      <c r="N880" s="1626"/>
      <c r="O880" s="1626"/>
    </row>
    <row r="881" spans="1:16" x14ac:dyDescent="0.2">
      <c r="A881" s="7"/>
      <c r="B881" s="7"/>
      <c r="C881" s="7"/>
      <c r="D881" s="7"/>
      <c r="E881" s="7"/>
      <c r="F881" s="7"/>
      <c r="G881" s="7"/>
      <c r="H881" s="7"/>
      <c r="I881" s="7"/>
      <c r="J881" s="7"/>
      <c r="K881" s="7"/>
    </row>
    <row r="882" spans="1:16" x14ac:dyDescent="0.2">
      <c r="A882" s="7"/>
      <c r="B882" s="7"/>
      <c r="C882" s="7"/>
      <c r="D882" s="7"/>
      <c r="E882" s="7"/>
      <c r="F882" s="7"/>
      <c r="G882" s="7"/>
      <c r="H882" s="7"/>
      <c r="I882" s="7"/>
      <c r="J882" s="7"/>
      <c r="K882" s="7"/>
    </row>
    <row r="883" spans="1:16" x14ac:dyDescent="0.2">
      <c r="A883" s="7"/>
      <c r="B883" s="43" t="s">
        <v>40</v>
      </c>
      <c r="C883" s="7"/>
      <c r="D883" s="1626" t="s">
        <v>1151</v>
      </c>
      <c r="E883" s="1626"/>
      <c r="F883" s="1626"/>
      <c r="G883" s="1626"/>
      <c r="H883" s="1626"/>
      <c r="I883" s="1626"/>
      <c r="J883" s="1626"/>
      <c r="K883" s="1626"/>
      <c r="L883" s="1626"/>
      <c r="M883" s="1626"/>
      <c r="N883" s="1626"/>
      <c r="O883" s="1626"/>
      <c r="P883" s="7"/>
    </row>
    <row r="884" spans="1:16" ht="15.75" x14ac:dyDescent="0.25">
      <c r="A884" s="7"/>
      <c r="B884" s="1003"/>
      <c r="C884" s="7"/>
      <c r="D884" s="42"/>
      <c r="E884" s="42"/>
      <c r="F884" s="42"/>
      <c r="G884" s="42"/>
      <c r="H884" s="42"/>
      <c r="I884" s="42"/>
      <c r="J884" s="42"/>
      <c r="K884" s="42"/>
      <c r="L884" s="42"/>
      <c r="M884" s="42"/>
      <c r="N884" s="42"/>
      <c r="O884" s="42"/>
      <c r="P884" s="7"/>
    </row>
    <row r="885" spans="1:16" x14ac:dyDescent="0.2">
      <c r="A885" s="7"/>
      <c r="B885" s="647"/>
      <c r="C885" s="7"/>
      <c r="D885" s="8" t="s">
        <v>17</v>
      </c>
      <c r="E885" s="8"/>
      <c r="F885" s="1004">
        <v>430000</v>
      </c>
      <c r="G885" s="8" t="s">
        <v>18</v>
      </c>
      <c r="H885" s="7"/>
      <c r="I885" s="7"/>
      <c r="J885" s="7"/>
      <c r="K885" s="7"/>
      <c r="L885" s="7"/>
      <c r="M885" s="7"/>
      <c r="N885" s="7"/>
      <c r="O885" s="7"/>
      <c r="P885" s="7"/>
    </row>
    <row r="886" spans="1:16" x14ac:dyDescent="0.2">
      <c r="A886" s="7"/>
      <c r="B886" s="647"/>
      <c r="C886" s="7"/>
      <c r="D886" s="7"/>
      <c r="E886" s="7"/>
      <c r="F886" s="7"/>
      <c r="G886" s="7"/>
      <c r="H886" s="7"/>
      <c r="I886" s="7"/>
      <c r="J886" s="7"/>
      <c r="K886" s="7"/>
      <c r="L886" s="7"/>
      <c r="M886" s="7"/>
      <c r="N886" s="7"/>
      <c r="O886" s="7"/>
      <c r="P886" s="7"/>
    </row>
    <row r="887" spans="1:16" x14ac:dyDescent="0.2">
      <c r="A887" s="7"/>
      <c r="B887" s="647"/>
      <c r="C887" s="7"/>
      <c r="D887" s="19"/>
      <c r="E887" s="19"/>
      <c r="F887" s="1626" t="s">
        <v>19</v>
      </c>
      <c r="G887" s="1626"/>
      <c r="H887" s="1626"/>
      <c r="I887" s="7"/>
      <c r="J887" s="1626" t="s">
        <v>20</v>
      </c>
      <c r="K887" s="1626"/>
      <c r="L887" s="1626"/>
      <c r="M887" s="7"/>
      <c r="N887" s="1626" t="s">
        <v>21</v>
      </c>
      <c r="O887" s="1626"/>
      <c r="P887" s="7"/>
    </row>
    <row r="888" spans="1:16" ht="12.75" customHeight="1" x14ac:dyDescent="0.2">
      <c r="A888" s="7"/>
      <c r="B888" s="647"/>
      <c r="C888" s="7"/>
      <c r="D888" s="1626" t="s">
        <v>22</v>
      </c>
      <c r="E888" s="20"/>
      <c r="F888" s="21" t="s">
        <v>23</v>
      </c>
      <c r="G888" s="21" t="s">
        <v>24</v>
      </c>
      <c r="H888" s="22" t="s">
        <v>25</v>
      </c>
      <c r="I888" s="7"/>
      <c r="J888" s="21" t="s">
        <v>23</v>
      </c>
      <c r="K888" s="23" t="s">
        <v>24</v>
      </c>
      <c r="L888" s="22" t="s">
        <v>25</v>
      </c>
      <c r="M888" s="7"/>
      <c r="N888" s="1626" t="s">
        <v>26</v>
      </c>
      <c r="O888" s="1626" t="s">
        <v>27</v>
      </c>
      <c r="P888" s="7"/>
    </row>
    <row r="889" spans="1:16" x14ac:dyDescent="0.2">
      <c r="A889" s="7"/>
      <c r="B889" s="647"/>
      <c r="C889" s="7"/>
      <c r="D889" s="1626"/>
      <c r="E889" s="20"/>
      <c r="F889" s="24" t="s">
        <v>452</v>
      </c>
      <c r="G889" s="24"/>
      <c r="H889" s="25" t="s">
        <v>452</v>
      </c>
      <c r="I889" s="7"/>
      <c r="J889" s="24" t="s">
        <v>452</v>
      </c>
      <c r="K889" s="25"/>
      <c r="L889" s="25" t="s">
        <v>452</v>
      </c>
      <c r="M889" s="7"/>
      <c r="N889" s="1626"/>
      <c r="O889" s="1626"/>
      <c r="P889" s="7"/>
    </row>
    <row r="890" spans="1:16" x14ac:dyDescent="0.2">
      <c r="A890" s="7"/>
      <c r="B890" s="26" t="s">
        <v>28</v>
      </c>
      <c r="C890" s="26"/>
      <c r="D890" s="1005" t="s">
        <v>1130</v>
      </c>
      <c r="E890" s="27"/>
      <c r="F890" s="1006">
        <v>142</v>
      </c>
      <c r="G890" s="32">
        <v>1</v>
      </c>
      <c r="H890" s="1007">
        <f>G890*F890</f>
        <v>142</v>
      </c>
      <c r="I890" s="30"/>
      <c r="J890" s="1008">
        <v>142</v>
      </c>
      <c r="K890" s="33">
        <v>1</v>
      </c>
      <c r="L890" s="1007">
        <f>K890*J890</f>
        <v>142</v>
      </c>
      <c r="M890" s="30"/>
      <c r="N890" s="34">
        <f>L890-H890</f>
        <v>0</v>
      </c>
      <c r="O890" s="202">
        <f>IF((H890)=0,"",(N890/H890))</f>
        <v>0</v>
      </c>
      <c r="P890" s="7"/>
    </row>
    <row r="891" spans="1:16" x14ac:dyDescent="0.2">
      <c r="A891" s="7"/>
      <c r="B891" s="26" t="s">
        <v>29</v>
      </c>
      <c r="C891" s="26"/>
      <c r="D891" s="1005" t="s">
        <v>1130</v>
      </c>
      <c r="E891" s="27"/>
      <c r="F891" s="1006">
        <v>0</v>
      </c>
      <c r="G891" s="32">
        <v>1</v>
      </c>
      <c r="H891" s="1007">
        <f t="shared" ref="H891:H899" si="77">G891*F891</f>
        <v>0</v>
      </c>
      <c r="I891" s="30"/>
      <c r="J891" s="1008">
        <v>0</v>
      </c>
      <c r="K891" s="33">
        <v>1</v>
      </c>
      <c r="L891" s="1007">
        <f>K891*J891</f>
        <v>0</v>
      </c>
      <c r="M891" s="30"/>
      <c r="N891" s="34">
        <f>L891-H891</f>
        <v>0</v>
      </c>
      <c r="O891" s="202" t="str">
        <f>IF((H891)=0,"",(N891/H891))</f>
        <v/>
      </c>
      <c r="P891" s="7"/>
    </row>
    <row r="892" spans="1:16" x14ac:dyDescent="0.2">
      <c r="A892" s="7"/>
      <c r="B892" s="1009" t="s">
        <v>1131</v>
      </c>
      <c r="C892" s="26"/>
      <c r="D892" s="1005" t="s">
        <v>80</v>
      </c>
      <c r="E892" s="27"/>
      <c r="F892" s="1006">
        <v>-6.1400000000000003E-2</v>
      </c>
      <c r="G892" s="32">
        <v>860</v>
      </c>
      <c r="H892" s="1007">
        <f t="shared" si="77"/>
        <v>-52.804000000000002</v>
      </c>
      <c r="I892" s="30"/>
      <c r="J892" s="1008">
        <v>0</v>
      </c>
      <c r="K892" s="33">
        <v>860</v>
      </c>
      <c r="L892" s="1007">
        <f t="shared" ref="L892:L899" si="78">K892*J892</f>
        <v>0</v>
      </c>
      <c r="M892" s="30"/>
      <c r="N892" s="34">
        <f t="shared" ref="N892:N930" si="79">L892-H892</f>
        <v>52.804000000000002</v>
      </c>
      <c r="O892" s="202">
        <f t="shared" ref="O892:O900" si="80">IF((H892)=0,"",(N892/H892))</f>
        <v>-1</v>
      </c>
      <c r="P892" s="7"/>
    </row>
    <row r="893" spans="1:16" x14ac:dyDescent="0.2">
      <c r="A893" s="7"/>
      <c r="B893" s="1009" t="s">
        <v>36</v>
      </c>
      <c r="C893" s="26"/>
      <c r="D893" s="1005" t="s">
        <v>1130</v>
      </c>
      <c r="E893" s="27"/>
      <c r="F893" s="1006">
        <v>0.25</v>
      </c>
      <c r="G893" s="32">
        <v>1</v>
      </c>
      <c r="H893" s="1007">
        <f t="shared" si="77"/>
        <v>0.25</v>
      </c>
      <c r="I893" s="30"/>
      <c r="J893" s="1008">
        <v>0.25</v>
      </c>
      <c r="K893" s="33">
        <v>1</v>
      </c>
      <c r="L893" s="1007">
        <f t="shared" si="78"/>
        <v>0.25</v>
      </c>
      <c r="M893" s="30"/>
      <c r="N893" s="34">
        <f t="shared" si="79"/>
        <v>0</v>
      </c>
      <c r="O893" s="202">
        <f t="shared" si="80"/>
        <v>0</v>
      </c>
      <c r="P893" s="7"/>
    </row>
    <row r="894" spans="1:16" x14ac:dyDescent="0.2">
      <c r="A894" s="7"/>
      <c r="B894" s="26" t="s">
        <v>30</v>
      </c>
      <c r="C894" s="26"/>
      <c r="D894" s="1005" t="s">
        <v>80</v>
      </c>
      <c r="E894" s="27"/>
      <c r="F894" s="1006">
        <v>3.5617000000000001</v>
      </c>
      <c r="G894" s="32">
        <v>860</v>
      </c>
      <c r="H894" s="1007">
        <f t="shared" si="77"/>
        <v>3063.0619999999999</v>
      </c>
      <c r="I894" s="30"/>
      <c r="J894" s="1008">
        <v>4.4310999999999998</v>
      </c>
      <c r="K894" s="32">
        <v>860</v>
      </c>
      <c r="L894" s="1007">
        <f t="shared" si="78"/>
        <v>3810.7459999999996</v>
      </c>
      <c r="M894" s="30"/>
      <c r="N894" s="34">
        <f t="shared" si="79"/>
        <v>747.68399999999974</v>
      </c>
      <c r="O894" s="202">
        <f t="shared" si="80"/>
        <v>0.24409692001010747</v>
      </c>
      <c r="P894" s="7"/>
    </row>
    <row r="895" spans="1:16" x14ac:dyDescent="0.2">
      <c r="A895" s="7"/>
      <c r="B895" s="26" t="s">
        <v>31</v>
      </c>
      <c r="C895" s="26"/>
      <c r="D895" s="1005"/>
      <c r="E895" s="27"/>
      <c r="F895" s="1006"/>
      <c r="G895" s="32"/>
      <c r="H895" s="1007">
        <f t="shared" si="77"/>
        <v>0</v>
      </c>
      <c r="I895" s="30"/>
      <c r="J895" s="1008"/>
      <c r="K895" s="32"/>
      <c r="L895" s="1007">
        <f t="shared" si="78"/>
        <v>0</v>
      </c>
      <c r="M895" s="30"/>
      <c r="N895" s="34">
        <f t="shared" si="79"/>
        <v>0</v>
      </c>
      <c r="O895" s="202" t="str">
        <f t="shared" si="80"/>
        <v/>
      </c>
      <c r="P895" s="7"/>
    </row>
    <row r="896" spans="1:16" x14ac:dyDescent="0.2">
      <c r="A896" s="7"/>
      <c r="B896" s="26" t="s">
        <v>1132</v>
      </c>
      <c r="C896" s="26"/>
      <c r="D896" s="1005" t="s">
        <v>80</v>
      </c>
      <c r="E896" s="27"/>
      <c r="F896" s="1006">
        <v>0</v>
      </c>
      <c r="G896" s="32">
        <v>860</v>
      </c>
      <c r="H896" s="1007">
        <f t="shared" si="77"/>
        <v>0</v>
      </c>
      <c r="I896" s="30"/>
      <c r="J896" s="1008">
        <v>0</v>
      </c>
      <c r="K896" s="32">
        <v>860</v>
      </c>
      <c r="L896" s="1007">
        <f t="shared" si="78"/>
        <v>0</v>
      </c>
      <c r="M896" s="30"/>
      <c r="N896" s="34">
        <f t="shared" si="79"/>
        <v>0</v>
      </c>
      <c r="O896" s="202" t="str">
        <f t="shared" si="80"/>
        <v/>
      </c>
      <c r="P896" s="7"/>
    </row>
    <row r="897" spans="1:16" x14ac:dyDescent="0.2">
      <c r="A897" s="7"/>
      <c r="B897" s="26" t="s">
        <v>1133</v>
      </c>
      <c r="C897" s="26"/>
      <c r="D897" s="1005" t="s">
        <v>80</v>
      </c>
      <c r="E897" s="27"/>
      <c r="F897" s="1006">
        <v>1.49E-2</v>
      </c>
      <c r="G897" s="32">
        <v>860</v>
      </c>
      <c r="H897" s="1007">
        <f t="shared" si="77"/>
        <v>12.814</v>
      </c>
      <c r="I897" s="30"/>
      <c r="J897" s="1008">
        <v>1.49E-2</v>
      </c>
      <c r="K897" s="32">
        <v>860</v>
      </c>
      <c r="L897" s="1007">
        <f t="shared" si="78"/>
        <v>12.814</v>
      </c>
      <c r="M897" s="30"/>
      <c r="N897" s="34">
        <f t="shared" si="79"/>
        <v>0</v>
      </c>
      <c r="O897" s="202">
        <f t="shared" si="80"/>
        <v>0</v>
      </c>
      <c r="P897" s="7"/>
    </row>
    <row r="898" spans="1:16" x14ac:dyDescent="0.2">
      <c r="A898" s="7"/>
      <c r="B898" s="26" t="s">
        <v>1134</v>
      </c>
      <c r="C898" s="26"/>
      <c r="D898" s="1005" t="s">
        <v>80</v>
      </c>
      <c r="E898" s="27"/>
      <c r="F898" s="1006">
        <v>0</v>
      </c>
      <c r="G898" s="32">
        <v>860</v>
      </c>
      <c r="H898" s="1007">
        <f t="shared" si="77"/>
        <v>0</v>
      </c>
      <c r="I898" s="30"/>
      <c r="J898" s="1008">
        <v>4.3999999999999997E-2</v>
      </c>
      <c r="K898" s="32">
        <v>860</v>
      </c>
      <c r="L898" s="1007">
        <f t="shared" si="78"/>
        <v>37.839999999999996</v>
      </c>
      <c r="M898" s="30"/>
      <c r="N898" s="34">
        <f t="shared" si="79"/>
        <v>37.839999999999996</v>
      </c>
      <c r="O898" s="202" t="str">
        <f t="shared" si="80"/>
        <v/>
      </c>
      <c r="P898" s="7"/>
    </row>
    <row r="899" spans="1:16" x14ac:dyDescent="0.2">
      <c r="A899" s="7"/>
      <c r="B899" s="1010" t="s">
        <v>1135</v>
      </c>
      <c r="C899" s="26"/>
      <c r="D899" s="1005" t="s">
        <v>1130</v>
      </c>
      <c r="E899" s="27"/>
      <c r="F899" s="1006">
        <v>0</v>
      </c>
      <c r="G899" s="32">
        <v>1</v>
      </c>
      <c r="H899" s="1007">
        <f t="shared" si="77"/>
        <v>0</v>
      </c>
      <c r="I899" s="30"/>
      <c r="J899" s="1008">
        <v>0</v>
      </c>
      <c r="K899" s="32">
        <v>1</v>
      </c>
      <c r="L899" s="1007">
        <f t="shared" si="78"/>
        <v>0</v>
      </c>
      <c r="M899" s="30"/>
      <c r="N899" s="34">
        <f t="shared" si="79"/>
        <v>0</v>
      </c>
      <c r="O899" s="202" t="str">
        <f t="shared" si="80"/>
        <v/>
      </c>
      <c r="P899" s="7"/>
    </row>
    <row r="900" spans="1:16" x14ac:dyDescent="0.2">
      <c r="A900" s="29"/>
      <c r="B900" s="1011" t="s">
        <v>698</v>
      </c>
      <c r="C900" s="1012"/>
      <c r="D900" s="1013"/>
      <c r="E900" s="1012"/>
      <c r="F900" s="1014"/>
      <c r="G900" s="1015"/>
      <c r="H900" s="1016">
        <f>SUM(H890:H899)</f>
        <v>3165.3219999999997</v>
      </c>
      <c r="I900" s="1017"/>
      <c r="J900" s="1018"/>
      <c r="K900" s="1019"/>
      <c r="L900" s="1016">
        <f>SUM(L890:L899)</f>
        <v>4003.6499999999996</v>
      </c>
      <c r="M900" s="1017"/>
      <c r="N900" s="1020">
        <f t="shared" si="79"/>
        <v>838.32799999999997</v>
      </c>
      <c r="O900" s="1021">
        <f t="shared" si="80"/>
        <v>0.2648476205580349</v>
      </c>
      <c r="P900" s="29"/>
    </row>
    <row r="901" spans="1:16" ht="38.25" x14ac:dyDescent="0.2">
      <c r="A901" s="7"/>
      <c r="B901" s="1022" t="s">
        <v>1136</v>
      </c>
      <c r="C901" s="26"/>
      <c r="D901" s="1005" t="s">
        <v>80</v>
      </c>
      <c r="E901" s="27"/>
      <c r="F901" s="1006">
        <v>0.41860000000000003</v>
      </c>
      <c r="G901" s="32">
        <v>860</v>
      </c>
      <c r="H901" s="1007">
        <f>G901*F901</f>
        <v>359.99600000000004</v>
      </c>
      <c r="I901" s="30"/>
      <c r="J901" s="1008">
        <v>0</v>
      </c>
      <c r="K901" s="32">
        <v>860</v>
      </c>
      <c r="L901" s="1007">
        <f>K901*J901</f>
        <v>0</v>
      </c>
      <c r="M901" s="30"/>
      <c r="N901" s="34">
        <f t="shared" si="79"/>
        <v>-359.99600000000004</v>
      </c>
      <c r="O901" s="202">
        <f>IF((H901)=0,"",(N901/H901))</f>
        <v>-1</v>
      </c>
      <c r="P901" s="7"/>
    </row>
    <row r="902" spans="1:16" ht="38.25" x14ac:dyDescent="0.2">
      <c r="A902" s="7"/>
      <c r="B902" s="1022" t="s">
        <v>1137</v>
      </c>
      <c r="C902" s="26"/>
      <c r="D902" s="1005" t="s">
        <v>80</v>
      </c>
      <c r="E902" s="27"/>
      <c r="F902" s="1006">
        <v>-0.44640000000000002</v>
      </c>
      <c r="G902" s="32">
        <v>860</v>
      </c>
      <c r="H902" s="1007">
        <f>G902*F902</f>
        <v>-383.904</v>
      </c>
      <c r="I902" s="30"/>
      <c r="J902" s="1008">
        <v>-0.44640000000000002</v>
      </c>
      <c r="K902" s="32">
        <v>860</v>
      </c>
      <c r="L902" s="1007">
        <f>K902*J902</f>
        <v>-383.904</v>
      </c>
      <c r="M902" s="30"/>
      <c r="N902" s="34">
        <f t="shared" si="79"/>
        <v>0</v>
      </c>
      <c r="O902" s="202">
        <f>IF((H902)=0,"",(N902/H902))</f>
        <v>0</v>
      </c>
      <c r="P902" s="7"/>
    </row>
    <row r="903" spans="1:16" ht="51" x14ac:dyDescent="0.2">
      <c r="A903" s="7"/>
      <c r="B903" s="1022" t="s">
        <v>1138</v>
      </c>
      <c r="C903" s="26"/>
      <c r="D903" s="1005" t="s">
        <v>80</v>
      </c>
      <c r="E903" s="27"/>
      <c r="F903" s="1006">
        <v>0</v>
      </c>
      <c r="G903" s="32">
        <v>860</v>
      </c>
      <c r="H903" s="1007">
        <f>G903*F903</f>
        <v>0</v>
      </c>
      <c r="I903" s="30"/>
      <c r="J903" s="1008">
        <v>-0.43740000000000001</v>
      </c>
      <c r="K903" s="32">
        <v>860</v>
      </c>
      <c r="L903" s="1007">
        <f>K903*J903</f>
        <v>-376.16399999999999</v>
      </c>
      <c r="M903" s="30"/>
      <c r="N903" s="34">
        <f t="shared" si="79"/>
        <v>-376.16399999999999</v>
      </c>
      <c r="O903" s="202" t="str">
        <f>IF((H903)=0,"",(N903/H903))</f>
        <v/>
      </c>
      <c r="P903" s="7"/>
    </row>
    <row r="904" spans="1:16" x14ac:dyDescent="0.2">
      <c r="A904" s="7"/>
      <c r="B904" s="564" t="s">
        <v>808</v>
      </c>
      <c r="C904" s="26"/>
      <c r="D904" s="1005" t="s">
        <v>80</v>
      </c>
      <c r="E904" s="27"/>
      <c r="F904" s="1006">
        <v>7.22E-2</v>
      </c>
      <c r="G904" s="32">
        <v>860</v>
      </c>
      <c r="H904" s="1007">
        <f>G904*F904</f>
        <v>62.091999999999999</v>
      </c>
      <c r="I904" s="30"/>
      <c r="J904" s="1008">
        <v>7.4800000000000005E-2</v>
      </c>
      <c r="K904" s="32">
        <v>860</v>
      </c>
      <c r="L904" s="1007">
        <f>K904*J904</f>
        <v>64.328000000000003</v>
      </c>
      <c r="M904" s="30"/>
      <c r="N904" s="34">
        <f t="shared" si="79"/>
        <v>2.2360000000000042</v>
      </c>
      <c r="O904" s="202">
        <f>IF((H904)=0,"",(N904/H904))</f>
        <v>3.6011080332410038E-2</v>
      </c>
      <c r="P904" s="7"/>
    </row>
    <row r="905" spans="1:16" x14ac:dyDescent="0.2">
      <c r="A905" s="7"/>
      <c r="B905" s="564" t="s">
        <v>701</v>
      </c>
      <c r="C905" s="26"/>
      <c r="D905" s="1005"/>
      <c r="E905" s="27"/>
      <c r="F905" s="1023"/>
      <c r="G905" s="1024"/>
      <c r="H905" s="1025"/>
      <c r="I905" s="30"/>
      <c r="J905" s="1008"/>
      <c r="K905" s="32">
        <f>F885</f>
        <v>430000</v>
      </c>
      <c r="L905" s="1007">
        <f>K905*J905</f>
        <v>0</v>
      </c>
      <c r="M905" s="30"/>
      <c r="N905" s="34">
        <f t="shared" si="79"/>
        <v>0</v>
      </c>
      <c r="O905" s="202"/>
      <c r="P905" s="7"/>
    </row>
    <row r="906" spans="1:16" ht="25.5" x14ac:dyDescent="0.2">
      <c r="A906" s="7"/>
      <c r="B906" s="1026" t="s">
        <v>699</v>
      </c>
      <c r="C906" s="1027"/>
      <c r="D906" s="1027"/>
      <c r="E906" s="1027"/>
      <c r="F906" s="1028"/>
      <c r="G906" s="1029"/>
      <c r="H906" s="1030">
        <f>SUM(H900:H905)</f>
        <v>3203.5059999999999</v>
      </c>
      <c r="I906" s="1017"/>
      <c r="J906" s="1029"/>
      <c r="K906" s="1031"/>
      <c r="L906" s="1030">
        <f>SUM(L900:L905)</f>
        <v>3307.9099999999994</v>
      </c>
      <c r="M906" s="1017"/>
      <c r="N906" s="1020">
        <f t="shared" si="79"/>
        <v>104.40399999999954</v>
      </c>
      <c r="O906" s="1021">
        <f t="shared" ref="O906:O930" si="81">IF((H906)=0,"",(N906/H906))</f>
        <v>3.2590542986340447E-2</v>
      </c>
      <c r="P906" s="7"/>
    </row>
    <row r="907" spans="1:16" x14ac:dyDescent="0.2">
      <c r="A907" s="7"/>
      <c r="B907" s="30" t="s">
        <v>32</v>
      </c>
      <c r="C907" s="30"/>
      <c r="D907" s="1032" t="s">
        <v>80</v>
      </c>
      <c r="E907" s="31"/>
      <c r="F907" s="1008">
        <v>2.5648</v>
      </c>
      <c r="G907" s="667">
        <f>860</f>
        <v>860</v>
      </c>
      <c r="H907" s="1007">
        <f>G907*F907</f>
        <v>2205.7280000000001</v>
      </c>
      <c r="I907" s="30"/>
      <c r="J907" s="1008">
        <v>2.3589000000000002</v>
      </c>
      <c r="K907" s="668">
        <f>860</f>
        <v>860</v>
      </c>
      <c r="L907" s="1007">
        <f>K907*J907</f>
        <v>2028.6540000000002</v>
      </c>
      <c r="M907" s="30"/>
      <c r="N907" s="34">
        <f t="shared" si="79"/>
        <v>-177.07399999999984</v>
      </c>
      <c r="O907" s="202">
        <f t="shared" si="81"/>
        <v>-8.0279164067373607E-2</v>
      </c>
      <c r="P907" s="7"/>
    </row>
    <row r="908" spans="1:16" ht="25.5" x14ac:dyDescent="0.2">
      <c r="A908" s="7"/>
      <c r="B908" s="35" t="s">
        <v>33</v>
      </c>
      <c r="C908" s="30"/>
      <c r="D908" s="1032" t="s">
        <v>80</v>
      </c>
      <c r="E908" s="31"/>
      <c r="F908" s="1008">
        <v>1.9998</v>
      </c>
      <c r="G908" s="667">
        <f>G907</f>
        <v>860</v>
      </c>
      <c r="H908" s="1007">
        <f>G908*F908</f>
        <v>1719.828</v>
      </c>
      <c r="I908" s="30"/>
      <c r="J908" s="1008">
        <v>1.9261999999999999</v>
      </c>
      <c r="K908" s="668">
        <f>K907</f>
        <v>860</v>
      </c>
      <c r="L908" s="1007">
        <f>K908*J908</f>
        <v>1656.5319999999999</v>
      </c>
      <c r="M908" s="30"/>
      <c r="N908" s="34">
        <f t="shared" si="79"/>
        <v>-63.296000000000049</v>
      </c>
      <c r="O908" s="202">
        <f t="shared" si="81"/>
        <v>-3.6803680368036835E-2</v>
      </c>
      <c r="P908" s="7"/>
    </row>
    <row r="909" spans="1:16" ht="25.5" x14ac:dyDescent="0.2">
      <c r="A909" s="7"/>
      <c r="B909" s="1026" t="s">
        <v>700</v>
      </c>
      <c r="C909" s="1012"/>
      <c r="D909" s="1012"/>
      <c r="E909" s="1012"/>
      <c r="F909" s="1033"/>
      <c r="G909" s="1029"/>
      <c r="H909" s="1030">
        <f>SUM(H906:H908)</f>
        <v>7129.0619999999999</v>
      </c>
      <c r="I909" s="1034"/>
      <c r="J909" s="1035"/>
      <c r="K909" s="1036"/>
      <c r="L909" s="1030">
        <f>SUM(L906:L908)</f>
        <v>6993.0959999999995</v>
      </c>
      <c r="M909" s="1034"/>
      <c r="N909" s="1020">
        <f t="shared" si="79"/>
        <v>-135.96600000000035</v>
      </c>
      <c r="O909" s="1021">
        <f t="shared" si="81"/>
        <v>-1.9072074278495593E-2</v>
      </c>
      <c r="P909" s="7"/>
    </row>
    <row r="910" spans="1:16" ht="25.5" x14ac:dyDescent="0.2">
      <c r="A910" s="7"/>
      <c r="B910" s="28" t="s">
        <v>34</v>
      </c>
      <c r="C910" s="26"/>
      <c r="D910" s="1005" t="s">
        <v>79</v>
      </c>
      <c r="E910" s="27"/>
      <c r="F910" s="1037">
        <v>5.1999999999999998E-3</v>
      </c>
      <c r="G910" s="667">
        <f>F885*(1+F933)</f>
        <v>445308.00000000006</v>
      </c>
      <c r="H910" s="1038">
        <f t="shared" ref="H910:H918" si="82">G910*F910</f>
        <v>2315.6016000000004</v>
      </c>
      <c r="I910" s="30"/>
      <c r="J910" s="1039">
        <v>5.1999999999999998E-3</v>
      </c>
      <c r="K910" s="668">
        <f>F885*(1+J933)</f>
        <v>448083.24763997656</v>
      </c>
      <c r="L910" s="1038">
        <f t="shared" ref="L910:L918" si="83">K910*J910</f>
        <v>2330.032887727878</v>
      </c>
      <c r="M910" s="30"/>
      <c r="N910" s="34">
        <f t="shared" si="79"/>
        <v>14.431287727877589</v>
      </c>
      <c r="O910" s="565">
        <f t="shared" si="81"/>
        <v>6.2321980291763432E-3</v>
      </c>
      <c r="P910" s="7"/>
    </row>
    <row r="911" spans="1:16" ht="25.5" x14ac:dyDescent="0.2">
      <c r="A911" s="7"/>
      <c r="B911" s="28" t="s">
        <v>35</v>
      </c>
      <c r="C911" s="26"/>
      <c r="D911" s="1005" t="s">
        <v>79</v>
      </c>
      <c r="E911" s="27"/>
      <c r="F911" s="1037">
        <v>1.1000000000000001E-3</v>
      </c>
      <c r="G911" s="667">
        <f>F885*(1+F933)</f>
        <v>445308.00000000006</v>
      </c>
      <c r="H911" s="1038">
        <f t="shared" si="82"/>
        <v>489.83880000000011</v>
      </c>
      <c r="I911" s="30"/>
      <c r="J911" s="1039">
        <v>1.1000000000000001E-3</v>
      </c>
      <c r="K911" s="668">
        <f>F885*(1+J933)</f>
        <v>448083.24763997656</v>
      </c>
      <c r="L911" s="1038">
        <f t="shared" si="83"/>
        <v>492.89157240397424</v>
      </c>
      <c r="M911" s="30"/>
      <c r="N911" s="34">
        <f t="shared" si="79"/>
        <v>3.0527724039741315</v>
      </c>
      <c r="O911" s="565">
        <f t="shared" si="81"/>
        <v>6.2321980291763961E-3</v>
      </c>
      <c r="P911" s="7"/>
    </row>
    <row r="912" spans="1:16" x14ac:dyDescent="0.2">
      <c r="A912" s="7"/>
      <c r="B912" s="26" t="s">
        <v>36</v>
      </c>
      <c r="C912" s="26"/>
      <c r="D912" s="1005"/>
      <c r="E912" s="27"/>
      <c r="F912" s="1037"/>
      <c r="G912" s="32">
        <v>1</v>
      </c>
      <c r="H912" s="1038">
        <f t="shared" si="82"/>
        <v>0</v>
      </c>
      <c r="I912" s="30"/>
      <c r="J912" s="1039"/>
      <c r="K912" s="33">
        <v>1</v>
      </c>
      <c r="L912" s="1038">
        <f t="shared" si="83"/>
        <v>0</v>
      </c>
      <c r="M912" s="30"/>
      <c r="N912" s="34">
        <f t="shared" si="79"/>
        <v>0</v>
      </c>
      <c r="O912" s="565" t="str">
        <f t="shared" si="81"/>
        <v/>
      </c>
      <c r="P912" s="7"/>
    </row>
    <row r="913" spans="1:16" x14ac:dyDescent="0.2">
      <c r="A913" s="7"/>
      <c r="B913" s="26" t="s">
        <v>37</v>
      </c>
      <c r="C913" s="26"/>
      <c r="D913" s="1005" t="s">
        <v>79</v>
      </c>
      <c r="E913" s="27"/>
      <c r="F913" s="1037">
        <v>7.0000000000000001E-3</v>
      </c>
      <c r="G913" s="667">
        <f>F885</f>
        <v>430000</v>
      </c>
      <c r="H913" s="1038">
        <f t="shared" si="82"/>
        <v>3010</v>
      </c>
      <c r="I913" s="30"/>
      <c r="J913" s="1039">
        <v>7.0000000000000001E-3</v>
      </c>
      <c r="K913" s="668">
        <f>F885</f>
        <v>430000</v>
      </c>
      <c r="L913" s="1038">
        <f t="shared" si="83"/>
        <v>3010</v>
      </c>
      <c r="M913" s="30"/>
      <c r="N913" s="34">
        <f t="shared" si="79"/>
        <v>0</v>
      </c>
      <c r="O913" s="565">
        <f t="shared" si="81"/>
        <v>0</v>
      </c>
      <c r="P913" s="7"/>
    </row>
    <row r="914" spans="1:16" x14ac:dyDescent="0.2">
      <c r="A914" s="7"/>
      <c r="B914" s="564" t="s">
        <v>777</v>
      </c>
      <c r="C914" s="26"/>
      <c r="D914" s="1005" t="s">
        <v>79</v>
      </c>
      <c r="E914" s="27"/>
      <c r="F914" s="1040">
        <v>7.4999999999999997E-2</v>
      </c>
      <c r="G914" s="667">
        <f>IF($G$910&gt;=750,750,$G$910)</f>
        <v>750</v>
      </c>
      <c r="H914" s="1038">
        <f>G914*F914</f>
        <v>56.25</v>
      </c>
      <c r="I914" s="30"/>
      <c r="J914" s="1037">
        <v>7.4999999999999997E-2</v>
      </c>
      <c r="K914" s="667">
        <f>IF($K$910&gt;=750,750,$K$910)</f>
        <v>750</v>
      </c>
      <c r="L914" s="1038">
        <f>K914*J914</f>
        <v>56.25</v>
      </c>
      <c r="M914" s="30"/>
      <c r="N914" s="34">
        <f t="shared" si="79"/>
        <v>0</v>
      </c>
      <c r="O914" s="565">
        <f t="shared" si="81"/>
        <v>0</v>
      </c>
      <c r="P914" s="7"/>
    </row>
    <row r="915" spans="1:16" x14ac:dyDescent="0.2">
      <c r="A915" s="7"/>
      <c r="B915" s="564" t="s">
        <v>778</v>
      </c>
      <c r="C915" s="26"/>
      <c r="D915" s="1005" t="s">
        <v>79</v>
      </c>
      <c r="E915" s="27"/>
      <c r="F915" s="1040">
        <v>8.7999999999999995E-2</v>
      </c>
      <c r="G915" s="667">
        <f>IF($G$910&gt;=750,$G$910-750,0)</f>
        <v>444558.00000000006</v>
      </c>
      <c r="H915" s="1038">
        <f>G915*F915</f>
        <v>39121.103999999999</v>
      </c>
      <c r="I915" s="30"/>
      <c r="J915" s="1037">
        <v>8.7999999999999995E-2</v>
      </c>
      <c r="K915" s="667">
        <f>IF($K$910&gt;=750,$K$910-750,0)</f>
        <v>447333.24763997656</v>
      </c>
      <c r="L915" s="1038">
        <f>K915*J915</f>
        <v>39365.325792317934</v>
      </c>
      <c r="M915" s="30"/>
      <c r="N915" s="34">
        <f t="shared" si="79"/>
        <v>244.22179231793416</v>
      </c>
      <c r="O915" s="565">
        <f t="shared" si="81"/>
        <v>6.2427121769859607E-3</v>
      </c>
      <c r="P915" s="7"/>
    </row>
    <row r="916" spans="1:16" x14ac:dyDescent="0.2">
      <c r="A916" s="7"/>
      <c r="B916" s="564" t="s">
        <v>779</v>
      </c>
      <c r="C916" s="26"/>
      <c r="D916" s="1005" t="s">
        <v>79</v>
      </c>
      <c r="E916" s="27"/>
      <c r="F916" s="1040">
        <v>6.5000000000000002E-2</v>
      </c>
      <c r="G916" s="669">
        <f>0.64*$G$910</f>
        <v>284997.12000000005</v>
      </c>
      <c r="H916" s="1038">
        <f t="shared" si="82"/>
        <v>18524.812800000003</v>
      </c>
      <c r="I916" s="30"/>
      <c r="J916" s="1037">
        <v>6.5000000000000002E-2</v>
      </c>
      <c r="K916" s="1041">
        <f>0.64*$K$910</f>
        <v>286773.27848958498</v>
      </c>
      <c r="L916" s="1038">
        <f t="shared" si="83"/>
        <v>18640.263101823024</v>
      </c>
      <c r="M916" s="30"/>
      <c r="N916" s="34">
        <f t="shared" si="79"/>
        <v>115.45030182302071</v>
      </c>
      <c r="O916" s="565">
        <f t="shared" si="81"/>
        <v>6.2321980291763432E-3</v>
      </c>
      <c r="P916" s="7"/>
    </row>
    <row r="917" spans="1:16" x14ac:dyDescent="0.2">
      <c r="A917" s="7"/>
      <c r="B917" s="564" t="s">
        <v>780</v>
      </c>
      <c r="C917" s="26"/>
      <c r="D917" s="1005" t="s">
        <v>79</v>
      </c>
      <c r="E917" s="27"/>
      <c r="F917" s="1040">
        <v>0.1</v>
      </c>
      <c r="G917" s="669">
        <f>0.18*$G$910</f>
        <v>80155.44</v>
      </c>
      <c r="H917" s="1038">
        <f t="shared" si="82"/>
        <v>8015.5440000000008</v>
      </c>
      <c r="I917" s="30"/>
      <c r="J917" s="1037">
        <v>0.1</v>
      </c>
      <c r="K917" s="1041">
        <f>0.18*$K$910</f>
        <v>80654.984575195776</v>
      </c>
      <c r="L917" s="1038">
        <f t="shared" si="83"/>
        <v>8065.4984575195776</v>
      </c>
      <c r="M917" s="30"/>
      <c r="N917" s="34">
        <f t="shared" si="79"/>
        <v>49.954457519576863</v>
      </c>
      <c r="O917" s="565">
        <f t="shared" si="81"/>
        <v>6.2321980291764178E-3</v>
      </c>
      <c r="P917" s="7"/>
    </row>
    <row r="918" spans="1:16" ht="13.5" thickBot="1" x14ac:dyDescent="0.25">
      <c r="A918" s="7"/>
      <c r="B918" s="647" t="s">
        <v>781</v>
      </c>
      <c r="C918" s="26"/>
      <c r="D918" s="1005" t="s">
        <v>79</v>
      </c>
      <c r="E918" s="27"/>
      <c r="F918" s="1040">
        <v>0.11700000000000001</v>
      </c>
      <c r="G918" s="669">
        <f>0.18*$G$910</f>
        <v>80155.44</v>
      </c>
      <c r="H918" s="1038">
        <f t="shared" si="82"/>
        <v>9378.1864800000003</v>
      </c>
      <c r="I918" s="30"/>
      <c r="J918" s="1037">
        <v>0.11700000000000001</v>
      </c>
      <c r="K918" s="1041">
        <f>0.18*$K$910</f>
        <v>80654.984575195776</v>
      </c>
      <c r="L918" s="1038">
        <f t="shared" si="83"/>
        <v>9436.6331952979072</v>
      </c>
      <c r="M918" s="30"/>
      <c r="N918" s="34">
        <f t="shared" si="79"/>
        <v>58.446715297906849</v>
      </c>
      <c r="O918" s="565">
        <f t="shared" si="81"/>
        <v>6.2321980291766225E-3</v>
      </c>
      <c r="P918" s="7"/>
    </row>
    <row r="919" spans="1:16" ht="13.5" thickBot="1" x14ac:dyDescent="0.25">
      <c r="A919" s="7"/>
      <c r="B919" s="1042"/>
      <c r="C919" s="1043"/>
      <c r="D919" s="1044"/>
      <c r="E919" s="1043"/>
      <c r="F919" s="1045"/>
      <c r="G919" s="1046"/>
      <c r="H919" s="1047"/>
      <c r="I919" s="1048"/>
      <c r="J919" s="1045"/>
      <c r="K919" s="1049"/>
      <c r="L919" s="1047"/>
      <c r="M919" s="1048"/>
      <c r="N919" s="1050"/>
      <c r="O919" s="1051"/>
      <c r="P919" s="7"/>
    </row>
    <row r="920" spans="1:16" x14ac:dyDescent="0.2">
      <c r="A920" s="7"/>
      <c r="B920" s="36" t="s">
        <v>782</v>
      </c>
      <c r="C920" s="26"/>
      <c r="D920" s="26"/>
      <c r="E920" s="26"/>
      <c r="F920" s="662"/>
      <c r="G920" s="652"/>
      <c r="H920" s="656">
        <f>SUM(H909:H915)</f>
        <v>52121.856399999997</v>
      </c>
      <c r="I920" s="660"/>
      <c r="J920" s="661"/>
      <c r="K920" s="661"/>
      <c r="L920" s="655">
        <f>SUM(L909:L915)</f>
        <v>52247.596252449788</v>
      </c>
      <c r="M920" s="654"/>
      <c r="N920" s="659">
        <f t="shared" si="79"/>
        <v>125.73985244979121</v>
      </c>
      <c r="O920" s="657">
        <f t="shared" si="81"/>
        <v>2.4124208371402371E-3</v>
      </c>
      <c r="P920" s="7"/>
    </row>
    <row r="921" spans="1:16" x14ac:dyDescent="0.2">
      <c r="A921" s="7"/>
      <c r="B921" s="650" t="s">
        <v>38</v>
      </c>
      <c r="C921" s="26"/>
      <c r="D921" s="26"/>
      <c r="E921" s="26"/>
      <c r="F921" s="649">
        <v>0.13</v>
      </c>
      <c r="G921" s="652"/>
      <c r="H921" s="670">
        <f>H920*F921</f>
        <v>6775.841332</v>
      </c>
      <c r="I921" s="648"/>
      <c r="J921" s="676">
        <v>0.13</v>
      </c>
      <c r="K921" s="677"/>
      <c r="L921" s="672">
        <f>L920*J921</f>
        <v>6792.1875128184729</v>
      </c>
      <c r="M921" s="673"/>
      <c r="N921" s="674">
        <f t="shared" si="79"/>
        <v>16.346180818472931</v>
      </c>
      <c r="O921" s="675">
        <f t="shared" si="81"/>
        <v>2.4124208371402475E-3</v>
      </c>
      <c r="P921" s="7"/>
    </row>
    <row r="922" spans="1:16" x14ac:dyDescent="0.2">
      <c r="A922" s="7"/>
      <c r="B922" s="651" t="s">
        <v>1139</v>
      </c>
      <c r="C922" s="26"/>
      <c r="D922" s="26"/>
      <c r="E922" s="26"/>
      <c r="F922" s="658"/>
      <c r="G922" s="653"/>
      <c r="H922" s="670">
        <f>H920+H921</f>
        <v>58897.697732000001</v>
      </c>
      <c r="I922" s="648"/>
      <c r="J922" s="648"/>
      <c r="K922" s="648"/>
      <c r="L922" s="672">
        <f>L920+L921</f>
        <v>59039.783765268265</v>
      </c>
      <c r="M922" s="673"/>
      <c r="N922" s="674">
        <f t="shared" si="79"/>
        <v>142.08603326826415</v>
      </c>
      <c r="O922" s="675">
        <f t="shared" si="81"/>
        <v>2.412420837140238E-3</v>
      </c>
      <c r="P922" s="7"/>
    </row>
    <row r="923" spans="1:16" ht="12.75" customHeight="1" x14ac:dyDescent="0.2">
      <c r="A923" s="7"/>
      <c r="B923" s="1626" t="s">
        <v>1140</v>
      </c>
      <c r="C923" s="1626"/>
      <c r="D923" s="1626"/>
      <c r="E923" s="26"/>
      <c r="F923" s="658"/>
      <c r="G923" s="653"/>
      <c r="H923" s="1052">
        <f>ROUND(-H922*10%,2)</f>
        <v>-5889.77</v>
      </c>
      <c r="I923" s="648"/>
      <c r="J923" s="648"/>
      <c r="K923" s="648"/>
      <c r="L923" s="1053">
        <f>ROUND(-L922*10%,2)</f>
        <v>-5903.98</v>
      </c>
      <c r="M923" s="673"/>
      <c r="N923" s="1054">
        <f t="shared" si="79"/>
        <v>-14.209999999999127</v>
      </c>
      <c r="O923" s="1055">
        <f t="shared" si="81"/>
        <v>2.4126578796793635E-3</v>
      </c>
      <c r="P923" s="7"/>
    </row>
    <row r="924" spans="1:16" ht="13.5" customHeight="1" thickBot="1" x14ac:dyDescent="0.25">
      <c r="A924" s="7"/>
      <c r="B924" s="1626" t="s">
        <v>785</v>
      </c>
      <c r="C924" s="1626"/>
      <c r="D924" s="1626"/>
      <c r="E924" s="1056"/>
      <c r="F924" s="1057"/>
      <c r="G924" s="1058"/>
      <c r="H924" s="1059">
        <f>SUM(H922:H923)</f>
        <v>53007.927731999996</v>
      </c>
      <c r="I924" s="1060"/>
      <c r="J924" s="1060"/>
      <c r="K924" s="1060"/>
      <c r="L924" s="1061">
        <f>SUM(L922:L923)</f>
        <v>53135.803765268269</v>
      </c>
      <c r="M924" s="1062"/>
      <c r="N924" s="1063">
        <f t="shared" si="79"/>
        <v>127.87603326827229</v>
      </c>
      <c r="O924" s="1064">
        <f t="shared" si="81"/>
        <v>2.412394499079346E-3</v>
      </c>
      <c r="P924" s="7"/>
    </row>
    <row r="925" spans="1:16" ht="13.5" thickBot="1" x14ac:dyDescent="0.25">
      <c r="A925" s="7"/>
      <c r="B925" s="1042"/>
      <c r="C925" s="1043"/>
      <c r="D925" s="1044"/>
      <c r="E925" s="1043"/>
      <c r="F925" s="1065"/>
      <c r="G925" s="1066"/>
      <c r="H925" s="1067"/>
      <c r="I925" s="1068"/>
      <c r="J925" s="1065"/>
      <c r="K925" s="1046"/>
      <c r="L925" s="1069"/>
      <c r="M925" s="1048"/>
      <c r="N925" s="1070"/>
      <c r="O925" s="1051"/>
      <c r="P925" s="7"/>
    </row>
    <row r="926" spans="1:16" x14ac:dyDescent="0.2">
      <c r="A926" s="7"/>
      <c r="B926" s="36" t="s">
        <v>783</v>
      </c>
      <c r="C926" s="26"/>
      <c r="D926" s="26"/>
      <c r="E926" s="26"/>
      <c r="F926" s="662"/>
      <c r="G926" s="652"/>
      <c r="H926" s="656">
        <f>SUM(H909:H913,H916:H918)</f>
        <v>48863.04568000001</v>
      </c>
      <c r="I926" s="660"/>
      <c r="J926" s="661"/>
      <c r="K926" s="661"/>
      <c r="L926" s="666">
        <f>SUM(L909:L913,L916:L918)</f>
        <v>48968.415214772365</v>
      </c>
      <c r="M926" s="654"/>
      <c r="N926" s="659">
        <f>L926-H926</f>
        <v>105.36953477235511</v>
      </c>
      <c r="O926" s="657">
        <f>IF((H926)=0,"",(N926/H926))</f>
        <v>2.1564258491460265E-3</v>
      </c>
      <c r="P926" s="7"/>
    </row>
    <row r="927" spans="1:16" x14ac:dyDescent="0.2">
      <c r="A927" s="7"/>
      <c r="B927" s="650" t="s">
        <v>38</v>
      </c>
      <c r="C927" s="26"/>
      <c r="D927" s="26"/>
      <c r="E927" s="26"/>
      <c r="F927" s="649">
        <v>0.13</v>
      </c>
      <c r="G927" s="653"/>
      <c r="H927" s="670">
        <f>H926*F927</f>
        <v>6352.195938400002</v>
      </c>
      <c r="I927" s="648"/>
      <c r="J927" s="671">
        <v>0.13</v>
      </c>
      <c r="K927" s="648"/>
      <c r="L927" s="672">
        <f>L926*J927</f>
        <v>6365.8939779204075</v>
      </c>
      <c r="M927" s="673"/>
      <c r="N927" s="674">
        <f t="shared" si="79"/>
        <v>13.698039520405473</v>
      </c>
      <c r="O927" s="675">
        <f t="shared" si="81"/>
        <v>2.1564258491459177E-3</v>
      </c>
      <c r="P927" s="7"/>
    </row>
    <row r="928" spans="1:16" x14ac:dyDescent="0.2">
      <c r="A928" s="7"/>
      <c r="B928" s="651" t="s">
        <v>1139</v>
      </c>
      <c r="C928" s="26"/>
      <c r="D928" s="26"/>
      <c r="E928" s="26"/>
      <c r="F928" s="658"/>
      <c r="G928" s="653"/>
      <c r="H928" s="670">
        <f>H926+H927</f>
        <v>55215.24161840001</v>
      </c>
      <c r="I928" s="648"/>
      <c r="J928" s="648"/>
      <c r="K928" s="648"/>
      <c r="L928" s="672">
        <f>L926+L927</f>
        <v>55334.309192692774</v>
      </c>
      <c r="M928" s="673"/>
      <c r="N928" s="674">
        <f t="shared" si="79"/>
        <v>119.06757429276331</v>
      </c>
      <c r="O928" s="675">
        <f t="shared" si="81"/>
        <v>2.1564258491460634E-3</v>
      </c>
      <c r="P928" s="7"/>
    </row>
    <row r="929" spans="1:16" ht="12.75" customHeight="1" x14ac:dyDescent="0.2">
      <c r="A929" s="7"/>
      <c r="B929" s="1626" t="s">
        <v>1140</v>
      </c>
      <c r="C929" s="1626"/>
      <c r="D929" s="1626"/>
      <c r="E929" s="26"/>
      <c r="F929" s="658"/>
      <c r="G929" s="653"/>
      <c r="H929" s="1052">
        <f>ROUND(-H928*10%,2)</f>
        <v>-5521.52</v>
      </c>
      <c r="I929" s="648"/>
      <c r="J929" s="648"/>
      <c r="K929" s="648"/>
      <c r="L929" s="1053">
        <f>ROUND(-L928*10%,2)</f>
        <v>-5533.43</v>
      </c>
      <c r="M929" s="673"/>
      <c r="N929" s="1054">
        <f t="shared" si="79"/>
        <v>-11.909999999999854</v>
      </c>
      <c r="O929" s="1055">
        <f t="shared" si="81"/>
        <v>2.1570147350729245E-3</v>
      </c>
      <c r="P929" s="7"/>
    </row>
    <row r="930" spans="1:16" ht="13.5" customHeight="1" thickBot="1" x14ac:dyDescent="0.25">
      <c r="A930" s="7"/>
      <c r="B930" s="1626" t="s">
        <v>784</v>
      </c>
      <c r="C930" s="1626"/>
      <c r="D930" s="1626"/>
      <c r="E930" s="1056"/>
      <c r="F930" s="1071"/>
      <c r="G930" s="1072"/>
      <c r="H930" s="1073">
        <f>H928+H929</f>
        <v>49693.721618400014</v>
      </c>
      <c r="I930" s="1074"/>
      <c r="J930" s="1074"/>
      <c r="K930" s="1074"/>
      <c r="L930" s="1075">
        <f>L928+L929</f>
        <v>49800.879192692773</v>
      </c>
      <c r="M930" s="1076"/>
      <c r="N930" s="1077">
        <f t="shared" si="79"/>
        <v>107.15757429275982</v>
      </c>
      <c r="O930" s="1078">
        <f t="shared" si="81"/>
        <v>2.1563604174311378E-3</v>
      </c>
      <c r="P930" s="7"/>
    </row>
    <row r="931" spans="1:16" ht="13.5" thickBot="1" x14ac:dyDescent="0.25">
      <c r="A931" s="7"/>
      <c r="B931" s="1042"/>
      <c r="C931" s="1043"/>
      <c r="D931" s="1044"/>
      <c r="E931" s="1043"/>
      <c r="F931" s="1065"/>
      <c r="G931" s="1066"/>
      <c r="H931" s="1067"/>
      <c r="I931" s="1068"/>
      <c r="J931" s="1065"/>
      <c r="K931" s="1046"/>
      <c r="L931" s="1069"/>
      <c r="M931" s="1048"/>
      <c r="N931" s="1070"/>
      <c r="O931" s="1051"/>
      <c r="P931" s="7"/>
    </row>
    <row r="932" spans="1:16" x14ac:dyDescent="0.2">
      <c r="A932" s="7"/>
      <c r="B932" s="7"/>
      <c r="C932" s="7"/>
      <c r="D932" s="7"/>
      <c r="E932" s="7"/>
      <c r="F932" s="7"/>
      <c r="G932" s="7"/>
      <c r="H932" s="7"/>
      <c r="I932" s="7"/>
      <c r="J932" s="7"/>
      <c r="K932" s="7"/>
      <c r="L932" s="678"/>
      <c r="M932" s="7"/>
      <c r="N932" s="7"/>
      <c r="O932" s="7"/>
      <c r="P932" s="7"/>
    </row>
    <row r="933" spans="1:16" x14ac:dyDescent="0.2">
      <c r="A933" s="7"/>
      <c r="B933" s="8" t="s">
        <v>39</v>
      </c>
      <c r="C933" s="7"/>
      <c r="D933" s="7"/>
      <c r="E933" s="7"/>
      <c r="F933" s="1079">
        <v>3.5600000000000076E-2</v>
      </c>
      <c r="G933" s="7"/>
      <c r="H933" s="7"/>
      <c r="I933" s="7"/>
      <c r="J933" s="1079">
        <v>4.2054064279015257E-2</v>
      </c>
      <c r="K933" s="7"/>
      <c r="L933" s="7"/>
      <c r="M933" s="7"/>
      <c r="N933" s="7"/>
      <c r="O933" s="7"/>
      <c r="P933" s="7"/>
    </row>
    <row r="934" spans="1:16" x14ac:dyDescent="0.2">
      <c r="A934" s="7"/>
      <c r="B934" s="7"/>
      <c r="C934" s="7"/>
      <c r="D934" s="7"/>
      <c r="E934" s="7"/>
      <c r="F934" s="7"/>
      <c r="G934" s="7"/>
      <c r="H934" s="7"/>
      <c r="I934" s="7"/>
      <c r="J934" s="7"/>
      <c r="K934" s="7"/>
      <c r="L934" s="7"/>
      <c r="M934" s="7"/>
      <c r="N934" s="7"/>
      <c r="O934" s="7"/>
      <c r="P934" s="7"/>
    </row>
    <row r="935" spans="1:16" ht="14.25" x14ac:dyDescent="0.2">
      <c r="A935" s="214" t="s">
        <v>1141</v>
      </c>
      <c r="B935" s="7"/>
      <c r="C935" s="7"/>
      <c r="D935" s="7"/>
      <c r="E935" s="7"/>
      <c r="F935" s="7"/>
      <c r="G935" s="7"/>
      <c r="H935" s="7"/>
      <c r="I935" s="7"/>
      <c r="J935" s="7"/>
      <c r="K935" s="7"/>
      <c r="L935" s="7"/>
      <c r="M935" s="7"/>
      <c r="N935" s="7"/>
      <c r="O935" s="7"/>
      <c r="P935" s="7"/>
    </row>
    <row r="936" spans="1:16" x14ac:dyDescent="0.2">
      <c r="A936" s="7"/>
      <c r="B936" s="7"/>
      <c r="C936" s="7"/>
      <c r="D936" s="7"/>
      <c r="E936" s="7"/>
      <c r="F936" s="7"/>
      <c r="G936" s="7"/>
      <c r="H936" s="7"/>
      <c r="I936" s="7"/>
      <c r="J936" s="7"/>
      <c r="K936" s="7"/>
      <c r="L936" s="7"/>
      <c r="M936" s="7"/>
      <c r="N936" s="7"/>
      <c r="O936" s="7"/>
      <c r="P936" s="7"/>
    </row>
    <row r="937" spans="1:16" x14ac:dyDescent="0.2">
      <c r="A937" s="7" t="s">
        <v>107</v>
      </c>
      <c r="B937" s="7"/>
      <c r="C937" s="7"/>
      <c r="D937" s="7"/>
      <c r="E937" s="7"/>
      <c r="F937" s="7"/>
      <c r="G937" s="7"/>
      <c r="H937" s="7"/>
      <c r="I937" s="7"/>
      <c r="J937" s="7"/>
      <c r="K937" s="7"/>
      <c r="L937" s="7"/>
      <c r="M937" s="7"/>
      <c r="N937" s="7"/>
      <c r="O937" s="7"/>
      <c r="P937" s="7"/>
    </row>
    <row r="938" spans="1:16" x14ac:dyDescent="0.2">
      <c r="A938" s="7" t="s">
        <v>108</v>
      </c>
      <c r="B938" s="7"/>
      <c r="C938" s="7"/>
      <c r="D938" s="7"/>
      <c r="E938" s="7"/>
      <c r="F938" s="7"/>
      <c r="G938" s="7"/>
      <c r="H938" s="7"/>
      <c r="I938" s="7"/>
      <c r="J938" s="7"/>
      <c r="K938" s="7"/>
      <c r="L938" s="7"/>
      <c r="M938" s="7"/>
      <c r="N938" s="7"/>
      <c r="O938" s="7"/>
      <c r="P938" s="7"/>
    </row>
    <row r="939" spans="1:16" x14ac:dyDescent="0.2">
      <c r="A939" s="7"/>
      <c r="B939" s="7"/>
      <c r="C939" s="7"/>
      <c r="D939" s="7"/>
      <c r="E939" s="7"/>
      <c r="F939" s="7"/>
      <c r="G939" s="7"/>
      <c r="H939" s="7"/>
      <c r="I939" s="7"/>
      <c r="J939" s="7"/>
      <c r="K939" s="7"/>
      <c r="L939" s="7"/>
      <c r="M939" s="7"/>
      <c r="N939" s="7"/>
      <c r="O939" s="7"/>
      <c r="P939" s="7"/>
    </row>
    <row r="940" spans="1:16" x14ac:dyDescent="0.2">
      <c r="A940" s="7" t="s">
        <v>331</v>
      </c>
      <c r="B940" s="7"/>
      <c r="C940" s="7"/>
      <c r="D940" s="7"/>
      <c r="E940" s="7"/>
      <c r="F940" s="7"/>
      <c r="G940" s="7"/>
      <c r="H940" s="7"/>
      <c r="I940" s="7"/>
      <c r="J940" s="7"/>
      <c r="K940" s="7"/>
      <c r="L940" s="7"/>
      <c r="M940" s="7"/>
      <c r="N940" s="7"/>
      <c r="O940" s="7"/>
      <c r="P940" s="7"/>
    </row>
    <row r="941" spans="1:16" x14ac:dyDescent="0.2">
      <c r="A941" s="7" t="s">
        <v>109</v>
      </c>
      <c r="B941" s="7"/>
      <c r="C941" s="7"/>
      <c r="D941" s="7"/>
      <c r="E941" s="7"/>
      <c r="F941" s="7"/>
      <c r="G941" s="7"/>
      <c r="H941" s="7"/>
      <c r="I941" s="7"/>
      <c r="J941" s="7"/>
      <c r="K941" s="7"/>
      <c r="L941" s="7"/>
      <c r="M941" s="7"/>
      <c r="N941" s="7"/>
      <c r="O941" s="7"/>
      <c r="P941" s="7"/>
    </row>
    <row r="942" spans="1:16" x14ac:dyDescent="0.2">
      <c r="A942" s="7"/>
      <c r="B942" s="7"/>
      <c r="C942" s="7"/>
      <c r="D942" s="7"/>
      <c r="E942" s="7"/>
      <c r="F942" s="7"/>
      <c r="G942" s="7"/>
      <c r="H942" s="7"/>
      <c r="I942" s="7"/>
      <c r="J942" s="7"/>
      <c r="K942" s="7"/>
      <c r="L942" s="7"/>
      <c r="M942" s="7"/>
      <c r="N942" s="7"/>
      <c r="O942" s="7"/>
      <c r="P942" s="7"/>
    </row>
    <row r="943" spans="1:16" x14ac:dyDescent="0.2">
      <c r="A943" s="7" t="s">
        <v>110</v>
      </c>
      <c r="B943" s="7"/>
      <c r="C943" s="7"/>
      <c r="D943" s="7"/>
      <c r="E943" s="7"/>
      <c r="F943" s="7"/>
      <c r="G943" s="7"/>
      <c r="H943" s="7"/>
      <c r="I943" s="7"/>
      <c r="J943" s="7"/>
      <c r="K943" s="7"/>
      <c r="L943" s="7"/>
      <c r="M943" s="7"/>
      <c r="N943" s="7"/>
      <c r="O943" s="7"/>
      <c r="P943" s="7"/>
    </row>
    <row r="944" spans="1:16" x14ac:dyDescent="0.2">
      <c r="A944" s="7" t="s">
        <v>111</v>
      </c>
      <c r="B944" s="7"/>
      <c r="C944" s="7"/>
      <c r="D944" s="7"/>
      <c r="E944" s="7"/>
      <c r="F944" s="7"/>
      <c r="G944" s="7"/>
      <c r="H944" s="7"/>
      <c r="I944" s="7"/>
      <c r="J944" s="7"/>
      <c r="K944" s="7"/>
      <c r="L944" s="7"/>
      <c r="M944" s="7"/>
      <c r="N944" s="7"/>
      <c r="O944" s="7"/>
      <c r="P944" s="7"/>
    </row>
    <row r="945" spans="1:16" x14ac:dyDescent="0.2">
      <c r="A945" s="7" t="s">
        <v>112</v>
      </c>
      <c r="B945" s="7"/>
      <c r="C945" s="7"/>
      <c r="D945" s="7"/>
      <c r="E945" s="7"/>
      <c r="F945" s="7"/>
      <c r="G945" s="7"/>
      <c r="H945" s="7"/>
      <c r="I945" s="7"/>
      <c r="J945" s="7"/>
      <c r="K945" s="7"/>
      <c r="L945" s="7"/>
      <c r="M945" s="7"/>
      <c r="N945" s="7"/>
      <c r="O945" s="7"/>
      <c r="P945" s="7"/>
    </row>
    <row r="946" spans="1:16" x14ac:dyDescent="0.2">
      <c r="A946" s="7" t="s">
        <v>113</v>
      </c>
      <c r="B946" s="7"/>
      <c r="C946" s="7"/>
      <c r="D946" s="7"/>
      <c r="E946" s="7"/>
      <c r="F946" s="7"/>
      <c r="G946" s="7"/>
      <c r="H946" s="7"/>
      <c r="I946" s="7"/>
      <c r="J946" s="7"/>
      <c r="K946" s="7"/>
      <c r="L946" s="7"/>
      <c r="M946" s="7"/>
      <c r="N946" s="7"/>
      <c r="O946" s="7"/>
      <c r="P946" s="7"/>
    </row>
    <row r="947" spans="1:16" x14ac:dyDescent="0.2">
      <c r="A947" s="7" t="s">
        <v>114</v>
      </c>
      <c r="B947" s="7"/>
      <c r="C947" s="7"/>
      <c r="D947" s="7"/>
      <c r="E947" s="7"/>
      <c r="F947" s="7"/>
      <c r="G947" s="7"/>
      <c r="H947" s="7"/>
      <c r="I947" s="7"/>
      <c r="J947" s="7"/>
      <c r="K947" s="7"/>
      <c r="L947" s="7"/>
      <c r="M947" s="7"/>
      <c r="N947" s="7"/>
      <c r="O947" s="7"/>
      <c r="P947" s="7"/>
    </row>
    <row r="949" spans="1:16" ht="21.75" x14ac:dyDescent="0.2">
      <c r="A949" s="41"/>
      <c r="B949" s="41"/>
      <c r="C949" s="41"/>
      <c r="D949" s="41"/>
      <c r="E949" s="41"/>
      <c r="F949" s="41"/>
      <c r="G949" s="41"/>
      <c r="H949" s="41"/>
      <c r="I949" s="41"/>
      <c r="J949" s="41"/>
      <c r="K949" s="41"/>
      <c r="L949" s="37"/>
      <c r="M949" s="37"/>
      <c r="N949" s="16" t="s">
        <v>444</v>
      </c>
      <c r="O949" s="250" t="s">
        <v>866</v>
      </c>
    </row>
    <row r="950" spans="1:16" ht="18" x14ac:dyDescent="0.25">
      <c r="A950" s="40"/>
      <c r="B950" s="40"/>
      <c r="C950" s="40"/>
      <c r="D950" s="40"/>
      <c r="E950" s="40"/>
      <c r="F950" s="40"/>
      <c r="G950" s="40"/>
      <c r="H950" s="40"/>
      <c r="I950" s="40"/>
      <c r="J950" s="40"/>
      <c r="K950" s="40"/>
      <c r="L950" s="37"/>
      <c r="M950" s="37"/>
      <c r="N950" s="16" t="s">
        <v>445</v>
      </c>
      <c r="O950" s="1001"/>
    </row>
    <row r="951" spans="1:16" x14ac:dyDescent="0.2">
      <c r="A951" s="1626"/>
      <c r="B951" s="1626"/>
      <c r="C951" s="1626"/>
      <c r="D951" s="1626"/>
      <c r="E951" s="1626"/>
      <c r="F951" s="1626"/>
      <c r="G951" s="1626"/>
      <c r="H951" s="1626"/>
      <c r="I951" s="1626"/>
      <c r="J951" s="1626"/>
      <c r="K951" s="1626"/>
      <c r="L951" s="37"/>
      <c r="M951" s="37"/>
      <c r="N951" s="16" t="s">
        <v>446</v>
      </c>
      <c r="O951" s="1001"/>
    </row>
    <row r="952" spans="1:16" ht="18" x14ac:dyDescent="0.25">
      <c r="A952" s="40"/>
      <c r="B952" s="40"/>
      <c r="C952" s="40"/>
      <c r="D952" s="40"/>
      <c r="E952" s="40"/>
      <c r="F952" s="40"/>
      <c r="G952" s="40"/>
      <c r="H952" s="40"/>
      <c r="I952" s="38"/>
      <c r="J952" s="38"/>
      <c r="K952" s="38"/>
      <c r="L952" s="37"/>
      <c r="M952" s="37"/>
      <c r="N952" s="16" t="s">
        <v>447</v>
      </c>
      <c r="O952" s="1001"/>
    </row>
    <row r="953" spans="1:16" ht="15.75" x14ac:dyDescent="0.25">
      <c r="A953" s="37"/>
      <c r="B953" s="37"/>
      <c r="C953" s="39"/>
      <c r="D953" s="39"/>
      <c r="E953" s="39"/>
      <c r="F953" s="37"/>
      <c r="G953" s="37"/>
      <c r="H953" s="37"/>
      <c r="I953" s="37"/>
      <c r="J953" s="37"/>
      <c r="K953" s="37"/>
      <c r="L953" s="37"/>
      <c r="M953" s="37"/>
      <c r="N953" s="16" t="s">
        <v>448</v>
      </c>
      <c r="O953" s="1002" t="s">
        <v>1155</v>
      </c>
    </row>
    <row r="954" spans="1:16" x14ac:dyDescent="0.2">
      <c r="A954" s="37"/>
      <c r="B954" s="37"/>
      <c r="C954" s="37"/>
      <c r="D954" s="37"/>
      <c r="E954" s="37"/>
      <c r="F954" s="37"/>
      <c r="G954" s="37"/>
      <c r="H954" s="37"/>
      <c r="I954" s="37"/>
      <c r="J954" s="37"/>
      <c r="K954" s="37"/>
      <c r="L954" s="37"/>
      <c r="M954" s="37"/>
      <c r="N954" s="16"/>
      <c r="O954" s="250"/>
    </row>
    <row r="955" spans="1:16" x14ac:dyDescent="0.2">
      <c r="A955" s="37"/>
      <c r="B955" s="37"/>
      <c r="C955" s="37"/>
      <c r="D955" s="37"/>
      <c r="E955" s="37"/>
      <c r="F955" s="37"/>
      <c r="G955" s="37"/>
      <c r="H955" s="37"/>
      <c r="I955" s="37"/>
      <c r="J955" s="37"/>
      <c r="K955" s="37"/>
      <c r="L955" s="37"/>
      <c r="M955" s="37"/>
      <c r="N955" s="16" t="s">
        <v>449</v>
      </c>
      <c r="O955" s="1002"/>
    </row>
    <row r="956" spans="1:16" x14ac:dyDescent="0.2">
      <c r="A956" s="37"/>
      <c r="B956" s="37"/>
      <c r="C956" s="37"/>
      <c r="D956" s="37"/>
      <c r="E956" s="37"/>
      <c r="F956" s="37"/>
      <c r="G956" s="37"/>
      <c r="H956" s="37"/>
      <c r="I956" s="37"/>
      <c r="J956" s="37"/>
      <c r="K956" s="37"/>
      <c r="L956" s="37"/>
      <c r="M956" s="37"/>
      <c r="N956" s="7"/>
    </row>
    <row r="957" spans="1:16" x14ac:dyDescent="0.2">
      <c r="A957" s="7"/>
      <c r="B957" s="7"/>
      <c r="C957" s="7"/>
      <c r="D957" s="7"/>
      <c r="E957" s="7"/>
      <c r="F957" s="7"/>
      <c r="G957" s="7"/>
      <c r="H957" s="7"/>
      <c r="I957" s="7"/>
      <c r="J957" s="7"/>
      <c r="K957" s="7"/>
    </row>
    <row r="958" spans="1:16" x14ac:dyDescent="0.2">
      <c r="A958" s="7"/>
      <c r="B958" s="1626" t="s">
        <v>695</v>
      </c>
      <c r="C958" s="1626"/>
      <c r="D958" s="1626"/>
      <c r="E958" s="1626"/>
      <c r="F958" s="1626"/>
      <c r="G958" s="1626"/>
      <c r="H958" s="1626"/>
      <c r="I958" s="1626"/>
      <c r="J958" s="1626"/>
      <c r="K958" s="1626"/>
      <c r="L958" s="1626"/>
      <c r="M958" s="1626"/>
      <c r="N958" s="1626"/>
      <c r="O958" s="1626"/>
    </row>
    <row r="959" spans="1:16" x14ac:dyDescent="0.2">
      <c r="A959" s="7"/>
      <c r="B959" s="1626" t="s">
        <v>63</v>
      </c>
      <c r="C959" s="1626"/>
      <c r="D959" s="1626"/>
      <c r="E959" s="1626"/>
      <c r="F959" s="1626"/>
      <c r="G959" s="1626"/>
      <c r="H959" s="1626"/>
      <c r="I959" s="1626"/>
      <c r="J959" s="1626"/>
      <c r="K959" s="1626"/>
      <c r="L959" s="1626"/>
      <c r="M959" s="1626"/>
      <c r="N959" s="1626"/>
      <c r="O959" s="1626"/>
    </row>
    <row r="960" spans="1:16" x14ac:dyDescent="0.2">
      <c r="A960" s="7"/>
      <c r="B960" s="7"/>
      <c r="C960" s="7"/>
      <c r="D960" s="7"/>
      <c r="E960" s="7"/>
      <c r="F960" s="7"/>
      <c r="G960" s="7"/>
      <c r="H960" s="7"/>
      <c r="I960" s="7"/>
      <c r="J960" s="7"/>
      <c r="K960" s="7"/>
    </row>
    <row r="961" spans="1:16" x14ac:dyDescent="0.2">
      <c r="A961" s="7"/>
      <c r="B961" s="7"/>
      <c r="C961" s="7"/>
      <c r="D961" s="7"/>
      <c r="E961" s="7"/>
      <c r="F961" s="7"/>
      <c r="G961" s="7"/>
      <c r="H961" s="7"/>
      <c r="I961" s="7"/>
      <c r="J961" s="7"/>
      <c r="K961" s="7"/>
    </row>
    <row r="962" spans="1:16" x14ac:dyDescent="0.2">
      <c r="A962" s="7"/>
      <c r="B962" s="43" t="s">
        <v>40</v>
      </c>
      <c r="C962" s="7"/>
      <c r="D962" s="1626" t="s">
        <v>1156</v>
      </c>
      <c r="E962" s="1626"/>
      <c r="F962" s="1626"/>
      <c r="G962" s="1626"/>
      <c r="H962" s="1626"/>
      <c r="I962" s="1626"/>
      <c r="J962" s="1626"/>
      <c r="K962" s="1626"/>
      <c r="L962" s="1626"/>
      <c r="M962" s="1626"/>
      <c r="N962" s="1626"/>
      <c r="O962" s="1626"/>
      <c r="P962" s="7"/>
    </row>
    <row r="963" spans="1:16" ht="15.75" x14ac:dyDescent="0.25">
      <c r="A963" s="7"/>
      <c r="B963" s="1003"/>
      <c r="C963" s="7"/>
      <c r="D963" s="42"/>
      <c r="E963" s="42"/>
      <c r="F963" s="42"/>
      <c r="G963" s="42"/>
      <c r="H963" s="42"/>
      <c r="I963" s="42"/>
      <c r="J963" s="42"/>
      <c r="K963" s="42"/>
      <c r="L963" s="42"/>
      <c r="M963" s="42"/>
      <c r="N963" s="42"/>
      <c r="O963" s="42"/>
      <c r="P963" s="7"/>
    </row>
    <row r="964" spans="1:16" x14ac:dyDescent="0.2">
      <c r="A964" s="7"/>
      <c r="B964" s="647"/>
      <c r="C964" s="7"/>
      <c r="D964" s="8" t="s">
        <v>17</v>
      </c>
      <c r="E964" s="8"/>
      <c r="F964" s="1004">
        <v>605000</v>
      </c>
      <c r="G964" s="8" t="s">
        <v>18</v>
      </c>
      <c r="H964" s="7"/>
      <c r="I964" s="7"/>
      <c r="J964" s="7"/>
      <c r="K964" s="7"/>
      <c r="L964" s="7"/>
      <c r="M964" s="7"/>
      <c r="N964" s="7"/>
      <c r="O964" s="7"/>
      <c r="P964" s="7"/>
    </row>
    <row r="965" spans="1:16" x14ac:dyDescent="0.2">
      <c r="A965" s="7"/>
      <c r="B965" s="647"/>
      <c r="C965" s="7"/>
      <c r="D965" s="7"/>
      <c r="E965" s="7"/>
      <c r="F965" s="7"/>
      <c r="G965" s="7"/>
      <c r="H965" s="7"/>
      <c r="I965" s="7"/>
      <c r="J965" s="7"/>
      <c r="K965" s="7"/>
      <c r="L965" s="7"/>
      <c r="M965" s="7"/>
      <c r="N965" s="7"/>
      <c r="O965" s="7"/>
      <c r="P965" s="7"/>
    </row>
    <row r="966" spans="1:16" x14ac:dyDescent="0.2">
      <c r="A966" s="7"/>
      <c r="B966" s="647"/>
      <c r="C966" s="7"/>
      <c r="D966" s="19"/>
      <c r="E966" s="19"/>
      <c r="F966" s="1626" t="s">
        <v>19</v>
      </c>
      <c r="G966" s="1626"/>
      <c r="H966" s="1626"/>
      <c r="I966" s="7"/>
      <c r="J966" s="1626" t="s">
        <v>20</v>
      </c>
      <c r="K966" s="1626"/>
      <c r="L966" s="1626"/>
      <c r="M966" s="7"/>
      <c r="N966" s="1626" t="s">
        <v>21</v>
      </c>
      <c r="O966" s="1626"/>
      <c r="P966" s="7"/>
    </row>
    <row r="967" spans="1:16" ht="12.75" customHeight="1" x14ac:dyDescent="0.2">
      <c r="A967" s="7"/>
      <c r="B967" s="647"/>
      <c r="C967" s="7"/>
      <c r="D967" s="1626" t="s">
        <v>22</v>
      </c>
      <c r="E967" s="20"/>
      <c r="F967" s="21" t="s">
        <v>23</v>
      </c>
      <c r="G967" s="21" t="s">
        <v>24</v>
      </c>
      <c r="H967" s="22" t="s">
        <v>25</v>
      </c>
      <c r="I967" s="7"/>
      <c r="J967" s="21" t="s">
        <v>23</v>
      </c>
      <c r="K967" s="23" t="s">
        <v>24</v>
      </c>
      <c r="L967" s="22" t="s">
        <v>25</v>
      </c>
      <c r="M967" s="7"/>
      <c r="N967" s="1626" t="s">
        <v>26</v>
      </c>
      <c r="O967" s="1626" t="s">
        <v>27</v>
      </c>
      <c r="P967" s="7"/>
    </row>
    <row r="968" spans="1:16" x14ac:dyDescent="0.2">
      <c r="A968" s="7"/>
      <c r="B968" s="647"/>
      <c r="C968" s="7"/>
      <c r="D968" s="1626"/>
      <c r="E968" s="20"/>
      <c r="F968" s="24" t="s">
        <v>452</v>
      </c>
      <c r="G968" s="24"/>
      <c r="H968" s="25" t="s">
        <v>452</v>
      </c>
      <c r="I968" s="7"/>
      <c r="J968" s="24" t="s">
        <v>452</v>
      </c>
      <c r="K968" s="25"/>
      <c r="L968" s="25" t="s">
        <v>452</v>
      </c>
      <c r="M968" s="7"/>
      <c r="N968" s="1626"/>
      <c r="O968" s="1626"/>
      <c r="P968" s="7"/>
    </row>
    <row r="969" spans="1:16" x14ac:dyDescent="0.2">
      <c r="A969" s="7"/>
      <c r="B969" s="26" t="s">
        <v>28</v>
      </c>
      <c r="C969" s="26"/>
      <c r="D969" s="1005" t="s">
        <v>1130</v>
      </c>
      <c r="E969" s="27"/>
      <c r="F969" s="1006">
        <v>3121.63</v>
      </c>
      <c r="G969" s="32">
        <v>1</v>
      </c>
      <c r="H969" s="1007">
        <f>G969*F969</f>
        <v>3121.63</v>
      </c>
      <c r="I969" s="30"/>
      <c r="J969" s="1008">
        <v>3121.63</v>
      </c>
      <c r="K969" s="33">
        <v>1</v>
      </c>
      <c r="L969" s="1007">
        <f>K969*J969</f>
        <v>3121.63</v>
      </c>
      <c r="M969" s="30"/>
      <c r="N969" s="34">
        <f>L969-H969</f>
        <v>0</v>
      </c>
      <c r="O969" s="202">
        <f>IF((H969)=0,"",(N969/H969))</f>
        <v>0</v>
      </c>
      <c r="P969" s="7"/>
    </row>
    <row r="970" spans="1:16" x14ac:dyDescent="0.2">
      <c r="A970" s="7"/>
      <c r="B970" s="26" t="s">
        <v>29</v>
      </c>
      <c r="C970" s="26"/>
      <c r="D970" s="1005" t="s">
        <v>1130</v>
      </c>
      <c r="E970" s="27"/>
      <c r="F970" s="1006">
        <v>0</v>
      </c>
      <c r="G970" s="32">
        <v>1</v>
      </c>
      <c r="H970" s="1007">
        <f t="shared" ref="H970:H978" si="84">G970*F970</f>
        <v>0</v>
      </c>
      <c r="I970" s="30"/>
      <c r="J970" s="1008">
        <v>0</v>
      </c>
      <c r="K970" s="33">
        <v>1</v>
      </c>
      <c r="L970" s="1007">
        <f>K970*J970</f>
        <v>0</v>
      </c>
      <c r="M970" s="30"/>
      <c r="N970" s="34">
        <f>L970-H970</f>
        <v>0</v>
      </c>
      <c r="O970" s="202" t="str">
        <f>IF((H970)=0,"",(N970/H970))</f>
        <v/>
      </c>
      <c r="P970" s="7"/>
    </row>
    <row r="971" spans="1:16" x14ac:dyDescent="0.2">
      <c r="A971" s="7"/>
      <c r="B971" s="1009" t="s">
        <v>1131</v>
      </c>
      <c r="C971" s="26"/>
      <c r="D971" s="1005" t="s">
        <v>80</v>
      </c>
      <c r="E971" s="27"/>
      <c r="F971" s="1006">
        <v>-3.6299999999999999E-2</v>
      </c>
      <c r="G971" s="32">
        <v>1360</v>
      </c>
      <c r="H971" s="1007">
        <f t="shared" si="84"/>
        <v>-49.367999999999995</v>
      </c>
      <c r="I971" s="30"/>
      <c r="J971" s="1008">
        <v>0</v>
      </c>
      <c r="K971" s="33">
        <v>1360</v>
      </c>
      <c r="L971" s="1007">
        <f t="shared" ref="L971:L978" si="85">K971*J971</f>
        <v>0</v>
      </c>
      <c r="M971" s="30"/>
      <c r="N971" s="34">
        <f t="shared" ref="N971:N1009" si="86">L971-H971</f>
        <v>49.367999999999995</v>
      </c>
      <c r="O971" s="202">
        <f t="shared" ref="O971:O979" si="87">IF((H971)=0,"",(N971/H971))</f>
        <v>-1</v>
      </c>
      <c r="P971" s="7"/>
    </row>
    <row r="972" spans="1:16" x14ac:dyDescent="0.2">
      <c r="A972" s="7"/>
      <c r="B972" s="1009" t="s">
        <v>36</v>
      </c>
      <c r="C972" s="26"/>
      <c r="D972" s="1005" t="s">
        <v>1130</v>
      </c>
      <c r="E972" s="27"/>
      <c r="F972" s="1006">
        <v>0.25</v>
      </c>
      <c r="G972" s="32">
        <v>1</v>
      </c>
      <c r="H972" s="1007">
        <f t="shared" si="84"/>
        <v>0.25</v>
      </c>
      <c r="I972" s="30"/>
      <c r="J972" s="1008">
        <v>0.25</v>
      </c>
      <c r="K972" s="33">
        <v>1</v>
      </c>
      <c r="L972" s="1007">
        <f t="shared" si="85"/>
        <v>0.25</v>
      </c>
      <c r="M972" s="30"/>
      <c r="N972" s="34">
        <f t="shared" si="86"/>
        <v>0</v>
      </c>
      <c r="O972" s="202">
        <f t="shared" si="87"/>
        <v>0</v>
      </c>
      <c r="P972" s="7"/>
    </row>
    <row r="973" spans="1:16" x14ac:dyDescent="0.2">
      <c r="A973" s="7"/>
      <c r="B973" s="26" t="s">
        <v>30</v>
      </c>
      <c r="C973" s="26"/>
      <c r="D973" s="1005" t="s">
        <v>80</v>
      </c>
      <c r="E973" s="27"/>
      <c r="F973" s="1006">
        <v>1.2789999999999999</v>
      </c>
      <c r="G973" s="32">
        <v>1360</v>
      </c>
      <c r="H973" s="1007">
        <f t="shared" si="84"/>
        <v>1739.4399999999998</v>
      </c>
      <c r="I973" s="30"/>
      <c r="J973" s="1008">
        <v>1.8051999999999999</v>
      </c>
      <c r="K973" s="32">
        <v>1360</v>
      </c>
      <c r="L973" s="1007">
        <f t="shared" si="85"/>
        <v>2455.0719999999997</v>
      </c>
      <c r="M973" s="30"/>
      <c r="N973" s="34">
        <f t="shared" si="86"/>
        <v>715.63199999999983</v>
      </c>
      <c r="O973" s="202">
        <f t="shared" si="87"/>
        <v>0.41141516810007811</v>
      </c>
      <c r="P973" s="7"/>
    </row>
    <row r="974" spans="1:16" x14ac:dyDescent="0.2">
      <c r="A974" s="7"/>
      <c r="B974" s="26" t="s">
        <v>31</v>
      </c>
      <c r="C974" s="26"/>
      <c r="D974" s="1005"/>
      <c r="E974" s="27"/>
      <c r="F974" s="1006"/>
      <c r="G974" s="32"/>
      <c r="H974" s="1007">
        <f t="shared" si="84"/>
        <v>0</v>
      </c>
      <c r="I974" s="30"/>
      <c r="J974" s="1008"/>
      <c r="K974" s="32"/>
      <c r="L974" s="1007">
        <f t="shared" si="85"/>
        <v>0</v>
      </c>
      <c r="M974" s="30"/>
      <c r="N974" s="34">
        <f t="shared" si="86"/>
        <v>0</v>
      </c>
      <c r="O974" s="202" t="str">
        <f t="shared" si="87"/>
        <v/>
      </c>
      <c r="P974" s="7"/>
    </row>
    <row r="975" spans="1:16" x14ac:dyDescent="0.2">
      <c r="A975" s="7"/>
      <c r="B975" s="26" t="s">
        <v>1132</v>
      </c>
      <c r="C975" s="26"/>
      <c r="D975" s="1005" t="s">
        <v>80</v>
      </c>
      <c r="E975" s="27"/>
      <c r="F975" s="1006">
        <v>0</v>
      </c>
      <c r="G975" s="32">
        <v>1360</v>
      </c>
      <c r="H975" s="1007">
        <f t="shared" si="84"/>
        <v>0</v>
      </c>
      <c r="I975" s="30"/>
      <c r="J975" s="1008">
        <v>0</v>
      </c>
      <c r="K975" s="32">
        <v>1360</v>
      </c>
      <c r="L975" s="1007">
        <f t="shared" si="85"/>
        <v>0</v>
      </c>
      <c r="M975" s="30"/>
      <c r="N975" s="34">
        <f t="shared" si="86"/>
        <v>0</v>
      </c>
      <c r="O975" s="202" t="str">
        <f t="shared" si="87"/>
        <v/>
      </c>
      <c r="P975" s="7"/>
    </row>
    <row r="976" spans="1:16" x14ac:dyDescent="0.2">
      <c r="A976" s="7"/>
      <c r="B976" s="26" t="s">
        <v>1133</v>
      </c>
      <c r="C976" s="26"/>
      <c r="D976" s="1005" t="s">
        <v>80</v>
      </c>
      <c r="E976" s="27"/>
      <c r="F976" s="1006">
        <v>0</v>
      </c>
      <c r="G976" s="32">
        <v>1360</v>
      </c>
      <c r="H976" s="1007">
        <f t="shared" si="84"/>
        <v>0</v>
      </c>
      <c r="I976" s="30"/>
      <c r="J976" s="1008">
        <v>0</v>
      </c>
      <c r="K976" s="32">
        <v>1360</v>
      </c>
      <c r="L976" s="1007">
        <f t="shared" si="85"/>
        <v>0</v>
      </c>
      <c r="M976" s="30"/>
      <c r="N976" s="34">
        <f t="shared" si="86"/>
        <v>0</v>
      </c>
      <c r="O976" s="202" t="str">
        <f t="shared" si="87"/>
        <v/>
      </c>
      <c r="P976" s="7"/>
    </row>
    <row r="977" spans="1:16" x14ac:dyDescent="0.2">
      <c r="A977" s="7"/>
      <c r="B977" s="26" t="s">
        <v>1134</v>
      </c>
      <c r="C977" s="26"/>
      <c r="D977" s="1005" t="s">
        <v>80</v>
      </c>
      <c r="E977" s="27"/>
      <c r="F977" s="1006">
        <v>0</v>
      </c>
      <c r="G977" s="32">
        <v>1360</v>
      </c>
      <c r="H977" s="1007">
        <f t="shared" si="84"/>
        <v>0</v>
      </c>
      <c r="I977" s="30"/>
      <c r="J977" s="1008">
        <v>0</v>
      </c>
      <c r="K977" s="32">
        <v>1360</v>
      </c>
      <c r="L977" s="1007">
        <f t="shared" si="85"/>
        <v>0</v>
      </c>
      <c r="M977" s="30"/>
      <c r="N977" s="34">
        <f t="shared" si="86"/>
        <v>0</v>
      </c>
      <c r="O977" s="202" t="str">
        <f t="shared" si="87"/>
        <v/>
      </c>
      <c r="P977" s="7"/>
    </row>
    <row r="978" spans="1:16" x14ac:dyDescent="0.2">
      <c r="A978" s="7"/>
      <c r="B978" s="1010" t="s">
        <v>1135</v>
      </c>
      <c r="C978" s="26"/>
      <c r="D978" s="1005" t="s">
        <v>1130</v>
      </c>
      <c r="E978" s="27"/>
      <c r="F978" s="1006">
        <v>0</v>
      </c>
      <c r="G978" s="32">
        <v>1</v>
      </c>
      <c r="H978" s="1007">
        <f t="shared" si="84"/>
        <v>0</v>
      </c>
      <c r="I978" s="30"/>
      <c r="J978" s="1008">
        <v>0</v>
      </c>
      <c r="K978" s="32">
        <v>1</v>
      </c>
      <c r="L978" s="1007">
        <f t="shared" si="85"/>
        <v>0</v>
      </c>
      <c r="M978" s="30"/>
      <c r="N978" s="34">
        <f t="shared" si="86"/>
        <v>0</v>
      </c>
      <c r="O978" s="202" t="str">
        <f t="shared" si="87"/>
        <v/>
      </c>
      <c r="P978" s="7"/>
    </row>
    <row r="979" spans="1:16" x14ac:dyDescent="0.2">
      <c r="A979" s="29"/>
      <c r="B979" s="1011" t="s">
        <v>698</v>
      </c>
      <c r="C979" s="1012"/>
      <c r="D979" s="1013"/>
      <c r="E979" s="1012"/>
      <c r="F979" s="1014"/>
      <c r="G979" s="1015"/>
      <c r="H979" s="1016">
        <f>SUM(H969:H978)</f>
        <v>4811.9520000000002</v>
      </c>
      <c r="I979" s="1017"/>
      <c r="J979" s="1018"/>
      <c r="K979" s="1019"/>
      <c r="L979" s="1016">
        <f>SUM(L969:L978)</f>
        <v>5576.9519999999993</v>
      </c>
      <c r="M979" s="1017"/>
      <c r="N979" s="1020">
        <f t="shared" si="86"/>
        <v>764.99999999999909</v>
      </c>
      <c r="O979" s="1021">
        <f t="shared" si="87"/>
        <v>0.15897914193657772</v>
      </c>
      <c r="P979" s="29"/>
    </row>
    <row r="980" spans="1:16" ht="38.25" x14ac:dyDescent="0.2">
      <c r="A980" s="7"/>
      <c r="B980" s="1022" t="s">
        <v>1136</v>
      </c>
      <c r="C980" s="26"/>
      <c r="D980" s="1005" t="s">
        <v>80</v>
      </c>
      <c r="E980" s="27"/>
      <c r="F980" s="1006">
        <v>0.52370000000000005</v>
      </c>
      <c r="G980" s="32">
        <v>1360</v>
      </c>
      <c r="H980" s="1007">
        <f>G980*F980</f>
        <v>712.23200000000008</v>
      </c>
      <c r="I980" s="30"/>
      <c r="J980" s="1008">
        <v>0</v>
      </c>
      <c r="K980" s="32">
        <v>1360</v>
      </c>
      <c r="L980" s="1007">
        <f>K980*J980</f>
        <v>0</v>
      </c>
      <c r="M980" s="30"/>
      <c r="N980" s="34">
        <f t="shared" si="86"/>
        <v>-712.23200000000008</v>
      </c>
      <c r="O980" s="202">
        <f>IF((H980)=0,"",(N980/H980))</f>
        <v>-1</v>
      </c>
      <c r="P980" s="7"/>
    </row>
    <row r="981" spans="1:16" ht="38.25" x14ac:dyDescent="0.2">
      <c r="A981" s="7"/>
      <c r="B981" s="1022" t="s">
        <v>1137</v>
      </c>
      <c r="C981" s="26"/>
      <c r="D981" s="1005" t="s">
        <v>80</v>
      </c>
      <c r="E981" s="27"/>
      <c r="F981" s="1006">
        <v>-0.51049999999999995</v>
      </c>
      <c r="G981" s="32">
        <v>1360</v>
      </c>
      <c r="H981" s="1007">
        <f>G981*F981</f>
        <v>-694.28</v>
      </c>
      <c r="I981" s="30"/>
      <c r="J981" s="1008">
        <v>-0.51049999999999995</v>
      </c>
      <c r="K981" s="32">
        <v>1360</v>
      </c>
      <c r="L981" s="1007">
        <f>K981*J981</f>
        <v>-694.28</v>
      </c>
      <c r="M981" s="30"/>
      <c r="N981" s="34">
        <f t="shared" si="86"/>
        <v>0</v>
      </c>
      <c r="O981" s="202">
        <f>IF((H981)=0,"",(N981/H981))</f>
        <v>0</v>
      </c>
      <c r="P981" s="7"/>
    </row>
    <row r="982" spans="1:16" ht="51" x14ac:dyDescent="0.2">
      <c r="A982" s="7"/>
      <c r="B982" s="1022" t="s">
        <v>1138</v>
      </c>
      <c r="C982" s="26"/>
      <c r="D982" s="1005" t="s">
        <v>80</v>
      </c>
      <c r="E982" s="27"/>
      <c r="F982" s="1006">
        <v>0</v>
      </c>
      <c r="G982" s="32">
        <v>1360</v>
      </c>
      <c r="H982" s="1007">
        <f>G982*F982</f>
        <v>0</v>
      </c>
      <c r="I982" s="30"/>
      <c r="J982" s="1008">
        <v>-0.56159999999999999</v>
      </c>
      <c r="K982" s="32">
        <v>1360</v>
      </c>
      <c r="L982" s="1007">
        <f>K982*J982</f>
        <v>-763.77599999999995</v>
      </c>
      <c r="M982" s="30"/>
      <c r="N982" s="34">
        <f t="shared" si="86"/>
        <v>-763.77599999999995</v>
      </c>
      <c r="O982" s="202" t="str">
        <f>IF((H982)=0,"",(N982/H982))</f>
        <v/>
      </c>
      <c r="P982" s="7"/>
    </row>
    <row r="983" spans="1:16" x14ac:dyDescent="0.2">
      <c r="A983" s="7"/>
      <c r="B983" s="564" t="s">
        <v>808</v>
      </c>
      <c r="C983" s="26"/>
      <c r="D983" s="1005" t="s">
        <v>80</v>
      </c>
      <c r="E983" s="27"/>
      <c r="F983" s="1006">
        <v>7.9200000000000007E-2</v>
      </c>
      <c r="G983" s="32">
        <v>1360</v>
      </c>
      <c r="H983" s="1007">
        <f>G983*F983</f>
        <v>107.712</v>
      </c>
      <c r="I983" s="30"/>
      <c r="J983" s="1008">
        <v>8.2000000000000003E-2</v>
      </c>
      <c r="K983" s="32">
        <v>1360</v>
      </c>
      <c r="L983" s="1007">
        <f>K983*J983</f>
        <v>111.52000000000001</v>
      </c>
      <c r="M983" s="30"/>
      <c r="N983" s="34">
        <f t="shared" si="86"/>
        <v>3.8080000000000069</v>
      </c>
      <c r="O983" s="202">
        <f>IF((H983)=0,"",(N983/H983))</f>
        <v>3.5353535353535415E-2</v>
      </c>
      <c r="P983" s="7"/>
    </row>
    <row r="984" spans="1:16" x14ac:dyDescent="0.2">
      <c r="A984" s="7"/>
      <c r="B984" s="564" t="s">
        <v>701</v>
      </c>
      <c r="C984" s="26"/>
      <c r="D984" s="1005"/>
      <c r="E984" s="27"/>
      <c r="F984" s="1023"/>
      <c r="G984" s="1024"/>
      <c r="H984" s="1025"/>
      <c r="I984" s="30"/>
      <c r="J984" s="1008"/>
      <c r="K984" s="32">
        <f>F964</f>
        <v>605000</v>
      </c>
      <c r="L984" s="1007">
        <f>K984*J984</f>
        <v>0</v>
      </c>
      <c r="M984" s="30"/>
      <c r="N984" s="34">
        <f t="shared" si="86"/>
        <v>0</v>
      </c>
      <c r="O984" s="202"/>
      <c r="P984" s="7"/>
    </row>
    <row r="985" spans="1:16" ht="25.5" x14ac:dyDescent="0.2">
      <c r="A985" s="7"/>
      <c r="B985" s="1026" t="s">
        <v>699</v>
      </c>
      <c r="C985" s="1027"/>
      <c r="D985" s="1027"/>
      <c r="E985" s="1027"/>
      <c r="F985" s="1028"/>
      <c r="G985" s="1029"/>
      <c r="H985" s="1030">
        <f>SUM(H979:H984)</f>
        <v>4937.6160000000009</v>
      </c>
      <c r="I985" s="1017"/>
      <c r="J985" s="1029"/>
      <c r="K985" s="1031"/>
      <c r="L985" s="1030">
        <f>SUM(L979:L984)</f>
        <v>4230.4160000000002</v>
      </c>
      <c r="M985" s="1017"/>
      <c r="N985" s="1020">
        <f t="shared" si="86"/>
        <v>-707.20000000000073</v>
      </c>
      <c r="O985" s="1021">
        <f t="shared" ref="O985:O1009" si="88">IF((H985)=0,"",(N985/H985))</f>
        <v>-0.14322701481848743</v>
      </c>
      <c r="P985" s="7"/>
    </row>
    <row r="986" spans="1:16" x14ac:dyDescent="0.2">
      <c r="A986" s="7"/>
      <c r="B986" s="30" t="s">
        <v>32</v>
      </c>
      <c r="C986" s="30"/>
      <c r="D986" s="1032" t="s">
        <v>80</v>
      </c>
      <c r="E986" s="31"/>
      <c r="F986" s="1008">
        <v>2.7241</v>
      </c>
      <c r="G986" s="667">
        <f>1360</f>
        <v>1360</v>
      </c>
      <c r="H986" s="1007">
        <f>G986*F986</f>
        <v>3704.7759999999998</v>
      </c>
      <c r="I986" s="30"/>
      <c r="J986" s="1008">
        <v>2.5053999999999998</v>
      </c>
      <c r="K986" s="668">
        <f>1360</f>
        <v>1360</v>
      </c>
      <c r="L986" s="1007">
        <f>K986*J986</f>
        <v>3407.3439999999996</v>
      </c>
      <c r="M986" s="30"/>
      <c r="N986" s="34">
        <f t="shared" si="86"/>
        <v>-297.43200000000024</v>
      </c>
      <c r="O986" s="202">
        <f t="shared" si="88"/>
        <v>-8.0283396351088498E-2</v>
      </c>
      <c r="P986" s="7"/>
    </row>
    <row r="987" spans="1:16" ht="25.5" x14ac:dyDescent="0.2">
      <c r="A987" s="7"/>
      <c r="B987" s="35" t="s">
        <v>33</v>
      </c>
      <c r="C987" s="30"/>
      <c r="D987" s="1032" t="s">
        <v>80</v>
      </c>
      <c r="E987" s="31"/>
      <c r="F987" s="1008">
        <v>2.1922999999999999</v>
      </c>
      <c r="G987" s="667">
        <f>G986</f>
        <v>1360</v>
      </c>
      <c r="H987" s="1007">
        <f>G987*F987</f>
        <v>2981.5279999999998</v>
      </c>
      <c r="I987" s="30"/>
      <c r="J987" s="1008">
        <v>2.1116000000000001</v>
      </c>
      <c r="K987" s="668">
        <f>K986</f>
        <v>1360</v>
      </c>
      <c r="L987" s="1007">
        <f>K987*J987</f>
        <v>2871.7760000000003</v>
      </c>
      <c r="M987" s="30"/>
      <c r="N987" s="34">
        <f t="shared" si="86"/>
        <v>-109.7519999999995</v>
      </c>
      <c r="O987" s="202">
        <f t="shared" si="88"/>
        <v>-3.6810655475983958E-2</v>
      </c>
      <c r="P987" s="7"/>
    </row>
    <row r="988" spans="1:16" ht="25.5" x14ac:dyDescent="0.2">
      <c r="A988" s="7"/>
      <c r="B988" s="1026" t="s">
        <v>700</v>
      </c>
      <c r="C988" s="1012"/>
      <c r="D988" s="1012"/>
      <c r="E988" s="1012"/>
      <c r="F988" s="1033"/>
      <c r="G988" s="1029"/>
      <c r="H988" s="1030">
        <f>SUM(H985:H987)</f>
        <v>11623.92</v>
      </c>
      <c r="I988" s="1034"/>
      <c r="J988" s="1035"/>
      <c r="K988" s="1036"/>
      <c r="L988" s="1030">
        <f>SUM(L985:L987)</f>
        <v>10509.536</v>
      </c>
      <c r="M988" s="1034"/>
      <c r="N988" s="1020">
        <f t="shared" si="86"/>
        <v>-1114.384</v>
      </c>
      <c r="O988" s="1021">
        <f t="shared" si="88"/>
        <v>-9.5869895869895874E-2</v>
      </c>
      <c r="P988" s="7"/>
    </row>
    <row r="989" spans="1:16" ht="25.5" x14ac:dyDescent="0.2">
      <c r="A989" s="7"/>
      <c r="B989" s="28" t="s">
        <v>34</v>
      </c>
      <c r="C989" s="26"/>
      <c r="D989" s="1005" t="s">
        <v>79</v>
      </c>
      <c r="E989" s="27"/>
      <c r="F989" s="1037">
        <v>5.1999999999999998E-3</v>
      </c>
      <c r="G989" s="667">
        <f>F964*(1+F1012)</f>
        <v>620306.50000000012</v>
      </c>
      <c r="H989" s="1038">
        <f t="shared" ref="H989:H997" si="89">G989*F989</f>
        <v>3225.5938000000006</v>
      </c>
      <c r="I989" s="30"/>
      <c r="J989" s="1039">
        <v>5.1999999999999998E-3</v>
      </c>
      <c r="K989" s="668">
        <f>F964*(1+J1012)</f>
        <v>624118</v>
      </c>
      <c r="L989" s="1038">
        <f t="shared" ref="L989:L997" si="90">K989*J989</f>
        <v>3245.4135999999999</v>
      </c>
      <c r="M989" s="30"/>
      <c r="N989" s="34">
        <f t="shared" si="86"/>
        <v>19.819799999999304</v>
      </c>
      <c r="O989" s="565">
        <f t="shared" si="88"/>
        <v>6.1445430605674223E-3</v>
      </c>
      <c r="P989" s="7"/>
    </row>
    <row r="990" spans="1:16" ht="25.5" x14ac:dyDescent="0.2">
      <c r="A990" s="7"/>
      <c r="B990" s="28" t="s">
        <v>35</v>
      </c>
      <c r="C990" s="26"/>
      <c r="D990" s="1005" t="s">
        <v>79</v>
      </c>
      <c r="E990" s="27"/>
      <c r="F990" s="1037">
        <v>1.1000000000000001E-3</v>
      </c>
      <c r="G990" s="667">
        <f>F964*(1+F1012)</f>
        <v>620306.50000000012</v>
      </c>
      <c r="H990" s="1038">
        <f t="shared" si="89"/>
        <v>682.33715000000018</v>
      </c>
      <c r="I990" s="30"/>
      <c r="J990" s="1039">
        <v>1.1000000000000001E-3</v>
      </c>
      <c r="K990" s="668">
        <f>F964*(1+J1012)</f>
        <v>624118</v>
      </c>
      <c r="L990" s="1038">
        <f t="shared" si="90"/>
        <v>686.52980000000002</v>
      </c>
      <c r="M990" s="30"/>
      <c r="N990" s="34">
        <f t="shared" si="86"/>
        <v>4.1926499999998441</v>
      </c>
      <c r="O990" s="565">
        <f t="shared" si="88"/>
        <v>6.1445430605674084E-3</v>
      </c>
      <c r="P990" s="7"/>
    </row>
    <row r="991" spans="1:16" x14ac:dyDescent="0.2">
      <c r="A991" s="7"/>
      <c r="B991" s="26" t="s">
        <v>36</v>
      </c>
      <c r="C991" s="26"/>
      <c r="D991" s="1005"/>
      <c r="E991" s="27"/>
      <c r="F991" s="1037"/>
      <c r="G991" s="32">
        <v>1</v>
      </c>
      <c r="H991" s="1038">
        <f t="shared" si="89"/>
        <v>0</v>
      </c>
      <c r="I991" s="30"/>
      <c r="J991" s="1039"/>
      <c r="K991" s="33">
        <v>1</v>
      </c>
      <c r="L991" s="1038">
        <f t="shared" si="90"/>
        <v>0</v>
      </c>
      <c r="M991" s="30"/>
      <c r="N991" s="34">
        <f t="shared" si="86"/>
        <v>0</v>
      </c>
      <c r="O991" s="565" t="str">
        <f t="shared" si="88"/>
        <v/>
      </c>
      <c r="P991" s="7"/>
    </row>
    <row r="992" spans="1:16" x14ac:dyDescent="0.2">
      <c r="A992" s="7"/>
      <c r="B992" s="26" t="s">
        <v>37</v>
      </c>
      <c r="C992" s="26"/>
      <c r="D992" s="1005" t="s">
        <v>79</v>
      </c>
      <c r="E992" s="27"/>
      <c r="F992" s="1037">
        <v>7.0000000000000001E-3</v>
      </c>
      <c r="G992" s="667">
        <f>F964</f>
        <v>605000</v>
      </c>
      <c r="H992" s="1038">
        <f t="shared" si="89"/>
        <v>4235</v>
      </c>
      <c r="I992" s="30"/>
      <c r="J992" s="1039">
        <v>7.0000000000000001E-3</v>
      </c>
      <c r="K992" s="668">
        <f>F964</f>
        <v>605000</v>
      </c>
      <c r="L992" s="1038">
        <f t="shared" si="90"/>
        <v>4235</v>
      </c>
      <c r="M992" s="30"/>
      <c r="N992" s="34">
        <f t="shared" si="86"/>
        <v>0</v>
      </c>
      <c r="O992" s="565">
        <f t="shared" si="88"/>
        <v>0</v>
      </c>
      <c r="P992" s="7"/>
    </row>
    <row r="993" spans="1:16" x14ac:dyDescent="0.2">
      <c r="A993" s="7"/>
      <c r="B993" s="564" t="s">
        <v>777</v>
      </c>
      <c r="C993" s="26"/>
      <c r="D993" s="1005" t="s">
        <v>79</v>
      </c>
      <c r="E993" s="27"/>
      <c r="F993" s="1040">
        <v>7.4999999999999997E-2</v>
      </c>
      <c r="G993" s="667">
        <f>IF($G$989&gt;=750,750,$G$989)</f>
        <v>750</v>
      </c>
      <c r="H993" s="1038">
        <f>G993*F993</f>
        <v>56.25</v>
      </c>
      <c r="I993" s="30"/>
      <c r="J993" s="1037">
        <v>7.4999999999999997E-2</v>
      </c>
      <c r="K993" s="667">
        <f>IF($K$989&gt;=750,750,$K$989)</f>
        <v>750</v>
      </c>
      <c r="L993" s="1038">
        <f>K993*J993</f>
        <v>56.25</v>
      </c>
      <c r="M993" s="30"/>
      <c r="N993" s="34">
        <f t="shared" si="86"/>
        <v>0</v>
      </c>
      <c r="O993" s="565">
        <f t="shared" si="88"/>
        <v>0</v>
      </c>
      <c r="P993" s="7"/>
    </row>
    <row r="994" spans="1:16" x14ac:dyDescent="0.2">
      <c r="A994" s="7"/>
      <c r="B994" s="564" t="s">
        <v>778</v>
      </c>
      <c r="C994" s="26"/>
      <c r="D994" s="1005" t="s">
        <v>79</v>
      </c>
      <c r="E994" s="27"/>
      <c r="F994" s="1040">
        <v>8.7999999999999995E-2</v>
      </c>
      <c r="G994" s="667">
        <f>IF($G$989&gt;=750,$G$989-750,0)</f>
        <v>619556.50000000012</v>
      </c>
      <c r="H994" s="1038">
        <f>G994*F994</f>
        <v>54520.972000000009</v>
      </c>
      <c r="I994" s="30"/>
      <c r="J994" s="1037">
        <v>8.7999999999999995E-2</v>
      </c>
      <c r="K994" s="667">
        <f>IF($K$989&gt;=750,$K$989-750,0)</f>
        <v>623368</v>
      </c>
      <c r="L994" s="1038">
        <f>K994*J994</f>
        <v>54856.383999999998</v>
      </c>
      <c r="M994" s="30"/>
      <c r="N994" s="34">
        <f t="shared" si="86"/>
        <v>335.41199999998935</v>
      </c>
      <c r="O994" s="565">
        <f t="shared" si="88"/>
        <v>6.1519812962980425E-3</v>
      </c>
      <c r="P994" s="7"/>
    </row>
    <row r="995" spans="1:16" x14ac:dyDescent="0.2">
      <c r="A995" s="7"/>
      <c r="B995" s="564" t="s">
        <v>779</v>
      </c>
      <c r="C995" s="26"/>
      <c r="D995" s="1005" t="s">
        <v>79</v>
      </c>
      <c r="E995" s="27"/>
      <c r="F995" s="1040">
        <v>6.5000000000000002E-2</v>
      </c>
      <c r="G995" s="669">
        <f>0.64*$G$989</f>
        <v>396996.16000000009</v>
      </c>
      <c r="H995" s="1038">
        <f t="shared" si="89"/>
        <v>25804.750400000008</v>
      </c>
      <c r="I995" s="30"/>
      <c r="J995" s="1037">
        <v>6.5000000000000002E-2</v>
      </c>
      <c r="K995" s="1041">
        <f>0.64*$K$989</f>
        <v>399435.52000000002</v>
      </c>
      <c r="L995" s="1038">
        <f t="shared" si="90"/>
        <v>25963.308800000003</v>
      </c>
      <c r="M995" s="30"/>
      <c r="N995" s="34">
        <f t="shared" si="86"/>
        <v>158.55839999999444</v>
      </c>
      <c r="O995" s="565">
        <f t="shared" si="88"/>
        <v>6.1445430605674214E-3</v>
      </c>
      <c r="P995" s="7"/>
    </row>
    <row r="996" spans="1:16" x14ac:dyDescent="0.2">
      <c r="A996" s="7"/>
      <c r="B996" s="564" t="s">
        <v>780</v>
      </c>
      <c r="C996" s="26"/>
      <c r="D996" s="1005" t="s">
        <v>79</v>
      </c>
      <c r="E996" s="27"/>
      <c r="F996" s="1040">
        <v>0.1</v>
      </c>
      <c r="G996" s="669">
        <f>0.18*$G$989</f>
        <v>111655.17000000001</v>
      </c>
      <c r="H996" s="1038">
        <f t="shared" si="89"/>
        <v>11165.517000000002</v>
      </c>
      <c r="I996" s="30"/>
      <c r="J996" s="1037">
        <v>0.1</v>
      </c>
      <c r="K996" s="1041">
        <f>0.18*$K$989</f>
        <v>112341.23999999999</v>
      </c>
      <c r="L996" s="1038">
        <f t="shared" si="90"/>
        <v>11234.124</v>
      </c>
      <c r="M996" s="30"/>
      <c r="N996" s="34">
        <f t="shared" si="86"/>
        <v>68.606999999998152</v>
      </c>
      <c r="O996" s="565">
        <f t="shared" si="88"/>
        <v>6.1445430605674726E-3</v>
      </c>
      <c r="P996" s="7"/>
    </row>
    <row r="997" spans="1:16" ht="13.5" thickBot="1" x14ac:dyDescent="0.25">
      <c r="A997" s="7"/>
      <c r="B997" s="647" t="s">
        <v>781</v>
      </c>
      <c r="C997" s="26"/>
      <c r="D997" s="1005" t="s">
        <v>79</v>
      </c>
      <c r="E997" s="27"/>
      <c r="F997" s="1040">
        <v>0.11700000000000001</v>
      </c>
      <c r="G997" s="669">
        <f>0.18*$G$989</f>
        <v>111655.17000000001</v>
      </c>
      <c r="H997" s="1038">
        <f t="shared" si="89"/>
        <v>13063.654890000002</v>
      </c>
      <c r="I997" s="30"/>
      <c r="J997" s="1037">
        <v>0.11700000000000001</v>
      </c>
      <c r="K997" s="1041">
        <f>0.18*$K$989</f>
        <v>112341.23999999999</v>
      </c>
      <c r="L997" s="1038">
        <f t="shared" si="90"/>
        <v>13143.925079999999</v>
      </c>
      <c r="M997" s="30"/>
      <c r="N997" s="34">
        <f t="shared" si="86"/>
        <v>80.270189999997456</v>
      </c>
      <c r="O997" s="565">
        <f t="shared" si="88"/>
        <v>6.1445430605674431E-3</v>
      </c>
      <c r="P997" s="7"/>
    </row>
    <row r="998" spans="1:16" ht="13.5" thickBot="1" x14ac:dyDescent="0.25">
      <c r="A998" s="7"/>
      <c r="B998" s="1042"/>
      <c r="C998" s="1043"/>
      <c r="D998" s="1044"/>
      <c r="E998" s="1043"/>
      <c r="F998" s="1045"/>
      <c r="G998" s="1046"/>
      <c r="H998" s="1047"/>
      <c r="I998" s="1048"/>
      <c r="J998" s="1045"/>
      <c r="K998" s="1049"/>
      <c r="L998" s="1047"/>
      <c r="M998" s="1048"/>
      <c r="N998" s="1050"/>
      <c r="O998" s="1051"/>
      <c r="P998" s="7"/>
    </row>
    <row r="999" spans="1:16" x14ac:dyDescent="0.2">
      <c r="A999" s="7"/>
      <c r="B999" s="36" t="s">
        <v>782</v>
      </c>
      <c r="C999" s="26"/>
      <c r="D999" s="26"/>
      <c r="E999" s="26"/>
      <c r="F999" s="662"/>
      <c r="G999" s="652"/>
      <c r="H999" s="656">
        <f>SUM(H988:H994)</f>
        <v>74344.072950000002</v>
      </c>
      <c r="I999" s="660"/>
      <c r="J999" s="661"/>
      <c r="K999" s="661"/>
      <c r="L999" s="655">
        <f>SUM(L988:L994)</f>
        <v>73589.113400000002</v>
      </c>
      <c r="M999" s="654"/>
      <c r="N999" s="659">
        <f t="shared" si="86"/>
        <v>-754.95954999999958</v>
      </c>
      <c r="O999" s="657">
        <f t="shared" si="88"/>
        <v>-1.0154939325260624E-2</v>
      </c>
      <c r="P999" s="7"/>
    </row>
    <row r="1000" spans="1:16" x14ac:dyDescent="0.2">
      <c r="A1000" s="7"/>
      <c r="B1000" s="650" t="s">
        <v>38</v>
      </c>
      <c r="C1000" s="26"/>
      <c r="D1000" s="26"/>
      <c r="E1000" s="26"/>
      <c r="F1000" s="649">
        <v>0.13</v>
      </c>
      <c r="G1000" s="652"/>
      <c r="H1000" s="670">
        <f>H999*F1000</f>
        <v>9664.7294835000012</v>
      </c>
      <c r="I1000" s="648"/>
      <c r="J1000" s="676">
        <v>0.13</v>
      </c>
      <c r="K1000" s="677"/>
      <c r="L1000" s="672">
        <f>L999*J1000</f>
        <v>9566.5847420000009</v>
      </c>
      <c r="M1000" s="673"/>
      <c r="N1000" s="674">
        <f t="shared" si="86"/>
        <v>-98.144741500000237</v>
      </c>
      <c r="O1000" s="675">
        <f t="shared" si="88"/>
        <v>-1.0154939325260652E-2</v>
      </c>
      <c r="P1000" s="7"/>
    </row>
    <row r="1001" spans="1:16" x14ac:dyDescent="0.2">
      <c r="A1001" s="7"/>
      <c r="B1001" s="651" t="s">
        <v>1139</v>
      </c>
      <c r="C1001" s="26"/>
      <c r="D1001" s="26"/>
      <c r="E1001" s="26"/>
      <c r="F1001" s="658"/>
      <c r="G1001" s="653"/>
      <c r="H1001" s="670">
        <f>H999+H1000</f>
        <v>84008.802433500008</v>
      </c>
      <c r="I1001" s="648"/>
      <c r="J1001" s="648"/>
      <c r="K1001" s="648"/>
      <c r="L1001" s="672">
        <f>L999+L1000</f>
        <v>83155.698142000008</v>
      </c>
      <c r="M1001" s="673"/>
      <c r="N1001" s="674">
        <f t="shared" si="86"/>
        <v>-853.10429149999982</v>
      </c>
      <c r="O1001" s="675">
        <f t="shared" si="88"/>
        <v>-1.0154939325260626E-2</v>
      </c>
      <c r="P1001" s="7"/>
    </row>
    <row r="1002" spans="1:16" ht="12.75" customHeight="1" x14ac:dyDescent="0.2">
      <c r="A1002" s="7"/>
      <c r="B1002" s="1626" t="s">
        <v>1140</v>
      </c>
      <c r="C1002" s="1626"/>
      <c r="D1002" s="1626"/>
      <c r="E1002" s="26"/>
      <c r="F1002" s="658"/>
      <c r="G1002" s="653"/>
      <c r="H1002" s="1052">
        <f>ROUND(-H1001*10%,2)</f>
        <v>-8400.8799999999992</v>
      </c>
      <c r="I1002" s="648"/>
      <c r="J1002" s="648"/>
      <c r="K1002" s="648"/>
      <c r="L1002" s="1053">
        <f>ROUND(-L1001*10%,2)</f>
        <v>-8315.57</v>
      </c>
      <c r="M1002" s="673"/>
      <c r="N1002" s="1054">
        <f t="shared" si="86"/>
        <v>85.309999999999491</v>
      </c>
      <c r="O1002" s="1055">
        <f t="shared" si="88"/>
        <v>-1.0154888535486699E-2</v>
      </c>
      <c r="P1002" s="7"/>
    </row>
    <row r="1003" spans="1:16" ht="13.5" customHeight="1" thickBot="1" x14ac:dyDescent="0.25">
      <c r="A1003" s="7"/>
      <c r="B1003" s="1626" t="s">
        <v>785</v>
      </c>
      <c r="C1003" s="1626"/>
      <c r="D1003" s="1626"/>
      <c r="E1003" s="1056"/>
      <c r="F1003" s="1057"/>
      <c r="G1003" s="1058"/>
      <c r="H1003" s="1059">
        <f>SUM(H1001:H1002)</f>
        <v>75607.922433500004</v>
      </c>
      <c r="I1003" s="1060"/>
      <c r="J1003" s="1060"/>
      <c r="K1003" s="1060"/>
      <c r="L1003" s="1061">
        <f>SUM(L1001:L1002)</f>
        <v>74840.128142000001</v>
      </c>
      <c r="M1003" s="1062"/>
      <c r="N1003" s="1063">
        <f t="shared" si="86"/>
        <v>-767.79429150000215</v>
      </c>
      <c r="O1003" s="1064">
        <f t="shared" si="88"/>
        <v>-1.0154944968568683E-2</v>
      </c>
      <c r="P1003" s="7"/>
    </row>
    <row r="1004" spans="1:16" ht="13.5" thickBot="1" x14ac:dyDescent="0.25">
      <c r="A1004" s="7"/>
      <c r="B1004" s="1042"/>
      <c r="C1004" s="1043"/>
      <c r="D1004" s="1044"/>
      <c r="E1004" s="1043"/>
      <c r="F1004" s="1065"/>
      <c r="G1004" s="1066"/>
      <c r="H1004" s="1067"/>
      <c r="I1004" s="1068"/>
      <c r="J1004" s="1065"/>
      <c r="K1004" s="1046"/>
      <c r="L1004" s="1069"/>
      <c r="M1004" s="1048"/>
      <c r="N1004" s="1070"/>
      <c r="O1004" s="1051"/>
      <c r="P1004" s="7"/>
    </row>
    <row r="1005" spans="1:16" x14ac:dyDescent="0.2">
      <c r="A1005" s="7"/>
      <c r="B1005" s="36" t="s">
        <v>783</v>
      </c>
      <c r="C1005" s="26"/>
      <c r="D1005" s="26"/>
      <c r="E1005" s="26"/>
      <c r="F1005" s="662"/>
      <c r="G1005" s="652"/>
      <c r="H1005" s="656">
        <f>SUM(H988:H992,H995:H997)</f>
        <v>69800.77324000001</v>
      </c>
      <c r="I1005" s="660"/>
      <c r="J1005" s="661"/>
      <c r="K1005" s="661"/>
      <c r="L1005" s="666">
        <f>SUM(L988:L992,L995:L997)</f>
        <v>69017.837280000007</v>
      </c>
      <c r="M1005" s="654"/>
      <c r="N1005" s="659">
        <f>L1005-H1005</f>
        <v>-782.93596000000252</v>
      </c>
      <c r="O1005" s="657">
        <f>IF((H1005)=0,"",(N1005/H1005))</f>
        <v>-1.1216723306316232E-2</v>
      </c>
      <c r="P1005" s="7"/>
    </row>
    <row r="1006" spans="1:16" x14ac:dyDescent="0.2">
      <c r="A1006" s="7"/>
      <c r="B1006" s="650" t="s">
        <v>38</v>
      </c>
      <c r="C1006" s="26"/>
      <c r="D1006" s="26"/>
      <c r="E1006" s="26"/>
      <c r="F1006" s="649">
        <v>0.13</v>
      </c>
      <c r="G1006" s="653"/>
      <c r="H1006" s="670">
        <f>H1005*F1006</f>
        <v>9074.1005212000018</v>
      </c>
      <c r="I1006" s="648"/>
      <c r="J1006" s="671">
        <v>0.13</v>
      </c>
      <c r="K1006" s="648"/>
      <c r="L1006" s="672">
        <f>L1005*J1006</f>
        <v>8972.3188464000013</v>
      </c>
      <c r="M1006" s="673"/>
      <c r="N1006" s="674">
        <f t="shared" si="86"/>
        <v>-101.78167480000047</v>
      </c>
      <c r="O1006" s="675">
        <f t="shared" si="88"/>
        <v>-1.1216723306316248E-2</v>
      </c>
      <c r="P1006" s="7"/>
    </row>
    <row r="1007" spans="1:16" x14ac:dyDescent="0.2">
      <c r="A1007" s="7"/>
      <c r="B1007" s="651" t="s">
        <v>1139</v>
      </c>
      <c r="C1007" s="26"/>
      <c r="D1007" s="26"/>
      <c r="E1007" s="26"/>
      <c r="F1007" s="658"/>
      <c r="G1007" s="653"/>
      <c r="H1007" s="670">
        <f>H1005+H1006</f>
        <v>78874.873761200011</v>
      </c>
      <c r="I1007" s="648"/>
      <c r="J1007" s="648"/>
      <c r="K1007" s="648"/>
      <c r="L1007" s="672">
        <f>L1005+L1006</f>
        <v>77990.156126400005</v>
      </c>
      <c r="M1007" s="673"/>
      <c r="N1007" s="674">
        <f t="shared" si="86"/>
        <v>-884.71763480000664</v>
      </c>
      <c r="O1007" s="675">
        <f t="shared" si="88"/>
        <v>-1.1216723306316281E-2</v>
      </c>
      <c r="P1007" s="7"/>
    </row>
    <row r="1008" spans="1:16" ht="12.75" customHeight="1" x14ac:dyDescent="0.2">
      <c r="A1008" s="7"/>
      <c r="B1008" s="1626" t="s">
        <v>1140</v>
      </c>
      <c r="C1008" s="1626"/>
      <c r="D1008" s="1626"/>
      <c r="E1008" s="26"/>
      <c r="F1008" s="658"/>
      <c r="G1008" s="653"/>
      <c r="H1008" s="1052">
        <f>ROUND(-H1007*10%,2)</f>
        <v>-7887.49</v>
      </c>
      <c r="I1008" s="648"/>
      <c r="J1008" s="648"/>
      <c r="K1008" s="648"/>
      <c r="L1008" s="1053">
        <f>ROUND(-L1007*10%,2)</f>
        <v>-7799.02</v>
      </c>
      <c r="M1008" s="673"/>
      <c r="N1008" s="1054">
        <f t="shared" si="86"/>
        <v>88.469999999999345</v>
      </c>
      <c r="O1008" s="1055">
        <f t="shared" si="88"/>
        <v>-1.121649599555744E-2</v>
      </c>
      <c r="P1008" s="7"/>
    </row>
    <row r="1009" spans="1:16" ht="13.5" customHeight="1" thickBot="1" x14ac:dyDescent="0.25">
      <c r="A1009" s="7"/>
      <c r="B1009" s="1626" t="s">
        <v>784</v>
      </c>
      <c r="C1009" s="1626"/>
      <c r="D1009" s="1626"/>
      <c r="E1009" s="1056"/>
      <c r="F1009" s="1071"/>
      <c r="G1009" s="1072"/>
      <c r="H1009" s="1073">
        <f>H1007+H1008</f>
        <v>70987.383761200006</v>
      </c>
      <c r="I1009" s="1074"/>
      <c r="J1009" s="1074"/>
      <c r="K1009" s="1074"/>
      <c r="L1009" s="1075">
        <f>L1007+L1008</f>
        <v>70191.136126400001</v>
      </c>
      <c r="M1009" s="1076"/>
      <c r="N1009" s="1077">
        <f t="shared" si="86"/>
        <v>-796.24763480000547</v>
      </c>
      <c r="O1009" s="1078">
        <f t="shared" si="88"/>
        <v>-1.1216748563076574E-2</v>
      </c>
      <c r="P1009" s="7"/>
    </row>
    <row r="1010" spans="1:16" ht="13.5" thickBot="1" x14ac:dyDescent="0.25">
      <c r="A1010" s="7"/>
      <c r="B1010" s="1042"/>
      <c r="C1010" s="1043"/>
      <c r="D1010" s="1044"/>
      <c r="E1010" s="1043"/>
      <c r="F1010" s="1065"/>
      <c r="G1010" s="1066"/>
      <c r="H1010" s="1067"/>
      <c r="I1010" s="1068"/>
      <c r="J1010" s="1065"/>
      <c r="K1010" s="1046"/>
      <c r="L1010" s="1069"/>
      <c r="M1010" s="1048"/>
      <c r="N1010" s="1070"/>
      <c r="O1010" s="1051"/>
      <c r="P1010" s="7"/>
    </row>
    <row r="1011" spans="1:16" x14ac:dyDescent="0.2">
      <c r="A1011" s="7"/>
      <c r="B1011" s="7"/>
      <c r="C1011" s="7"/>
      <c r="D1011" s="7"/>
      <c r="E1011" s="7"/>
      <c r="F1011" s="7"/>
      <c r="G1011" s="7"/>
      <c r="H1011" s="7"/>
      <c r="I1011" s="7"/>
      <c r="J1011" s="7"/>
      <c r="K1011" s="7"/>
      <c r="L1011" s="678"/>
      <c r="M1011" s="7"/>
      <c r="N1011" s="7"/>
      <c r="O1011" s="7"/>
      <c r="P1011" s="7"/>
    </row>
    <row r="1012" spans="1:16" x14ac:dyDescent="0.2">
      <c r="A1012" s="7"/>
      <c r="B1012" s="8" t="s">
        <v>39</v>
      </c>
      <c r="C1012" s="7"/>
      <c r="D1012" s="7"/>
      <c r="E1012" s="7"/>
      <c r="F1012" s="1079">
        <v>2.53E-2</v>
      </c>
      <c r="G1012" s="7"/>
      <c r="H1012" s="7"/>
      <c r="I1012" s="7"/>
      <c r="J1012" s="1079">
        <v>3.1600000000000003E-2</v>
      </c>
      <c r="K1012" s="7"/>
      <c r="L1012" s="7"/>
      <c r="M1012" s="7"/>
      <c r="N1012" s="7"/>
      <c r="O1012" s="7"/>
      <c r="P1012" s="7"/>
    </row>
    <row r="1013" spans="1:16" x14ac:dyDescent="0.2">
      <c r="A1013" s="7"/>
      <c r="B1013" s="7"/>
      <c r="C1013" s="7"/>
      <c r="D1013" s="7"/>
      <c r="E1013" s="7"/>
      <c r="F1013" s="7"/>
      <c r="G1013" s="7"/>
      <c r="H1013" s="7"/>
      <c r="I1013" s="7"/>
      <c r="J1013" s="7"/>
      <c r="K1013" s="7"/>
      <c r="L1013" s="7"/>
      <c r="M1013" s="7"/>
      <c r="N1013" s="7"/>
      <c r="O1013" s="7"/>
      <c r="P1013" s="7"/>
    </row>
    <row r="1014" spans="1:16" ht="14.25" x14ac:dyDescent="0.2">
      <c r="A1014" s="214" t="s">
        <v>1141</v>
      </c>
      <c r="B1014" s="7"/>
      <c r="C1014" s="7"/>
      <c r="D1014" s="7"/>
      <c r="E1014" s="7"/>
      <c r="F1014" s="7"/>
      <c r="G1014" s="7"/>
      <c r="H1014" s="7"/>
      <c r="I1014" s="7"/>
      <c r="J1014" s="7"/>
      <c r="K1014" s="7"/>
      <c r="L1014" s="7"/>
      <c r="M1014" s="7"/>
      <c r="N1014" s="7"/>
      <c r="O1014" s="7"/>
      <c r="P1014" s="7"/>
    </row>
    <row r="1015" spans="1:16" x14ac:dyDescent="0.2">
      <c r="A1015" s="7"/>
      <c r="B1015" s="7"/>
      <c r="C1015" s="7"/>
      <c r="D1015" s="7"/>
      <c r="E1015" s="7"/>
      <c r="F1015" s="7"/>
      <c r="G1015" s="7"/>
      <c r="H1015" s="7"/>
      <c r="I1015" s="7"/>
      <c r="J1015" s="7"/>
      <c r="K1015" s="7"/>
      <c r="L1015" s="7"/>
      <c r="M1015" s="7"/>
      <c r="N1015" s="7"/>
      <c r="O1015" s="7"/>
      <c r="P1015" s="7"/>
    </row>
    <row r="1016" spans="1:16" x14ac:dyDescent="0.2">
      <c r="A1016" s="7" t="s">
        <v>107</v>
      </c>
      <c r="B1016" s="7"/>
      <c r="C1016" s="7"/>
      <c r="D1016" s="7"/>
      <c r="E1016" s="7"/>
      <c r="F1016" s="7"/>
      <c r="G1016" s="7"/>
      <c r="H1016" s="7"/>
      <c r="I1016" s="7"/>
      <c r="J1016" s="7"/>
      <c r="K1016" s="7"/>
      <c r="L1016" s="7"/>
      <c r="M1016" s="7"/>
      <c r="N1016" s="7"/>
      <c r="O1016" s="7"/>
      <c r="P1016" s="7"/>
    </row>
    <row r="1017" spans="1:16" x14ac:dyDescent="0.2">
      <c r="A1017" s="7" t="s">
        <v>108</v>
      </c>
      <c r="B1017" s="7"/>
      <c r="C1017" s="7"/>
      <c r="D1017" s="7"/>
      <c r="E1017" s="7"/>
      <c r="F1017" s="7"/>
      <c r="G1017" s="7"/>
      <c r="H1017" s="7"/>
      <c r="I1017" s="7"/>
      <c r="J1017" s="7"/>
      <c r="K1017" s="7"/>
      <c r="L1017" s="7"/>
      <c r="M1017" s="7"/>
      <c r="N1017" s="7"/>
      <c r="O1017" s="7"/>
      <c r="P1017" s="7"/>
    </row>
    <row r="1018" spans="1:16" x14ac:dyDescent="0.2">
      <c r="A1018" s="7"/>
      <c r="B1018" s="7"/>
      <c r="C1018" s="7"/>
      <c r="D1018" s="7"/>
      <c r="E1018" s="7"/>
      <c r="F1018" s="7"/>
      <c r="G1018" s="7"/>
      <c r="H1018" s="7"/>
      <c r="I1018" s="7"/>
      <c r="J1018" s="7"/>
      <c r="K1018" s="7"/>
      <c r="L1018" s="7"/>
      <c r="M1018" s="7"/>
      <c r="N1018" s="7"/>
      <c r="O1018" s="7"/>
      <c r="P1018" s="7"/>
    </row>
    <row r="1019" spans="1:16" x14ac:dyDescent="0.2">
      <c r="A1019" s="7" t="s">
        <v>331</v>
      </c>
      <c r="B1019" s="7"/>
      <c r="C1019" s="7"/>
      <c r="D1019" s="7"/>
      <c r="E1019" s="7"/>
      <c r="F1019" s="7"/>
      <c r="G1019" s="7"/>
      <c r="H1019" s="7"/>
      <c r="I1019" s="7"/>
      <c r="J1019" s="7"/>
      <c r="K1019" s="7"/>
      <c r="L1019" s="7"/>
      <c r="M1019" s="7"/>
      <c r="N1019" s="7"/>
      <c r="O1019" s="7"/>
      <c r="P1019" s="7"/>
    </row>
    <row r="1020" spans="1:16" x14ac:dyDescent="0.2">
      <c r="A1020" s="7" t="s">
        <v>109</v>
      </c>
      <c r="B1020" s="7"/>
      <c r="C1020" s="7"/>
      <c r="D1020" s="7"/>
      <c r="E1020" s="7"/>
      <c r="F1020" s="7"/>
      <c r="G1020" s="7"/>
      <c r="H1020" s="7"/>
      <c r="I1020" s="7"/>
      <c r="J1020" s="7"/>
      <c r="K1020" s="7"/>
      <c r="L1020" s="7"/>
      <c r="M1020" s="7"/>
      <c r="N1020" s="7"/>
      <c r="O1020" s="7"/>
      <c r="P1020" s="7"/>
    </row>
    <row r="1021" spans="1:16" x14ac:dyDescent="0.2">
      <c r="A1021" s="7"/>
      <c r="B1021" s="7"/>
      <c r="C1021" s="7"/>
      <c r="D1021" s="7"/>
      <c r="E1021" s="7"/>
      <c r="F1021" s="7"/>
      <c r="G1021" s="7"/>
      <c r="H1021" s="7"/>
      <c r="I1021" s="7"/>
      <c r="J1021" s="7"/>
      <c r="K1021" s="7"/>
      <c r="L1021" s="7"/>
      <c r="M1021" s="7"/>
      <c r="N1021" s="7"/>
      <c r="O1021" s="7"/>
      <c r="P1021" s="7"/>
    </row>
    <row r="1022" spans="1:16" x14ac:dyDescent="0.2">
      <c r="A1022" s="7" t="s">
        <v>110</v>
      </c>
      <c r="B1022" s="7"/>
      <c r="C1022" s="7"/>
      <c r="D1022" s="7"/>
      <c r="E1022" s="7"/>
      <c r="F1022" s="7"/>
      <c r="G1022" s="7"/>
      <c r="H1022" s="7"/>
      <c r="I1022" s="7"/>
      <c r="J1022" s="7"/>
      <c r="K1022" s="7"/>
      <c r="L1022" s="7"/>
      <c r="M1022" s="7"/>
      <c r="N1022" s="7"/>
      <c r="O1022" s="7"/>
      <c r="P1022" s="7"/>
    </row>
    <row r="1023" spans="1:16" x14ac:dyDescent="0.2">
      <c r="A1023" s="7" t="s">
        <v>111</v>
      </c>
      <c r="B1023" s="7"/>
      <c r="C1023" s="7"/>
      <c r="D1023" s="7"/>
      <c r="E1023" s="7"/>
      <c r="F1023" s="7"/>
      <c r="G1023" s="7"/>
      <c r="H1023" s="7"/>
      <c r="I1023" s="7"/>
      <c r="J1023" s="7"/>
      <c r="K1023" s="7"/>
      <c r="L1023" s="7"/>
      <c r="M1023" s="7"/>
      <c r="N1023" s="7"/>
      <c r="O1023" s="7"/>
      <c r="P1023" s="7"/>
    </row>
    <row r="1024" spans="1:16" x14ac:dyDescent="0.2">
      <c r="A1024" s="7" t="s">
        <v>112</v>
      </c>
      <c r="B1024" s="7"/>
      <c r="C1024" s="7"/>
      <c r="D1024" s="7"/>
      <c r="E1024" s="7"/>
      <c r="F1024" s="7"/>
      <c r="G1024" s="7"/>
      <c r="H1024" s="7"/>
      <c r="I1024" s="7"/>
      <c r="J1024" s="7"/>
      <c r="K1024" s="7"/>
      <c r="L1024" s="7"/>
      <c r="M1024" s="7"/>
      <c r="N1024" s="7"/>
      <c r="O1024" s="7"/>
      <c r="P1024" s="7"/>
    </row>
    <row r="1025" spans="1:16" x14ac:dyDescent="0.2">
      <c r="A1025" s="7" t="s">
        <v>113</v>
      </c>
      <c r="B1025" s="7"/>
      <c r="C1025" s="7"/>
      <c r="D1025" s="7"/>
      <c r="E1025" s="7"/>
      <c r="F1025" s="7"/>
      <c r="G1025" s="7"/>
      <c r="H1025" s="7"/>
      <c r="I1025" s="7"/>
      <c r="J1025" s="7"/>
      <c r="K1025" s="7"/>
      <c r="L1025" s="7"/>
      <c r="M1025" s="7"/>
      <c r="N1025" s="7"/>
      <c r="O1025" s="7"/>
      <c r="P1025" s="7"/>
    </row>
    <row r="1026" spans="1:16" x14ac:dyDescent="0.2">
      <c r="A1026" s="7" t="s">
        <v>114</v>
      </c>
      <c r="B1026" s="7"/>
      <c r="C1026" s="7"/>
      <c r="D1026" s="7"/>
      <c r="E1026" s="7"/>
      <c r="F1026" s="7"/>
      <c r="G1026" s="7"/>
      <c r="H1026" s="7"/>
      <c r="I1026" s="7"/>
      <c r="J1026" s="7"/>
      <c r="K1026" s="7"/>
      <c r="L1026" s="7"/>
      <c r="M1026" s="7"/>
      <c r="N1026" s="7"/>
      <c r="O1026" s="7"/>
      <c r="P1026" s="7"/>
    </row>
    <row r="1028" spans="1:16" ht="21.75" x14ac:dyDescent="0.2">
      <c r="A1028" s="41"/>
      <c r="B1028" s="41"/>
      <c r="C1028" s="41"/>
      <c r="D1028" s="41"/>
      <c r="E1028" s="41"/>
      <c r="F1028" s="41"/>
      <c r="G1028" s="41"/>
      <c r="H1028" s="41"/>
      <c r="I1028" s="41"/>
      <c r="J1028" s="41"/>
      <c r="K1028" s="41"/>
      <c r="L1028" s="37"/>
      <c r="M1028" s="37"/>
      <c r="N1028" s="16" t="s">
        <v>444</v>
      </c>
      <c r="O1028" s="250" t="s">
        <v>866</v>
      </c>
    </row>
    <row r="1029" spans="1:16" ht="18" x14ac:dyDescent="0.25">
      <c r="A1029" s="40"/>
      <c r="B1029" s="40"/>
      <c r="C1029" s="40"/>
      <c r="D1029" s="40"/>
      <c r="E1029" s="40"/>
      <c r="F1029" s="40"/>
      <c r="G1029" s="40"/>
      <c r="H1029" s="40"/>
      <c r="I1029" s="40"/>
      <c r="J1029" s="40"/>
      <c r="K1029" s="40"/>
      <c r="L1029" s="37"/>
      <c r="M1029" s="37"/>
      <c r="N1029" s="16" t="s">
        <v>445</v>
      </c>
      <c r="O1029" s="1001"/>
    </row>
    <row r="1030" spans="1:16" x14ac:dyDescent="0.2">
      <c r="A1030" s="1626"/>
      <c r="B1030" s="1626"/>
      <c r="C1030" s="1626"/>
      <c r="D1030" s="1626"/>
      <c r="E1030" s="1626"/>
      <c r="F1030" s="1626"/>
      <c r="G1030" s="1626"/>
      <c r="H1030" s="1626"/>
      <c r="I1030" s="1626"/>
      <c r="J1030" s="1626"/>
      <c r="K1030" s="1626"/>
      <c r="L1030" s="37"/>
      <c r="M1030" s="37"/>
      <c r="N1030" s="16" t="s">
        <v>446</v>
      </c>
      <c r="O1030" s="1001"/>
    </row>
    <row r="1031" spans="1:16" ht="18" x14ac:dyDescent="0.25">
      <c r="A1031" s="40"/>
      <c r="B1031" s="40"/>
      <c r="C1031" s="40"/>
      <c r="D1031" s="40"/>
      <c r="E1031" s="40"/>
      <c r="F1031" s="40"/>
      <c r="G1031" s="40"/>
      <c r="H1031" s="40"/>
      <c r="I1031" s="38"/>
      <c r="J1031" s="38"/>
      <c r="K1031" s="38"/>
      <c r="L1031" s="37"/>
      <c r="M1031" s="37"/>
      <c r="N1031" s="16" t="s">
        <v>447</v>
      </c>
      <c r="O1031" s="1001"/>
    </row>
    <row r="1032" spans="1:16" ht="15.75" x14ac:dyDescent="0.25">
      <c r="A1032" s="37"/>
      <c r="B1032" s="37"/>
      <c r="C1032" s="39"/>
      <c r="D1032" s="39"/>
      <c r="E1032" s="39"/>
      <c r="F1032" s="37"/>
      <c r="G1032" s="37"/>
      <c r="H1032" s="37"/>
      <c r="I1032" s="37"/>
      <c r="J1032" s="37"/>
      <c r="K1032" s="37"/>
      <c r="L1032" s="37"/>
      <c r="M1032" s="37"/>
      <c r="N1032" s="16" t="s">
        <v>448</v>
      </c>
      <c r="O1032" s="1002" t="s">
        <v>1157</v>
      </c>
    </row>
    <row r="1033" spans="1:16" x14ac:dyDescent="0.2">
      <c r="A1033" s="37"/>
      <c r="B1033" s="37"/>
      <c r="C1033" s="37"/>
      <c r="D1033" s="37"/>
      <c r="E1033" s="37"/>
      <c r="F1033" s="37"/>
      <c r="G1033" s="37"/>
      <c r="H1033" s="37"/>
      <c r="I1033" s="37"/>
      <c r="J1033" s="37"/>
      <c r="K1033" s="37"/>
      <c r="L1033" s="37"/>
      <c r="M1033" s="37"/>
      <c r="N1033" s="16"/>
      <c r="O1033" s="250"/>
    </row>
    <row r="1034" spans="1:16" x14ac:dyDescent="0.2">
      <c r="A1034" s="37"/>
      <c r="B1034" s="37"/>
      <c r="C1034" s="37"/>
      <c r="D1034" s="37"/>
      <c r="E1034" s="37"/>
      <c r="F1034" s="37"/>
      <c r="G1034" s="37"/>
      <c r="H1034" s="37"/>
      <c r="I1034" s="37"/>
      <c r="J1034" s="37"/>
      <c r="K1034" s="37"/>
      <c r="L1034" s="37"/>
      <c r="M1034" s="37"/>
      <c r="N1034" s="16" t="s">
        <v>449</v>
      </c>
      <c r="O1034" s="1002"/>
    </row>
    <row r="1035" spans="1:16" x14ac:dyDescent="0.2">
      <c r="A1035" s="37"/>
      <c r="B1035" s="37"/>
      <c r="C1035" s="37"/>
      <c r="D1035" s="37"/>
      <c r="E1035" s="37"/>
      <c r="F1035" s="37"/>
      <c r="G1035" s="37"/>
      <c r="H1035" s="37"/>
      <c r="I1035" s="37"/>
      <c r="J1035" s="37"/>
      <c r="K1035" s="37"/>
      <c r="L1035" s="37"/>
      <c r="M1035" s="37"/>
      <c r="N1035" s="7"/>
    </row>
    <row r="1036" spans="1:16" x14ac:dyDescent="0.2">
      <c r="A1036" s="7"/>
      <c r="B1036" s="7"/>
      <c r="C1036" s="7"/>
      <c r="D1036" s="7"/>
      <c r="E1036" s="7"/>
      <c r="F1036" s="7"/>
      <c r="G1036" s="7"/>
      <c r="H1036" s="7"/>
      <c r="I1036" s="7"/>
      <c r="J1036" s="7"/>
      <c r="K1036" s="7"/>
    </row>
    <row r="1037" spans="1:16" x14ac:dyDescent="0.2">
      <c r="A1037" s="7"/>
      <c r="B1037" s="1626" t="s">
        <v>695</v>
      </c>
      <c r="C1037" s="1626"/>
      <c r="D1037" s="1626"/>
      <c r="E1037" s="1626"/>
      <c r="F1037" s="1626"/>
      <c r="G1037" s="1626"/>
      <c r="H1037" s="1626"/>
      <c r="I1037" s="1626"/>
      <c r="J1037" s="1626"/>
      <c r="K1037" s="1626"/>
      <c r="L1037" s="1626"/>
      <c r="M1037" s="1626"/>
      <c r="N1037" s="1626"/>
      <c r="O1037" s="1626"/>
    </row>
    <row r="1038" spans="1:16" x14ac:dyDescent="0.2">
      <c r="A1038" s="7"/>
      <c r="B1038" s="1626" t="s">
        <v>63</v>
      </c>
      <c r="C1038" s="1626"/>
      <c r="D1038" s="1626"/>
      <c r="E1038" s="1626"/>
      <c r="F1038" s="1626"/>
      <c r="G1038" s="1626"/>
      <c r="H1038" s="1626"/>
      <c r="I1038" s="1626"/>
      <c r="J1038" s="1626"/>
      <c r="K1038" s="1626"/>
      <c r="L1038" s="1626"/>
      <c r="M1038" s="1626"/>
      <c r="N1038" s="1626"/>
      <c r="O1038" s="1626"/>
    </row>
    <row r="1039" spans="1:16" x14ac:dyDescent="0.2">
      <c r="A1039" s="7"/>
      <c r="B1039" s="7"/>
      <c r="C1039" s="7"/>
      <c r="D1039" s="7"/>
      <c r="E1039" s="7"/>
      <c r="F1039" s="7"/>
      <c r="G1039" s="7"/>
      <c r="H1039" s="7"/>
      <c r="I1039" s="7"/>
      <c r="J1039" s="7"/>
      <c r="K1039" s="7"/>
    </row>
    <row r="1040" spans="1:16" x14ac:dyDescent="0.2">
      <c r="A1040" s="7"/>
      <c r="B1040" s="7"/>
      <c r="C1040" s="7"/>
      <c r="D1040" s="7"/>
      <c r="E1040" s="7"/>
      <c r="F1040" s="7"/>
      <c r="G1040" s="7"/>
      <c r="H1040" s="7"/>
      <c r="I1040" s="7"/>
      <c r="J1040" s="7"/>
      <c r="K1040" s="7"/>
    </row>
    <row r="1041" spans="1:16" x14ac:dyDescent="0.2">
      <c r="A1041" s="7"/>
      <c r="B1041" s="43" t="s">
        <v>40</v>
      </c>
      <c r="C1041" s="7"/>
      <c r="D1041" s="1626" t="s">
        <v>1156</v>
      </c>
      <c r="E1041" s="1626"/>
      <c r="F1041" s="1626"/>
      <c r="G1041" s="1626"/>
      <c r="H1041" s="1626"/>
      <c r="I1041" s="1626"/>
      <c r="J1041" s="1626"/>
      <c r="K1041" s="1626"/>
      <c r="L1041" s="1626"/>
      <c r="M1041" s="1626"/>
      <c r="N1041" s="1626"/>
      <c r="O1041" s="1626"/>
      <c r="P1041" s="7"/>
    </row>
    <row r="1042" spans="1:16" ht="15.75" x14ac:dyDescent="0.25">
      <c r="A1042" s="7"/>
      <c r="B1042" s="1003"/>
      <c r="C1042" s="7"/>
      <c r="D1042" s="42"/>
      <c r="E1042" s="42"/>
      <c r="F1042" s="42"/>
      <c r="G1042" s="42"/>
      <c r="H1042" s="42"/>
      <c r="I1042" s="42"/>
      <c r="J1042" s="42"/>
      <c r="K1042" s="42"/>
      <c r="L1042" s="42"/>
      <c r="M1042" s="42"/>
      <c r="N1042" s="42"/>
      <c r="O1042" s="42"/>
      <c r="P1042" s="7"/>
    </row>
    <row r="1043" spans="1:16" x14ac:dyDescent="0.2">
      <c r="A1043" s="7"/>
      <c r="B1043" s="647"/>
      <c r="C1043" s="7"/>
      <c r="D1043" s="8" t="s">
        <v>17</v>
      </c>
      <c r="E1043" s="8"/>
      <c r="F1043" s="1004">
        <v>977118</v>
      </c>
      <c r="G1043" s="8" t="s">
        <v>18</v>
      </c>
      <c r="H1043" s="7"/>
      <c r="I1043" s="7"/>
      <c r="J1043" s="7"/>
      <c r="K1043" s="7"/>
      <c r="L1043" s="7"/>
      <c r="M1043" s="7"/>
      <c r="N1043" s="7"/>
      <c r="O1043" s="7"/>
      <c r="P1043" s="7"/>
    </row>
    <row r="1044" spans="1:16" x14ac:dyDescent="0.2">
      <c r="A1044" s="7"/>
      <c r="B1044" s="647"/>
      <c r="C1044" s="7"/>
      <c r="D1044" s="7"/>
      <c r="E1044" s="7"/>
      <c r="F1044" s="7"/>
      <c r="G1044" s="7"/>
      <c r="H1044" s="7"/>
      <c r="I1044" s="7"/>
      <c r="J1044" s="7"/>
      <c r="K1044" s="7"/>
      <c r="L1044" s="7"/>
      <c r="M1044" s="7"/>
      <c r="N1044" s="7"/>
      <c r="O1044" s="7"/>
      <c r="P1044" s="7"/>
    </row>
    <row r="1045" spans="1:16" x14ac:dyDescent="0.2">
      <c r="A1045" s="7"/>
      <c r="B1045" s="647"/>
      <c r="C1045" s="7"/>
      <c r="D1045" s="19"/>
      <c r="E1045" s="19"/>
      <c r="F1045" s="1626" t="s">
        <v>19</v>
      </c>
      <c r="G1045" s="1626"/>
      <c r="H1045" s="1626"/>
      <c r="I1045" s="7"/>
      <c r="J1045" s="1626" t="s">
        <v>20</v>
      </c>
      <c r="K1045" s="1626"/>
      <c r="L1045" s="1626"/>
      <c r="M1045" s="7"/>
      <c r="N1045" s="1626" t="s">
        <v>21</v>
      </c>
      <c r="O1045" s="1626"/>
      <c r="P1045" s="7"/>
    </row>
    <row r="1046" spans="1:16" ht="12.75" customHeight="1" x14ac:dyDescent="0.2">
      <c r="A1046" s="7"/>
      <c r="B1046" s="647"/>
      <c r="C1046" s="7"/>
      <c r="D1046" s="1626" t="s">
        <v>22</v>
      </c>
      <c r="E1046" s="20"/>
      <c r="F1046" s="21" t="s">
        <v>23</v>
      </c>
      <c r="G1046" s="21" t="s">
        <v>24</v>
      </c>
      <c r="H1046" s="22" t="s">
        <v>25</v>
      </c>
      <c r="I1046" s="7"/>
      <c r="J1046" s="21" t="s">
        <v>23</v>
      </c>
      <c r="K1046" s="23" t="s">
        <v>24</v>
      </c>
      <c r="L1046" s="22" t="s">
        <v>25</v>
      </c>
      <c r="M1046" s="7"/>
      <c r="N1046" s="1626" t="s">
        <v>26</v>
      </c>
      <c r="O1046" s="1626" t="s">
        <v>27</v>
      </c>
      <c r="P1046" s="7"/>
    </row>
    <row r="1047" spans="1:16" x14ac:dyDescent="0.2">
      <c r="A1047" s="7"/>
      <c r="B1047" s="647"/>
      <c r="C1047" s="7"/>
      <c r="D1047" s="1626"/>
      <c r="E1047" s="20"/>
      <c r="F1047" s="24" t="s">
        <v>452</v>
      </c>
      <c r="G1047" s="24"/>
      <c r="H1047" s="25" t="s">
        <v>452</v>
      </c>
      <c r="I1047" s="7"/>
      <c r="J1047" s="24" t="s">
        <v>452</v>
      </c>
      <c r="K1047" s="25"/>
      <c r="L1047" s="25" t="s">
        <v>452</v>
      </c>
      <c r="M1047" s="7"/>
      <c r="N1047" s="1626"/>
      <c r="O1047" s="1626"/>
      <c r="P1047" s="7"/>
    </row>
    <row r="1048" spans="1:16" x14ac:dyDescent="0.2">
      <c r="A1048" s="7"/>
      <c r="B1048" s="26" t="s">
        <v>28</v>
      </c>
      <c r="C1048" s="26"/>
      <c r="D1048" s="1005" t="s">
        <v>1130</v>
      </c>
      <c r="E1048" s="27"/>
      <c r="F1048" s="1006">
        <v>3121.63</v>
      </c>
      <c r="G1048" s="32">
        <v>1</v>
      </c>
      <c r="H1048" s="1007">
        <f>G1048*F1048</f>
        <v>3121.63</v>
      </c>
      <c r="I1048" s="30"/>
      <c r="J1048" s="1008">
        <v>3121.63</v>
      </c>
      <c r="K1048" s="33">
        <v>1</v>
      </c>
      <c r="L1048" s="1007">
        <f>K1048*J1048</f>
        <v>3121.63</v>
      </c>
      <c r="M1048" s="30"/>
      <c r="N1048" s="34">
        <f>L1048-H1048</f>
        <v>0</v>
      </c>
      <c r="O1048" s="202">
        <f>IF((H1048)=0,"",(N1048/H1048))</f>
        <v>0</v>
      </c>
      <c r="P1048" s="7"/>
    </row>
    <row r="1049" spans="1:16" x14ac:dyDescent="0.2">
      <c r="A1049" s="7"/>
      <c r="B1049" s="26" t="s">
        <v>29</v>
      </c>
      <c r="C1049" s="26"/>
      <c r="D1049" s="1005" t="s">
        <v>1130</v>
      </c>
      <c r="E1049" s="27"/>
      <c r="F1049" s="1006">
        <v>0</v>
      </c>
      <c r="G1049" s="32">
        <v>1</v>
      </c>
      <c r="H1049" s="1007">
        <f t="shared" ref="H1049:H1057" si="91">G1049*F1049</f>
        <v>0</v>
      </c>
      <c r="I1049" s="30"/>
      <c r="J1049" s="1008">
        <v>0</v>
      </c>
      <c r="K1049" s="33">
        <v>1</v>
      </c>
      <c r="L1049" s="1007">
        <f>K1049*J1049</f>
        <v>0</v>
      </c>
      <c r="M1049" s="30"/>
      <c r="N1049" s="34">
        <f>L1049-H1049</f>
        <v>0</v>
      </c>
      <c r="O1049" s="202" t="str">
        <f>IF((H1049)=0,"",(N1049/H1049))</f>
        <v/>
      </c>
      <c r="P1049" s="7"/>
    </row>
    <row r="1050" spans="1:16" x14ac:dyDescent="0.2">
      <c r="A1050" s="7"/>
      <c r="B1050" s="1009" t="s">
        <v>1131</v>
      </c>
      <c r="C1050" s="26"/>
      <c r="D1050" s="1005" t="s">
        <v>80</v>
      </c>
      <c r="E1050" s="27"/>
      <c r="F1050" s="1006">
        <v>-3.6299999999999999E-2</v>
      </c>
      <c r="G1050" s="32">
        <v>2578</v>
      </c>
      <c r="H1050" s="1007">
        <f t="shared" si="91"/>
        <v>-93.581400000000002</v>
      </c>
      <c r="I1050" s="30"/>
      <c r="J1050" s="1008">
        <v>0</v>
      </c>
      <c r="K1050" s="33">
        <v>2578</v>
      </c>
      <c r="L1050" s="1007">
        <f t="shared" ref="L1050:L1057" si="92">K1050*J1050</f>
        <v>0</v>
      </c>
      <c r="M1050" s="30"/>
      <c r="N1050" s="34">
        <f t="shared" ref="N1050:N1088" si="93">L1050-H1050</f>
        <v>93.581400000000002</v>
      </c>
      <c r="O1050" s="202">
        <f t="shared" ref="O1050:O1058" si="94">IF((H1050)=0,"",(N1050/H1050))</f>
        <v>-1</v>
      </c>
      <c r="P1050" s="7"/>
    </row>
    <row r="1051" spans="1:16" x14ac:dyDescent="0.2">
      <c r="A1051" s="7"/>
      <c r="B1051" s="1009" t="s">
        <v>36</v>
      </c>
      <c r="C1051" s="26"/>
      <c r="D1051" s="1005" t="s">
        <v>1130</v>
      </c>
      <c r="E1051" s="27"/>
      <c r="F1051" s="1006">
        <v>0.25</v>
      </c>
      <c r="G1051" s="32">
        <v>1</v>
      </c>
      <c r="H1051" s="1007">
        <f t="shared" si="91"/>
        <v>0.25</v>
      </c>
      <c r="I1051" s="30"/>
      <c r="J1051" s="1008">
        <v>0.25</v>
      </c>
      <c r="K1051" s="33">
        <v>1</v>
      </c>
      <c r="L1051" s="1007">
        <f t="shared" si="92"/>
        <v>0.25</v>
      </c>
      <c r="M1051" s="30"/>
      <c r="N1051" s="34">
        <f t="shared" si="93"/>
        <v>0</v>
      </c>
      <c r="O1051" s="202">
        <f t="shared" si="94"/>
        <v>0</v>
      </c>
      <c r="P1051" s="7"/>
    </row>
    <row r="1052" spans="1:16" x14ac:dyDescent="0.2">
      <c r="A1052" s="7"/>
      <c r="B1052" s="26" t="s">
        <v>30</v>
      </c>
      <c r="C1052" s="26"/>
      <c r="D1052" s="1005" t="s">
        <v>80</v>
      </c>
      <c r="E1052" s="27"/>
      <c r="F1052" s="1006">
        <v>1.2789999999999999</v>
      </c>
      <c r="G1052" s="32">
        <v>2578</v>
      </c>
      <c r="H1052" s="1007">
        <f t="shared" si="91"/>
        <v>3297.2619999999997</v>
      </c>
      <c r="I1052" s="30"/>
      <c r="J1052" s="1008">
        <v>1.8051999999999999</v>
      </c>
      <c r="K1052" s="32">
        <v>2578</v>
      </c>
      <c r="L1052" s="1007">
        <f t="shared" si="92"/>
        <v>4653.8055999999997</v>
      </c>
      <c r="M1052" s="30"/>
      <c r="N1052" s="34">
        <f t="shared" si="93"/>
        <v>1356.5436</v>
      </c>
      <c r="O1052" s="202">
        <f t="shared" si="94"/>
        <v>0.41141516810007822</v>
      </c>
      <c r="P1052" s="7"/>
    </row>
    <row r="1053" spans="1:16" x14ac:dyDescent="0.2">
      <c r="A1053" s="7"/>
      <c r="B1053" s="26" t="s">
        <v>31</v>
      </c>
      <c r="C1053" s="26"/>
      <c r="D1053" s="1005"/>
      <c r="E1053" s="27"/>
      <c r="F1053" s="1006"/>
      <c r="G1053" s="32"/>
      <c r="H1053" s="1007">
        <f t="shared" si="91"/>
        <v>0</v>
      </c>
      <c r="I1053" s="30"/>
      <c r="J1053" s="1008"/>
      <c r="K1053" s="32"/>
      <c r="L1053" s="1007">
        <f t="shared" si="92"/>
        <v>0</v>
      </c>
      <c r="M1053" s="30"/>
      <c r="N1053" s="34">
        <f t="shared" si="93"/>
        <v>0</v>
      </c>
      <c r="O1053" s="202" t="str">
        <f t="shared" si="94"/>
        <v/>
      </c>
      <c r="P1053" s="7"/>
    </row>
    <row r="1054" spans="1:16" x14ac:dyDescent="0.2">
      <c r="A1054" s="7"/>
      <c r="B1054" s="26" t="s">
        <v>1132</v>
      </c>
      <c r="C1054" s="26"/>
      <c r="D1054" s="1005" t="s">
        <v>80</v>
      </c>
      <c r="E1054" s="27"/>
      <c r="F1054" s="1006">
        <v>0</v>
      </c>
      <c r="G1054" s="32">
        <v>2578</v>
      </c>
      <c r="H1054" s="1007">
        <f t="shared" si="91"/>
        <v>0</v>
      </c>
      <c r="I1054" s="30"/>
      <c r="J1054" s="1008">
        <v>0</v>
      </c>
      <c r="K1054" s="32">
        <v>2578</v>
      </c>
      <c r="L1054" s="1007">
        <f t="shared" si="92"/>
        <v>0</v>
      </c>
      <c r="M1054" s="30"/>
      <c r="N1054" s="34">
        <f t="shared" si="93"/>
        <v>0</v>
      </c>
      <c r="O1054" s="202" t="str">
        <f t="shared" si="94"/>
        <v/>
      </c>
      <c r="P1054" s="7"/>
    </row>
    <row r="1055" spans="1:16" x14ac:dyDescent="0.2">
      <c r="A1055" s="7"/>
      <c r="B1055" s="26" t="s">
        <v>1133</v>
      </c>
      <c r="C1055" s="26"/>
      <c r="D1055" s="1005" t="s">
        <v>80</v>
      </c>
      <c r="E1055" s="27"/>
      <c r="F1055" s="1006">
        <v>0</v>
      </c>
      <c r="G1055" s="32">
        <v>2578</v>
      </c>
      <c r="H1055" s="1007">
        <f t="shared" si="91"/>
        <v>0</v>
      </c>
      <c r="I1055" s="30"/>
      <c r="J1055" s="1008">
        <v>0</v>
      </c>
      <c r="K1055" s="32">
        <v>2578</v>
      </c>
      <c r="L1055" s="1007">
        <f t="shared" si="92"/>
        <v>0</v>
      </c>
      <c r="M1055" s="30"/>
      <c r="N1055" s="34">
        <f t="shared" si="93"/>
        <v>0</v>
      </c>
      <c r="O1055" s="202" t="str">
        <f t="shared" si="94"/>
        <v/>
      </c>
      <c r="P1055" s="7"/>
    </row>
    <row r="1056" spans="1:16" x14ac:dyDescent="0.2">
      <c r="A1056" s="7"/>
      <c r="B1056" s="26" t="s">
        <v>1134</v>
      </c>
      <c r="C1056" s="26"/>
      <c r="D1056" s="1005" t="s">
        <v>80</v>
      </c>
      <c r="E1056" s="27"/>
      <c r="F1056" s="1006">
        <v>0</v>
      </c>
      <c r="G1056" s="32">
        <v>2578</v>
      </c>
      <c r="H1056" s="1007">
        <f t="shared" si="91"/>
        <v>0</v>
      </c>
      <c r="I1056" s="30"/>
      <c r="J1056" s="1008">
        <v>0</v>
      </c>
      <c r="K1056" s="32">
        <v>2578</v>
      </c>
      <c r="L1056" s="1007">
        <f t="shared" si="92"/>
        <v>0</v>
      </c>
      <c r="M1056" s="30"/>
      <c r="N1056" s="34">
        <f t="shared" si="93"/>
        <v>0</v>
      </c>
      <c r="O1056" s="202" t="str">
        <f t="shared" si="94"/>
        <v/>
      </c>
      <c r="P1056" s="7"/>
    </row>
    <row r="1057" spans="1:16" x14ac:dyDescent="0.2">
      <c r="A1057" s="7"/>
      <c r="B1057" s="1010" t="s">
        <v>1135</v>
      </c>
      <c r="C1057" s="26"/>
      <c r="D1057" s="1005" t="s">
        <v>1130</v>
      </c>
      <c r="E1057" s="27"/>
      <c r="F1057" s="1006">
        <v>0</v>
      </c>
      <c r="G1057" s="32">
        <v>1</v>
      </c>
      <c r="H1057" s="1007">
        <f t="shared" si="91"/>
        <v>0</v>
      </c>
      <c r="I1057" s="30"/>
      <c r="J1057" s="1008">
        <v>0</v>
      </c>
      <c r="K1057" s="32">
        <v>1</v>
      </c>
      <c r="L1057" s="1007">
        <f t="shared" si="92"/>
        <v>0</v>
      </c>
      <c r="M1057" s="30"/>
      <c r="N1057" s="34">
        <f t="shared" si="93"/>
        <v>0</v>
      </c>
      <c r="O1057" s="202" t="str">
        <f t="shared" si="94"/>
        <v/>
      </c>
      <c r="P1057" s="7"/>
    </row>
    <row r="1058" spans="1:16" x14ac:dyDescent="0.2">
      <c r="A1058" s="29"/>
      <c r="B1058" s="1011" t="s">
        <v>698</v>
      </c>
      <c r="C1058" s="1012"/>
      <c r="D1058" s="1013"/>
      <c r="E1058" s="1012"/>
      <c r="F1058" s="1014"/>
      <c r="G1058" s="1015"/>
      <c r="H1058" s="1016">
        <f>SUM(H1048:H1057)</f>
        <v>6325.5605999999998</v>
      </c>
      <c r="I1058" s="1017"/>
      <c r="J1058" s="1018"/>
      <c r="K1058" s="1019"/>
      <c r="L1058" s="1016">
        <f>SUM(L1048:L1057)</f>
        <v>7775.6855999999998</v>
      </c>
      <c r="M1058" s="1017"/>
      <c r="N1058" s="1020">
        <f t="shared" si="93"/>
        <v>1450.125</v>
      </c>
      <c r="O1058" s="1021">
        <f t="shared" si="94"/>
        <v>0.229248455860181</v>
      </c>
      <c r="P1058" s="29"/>
    </row>
    <row r="1059" spans="1:16" ht="38.25" x14ac:dyDescent="0.2">
      <c r="A1059" s="7"/>
      <c r="B1059" s="1022" t="s">
        <v>1136</v>
      </c>
      <c r="C1059" s="26"/>
      <c r="D1059" s="1005" t="s">
        <v>80</v>
      </c>
      <c r="E1059" s="27"/>
      <c r="F1059" s="1006">
        <v>0.52370000000000005</v>
      </c>
      <c r="G1059" s="32">
        <v>2578</v>
      </c>
      <c r="H1059" s="1007">
        <f>G1059*F1059</f>
        <v>1350.0986</v>
      </c>
      <c r="I1059" s="30"/>
      <c r="J1059" s="1008">
        <v>0</v>
      </c>
      <c r="K1059" s="32">
        <v>2578</v>
      </c>
      <c r="L1059" s="1007">
        <f>K1059*J1059</f>
        <v>0</v>
      </c>
      <c r="M1059" s="30"/>
      <c r="N1059" s="34">
        <f t="shared" si="93"/>
        <v>-1350.0986</v>
      </c>
      <c r="O1059" s="202">
        <f>IF((H1059)=0,"",(N1059/H1059))</f>
        <v>-1</v>
      </c>
      <c r="P1059" s="7"/>
    </row>
    <row r="1060" spans="1:16" ht="38.25" x14ac:dyDescent="0.2">
      <c r="A1060" s="7"/>
      <c r="B1060" s="1022" t="s">
        <v>1137</v>
      </c>
      <c r="C1060" s="26"/>
      <c r="D1060" s="1005" t="s">
        <v>80</v>
      </c>
      <c r="E1060" s="27"/>
      <c r="F1060" s="1006">
        <v>-0.51049999999999995</v>
      </c>
      <c r="G1060" s="32">
        <v>2578</v>
      </c>
      <c r="H1060" s="1007">
        <f>G1060*F1060</f>
        <v>-1316.069</v>
      </c>
      <c r="I1060" s="30"/>
      <c r="J1060" s="1008">
        <v>-0.51049999999999995</v>
      </c>
      <c r="K1060" s="32">
        <v>2578</v>
      </c>
      <c r="L1060" s="1007">
        <f>K1060*J1060</f>
        <v>-1316.069</v>
      </c>
      <c r="M1060" s="30"/>
      <c r="N1060" s="34">
        <f t="shared" si="93"/>
        <v>0</v>
      </c>
      <c r="O1060" s="202">
        <f>IF((H1060)=0,"",(N1060/H1060))</f>
        <v>0</v>
      </c>
      <c r="P1060" s="7"/>
    </row>
    <row r="1061" spans="1:16" ht="51" x14ac:dyDescent="0.2">
      <c r="A1061" s="7"/>
      <c r="B1061" s="1022" t="s">
        <v>1138</v>
      </c>
      <c r="C1061" s="26"/>
      <c r="D1061" s="1005" t="s">
        <v>80</v>
      </c>
      <c r="E1061" s="27"/>
      <c r="F1061" s="1006">
        <v>0</v>
      </c>
      <c r="G1061" s="32">
        <v>2578</v>
      </c>
      <c r="H1061" s="1007">
        <f>G1061*F1061</f>
        <v>0</v>
      </c>
      <c r="I1061" s="30"/>
      <c r="J1061" s="1008">
        <v>-0.56159999999999999</v>
      </c>
      <c r="K1061" s="32">
        <v>2578</v>
      </c>
      <c r="L1061" s="1007">
        <f>K1061*J1061</f>
        <v>-1447.8047999999999</v>
      </c>
      <c r="M1061" s="30"/>
      <c r="N1061" s="34">
        <f t="shared" si="93"/>
        <v>-1447.8047999999999</v>
      </c>
      <c r="O1061" s="202" t="str">
        <f>IF((H1061)=0,"",(N1061/H1061))</f>
        <v/>
      </c>
      <c r="P1061" s="7"/>
    </row>
    <row r="1062" spans="1:16" x14ac:dyDescent="0.2">
      <c r="A1062" s="7"/>
      <c r="B1062" s="564" t="s">
        <v>808</v>
      </c>
      <c r="C1062" s="26"/>
      <c r="D1062" s="1005" t="s">
        <v>80</v>
      </c>
      <c r="E1062" s="27"/>
      <c r="F1062" s="1006">
        <v>7.9200000000000007E-2</v>
      </c>
      <c r="G1062" s="32">
        <v>2578</v>
      </c>
      <c r="H1062" s="1007">
        <f>G1062*F1062</f>
        <v>204.17760000000001</v>
      </c>
      <c r="I1062" s="30"/>
      <c r="J1062" s="1008">
        <v>8.2000000000000003E-2</v>
      </c>
      <c r="K1062" s="32">
        <v>2578</v>
      </c>
      <c r="L1062" s="1007">
        <f>K1062*J1062</f>
        <v>211.39600000000002</v>
      </c>
      <c r="M1062" s="30"/>
      <c r="N1062" s="34">
        <f t="shared" si="93"/>
        <v>7.2184000000000026</v>
      </c>
      <c r="O1062" s="202">
        <f>IF((H1062)=0,"",(N1062/H1062))</f>
        <v>3.5353535353535366E-2</v>
      </c>
      <c r="P1062" s="7"/>
    </row>
    <row r="1063" spans="1:16" x14ac:dyDescent="0.2">
      <c r="A1063" s="7"/>
      <c r="B1063" s="564" t="s">
        <v>701</v>
      </c>
      <c r="C1063" s="26"/>
      <c r="D1063" s="1005"/>
      <c r="E1063" s="27"/>
      <c r="F1063" s="1023"/>
      <c r="G1063" s="1024"/>
      <c r="H1063" s="1025"/>
      <c r="I1063" s="30"/>
      <c r="J1063" s="1008"/>
      <c r="K1063" s="32">
        <f>F1043</f>
        <v>977118</v>
      </c>
      <c r="L1063" s="1007">
        <f>K1063*J1063</f>
        <v>0</v>
      </c>
      <c r="M1063" s="30"/>
      <c r="N1063" s="34">
        <f t="shared" si="93"/>
        <v>0</v>
      </c>
      <c r="O1063" s="202"/>
      <c r="P1063" s="7"/>
    </row>
    <row r="1064" spans="1:16" ht="25.5" x14ac:dyDescent="0.2">
      <c r="A1064" s="7"/>
      <c r="B1064" s="1026" t="s">
        <v>699</v>
      </c>
      <c r="C1064" s="1027"/>
      <c r="D1064" s="1027"/>
      <c r="E1064" s="1027"/>
      <c r="F1064" s="1028"/>
      <c r="G1064" s="1029"/>
      <c r="H1064" s="1030">
        <f>SUM(H1058:H1063)</f>
        <v>6563.7678000000005</v>
      </c>
      <c r="I1064" s="1017"/>
      <c r="J1064" s="1029"/>
      <c r="K1064" s="1031"/>
      <c r="L1064" s="1030">
        <f>SUM(L1058:L1063)</f>
        <v>5223.2077999999992</v>
      </c>
      <c r="M1064" s="1017"/>
      <c r="N1064" s="1020">
        <f t="shared" si="93"/>
        <v>-1340.5600000000013</v>
      </c>
      <c r="O1064" s="1021">
        <f t="shared" ref="O1064:O1088" si="95">IF((H1064)=0,"",(N1064/H1064))</f>
        <v>-0.20423635339446364</v>
      </c>
      <c r="P1064" s="7"/>
    </row>
    <row r="1065" spans="1:16" x14ac:dyDescent="0.2">
      <c r="A1065" s="7"/>
      <c r="B1065" s="30" t="s">
        <v>32</v>
      </c>
      <c r="C1065" s="30"/>
      <c r="D1065" s="1032" t="s">
        <v>80</v>
      </c>
      <c r="E1065" s="31"/>
      <c r="F1065" s="1008">
        <v>2.7241</v>
      </c>
      <c r="G1065" s="667">
        <f>2578</f>
        <v>2578</v>
      </c>
      <c r="H1065" s="1007">
        <f>G1065*F1065</f>
        <v>7022.7298000000001</v>
      </c>
      <c r="I1065" s="30"/>
      <c r="J1065" s="1008">
        <v>2.5053999999999998</v>
      </c>
      <c r="K1065" s="668">
        <f>2578</f>
        <v>2578</v>
      </c>
      <c r="L1065" s="1007">
        <f>K1065*J1065</f>
        <v>6458.9211999999998</v>
      </c>
      <c r="M1065" s="30"/>
      <c r="N1065" s="34">
        <f t="shared" si="93"/>
        <v>-563.8086000000003</v>
      </c>
      <c r="O1065" s="202">
        <f t="shared" si="95"/>
        <v>-8.0283396351088471E-2</v>
      </c>
      <c r="P1065" s="7"/>
    </row>
    <row r="1066" spans="1:16" ht="25.5" x14ac:dyDescent="0.2">
      <c r="A1066" s="7"/>
      <c r="B1066" s="35" t="s">
        <v>33</v>
      </c>
      <c r="C1066" s="30"/>
      <c r="D1066" s="1032" t="s">
        <v>80</v>
      </c>
      <c r="E1066" s="31"/>
      <c r="F1066" s="1008">
        <v>2.1922999999999999</v>
      </c>
      <c r="G1066" s="667">
        <f>G1065</f>
        <v>2578</v>
      </c>
      <c r="H1066" s="1007">
        <f>G1066*F1066</f>
        <v>5651.7493999999997</v>
      </c>
      <c r="I1066" s="30"/>
      <c r="J1066" s="1008">
        <v>2.1116000000000001</v>
      </c>
      <c r="K1066" s="668">
        <f>K1065</f>
        <v>2578</v>
      </c>
      <c r="L1066" s="1007">
        <f>K1066*J1066</f>
        <v>5443.7048000000004</v>
      </c>
      <c r="M1066" s="30"/>
      <c r="N1066" s="34">
        <f t="shared" si="93"/>
        <v>-208.04459999999926</v>
      </c>
      <c r="O1066" s="202">
        <f t="shared" si="95"/>
        <v>-3.6810655475984E-2</v>
      </c>
      <c r="P1066" s="7"/>
    </row>
    <row r="1067" spans="1:16" ht="25.5" x14ac:dyDescent="0.2">
      <c r="A1067" s="7"/>
      <c r="B1067" s="1026" t="s">
        <v>700</v>
      </c>
      <c r="C1067" s="1012"/>
      <c r="D1067" s="1012"/>
      <c r="E1067" s="1012"/>
      <c r="F1067" s="1033"/>
      <c r="G1067" s="1029"/>
      <c r="H1067" s="1030">
        <f>SUM(H1064:H1066)</f>
        <v>19238.246999999999</v>
      </c>
      <c r="I1067" s="1034"/>
      <c r="J1067" s="1035"/>
      <c r="K1067" s="1036"/>
      <c r="L1067" s="1030">
        <f>SUM(L1064:L1066)</f>
        <v>17125.8338</v>
      </c>
      <c r="M1067" s="1034"/>
      <c r="N1067" s="1020">
        <f t="shared" si="93"/>
        <v>-2112.4131999999991</v>
      </c>
      <c r="O1067" s="1021">
        <f t="shared" si="95"/>
        <v>-0.10980279024383038</v>
      </c>
      <c r="P1067" s="7"/>
    </row>
    <row r="1068" spans="1:16" ht="25.5" x14ac:dyDescent="0.2">
      <c r="A1068" s="7"/>
      <c r="B1068" s="28" t="s">
        <v>34</v>
      </c>
      <c r="C1068" s="26"/>
      <c r="D1068" s="1005" t="s">
        <v>79</v>
      </c>
      <c r="E1068" s="27"/>
      <c r="F1068" s="1037">
        <v>5.1999999999999998E-3</v>
      </c>
      <c r="G1068" s="667">
        <f>F1043*(1+F1091)</f>
        <v>1001839.0854000001</v>
      </c>
      <c r="H1068" s="1038">
        <f t="shared" ref="H1068:H1076" si="96">G1068*F1068</f>
        <v>5209.56324408</v>
      </c>
      <c r="I1068" s="30"/>
      <c r="J1068" s="1039">
        <v>5.1999999999999998E-3</v>
      </c>
      <c r="K1068" s="668">
        <f>F1043*(1+J1091)</f>
        <v>1007994.9288000001</v>
      </c>
      <c r="L1068" s="1038">
        <f t="shared" ref="L1068:L1076" si="97">K1068*J1068</f>
        <v>5241.5736297600006</v>
      </c>
      <c r="M1068" s="30"/>
      <c r="N1068" s="34">
        <f t="shared" si="93"/>
        <v>32.010385680000581</v>
      </c>
      <c r="O1068" s="565">
        <f t="shared" si="95"/>
        <v>6.1445430605677502E-3</v>
      </c>
      <c r="P1068" s="7"/>
    </row>
    <row r="1069" spans="1:16" ht="25.5" x14ac:dyDescent="0.2">
      <c r="A1069" s="7"/>
      <c r="B1069" s="28" t="s">
        <v>35</v>
      </c>
      <c r="C1069" s="26"/>
      <c r="D1069" s="1005" t="s">
        <v>79</v>
      </c>
      <c r="E1069" s="27"/>
      <c r="F1069" s="1037">
        <v>1.1000000000000001E-3</v>
      </c>
      <c r="G1069" s="667">
        <f>F1043*(1+F1091)</f>
        <v>1001839.0854000001</v>
      </c>
      <c r="H1069" s="1038">
        <f t="shared" si="96"/>
        <v>1102.0229939400001</v>
      </c>
      <c r="I1069" s="30"/>
      <c r="J1069" s="1039">
        <v>1.1000000000000001E-3</v>
      </c>
      <c r="K1069" s="668">
        <f>F1043*(1+J1091)</f>
        <v>1007994.9288000001</v>
      </c>
      <c r="L1069" s="1038">
        <f t="shared" si="97"/>
        <v>1108.7944216800001</v>
      </c>
      <c r="M1069" s="30"/>
      <c r="N1069" s="34">
        <f t="shared" si="93"/>
        <v>6.7714277400000356</v>
      </c>
      <c r="O1069" s="565">
        <f t="shared" si="95"/>
        <v>6.1445430605676704E-3</v>
      </c>
      <c r="P1069" s="7"/>
    </row>
    <row r="1070" spans="1:16" x14ac:dyDescent="0.2">
      <c r="A1070" s="7"/>
      <c r="B1070" s="26" t="s">
        <v>36</v>
      </c>
      <c r="C1070" s="26"/>
      <c r="D1070" s="1005"/>
      <c r="E1070" s="27"/>
      <c r="F1070" s="1037"/>
      <c r="G1070" s="32">
        <v>1</v>
      </c>
      <c r="H1070" s="1038">
        <f t="shared" si="96"/>
        <v>0</v>
      </c>
      <c r="I1070" s="30"/>
      <c r="J1070" s="1039"/>
      <c r="K1070" s="33">
        <v>1</v>
      </c>
      <c r="L1070" s="1038">
        <f t="shared" si="97"/>
        <v>0</v>
      </c>
      <c r="M1070" s="30"/>
      <c r="N1070" s="34">
        <f t="shared" si="93"/>
        <v>0</v>
      </c>
      <c r="O1070" s="565" t="str">
        <f t="shared" si="95"/>
        <v/>
      </c>
      <c r="P1070" s="7"/>
    </row>
    <row r="1071" spans="1:16" x14ac:dyDescent="0.2">
      <c r="A1071" s="7"/>
      <c r="B1071" s="26" t="s">
        <v>37</v>
      </c>
      <c r="C1071" s="26"/>
      <c r="D1071" s="1005" t="s">
        <v>79</v>
      </c>
      <c r="E1071" s="27"/>
      <c r="F1071" s="1037">
        <v>7.0000000000000001E-3</v>
      </c>
      <c r="G1071" s="667">
        <f>F1043</f>
        <v>977118</v>
      </c>
      <c r="H1071" s="1038">
        <f t="shared" si="96"/>
        <v>6839.826</v>
      </c>
      <c r="I1071" s="30"/>
      <c r="J1071" s="1039">
        <v>7.0000000000000001E-3</v>
      </c>
      <c r="K1071" s="668">
        <f>F1043</f>
        <v>977118</v>
      </c>
      <c r="L1071" s="1038">
        <f t="shared" si="97"/>
        <v>6839.826</v>
      </c>
      <c r="M1071" s="30"/>
      <c r="N1071" s="34">
        <f t="shared" si="93"/>
        <v>0</v>
      </c>
      <c r="O1071" s="565">
        <f t="shared" si="95"/>
        <v>0</v>
      </c>
      <c r="P1071" s="7"/>
    </row>
    <row r="1072" spans="1:16" x14ac:dyDescent="0.2">
      <c r="A1072" s="7"/>
      <c r="B1072" s="564" t="s">
        <v>777</v>
      </c>
      <c r="C1072" s="26"/>
      <c r="D1072" s="1005" t="s">
        <v>79</v>
      </c>
      <c r="E1072" s="27"/>
      <c r="F1072" s="1040">
        <v>7.4999999999999997E-2</v>
      </c>
      <c r="G1072" s="667">
        <f>IF($G$1068&gt;=750,750,$G$1068)</f>
        <v>750</v>
      </c>
      <c r="H1072" s="1038">
        <f>G1072*F1072</f>
        <v>56.25</v>
      </c>
      <c r="I1072" s="30"/>
      <c r="J1072" s="1037">
        <v>7.4999999999999997E-2</v>
      </c>
      <c r="K1072" s="667">
        <f>IF($K$1068&gt;=750,750,$K$1068)</f>
        <v>750</v>
      </c>
      <c r="L1072" s="1038">
        <f>K1072*J1072</f>
        <v>56.25</v>
      </c>
      <c r="M1072" s="30"/>
      <c r="N1072" s="34">
        <f t="shared" si="93"/>
        <v>0</v>
      </c>
      <c r="O1072" s="565">
        <f t="shared" si="95"/>
        <v>0</v>
      </c>
      <c r="P1072" s="7"/>
    </row>
    <row r="1073" spans="1:16" x14ac:dyDescent="0.2">
      <c r="A1073" s="7"/>
      <c r="B1073" s="564" t="s">
        <v>778</v>
      </c>
      <c r="C1073" s="26"/>
      <c r="D1073" s="1005" t="s">
        <v>79</v>
      </c>
      <c r="E1073" s="27"/>
      <c r="F1073" s="1040">
        <v>8.7999999999999995E-2</v>
      </c>
      <c r="G1073" s="667">
        <f>IF($G$1068&gt;=750,$G$1068-750,0)</f>
        <v>1001089.0854000001</v>
      </c>
      <c r="H1073" s="1038">
        <f>G1073*F1073</f>
        <v>88095.839515200001</v>
      </c>
      <c r="I1073" s="30"/>
      <c r="J1073" s="1037">
        <v>8.7999999999999995E-2</v>
      </c>
      <c r="K1073" s="667">
        <f>IF($K$1068&gt;=750,$K$1068-750,0)</f>
        <v>1007244.9288000001</v>
      </c>
      <c r="L1073" s="1038">
        <f>K1073*J1073</f>
        <v>88637.553734400004</v>
      </c>
      <c r="M1073" s="30"/>
      <c r="N1073" s="34">
        <f t="shared" si="93"/>
        <v>541.71421920000284</v>
      </c>
      <c r="O1073" s="565">
        <f t="shared" si="95"/>
        <v>6.1491464543741116E-3</v>
      </c>
      <c r="P1073" s="7"/>
    </row>
    <row r="1074" spans="1:16" x14ac:dyDescent="0.2">
      <c r="A1074" s="7"/>
      <c r="B1074" s="564" t="s">
        <v>779</v>
      </c>
      <c r="C1074" s="26"/>
      <c r="D1074" s="1005" t="s">
        <v>79</v>
      </c>
      <c r="E1074" s="27"/>
      <c r="F1074" s="1040">
        <v>6.5000000000000002E-2</v>
      </c>
      <c r="G1074" s="669">
        <f>0.64*$G$1068</f>
        <v>641177.01465600007</v>
      </c>
      <c r="H1074" s="1038">
        <f t="shared" si="96"/>
        <v>41676.505952640007</v>
      </c>
      <c r="I1074" s="30"/>
      <c r="J1074" s="1037">
        <v>6.5000000000000002E-2</v>
      </c>
      <c r="K1074" s="1041">
        <f>0.64*$K$1068</f>
        <v>645116.7544320001</v>
      </c>
      <c r="L1074" s="1038">
        <f t="shared" si="97"/>
        <v>41932.589038080005</v>
      </c>
      <c r="M1074" s="30"/>
      <c r="N1074" s="34">
        <f t="shared" si="93"/>
        <v>256.08308543999738</v>
      </c>
      <c r="O1074" s="565">
        <f t="shared" si="95"/>
        <v>6.144543060567575E-3</v>
      </c>
      <c r="P1074" s="7"/>
    </row>
    <row r="1075" spans="1:16" x14ac:dyDescent="0.2">
      <c r="A1075" s="7"/>
      <c r="B1075" s="564" t="s">
        <v>780</v>
      </c>
      <c r="C1075" s="26"/>
      <c r="D1075" s="1005" t="s">
        <v>79</v>
      </c>
      <c r="E1075" s="27"/>
      <c r="F1075" s="1040">
        <v>0.1</v>
      </c>
      <c r="G1075" s="669">
        <f>0.18*$G$1068</f>
        <v>180331.03537200001</v>
      </c>
      <c r="H1075" s="1038">
        <f t="shared" si="96"/>
        <v>18033.103537200001</v>
      </c>
      <c r="I1075" s="30"/>
      <c r="J1075" s="1037">
        <v>0.1</v>
      </c>
      <c r="K1075" s="1041">
        <f>0.18*$K$1068</f>
        <v>181439.087184</v>
      </c>
      <c r="L1075" s="1038">
        <f t="shared" si="97"/>
        <v>18143.908718400002</v>
      </c>
      <c r="M1075" s="30"/>
      <c r="N1075" s="34">
        <f t="shared" si="93"/>
        <v>110.80518120000124</v>
      </c>
      <c r="O1075" s="565">
        <f t="shared" si="95"/>
        <v>6.1445430605677077E-3</v>
      </c>
      <c r="P1075" s="7"/>
    </row>
    <row r="1076" spans="1:16" ht="13.5" thickBot="1" x14ac:dyDescent="0.25">
      <c r="A1076" s="7"/>
      <c r="B1076" s="647" t="s">
        <v>781</v>
      </c>
      <c r="C1076" s="26"/>
      <c r="D1076" s="1005" t="s">
        <v>79</v>
      </c>
      <c r="E1076" s="27"/>
      <c r="F1076" s="1040">
        <v>0.11700000000000001</v>
      </c>
      <c r="G1076" s="669">
        <f>0.18*$G$1068</f>
        <v>180331.03537200001</v>
      </c>
      <c r="H1076" s="1038">
        <f t="shared" si="96"/>
        <v>21098.731138524003</v>
      </c>
      <c r="I1076" s="30"/>
      <c r="J1076" s="1037">
        <v>0.11700000000000001</v>
      </c>
      <c r="K1076" s="1041">
        <f>0.18*$K$1068</f>
        <v>181439.087184</v>
      </c>
      <c r="L1076" s="1038">
        <f t="shared" si="97"/>
        <v>21228.373200528</v>
      </c>
      <c r="M1076" s="30"/>
      <c r="N1076" s="34">
        <f t="shared" si="93"/>
        <v>129.64206200399713</v>
      </c>
      <c r="O1076" s="565">
        <f t="shared" si="95"/>
        <v>6.1445430605675021E-3</v>
      </c>
      <c r="P1076" s="7"/>
    </row>
    <row r="1077" spans="1:16" ht="13.5" thickBot="1" x14ac:dyDescent="0.25">
      <c r="A1077" s="7"/>
      <c r="B1077" s="1042"/>
      <c r="C1077" s="1043"/>
      <c r="D1077" s="1044"/>
      <c r="E1077" s="1043"/>
      <c r="F1077" s="1045"/>
      <c r="G1077" s="1046"/>
      <c r="H1077" s="1047"/>
      <c r="I1077" s="1048"/>
      <c r="J1077" s="1045"/>
      <c r="K1077" s="1049"/>
      <c r="L1077" s="1047"/>
      <c r="M1077" s="1048"/>
      <c r="N1077" s="1050"/>
      <c r="O1077" s="1051"/>
      <c r="P1077" s="7"/>
    </row>
    <row r="1078" spans="1:16" x14ac:dyDescent="0.2">
      <c r="A1078" s="7"/>
      <c r="B1078" s="36" t="s">
        <v>782</v>
      </c>
      <c r="C1078" s="26"/>
      <c r="D1078" s="26"/>
      <c r="E1078" s="26"/>
      <c r="F1078" s="662"/>
      <c r="G1078" s="652"/>
      <c r="H1078" s="656">
        <f>SUM(H1067:H1073)</f>
        <v>120541.74875322</v>
      </c>
      <c r="I1078" s="660"/>
      <c r="J1078" s="661"/>
      <c r="K1078" s="661"/>
      <c r="L1078" s="655">
        <f>SUM(L1067:L1073)</f>
        <v>119009.83158584</v>
      </c>
      <c r="M1078" s="654"/>
      <c r="N1078" s="659">
        <f t="shared" si="93"/>
        <v>-1531.917167380001</v>
      </c>
      <c r="O1078" s="657">
        <f t="shared" si="95"/>
        <v>-1.2708602481918775E-2</v>
      </c>
      <c r="P1078" s="7"/>
    </row>
    <row r="1079" spans="1:16" x14ac:dyDescent="0.2">
      <c r="A1079" s="7"/>
      <c r="B1079" s="650" t="s">
        <v>38</v>
      </c>
      <c r="C1079" s="26"/>
      <c r="D1079" s="26"/>
      <c r="E1079" s="26"/>
      <c r="F1079" s="649">
        <v>0.13</v>
      </c>
      <c r="G1079" s="652"/>
      <c r="H1079" s="670">
        <f>H1078*F1079</f>
        <v>15670.427337918602</v>
      </c>
      <c r="I1079" s="648"/>
      <c r="J1079" s="676">
        <v>0.13</v>
      </c>
      <c r="K1079" s="677"/>
      <c r="L1079" s="672">
        <f>L1078*J1079</f>
        <v>15471.278106159201</v>
      </c>
      <c r="M1079" s="673"/>
      <c r="N1079" s="674">
        <f t="shared" si="93"/>
        <v>-199.14923175940021</v>
      </c>
      <c r="O1079" s="675">
        <f t="shared" si="95"/>
        <v>-1.2708602481918779E-2</v>
      </c>
      <c r="P1079" s="7"/>
    </row>
    <row r="1080" spans="1:16" x14ac:dyDescent="0.2">
      <c r="A1080" s="7"/>
      <c r="B1080" s="651" t="s">
        <v>1139</v>
      </c>
      <c r="C1080" s="26"/>
      <c r="D1080" s="26"/>
      <c r="E1080" s="26"/>
      <c r="F1080" s="658"/>
      <c r="G1080" s="653"/>
      <c r="H1080" s="670">
        <f>H1078+H1079</f>
        <v>136212.17609113859</v>
      </c>
      <c r="I1080" s="648"/>
      <c r="J1080" s="648"/>
      <c r="K1080" s="648"/>
      <c r="L1080" s="672">
        <f>L1078+L1079</f>
        <v>134481.10969199921</v>
      </c>
      <c r="M1080" s="673"/>
      <c r="N1080" s="674">
        <f t="shared" si="93"/>
        <v>-1731.0663991393812</v>
      </c>
      <c r="O1080" s="675">
        <f t="shared" si="95"/>
        <v>-1.2708602481918629E-2</v>
      </c>
      <c r="P1080" s="7"/>
    </row>
    <row r="1081" spans="1:16" ht="12.75" customHeight="1" x14ac:dyDescent="0.2">
      <c r="A1081" s="7"/>
      <c r="B1081" s="1626" t="s">
        <v>1140</v>
      </c>
      <c r="C1081" s="1626"/>
      <c r="D1081" s="1626"/>
      <c r="E1081" s="26"/>
      <c r="F1081" s="658"/>
      <c r="G1081" s="653"/>
      <c r="H1081" s="1052">
        <f>ROUND(-H1080*10%,2)</f>
        <v>-13621.22</v>
      </c>
      <c r="I1081" s="648"/>
      <c r="J1081" s="648"/>
      <c r="K1081" s="648"/>
      <c r="L1081" s="1053">
        <f>ROUND(-L1080*10%,2)</f>
        <v>-13448.11</v>
      </c>
      <c r="M1081" s="673"/>
      <c r="N1081" s="1054">
        <f t="shared" si="93"/>
        <v>173.10999999999876</v>
      </c>
      <c r="O1081" s="1055">
        <f t="shared" si="95"/>
        <v>-1.2708846931478881E-2</v>
      </c>
      <c r="P1081" s="7"/>
    </row>
    <row r="1082" spans="1:16" ht="13.5" customHeight="1" thickBot="1" x14ac:dyDescent="0.25">
      <c r="A1082" s="7"/>
      <c r="B1082" s="1626" t="s">
        <v>785</v>
      </c>
      <c r="C1082" s="1626"/>
      <c r="D1082" s="1626"/>
      <c r="E1082" s="1056"/>
      <c r="F1082" s="1057"/>
      <c r="G1082" s="1058"/>
      <c r="H1082" s="1059">
        <f>SUM(H1080:H1081)</f>
        <v>122590.95609113859</v>
      </c>
      <c r="I1082" s="1060"/>
      <c r="J1082" s="1060"/>
      <c r="K1082" s="1060"/>
      <c r="L1082" s="1061">
        <f>SUM(L1080:L1081)</f>
        <v>121032.99969199921</v>
      </c>
      <c r="M1082" s="1062"/>
      <c r="N1082" s="1063">
        <f t="shared" si="93"/>
        <v>-1557.9563991393807</v>
      </c>
      <c r="O1082" s="1064">
        <f t="shared" si="95"/>
        <v>-1.2708575320851066E-2</v>
      </c>
      <c r="P1082" s="7"/>
    </row>
    <row r="1083" spans="1:16" ht="13.5" thickBot="1" x14ac:dyDescent="0.25">
      <c r="A1083" s="7"/>
      <c r="B1083" s="1042"/>
      <c r="C1083" s="1043"/>
      <c r="D1083" s="1044"/>
      <c r="E1083" s="1043"/>
      <c r="F1083" s="1065"/>
      <c r="G1083" s="1066"/>
      <c r="H1083" s="1067"/>
      <c r="I1083" s="1068"/>
      <c r="J1083" s="1065"/>
      <c r="K1083" s="1046"/>
      <c r="L1083" s="1069"/>
      <c r="M1083" s="1048"/>
      <c r="N1083" s="1070"/>
      <c r="O1083" s="1051"/>
      <c r="P1083" s="7"/>
    </row>
    <row r="1084" spans="1:16" x14ac:dyDescent="0.2">
      <c r="A1084" s="7"/>
      <c r="B1084" s="36" t="s">
        <v>783</v>
      </c>
      <c r="C1084" s="26"/>
      <c r="D1084" s="26"/>
      <c r="E1084" s="26"/>
      <c r="F1084" s="662"/>
      <c r="G1084" s="652"/>
      <c r="H1084" s="656">
        <f>SUM(H1067:H1071,H1074:H1076)</f>
        <v>113197.99986638402</v>
      </c>
      <c r="I1084" s="660"/>
      <c r="J1084" s="661"/>
      <c r="K1084" s="661"/>
      <c r="L1084" s="666">
        <f>SUM(L1067:L1071,L1074:L1076)</f>
        <v>111620.89880844802</v>
      </c>
      <c r="M1084" s="654"/>
      <c r="N1084" s="659">
        <f>L1084-H1084</f>
        <v>-1577.1010579360009</v>
      </c>
      <c r="O1084" s="657">
        <f>IF((H1084)=0,"",(N1084/H1084))</f>
        <v>-1.3932234313305623E-2</v>
      </c>
      <c r="P1084" s="7"/>
    </row>
    <row r="1085" spans="1:16" x14ac:dyDescent="0.2">
      <c r="A1085" s="7"/>
      <c r="B1085" s="650" t="s">
        <v>38</v>
      </c>
      <c r="C1085" s="26"/>
      <c r="D1085" s="26"/>
      <c r="E1085" s="26"/>
      <c r="F1085" s="649">
        <v>0.13</v>
      </c>
      <c r="G1085" s="653"/>
      <c r="H1085" s="670">
        <f>H1084*F1085</f>
        <v>14715.739982629924</v>
      </c>
      <c r="I1085" s="648"/>
      <c r="J1085" s="671">
        <v>0.13</v>
      </c>
      <c r="K1085" s="648"/>
      <c r="L1085" s="672">
        <f>L1084*J1085</f>
        <v>14510.716845098243</v>
      </c>
      <c r="M1085" s="673"/>
      <c r="N1085" s="674">
        <f t="shared" si="93"/>
        <v>-205.02313753168164</v>
      </c>
      <c r="O1085" s="675">
        <f t="shared" si="95"/>
        <v>-1.3932234313305727E-2</v>
      </c>
      <c r="P1085" s="7"/>
    </row>
    <row r="1086" spans="1:16" x14ac:dyDescent="0.2">
      <c r="A1086" s="7"/>
      <c r="B1086" s="651" t="s">
        <v>1139</v>
      </c>
      <c r="C1086" s="26"/>
      <c r="D1086" s="26"/>
      <c r="E1086" s="26"/>
      <c r="F1086" s="658"/>
      <c r="G1086" s="653"/>
      <c r="H1086" s="670">
        <f>H1084+H1085</f>
        <v>127913.73984901395</v>
      </c>
      <c r="I1086" s="648"/>
      <c r="J1086" s="648"/>
      <c r="K1086" s="648"/>
      <c r="L1086" s="672">
        <f>L1084+L1085</f>
        <v>126131.61565354627</v>
      </c>
      <c r="M1086" s="673"/>
      <c r="N1086" s="674">
        <f t="shared" si="93"/>
        <v>-1782.1241954676807</v>
      </c>
      <c r="O1086" s="675">
        <f t="shared" si="95"/>
        <v>-1.3932234313305621E-2</v>
      </c>
      <c r="P1086" s="7"/>
    </row>
    <row r="1087" spans="1:16" ht="12.75" customHeight="1" x14ac:dyDescent="0.2">
      <c r="A1087" s="7"/>
      <c r="B1087" s="1626" t="s">
        <v>1140</v>
      </c>
      <c r="C1087" s="1626"/>
      <c r="D1087" s="1626"/>
      <c r="E1087" s="26"/>
      <c r="F1087" s="658"/>
      <c r="G1087" s="653"/>
      <c r="H1087" s="1052">
        <f>ROUND(-H1086*10%,2)</f>
        <v>-12791.37</v>
      </c>
      <c r="I1087" s="648"/>
      <c r="J1087" s="648"/>
      <c r="K1087" s="648"/>
      <c r="L1087" s="1053">
        <f>ROUND(-L1086*10%,2)</f>
        <v>-12613.16</v>
      </c>
      <c r="M1087" s="673"/>
      <c r="N1087" s="1054">
        <f t="shared" si="93"/>
        <v>178.21000000000095</v>
      </c>
      <c r="O1087" s="1055">
        <f t="shared" si="95"/>
        <v>-1.3932049498998227E-2</v>
      </c>
      <c r="P1087" s="7"/>
    </row>
    <row r="1088" spans="1:16" ht="13.5" customHeight="1" thickBot="1" x14ac:dyDescent="0.25">
      <c r="A1088" s="7"/>
      <c r="B1088" s="1626" t="s">
        <v>784</v>
      </c>
      <c r="C1088" s="1626"/>
      <c r="D1088" s="1626"/>
      <c r="E1088" s="1056"/>
      <c r="F1088" s="1071"/>
      <c r="G1088" s="1072"/>
      <c r="H1088" s="1073">
        <f>H1086+H1087</f>
        <v>115122.36984901395</v>
      </c>
      <c r="I1088" s="1074"/>
      <c r="J1088" s="1074"/>
      <c r="K1088" s="1074"/>
      <c r="L1088" s="1075">
        <f>L1086+L1087</f>
        <v>113518.45565354626</v>
      </c>
      <c r="M1088" s="1076"/>
      <c r="N1088" s="1077">
        <f t="shared" si="93"/>
        <v>-1603.9141954676888</v>
      </c>
      <c r="O1088" s="1078">
        <f t="shared" si="95"/>
        <v>-1.3932254848221635E-2</v>
      </c>
      <c r="P1088" s="7"/>
    </row>
    <row r="1089" spans="1:16" ht="13.5" thickBot="1" x14ac:dyDescent="0.25">
      <c r="A1089" s="7"/>
      <c r="B1089" s="1042"/>
      <c r="C1089" s="1043"/>
      <c r="D1089" s="1044"/>
      <c r="E1089" s="1043"/>
      <c r="F1089" s="1065"/>
      <c r="G1089" s="1066"/>
      <c r="H1089" s="1067"/>
      <c r="I1089" s="1068"/>
      <c r="J1089" s="1065"/>
      <c r="K1089" s="1046"/>
      <c r="L1089" s="1069"/>
      <c r="M1089" s="1048"/>
      <c r="N1089" s="1070"/>
      <c r="O1089" s="1051"/>
      <c r="P1089" s="7"/>
    </row>
    <row r="1090" spans="1:16" x14ac:dyDescent="0.2">
      <c r="A1090" s="7"/>
      <c r="B1090" s="7"/>
      <c r="C1090" s="7"/>
      <c r="D1090" s="7"/>
      <c r="E1090" s="7"/>
      <c r="F1090" s="7"/>
      <c r="G1090" s="7"/>
      <c r="H1090" s="7"/>
      <c r="I1090" s="7"/>
      <c r="J1090" s="7"/>
      <c r="K1090" s="7"/>
      <c r="L1090" s="678"/>
      <c r="M1090" s="7"/>
      <c r="N1090" s="7"/>
      <c r="O1090" s="7"/>
      <c r="P1090" s="7"/>
    </row>
    <row r="1091" spans="1:16" x14ac:dyDescent="0.2">
      <c r="A1091" s="7"/>
      <c r="B1091" s="8" t="s">
        <v>39</v>
      </c>
      <c r="C1091" s="7"/>
      <c r="D1091" s="7"/>
      <c r="E1091" s="7"/>
      <c r="F1091" s="1079">
        <v>2.53E-2</v>
      </c>
      <c r="G1091" s="7"/>
      <c r="H1091" s="7"/>
      <c r="I1091" s="7"/>
      <c r="J1091" s="1079">
        <v>3.1600000000000003E-2</v>
      </c>
      <c r="K1091" s="7"/>
      <c r="L1091" s="7"/>
      <c r="M1091" s="7"/>
      <c r="N1091" s="7"/>
      <c r="O1091" s="7"/>
      <c r="P1091" s="7"/>
    </row>
    <row r="1092" spans="1:16" x14ac:dyDescent="0.2">
      <c r="A1092" s="7"/>
      <c r="B1092" s="7"/>
      <c r="C1092" s="7"/>
      <c r="D1092" s="7"/>
      <c r="E1092" s="7"/>
      <c r="F1092" s="7"/>
      <c r="G1092" s="7"/>
      <c r="H1092" s="7"/>
      <c r="I1092" s="7"/>
      <c r="J1092" s="7"/>
      <c r="K1092" s="7"/>
      <c r="L1092" s="7"/>
      <c r="M1092" s="7"/>
      <c r="N1092" s="7"/>
      <c r="O1092" s="7"/>
      <c r="P1092" s="7"/>
    </row>
    <row r="1093" spans="1:16" ht="14.25" x14ac:dyDescent="0.2">
      <c r="A1093" s="214" t="s">
        <v>1141</v>
      </c>
      <c r="B1093" s="7"/>
      <c r="C1093" s="7"/>
      <c r="D1093" s="7"/>
      <c r="E1093" s="7"/>
      <c r="F1093" s="7"/>
      <c r="G1093" s="7"/>
      <c r="H1093" s="7"/>
      <c r="I1093" s="7"/>
      <c r="J1093" s="7"/>
      <c r="K1093" s="7"/>
      <c r="L1093" s="7"/>
      <c r="M1093" s="7"/>
      <c r="N1093" s="7"/>
      <c r="O1093" s="7"/>
      <c r="P1093" s="7"/>
    </row>
    <row r="1094" spans="1:16" x14ac:dyDescent="0.2">
      <c r="A1094" s="7"/>
      <c r="B1094" s="7"/>
      <c r="C1094" s="7"/>
      <c r="D1094" s="7"/>
      <c r="E1094" s="7"/>
      <c r="F1094" s="7"/>
      <c r="G1094" s="7"/>
      <c r="H1094" s="7"/>
      <c r="I1094" s="7"/>
      <c r="J1094" s="7"/>
      <c r="K1094" s="7"/>
      <c r="L1094" s="7"/>
      <c r="M1094" s="7"/>
      <c r="N1094" s="7"/>
      <c r="O1094" s="7"/>
      <c r="P1094" s="7"/>
    </row>
    <row r="1095" spans="1:16" x14ac:dyDescent="0.2">
      <c r="A1095" s="7" t="s">
        <v>107</v>
      </c>
      <c r="B1095" s="7"/>
      <c r="C1095" s="7"/>
      <c r="D1095" s="7"/>
      <c r="E1095" s="7"/>
      <c r="F1095" s="7"/>
      <c r="G1095" s="7"/>
      <c r="H1095" s="7"/>
      <c r="I1095" s="7"/>
      <c r="J1095" s="7"/>
      <c r="K1095" s="7"/>
      <c r="L1095" s="7"/>
      <c r="M1095" s="7"/>
      <c r="N1095" s="7"/>
      <c r="O1095" s="7"/>
      <c r="P1095" s="7"/>
    </row>
    <row r="1096" spans="1:16" x14ac:dyDescent="0.2">
      <c r="A1096" s="7" t="s">
        <v>108</v>
      </c>
      <c r="B1096" s="7"/>
      <c r="C1096" s="7"/>
      <c r="D1096" s="7"/>
      <c r="E1096" s="7"/>
      <c r="F1096" s="7"/>
      <c r="G1096" s="7"/>
      <c r="H1096" s="7"/>
      <c r="I1096" s="7"/>
      <c r="J1096" s="7"/>
      <c r="K1096" s="7"/>
      <c r="L1096" s="7"/>
      <c r="M1096" s="7"/>
      <c r="N1096" s="7"/>
      <c r="O1096" s="7"/>
      <c r="P1096" s="7"/>
    </row>
    <row r="1097" spans="1:16" x14ac:dyDescent="0.2">
      <c r="A1097" s="7"/>
      <c r="B1097" s="7"/>
      <c r="C1097" s="7"/>
      <c r="D1097" s="7"/>
      <c r="E1097" s="7"/>
      <c r="F1097" s="7"/>
      <c r="G1097" s="7"/>
      <c r="H1097" s="7"/>
      <c r="I1097" s="7"/>
      <c r="J1097" s="7"/>
      <c r="K1097" s="7"/>
      <c r="L1097" s="7"/>
      <c r="M1097" s="7"/>
      <c r="N1097" s="7"/>
      <c r="O1097" s="7"/>
      <c r="P1097" s="7"/>
    </row>
    <row r="1098" spans="1:16" x14ac:dyDescent="0.2">
      <c r="A1098" s="7" t="s">
        <v>331</v>
      </c>
      <c r="B1098" s="7"/>
      <c r="C1098" s="7"/>
      <c r="D1098" s="7"/>
      <c r="E1098" s="7"/>
      <c r="F1098" s="7"/>
      <c r="G1098" s="7"/>
      <c r="H1098" s="7"/>
      <c r="I1098" s="7"/>
      <c r="J1098" s="7"/>
      <c r="K1098" s="7"/>
      <c r="L1098" s="7"/>
      <c r="M1098" s="7"/>
      <c r="N1098" s="7"/>
      <c r="O1098" s="7"/>
      <c r="P1098" s="7"/>
    </row>
    <row r="1099" spans="1:16" x14ac:dyDescent="0.2">
      <c r="A1099" s="7" t="s">
        <v>109</v>
      </c>
      <c r="B1099" s="7"/>
      <c r="C1099" s="7"/>
      <c r="D1099" s="7"/>
      <c r="E1099" s="7"/>
      <c r="F1099" s="7"/>
      <c r="G1099" s="7"/>
      <c r="H1099" s="7"/>
      <c r="I1099" s="7"/>
      <c r="J1099" s="7"/>
      <c r="K1099" s="7"/>
      <c r="L1099" s="7"/>
      <c r="M1099" s="7"/>
      <c r="N1099" s="7"/>
      <c r="O1099" s="7"/>
      <c r="P1099" s="7"/>
    </row>
    <row r="1100" spans="1:16" x14ac:dyDescent="0.2">
      <c r="A1100" s="7"/>
      <c r="B1100" s="7"/>
      <c r="C1100" s="7"/>
      <c r="D1100" s="7"/>
      <c r="E1100" s="7"/>
      <c r="F1100" s="7"/>
      <c r="G1100" s="7"/>
      <c r="H1100" s="7"/>
      <c r="I1100" s="7"/>
      <c r="J1100" s="7"/>
      <c r="K1100" s="7"/>
      <c r="L1100" s="7"/>
      <c r="M1100" s="7"/>
      <c r="N1100" s="7"/>
      <c r="O1100" s="7"/>
      <c r="P1100" s="7"/>
    </row>
    <row r="1101" spans="1:16" x14ac:dyDescent="0.2">
      <c r="A1101" s="7" t="s">
        <v>110</v>
      </c>
      <c r="B1101" s="7"/>
      <c r="C1101" s="7"/>
      <c r="D1101" s="7"/>
      <c r="E1101" s="7"/>
      <c r="F1101" s="7"/>
      <c r="G1101" s="7"/>
      <c r="H1101" s="7"/>
      <c r="I1101" s="7"/>
      <c r="J1101" s="7"/>
      <c r="K1101" s="7"/>
      <c r="L1101" s="7"/>
      <c r="M1101" s="7"/>
      <c r="N1101" s="7"/>
      <c r="O1101" s="7"/>
      <c r="P1101" s="7"/>
    </row>
    <row r="1102" spans="1:16" x14ac:dyDescent="0.2">
      <c r="A1102" s="7" t="s">
        <v>111</v>
      </c>
      <c r="B1102" s="7"/>
      <c r="C1102" s="7"/>
      <c r="D1102" s="7"/>
      <c r="E1102" s="7"/>
      <c r="F1102" s="7"/>
      <c r="G1102" s="7"/>
      <c r="H1102" s="7"/>
      <c r="I1102" s="7"/>
      <c r="J1102" s="7"/>
      <c r="K1102" s="7"/>
      <c r="L1102" s="7"/>
      <c r="M1102" s="7"/>
      <c r="N1102" s="7"/>
      <c r="O1102" s="7"/>
      <c r="P1102" s="7"/>
    </row>
    <row r="1103" spans="1:16" x14ac:dyDescent="0.2">
      <c r="A1103" s="7" t="s">
        <v>112</v>
      </c>
      <c r="B1103" s="7"/>
      <c r="C1103" s="7"/>
      <c r="D1103" s="7"/>
      <c r="E1103" s="7"/>
      <c r="F1103" s="7"/>
      <c r="G1103" s="7"/>
      <c r="H1103" s="7"/>
      <c r="I1103" s="7"/>
      <c r="J1103" s="7"/>
      <c r="K1103" s="7"/>
      <c r="L1103" s="7"/>
      <c r="M1103" s="7"/>
      <c r="N1103" s="7"/>
      <c r="O1103" s="7"/>
      <c r="P1103" s="7"/>
    </row>
    <row r="1104" spans="1:16" x14ac:dyDescent="0.2">
      <c r="A1104" s="7" t="s">
        <v>113</v>
      </c>
      <c r="B1104" s="7"/>
      <c r="C1104" s="7"/>
      <c r="D1104" s="7"/>
      <c r="E1104" s="7"/>
      <c r="F1104" s="7"/>
      <c r="G1104" s="7"/>
      <c r="H1104" s="7"/>
      <c r="I1104" s="7"/>
      <c r="J1104" s="7"/>
      <c r="K1104" s="7"/>
      <c r="L1104" s="7"/>
      <c r="M1104" s="7"/>
      <c r="N1104" s="7"/>
      <c r="O1104" s="7"/>
      <c r="P1104" s="7"/>
    </row>
    <row r="1105" spans="1:16" x14ac:dyDescent="0.2">
      <c r="A1105" s="7" t="s">
        <v>114</v>
      </c>
      <c r="B1105" s="7"/>
      <c r="C1105" s="7"/>
      <c r="D1105" s="7"/>
      <c r="E1105" s="7"/>
      <c r="F1105" s="7"/>
      <c r="G1105" s="7"/>
      <c r="H1105" s="7"/>
      <c r="I1105" s="7"/>
      <c r="J1105" s="7"/>
      <c r="K1105" s="7"/>
      <c r="L1105" s="7"/>
      <c r="M1105" s="7"/>
      <c r="N1105" s="7"/>
      <c r="O1105" s="7"/>
      <c r="P1105" s="7"/>
    </row>
    <row r="1107" spans="1:16" ht="21.75" x14ac:dyDescent="0.2">
      <c r="A1107" s="41"/>
      <c r="B1107" s="41"/>
      <c r="C1107" s="41"/>
      <c r="D1107" s="41"/>
      <c r="E1107" s="41"/>
      <c r="F1107" s="41"/>
      <c r="G1107" s="41"/>
      <c r="H1107" s="41"/>
      <c r="I1107" s="41"/>
      <c r="J1107" s="41"/>
      <c r="K1107" s="41"/>
      <c r="L1107" s="37"/>
      <c r="M1107" s="37"/>
      <c r="N1107" s="16" t="s">
        <v>444</v>
      </c>
      <c r="O1107" s="250" t="s">
        <v>866</v>
      </c>
    </row>
    <row r="1108" spans="1:16" ht="18" x14ac:dyDescent="0.25">
      <c r="A1108" s="40"/>
      <c r="B1108" s="40"/>
      <c r="C1108" s="40"/>
      <c r="D1108" s="40"/>
      <c r="E1108" s="40"/>
      <c r="F1108" s="40"/>
      <c r="G1108" s="40"/>
      <c r="H1108" s="40"/>
      <c r="I1108" s="40"/>
      <c r="J1108" s="40"/>
      <c r="K1108" s="40"/>
      <c r="L1108" s="37"/>
      <c r="M1108" s="37"/>
      <c r="N1108" s="16" t="s">
        <v>445</v>
      </c>
      <c r="O1108" s="1001"/>
    </row>
    <row r="1109" spans="1:16" x14ac:dyDescent="0.2">
      <c r="A1109" s="1626"/>
      <c r="B1109" s="1626"/>
      <c r="C1109" s="1626"/>
      <c r="D1109" s="1626"/>
      <c r="E1109" s="1626"/>
      <c r="F1109" s="1626"/>
      <c r="G1109" s="1626"/>
      <c r="H1109" s="1626"/>
      <c r="I1109" s="1626"/>
      <c r="J1109" s="1626"/>
      <c r="K1109" s="1626"/>
      <c r="L1109" s="37"/>
      <c r="M1109" s="37"/>
      <c r="N1109" s="16" t="s">
        <v>446</v>
      </c>
      <c r="O1109" s="1001"/>
    </row>
    <row r="1110" spans="1:16" ht="18" x14ac:dyDescent="0.25">
      <c r="A1110" s="40"/>
      <c r="B1110" s="40"/>
      <c r="C1110" s="40"/>
      <c r="D1110" s="40"/>
      <c r="E1110" s="40"/>
      <c r="F1110" s="40"/>
      <c r="G1110" s="40"/>
      <c r="H1110" s="40"/>
      <c r="I1110" s="38"/>
      <c r="J1110" s="38"/>
      <c r="K1110" s="38"/>
      <c r="L1110" s="37"/>
      <c r="M1110" s="37"/>
      <c r="N1110" s="16" t="s">
        <v>447</v>
      </c>
      <c r="O1110" s="1001"/>
    </row>
    <row r="1111" spans="1:16" ht="15.75" x14ac:dyDescent="0.25">
      <c r="A1111" s="37"/>
      <c r="B1111" s="37"/>
      <c r="C1111" s="39"/>
      <c r="D1111" s="39"/>
      <c r="E1111" s="39"/>
      <c r="F1111" s="37"/>
      <c r="G1111" s="37"/>
      <c r="H1111" s="37"/>
      <c r="I1111" s="37"/>
      <c r="J1111" s="37"/>
      <c r="K1111" s="37"/>
      <c r="L1111" s="37"/>
      <c r="M1111" s="37"/>
      <c r="N1111" s="16" t="s">
        <v>448</v>
      </c>
      <c r="O1111" s="1002" t="s">
        <v>1158</v>
      </c>
    </row>
    <row r="1112" spans="1:16" x14ac:dyDescent="0.2">
      <c r="A1112" s="37"/>
      <c r="B1112" s="37"/>
      <c r="C1112" s="37"/>
      <c r="D1112" s="37"/>
      <c r="E1112" s="37"/>
      <c r="F1112" s="37"/>
      <c r="G1112" s="37"/>
      <c r="H1112" s="37"/>
      <c r="I1112" s="37"/>
      <c r="J1112" s="37"/>
      <c r="K1112" s="37"/>
      <c r="L1112" s="37"/>
      <c r="M1112" s="37"/>
      <c r="N1112" s="16"/>
      <c r="O1112" s="250"/>
    </row>
    <row r="1113" spans="1:16" x14ac:dyDescent="0.2">
      <c r="A1113" s="37"/>
      <c r="B1113" s="37"/>
      <c r="C1113" s="37"/>
      <c r="D1113" s="37"/>
      <c r="E1113" s="37"/>
      <c r="F1113" s="37"/>
      <c r="G1113" s="37"/>
      <c r="H1113" s="37"/>
      <c r="I1113" s="37"/>
      <c r="J1113" s="37"/>
      <c r="K1113" s="37"/>
      <c r="L1113" s="37"/>
      <c r="M1113" s="37"/>
      <c r="N1113" s="16" t="s">
        <v>449</v>
      </c>
      <c r="O1113" s="1002"/>
    </row>
    <row r="1114" spans="1:16" x14ac:dyDescent="0.2">
      <c r="A1114" s="37"/>
      <c r="B1114" s="37"/>
      <c r="C1114" s="37"/>
      <c r="D1114" s="37"/>
      <c r="E1114" s="37"/>
      <c r="F1114" s="37"/>
      <c r="G1114" s="37"/>
      <c r="H1114" s="37"/>
      <c r="I1114" s="37"/>
      <c r="J1114" s="37"/>
      <c r="K1114" s="37"/>
      <c r="L1114" s="37"/>
      <c r="M1114" s="37"/>
      <c r="N1114" s="7"/>
    </row>
    <row r="1115" spans="1:16" x14ac:dyDescent="0.2">
      <c r="A1115" s="7"/>
      <c r="B1115" s="7"/>
      <c r="C1115" s="7"/>
      <c r="D1115" s="7"/>
      <c r="E1115" s="7"/>
      <c r="F1115" s="7"/>
      <c r="G1115" s="7"/>
      <c r="H1115" s="7"/>
      <c r="I1115" s="7"/>
      <c r="J1115" s="7"/>
      <c r="K1115" s="7"/>
    </row>
    <row r="1116" spans="1:16" x14ac:dyDescent="0.2">
      <c r="A1116" s="7"/>
      <c r="B1116" s="1626" t="s">
        <v>695</v>
      </c>
      <c r="C1116" s="1626"/>
      <c r="D1116" s="1626"/>
      <c r="E1116" s="1626"/>
      <c r="F1116" s="1626"/>
      <c r="G1116" s="1626"/>
      <c r="H1116" s="1626"/>
      <c r="I1116" s="1626"/>
      <c r="J1116" s="1626"/>
      <c r="K1116" s="1626"/>
      <c r="L1116" s="1626"/>
      <c r="M1116" s="1626"/>
      <c r="N1116" s="1626"/>
      <c r="O1116" s="1626"/>
    </row>
    <row r="1117" spans="1:16" x14ac:dyDescent="0.2">
      <c r="A1117" s="7"/>
      <c r="B1117" s="1626" t="s">
        <v>63</v>
      </c>
      <c r="C1117" s="1626"/>
      <c r="D1117" s="1626"/>
      <c r="E1117" s="1626"/>
      <c r="F1117" s="1626"/>
      <c r="G1117" s="1626"/>
      <c r="H1117" s="1626"/>
      <c r="I1117" s="1626"/>
      <c r="J1117" s="1626"/>
      <c r="K1117" s="1626"/>
      <c r="L1117" s="1626"/>
      <c r="M1117" s="1626"/>
      <c r="N1117" s="1626"/>
      <c r="O1117" s="1626"/>
    </row>
    <row r="1118" spans="1:16" x14ac:dyDescent="0.2">
      <c r="A1118" s="7"/>
      <c r="B1118" s="7"/>
      <c r="C1118" s="7"/>
      <c r="D1118" s="7"/>
      <c r="E1118" s="7"/>
      <c r="F1118" s="7"/>
      <c r="G1118" s="7"/>
      <c r="H1118" s="7"/>
      <c r="I1118" s="7"/>
      <c r="J1118" s="7"/>
      <c r="K1118" s="7"/>
    </row>
    <row r="1119" spans="1:16" x14ac:dyDescent="0.2">
      <c r="A1119" s="7"/>
      <c r="B1119" s="7"/>
      <c r="C1119" s="7"/>
      <c r="D1119" s="7"/>
      <c r="E1119" s="7"/>
      <c r="F1119" s="7"/>
      <c r="G1119" s="7"/>
      <c r="H1119" s="7"/>
      <c r="I1119" s="7"/>
      <c r="J1119" s="7"/>
      <c r="K1119" s="7"/>
    </row>
    <row r="1120" spans="1:16" x14ac:dyDescent="0.2">
      <c r="A1120" s="7"/>
      <c r="B1120" s="43" t="s">
        <v>40</v>
      </c>
      <c r="C1120" s="7"/>
      <c r="D1120" s="1626" t="s">
        <v>1156</v>
      </c>
      <c r="E1120" s="1626"/>
      <c r="F1120" s="1626"/>
      <c r="G1120" s="1626"/>
      <c r="H1120" s="1626"/>
      <c r="I1120" s="1626"/>
      <c r="J1120" s="1626"/>
      <c r="K1120" s="1626"/>
      <c r="L1120" s="1626"/>
      <c r="M1120" s="1626"/>
      <c r="N1120" s="1626"/>
      <c r="O1120" s="1626"/>
      <c r="P1120" s="7"/>
    </row>
    <row r="1121" spans="1:16" ht="15.75" x14ac:dyDescent="0.25">
      <c r="A1121" s="7"/>
      <c r="B1121" s="1003"/>
      <c r="C1121" s="7"/>
      <c r="D1121" s="42"/>
      <c r="E1121" s="42"/>
      <c r="F1121" s="42"/>
      <c r="G1121" s="42"/>
      <c r="H1121" s="42"/>
      <c r="I1121" s="42"/>
      <c r="J1121" s="42"/>
      <c r="K1121" s="42"/>
      <c r="L1121" s="42"/>
      <c r="M1121" s="42"/>
      <c r="N1121" s="42"/>
      <c r="O1121" s="42"/>
      <c r="P1121" s="7"/>
    </row>
    <row r="1122" spans="1:16" x14ac:dyDescent="0.2">
      <c r="A1122" s="7"/>
      <c r="B1122" s="647"/>
      <c r="C1122" s="7"/>
      <c r="D1122" s="8" t="s">
        <v>17</v>
      </c>
      <c r="E1122" s="8"/>
      <c r="F1122" s="1004">
        <v>3011152</v>
      </c>
      <c r="G1122" s="8" t="s">
        <v>18</v>
      </c>
      <c r="H1122" s="7"/>
      <c r="I1122" s="7"/>
      <c r="J1122" s="7"/>
      <c r="K1122" s="7"/>
      <c r="L1122" s="7"/>
      <c r="M1122" s="7"/>
      <c r="N1122" s="7"/>
      <c r="O1122" s="7"/>
      <c r="P1122" s="7"/>
    </row>
    <row r="1123" spans="1:16" x14ac:dyDescent="0.2">
      <c r="A1123" s="7"/>
      <c r="B1123" s="647"/>
      <c r="C1123" s="7"/>
      <c r="D1123" s="7"/>
      <c r="E1123" s="7"/>
      <c r="F1123" s="7"/>
      <c r="G1123" s="7"/>
      <c r="H1123" s="7"/>
      <c r="I1123" s="7"/>
      <c r="J1123" s="7"/>
      <c r="K1123" s="7"/>
      <c r="L1123" s="7"/>
      <c r="M1123" s="7"/>
      <c r="N1123" s="7"/>
      <c r="O1123" s="7"/>
      <c r="P1123" s="7"/>
    </row>
    <row r="1124" spans="1:16" x14ac:dyDescent="0.2">
      <c r="A1124" s="7"/>
      <c r="B1124" s="647"/>
      <c r="C1124" s="7"/>
      <c r="D1124" s="19"/>
      <c r="E1124" s="19"/>
      <c r="F1124" s="1626" t="s">
        <v>19</v>
      </c>
      <c r="G1124" s="1626"/>
      <c r="H1124" s="1626"/>
      <c r="I1124" s="7"/>
      <c r="J1124" s="1626" t="s">
        <v>20</v>
      </c>
      <c r="K1124" s="1626"/>
      <c r="L1124" s="1626"/>
      <c r="M1124" s="7"/>
      <c r="N1124" s="1626" t="s">
        <v>21</v>
      </c>
      <c r="O1124" s="1626"/>
      <c r="P1124" s="7"/>
    </row>
    <row r="1125" spans="1:16" ht="12.75" customHeight="1" x14ac:dyDescent="0.2">
      <c r="A1125" s="7"/>
      <c r="B1125" s="647"/>
      <c r="C1125" s="7"/>
      <c r="D1125" s="1626" t="s">
        <v>22</v>
      </c>
      <c r="E1125" s="20"/>
      <c r="F1125" s="21" t="s">
        <v>23</v>
      </c>
      <c r="G1125" s="21" t="s">
        <v>24</v>
      </c>
      <c r="H1125" s="22" t="s">
        <v>25</v>
      </c>
      <c r="I1125" s="7"/>
      <c r="J1125" s="21" t="s">
        <v>23</v>
      </c>
      <c r="K1125" s="23" t="s">
        <v>24</v>
      </c>
      <c r="L1125" s="22" t="s">
        <v>25</v>
      </c>
      <c r="M1125" s="7"/>
      <c r="N1125" s="1626" t="s">
        <v>26</v>
      </c>
      <c r="O1125" s="1626" t="s">
        <v>27</v>
      </c>
      <c r="P1125" s="7"/>
    </row>
    <row r="1126" spans="1:16" x14ac:dyDescent="0.2">
      <c r="A1126" s="7"/>
      <c r="B1126" s="647"/>
      <c r="C1126" s="7"/>
      <c r="D1126" s="1626"/>
      <c r="E1126" s="20"/>
      <c r="F1126" s="24" t="s">
        <v>452</v>
      </c>
      <c r="G1126" s="24"/>
      <c r="H1126" s="25" t="s">
        <v>452</v>
      </c>
      <c r="I1126" s="7"/>
      <c r="J1126" s="24" t="s">
        <v>452</v>
      </c>
      <c r="K1126" s="25"/>
      <c r="L1126" s="25" t="s">
        <v>452</v>
      </c>
      <c r="M1126" s="7"/>
      <c r="N1126" s="1626"/>
      <c r="O1126" s="1626"/>
      <c r="P1126" s="7"/>
    </row>
    <row r="1127" spans="1:16" x14ac:dyDescent="0.2">
      <c r="A1127" s="7"/>
      <c r="B1127" s="26" t="s">
        <v>28</v>
      </c>
      <c r="C1127" s="26"/>
      <c r="D1127" s="1005" t="s">
        <v>1130</v>
      </c>
      <c r="E1127" s="27"/>
      <c r="F1127" s="1006">
        <v>3121.63</v>
      </c>
      <c r="G1127" s="32">
        <v>1</v>
      </c>
      <c r="H1127" s="1007">
        <f>G1127*F1127</f>
        <v>3121.63</v>
      </c>
      <c r="I1127" s="30"/>
      <c r="J1127" s="1008">
        <v>3121.63</v>
      </c>
      <c r="K1127" s="33">
        <v>1</v>
      </c>
      <c r="L1127" s="1007">
        <f>K1127*J1127</f>
        <v>3121.63</v>
      </c>
      <c r="M1127" s="30"/>
      <c r="N1127" s="34">
        <f>L1127-H1127</f>
        <v>0</v>
      </c>
      <c r="O1127" s="202">
        <f>IF((H1127)=0,"",(N1127/H1127))</f>
        <v>0</v>
      </c>
      <c r="P1127" s="7"/>
    </row>
    <row r="1128" spans="1:16" x14ac:dyDescent="0.2">
      <c r="A1128" s="7"/>
      <c r="B1128" s="26" t="s">
        <v>29</v>
      </c>
      <c r="C1128" s="26"/>
      <c r="D1128" s="1005" t="s">
        <v>1130</v>
      </c>
      <c r="E1128" s="27"/>
      <c r="F1128" s="1006">
        <v>0</v>
      </c>
      <c r="G1128" s="32">
        <v>1</v>
      </c>
      <c r="H1128" s="1007">
        <f t="shared" ref="H1128:H1136" si="98">G1128*F1128</f>
        <v>0</v>
      </c>
      <c r="I1128" s="30"/>
      <c r="J1128" s="1008">
        <v>0</v>
      </c>
      <c r="K1128" s="33">
        <v>1</v>
      </c>
      <c r="L1128" s="1007">
        <f>K1128*J1128</f>
        <v>0</v>
      </c>
      <c r="M1128" s="30"/>
      <c r="N1128" s="34">
        <f>L1128-H1128</f>
        <v>0</v>
      </c>
      <c r="O1128" s="202" t="str">
        <f>IF((H1128)=0,"",(N1128/H1128))</f>
        <v/>
      </c>
      <c r="P1128" s="7"/>
    </row>
    <row r="1129" spans="1:16" x14ac:dyDescent="0.2">
      <c r="A1129" s="7"/>
      <c r="B1129" s="1009" t="s">
        <v>1131</v>
      </c>
      <c r="C1129" s="26"/>
      <c r="D1129" s="1005" t="s">
        <v>80</v>
      </c>
      <c r="E1129" s="27"/>
      <c r="F1129" s="1006">
        <v>-3.6299999999999999E-2</v>
      </c>
      <c r="G1129" s="32">
        <v>4500</v>
      </c>
      <c r="H1129" s="1007">
        <f t="shared" si="98"/>
        <v>-163.35</v>
      </c>
      <c r="I1129" s="30"/>
      <c r="J1129" s="1008">
        <v>0</v>
      </c>
      <c r="K1129" s="33">
        <v>4500</v>
      </c>
      <c r="L1129" s="1007">
        <f t="shared" ref="L1129:L1136" si="99">K1129*J1129</f>
        <v>0</v>
      </c>
      <c r="M1129" s="30"/>
      <c r="N1129" s="34">
        <f t="shared" ref="N1129:N1167" si="100">L1129-H1129</f>
        <v>163.35</v>
      </c>
      <c r="O1129" s="202">
        <f t="shared" ref="O1129:O1137" si="101">IF((H1129)=0,"",(N1129/H1129))</f>
        <v>-1</v>
      </c>
      <c r="P1129" s="7"/>
    </row>
    <row r="1130" spans="1:16" x14ac:dyDescent="0.2">
      <c r="A1130" s="7"/>
      <c r="B1130" s="1009" t="s">
        <v>36</v>
      </c>
      <c r="C1130" s="26"/>
      <c r="D1130" s="1005" t="s">
        <v>1130</v>
      </c>
      <c r="E1130" s="27"/>
      <c r="F1130" s="1006">
        <v>0.25</v>
      </c>
      <c r="G1130" s="32">
        <v>1</v>
      </c>
      <c r="H1130" s="1007">
        <f t="shared" si="98"/>
        <v>0.25</v>
      </c>
      <c r="I1130" s="30"/>
      <c r="J1130" s="1008">
        <v>0.25</v>
      </c>
      <c r="K1130" s="33">
        <v>1</v>
      </c>
      <c r="L1130" s="1007">
        <f t="shared" si="99"/>
        <v>0.25</v>
      </c>
      <c r="M1130" s="30"/>
      <c r="N1130" s="34">
        <f t="shared" si="100"/>
        <v>0</v>
      </c>
      <c r="O1130" s="202">
        <f t="shared" si="101"/>
        <v>0</v>
      </c>
      <c r="P1130" s="7"/>
    </row>
    <row r="1131" spans="1:16" x14ac:dyDescent="0.2">
      <c r="A1131" s="7"/>
      <c r="B1131" s="26" t="s">
        <v>30</v>
      </c>
      <c r="C1131" s="26"/>
      <c r="D1131" s="1005" t="s">
        <v>80</v>
      </c>
      <c r="E1131" s="27"/>
      <c r="F1131" s="1006">
        <v>1.2789999999999999</v>
      </c>
      <c r="G1131" s="32">
        <v>4500</v>
      </c>
      <c r="H1131" s="1007">
        <f t="shared" si="98"/>
        <v>5755.5</v>
      </c>
      <c r="I1131" s="30"/>
      <c r="J1131" s="1008">
        <v>1.8051999999999999</v>
      </c>
      <c r="K1131" s="32">
        <v>4500</v>
      </c>
      <c r="L1131" s="1007">
        <f t="shared" si="99"/>
        <v>8123.4</v>
      </c>
      <c r="M1131" s="30"/>
      <c r="N1131" s="34">
        <f t="shared" si="100"/>
        <v>2367.8999999999996</v>
      </c>
      <c r="O1131" s="202">
        <f t="shared" si="101"/>
        <v>0.41141516810007811</v>
      </c>
      <c r="P1131" s="7"/>
    </row>
    <row r="1132" spans="1:16" x14ac:dyDescent="0.2">
      <c r="A1132" s="7"/>
      <c r="B1132" s="26" t="s">
        <v>31</v>
      </c>
      <c r="C1132" s="26"/>
      <c r="D1132" s="1005"/>
      <c r="E1132" s="27"/>
      <c r="F1132" s="1006"/>
      <c r="G1132" s="32"/>
      <c r="H1132" s="1007">
        <f t="shared" si="98"/>
        <v>0</v>
      </c>
      <c r="I1132" s="30"/>
      <c r="J1132" s="1008"/>
      <c r="K1132" s="32"/>
      <c r="L1132" s="1007">
        <f t="shared" si="99"/>
        <v>0</v>
      </c>
      <c r="M1132" s="30"/>
      <c r="N1132" s="34">
        <f t="shared" si="100"/>
        <v>0</v>
      </c>
      <c r="O1132" s="202" t="str">
        <f t="shared" si="101"/>
        <v/>
      </c>
      <c r="P1132" s="7"/>
    </row>
    <row r="1133" spans="1:16" x14ac:dyDescent="0.2">
      <c r="A1133" s="7"/>
      <c r="B1133" s="26" t="s">
        <v>1132</v>
      </c>
      <c r="C1133" s="26"/>
      <c r="D1133" s="1005" t="s">
        <v>80</v>
      </c>
      <c r="E1133" s="27"/>
      <c r="F1133" s="1006">
        <v>0</v>
      </c>
      <c r="G1133" s="32">
        <v>4500</v>
      </c>
      <c r="H1133" s="1007">
        <f t="shared" si="98"/>
        <v>0</v>
      </c>
      <c r="I1133" s="30"/>
      <c r="J1133" s="1008">
        <v>0</v>
      </c>
      <c r="K1133" s="32">
        <v>4500</v>
      </c>
      <c r="L1133" s="1007">
        <f t="shared" si="99"/>
        <v>0</v>
      </c>
      <c r="M1133" s="30"/>
      <c r="N1133" s="34">
        <f t="shared" si="100"/>
        <v>0</v>
      </c>
      <c r="O1133" s="202" t="str">
        <f t="shared" si="101"/>
        <v/>
      </c>
      <c r="P1133" s="7"/>
    </row>
    <row r="1134" spans="1:16" x14ac:dyDescent="0.2">
      <c r="A1134" s="7"/>
      <c r="B1134" s="26" t="s">
        <v>1133</v>
      </c>
      <c r="C1134" s="26"/>
      <c r="D1134" s="1005" t="s">
        <v>80</v>
      </c>
      <c r="E1134" s="27"/>
      <c r="F1134" s="1006">
        <v>0</v>
      </c>
      <c r="G1134" s="32">
        <v>4500</v>
      </c>
      <c r="H1134" s="1007">
        <f t="shared" si="98"/>
        <v>0</v>
      </c>
      <c r="I1134" s="30"/>
      <c r="J1134" s="1008">
        <v>0</v>
      </c>
      <c r="K1134" s="32">
        <v>4500</v>
      </c>
      <c r="L1134" s="1007">
        <f t="shared" si="99"/>
        <v>0</v>
      </c>
      <c r="M1134" s="30"/>
      <c r="N1134" s="34">
        <f t="shared" si="100"/>
        <v>0</v>
      </c>
      <c r="O1134" s="202" t="str">
        <f t="shared" si="101"/>
        <v/>
      </c>
      <c r="P1134" s="7"/>
    </row>
    <row r="1135" spans="1:16" x14ac:dyDescent="0.2">
      <c r="A1135" s="7"/>
      <c r="B1135" s="26" t="s">
        <v>1134</v>
      </c>
      <c r="C1135" s="26"/>
      <c r="D1135" s="1005" t="s">
        <v>80</v>
      </c>
      <c r="E1135" s="27"/>
      <c r="F1135" s="1006">
        <v>0</v>
      </c>
      <c r="G1135" s="32">
        <v>4500</v>
      </c>
      <c r="H1135" s="1007">
        <f t="shared" si="98"/>
        <v>0</v>
      </c>
      <c r="I1135" s="30"/>
      <c r="J1135" s="1008">
        <v>0</v>
      </c>
      <c r="K1135" s="32">
        <v>4500</v>
      </c>
      <c r="L1135" s="1007">
        <f t="shared" si="99"/>
        <v>0</v>
      </c>
      <c r="M1135" s="30"/>
      <c r="N1135" s="34">
        <f t="shared" si="100"/>
        <v>0</v>
      </c>
      <c r="O1135" s="202" t="str">
        <f t="shared" si="101"/>
        <v/>
      </c>
      <c r="P1135" s="7"/>
    </row>
    <row r="1136" spans="1:16" x14ac:dyDescent="0.2">
      <c r="A1136" s="7"/>
      <c r="B1136" s="1010" t="s">
        <v>1135</v>
      </c>
      <c r="C1136" s="26"/>
      <c r="D1136" s="1005" t="s">
        <v>1130</v>
      </c>
      <c r="E1136" s="27"/>
      <c r="F1136" s="1006">
        <v>0</v>
      </c>
      <c r="G1136" s="32">
        <v>1</v>
      </c>
      <c r="H1136" s="1007">
        <f t="shared" si="98"/>
        <v>0</v>
      </c>
      <c r="I1136" s="30"/>
      <c r="J1136" s="1008">
        <v>0</v>
      </c>
      <c r="K1136" s="32">
        <v>1</v>
      </c>
      <c r="L1136" s="1007">
        <f t="shared" si="99"/>
        <v>0</v>
      </c>
      <c r="M1136" s="30"/>
      <c r="N1136" s="34">
        <f t="shared" si="100"/>
        <v>0</v>
      </c>
      <c r="O1136" s="202" t="str">
        <f t="shared" si="101"/>
        <v/>
      </c>
      <c r="P1136" s="7"/>
    </row>
    <row r="1137" spans="1:16" x14ac:dyDescent="0.2">
      <c r="A1137" s="29"/>
      <c r="B1137" s="1011" t="s">
        <v>698</v>
      </c>
      <c r="C1137" s="1012"/>
      <c r="D1137" s="1013"/>
      <c r="E1137" s="1012"/>
      <c r="F1137" s="1014"/>
      <c r="G1137" s="1015"/>
      <c r="H1137" s="1016">
        <f>SUM(H1127:H1136)</f>
        <v>8714.0300000000007</v>
      </c>
      <c r="I1137" s="1017"/>
      <c r="J1137" s="1018"/>
      <c r="K1137" s="1019"/>
      <c r="L1137" s="1016">
        <f>SUM(L1127:L1136)</f>
        <v>11245.279999999999</v>
      </c>
      <c r="M1137" s="1017"/>
      <c r="N1137" s="1020">
        <f t="shared" si="100"/>
        <v>2531.2499999999982</v>
      </c>
      <c r="O1137" s="1021">
        <f t="shared" si="101"/>
        <v>0.29047983539189076</v>
      </c>
      <c r="P1137" s="29"/>
    </row>
    <row r="1138" spans="1:16" ht="38.25" x14ac:dyDescent="0.2">
      <c r="A1138" s="7"/>
      <c r="B1138" s="1022" t="s">
        <v>1136</v>
      </c>
      <c r="C1138" s="26"/>
      <c r="D1138" s="1005" t="s">
        <v>80</v>
      </c>
      <c r="E1138" s="27"/>
      <c r="F1138" s="1006">
        <v>0.52370000000000005</v>
      </c>
      <c r="G1138" s="32">
        <v>4500</v>
      </c>
      <c r="H1138" s="1007">
        <f>G1138*F1138</f>
        <v>2356.65</v>
      </c>
      <c r="I1138" s="30"/>
      <c r="J1138" s="1008">
        <v>0</v>
      </c>
      <c r="K1138" s="32">
        <v>4500</v>
      </c>
      <c r="L1138" s="1007">
        <f>K1138*J1138</f>
        <v>0</v>
      </c>
      <c r="M1138" s="30"/>
      <c r="N1138" s="34">
        <f t="shared" si="100"/>
        <v>-2356.65</v>
      </c>
      <c r="O1138" s="202">
        <f>IF((H1138)=0,"",(N1138/H1138))</f>
        <v>-1</v>
      </c>
      <c r="P1138" s="7"/>
    </row>
    <row r="1139" spans="1:16" ht="38.25" x14ac:dyDescent="0.2">
      <c r="A1139" s="7"/>
      <c r="B1139" s="1022" t="s">
        <v>1137</v>
      </c>
      <c r="C1139" s="26"/>
      <c r="D1139" s="1005" t="s">
        <v>80</v>
      </c>
      <c r="E1139" s="27"/>
      <c r="F1139" s="1006">
        <v>-0.51049999999999995</v>
      </c>
      <c r="G1139" s="32">
        <v>4500</v>
      </c>
      <c r="H1139" s="1007">
        <f>G1139*F1139</f>
        <v>-2297.25</v>
      </c>
      <c r="I1139" s="30"/>
      <c r="J1139" s="1008">
        <v>-0.51049999999999995</v>
      </c>
      <c r="K1139" s="32">
        <v>4500</v>
      </c>
      <c r="L1139" s="1007">
        <f>K1139*J1139</f>
        <v>-2297.25</v>
      </c>
      <c r="M1139" s="30"/>
      <c r="N1139" s="34">
        <f t="shared" si="100"/>
        <v>0</v>
      </c>
      <c r="O1139" s="202">
        <f>IF((H1139)=0,"",(N1139/H1139))</f>
        <v>0</v>
      </c>
      <c r="P1139" s="7"/>
    </row>
    <row r="1140" spans="1:16" ht="51" x14ac:dyDescent="0.2">
      <c r="A1140" s="7"/>
      <c r="B1140" s="1022" t="s">
        <v>1138</v>
      </c>
      <c r="C1140" s="26"/>
      <c r="D1140" s="1005" t="s">
        <v>80</v>
      </c>
      <c r="E1140" s="27"/>
      <c r="F1140" s="1006">
        <v>0</v>
      </c>
      <c r="G1140" s="32">
        <v>4500</v>
      </c>
      <c r="H1140" s="1007">
        <f>G1140*F1140</f>
        <v>0</v>
      </c>
      <c r="I1140" s="30"/>
      <c r="J1140" s="1008">
        <v>-0.56159999999999999</v>
      </c>
      <c r="K1140" s="32">
        <v>4500</v>
      </c>
      <c r="L1140" s="1007">
        <f>K1140*J1140</f>
        <v>-2527.1999999999998</v>
      </c>
      <c r="M1140" s="30"/>
      <c r="N1140" s="34">
        <f t="shared" si="100"/>
        <v>-2527.1999999999998</v>
      </c>
      <c r="O1140" s="202" t="str">
        <f>IF((H1140)=0,"",(N1140/H1140))</f>
        <v/>
      </c>
      <c r="P1140" s="7"/>
    </row>
    <row r="1141" spans="1:16" x14ac:dyDescent="0.2">
      <c r="A1141" s="7"/>
      <c r="B1141" s="564" t="s">
        <v>808</v>
      </c>
      <c r="C1141" s="26"/>
      <c r="D1141" s="1005" t="s">
        <v>80</v>
      </c>
      <c r="E1141" s="27"/>
      <c r="F1141" s="1006">
        <v>7.9200000000000007E-2</v>
      </c>
      <c r="G1141" s="32">
        <v>4500</v>
      </c>
      <c r="H1141" s="1007">
        <f>G1141*F1141</f>
        <v>356.40000000000003</v>
      </c>
      <c r="I1141" s="30"/>
      <c r="J1141" s="1008">
        <v>8.2000000000000003E-2</v>
      </c>
      <c r="K1141" s="32">
        <v>4500</v>
      </c>
      <c r="L1141" s="1007">
        <f>K1141*J1141</f>
        <v>369</v>
      </c>
      <c r="M1141" s="30"/>
      <c r="N1141" s="34">
        <f t="shared" si="100"/>
        <v>12.599999999999966</v>
      </c>
      <c r="O1141" s="202">
        <f>IF((H1141)=0,"",(N1141/H1141))</f>
        <v>3.5353535353535255E-2</v>
      </c>
      <c r="P1141" s="7"/>
    </row>
    <row r="1142" spans="1:16" x14ac:dyDescent="0.2">
      <c r="A1142" s="7"/>
      <c r="B1142" s="564" t="s">
        <v>701</v>
      </c>
      <c r="C1142" s="26"/>
      <c r="D1142" s="1005"/>
      <c r="E1142" s="27"/>
      <c r="F1142" s="1023"/>
      <c r="G1142" s="1024"/>
      <c r="H1142" s="1025"/>
      <c r="I1142" s="30"/>
      <c r="J1142" s="1008"/>
      <c r="K1142" s="32">
        <f>F1122</f>
        <v>3011152</v>
      </c>
      <c r="L1142" s="1007">
        <f>K1142*J1142</f>
        <v>0</v>
      </c>
      <c r="M1142" s="30"/>
      <c r="N1142" s="34">
        <f t="shared" si="100"/>
        <v>0</v>
      </c>
      <c r="O1142" s="202"/>
      <c r="P1142" s="7"/>
    </row>
    <row r="1143" spans="1:16" ht="25.5" x14ac:dyDescent="0.2">
      <c r="A1143" s="7"/>
      <c r="B1143" s="1026" t="s">
        <v>699</v>
      </c>
      <c r="C1143" s="1027"/>
      <c r="D1143" s="1027"/>
      <c r="E1143" s="1027"/>
      <c r="F1143" s="1028"/>
      <c r="G1143" s="1029"/>
      <c r="H1143" s="1030">
        <f>SUM(H1137:H1142)</f>
        <v>9129.83</v>
      </c>
      <c r="I1143" s="1017"/>
      <c r="J1143" s="1029"/>
      <c r="K1143" s="1031"/>
      <c r="L1143" s="1030">
        <f>SUM(L1137:L1142)</f>
        <v>6789.829999999999</v>
      </c>
      <c r="M1143" s="1017"/>
      <c r="N1143" s="1020">
        <f t="shared" si="100"/>
        <v>-2340.0000000000009</v>
      </c>
      <c r="O1143" s="1021">
        <f t="shared" ref="O1143:O1167" si="102">IF((H1143)=0,"",(N1143/H1143))</f>
        <v>-0.25630269128778971</v>
      </c>
      <c r="P1143" s="7"/>
    </row>
    <row r="1144" spans="1:16" x14ac:dyDescent="0.2">
      <c r="A1144" s="7"/>
      <c r="B1144" s="30" t="s">
        <v>32</v>
      </c>
      <c r="C1144" s="30"/>
      <c r="D1144" s="1032" t="s">
        <v>80</v>
      </c>
      <c r="E1144" s="31"/>
      <c r="F1144" s="1008">
        <v>2.7241</v>
      </c>
      <c r="G1144" s="667">
        <f>4500</f>
        <v>4500</v>
      </c>
      <c r="H1144" s="1007">
        <f>G1144*F1144</f>
        <v>12258.45</v>
      </c>
      <c r="I1144" s="30"/>
      <c r="J1144" s="1008">
        <v>2.5053999999999998</v>
      </c>
      <c r="K1144" s="668">
        <f>4500</f>
        <v>4500</v>
      </c>
      <c r="L1144" s="1007">
        <f>K1144*J1144</f>
        <v>11274.3</v>
      </c>
      <c r="M1144" s="30"/>
      <c r="N1144" s="34">
        <f t="shared" si="100"/>
        <v>-984.15000000000146</v>
      </c>
      <c r="O1144" s="202">
        <f t="shared" si="102"/>
        <v>-8.028339635108854E-2</v>
      </c>
      <c r="P1144" s="7"/>
    </row>
    <row r="1145" spans="1:16" ht="25.5" x14ac:dyDescent="0.2">
      <c r="A1145" s="7"/>
      <c r="B1145" s="35" t="s">
        <v>33</v>
      </c>
      <c r="C1145" s="30"/>
      <c r="D1145" s="1032" t="s">
        <v>80</v>
      </c>
      <c r="E1145" s="31"/>
      <c r="F1145" s="1008">
        <v>2.1922999999999999</v>
      </c>
      <c r="G1145" s="667">
        <f>G1144</f>
        <v>4500</v>
      </c>
      <c r="H1145" s="1007">
        <f>G1145*F1145</f>
        <v>9865.35</v>
      </c>
      <c r="I1145" s="30"/>
      <c r="J1145" s="1008">
        <v>2.1116000000000001</v>
      </c>
      <c r="K1145" s="668">
        <f>K1144</f>
        <v>4500</v>
      </c>
      <c r="L1145" s="1007">
        <f>K1145*J1145</f>
        <v>9502.2000000000007</v>
      </c>
      <c r="M1145" s="30"/>
      <c r="N1145" s="34">
        <f t="shared" si="100"/>
        <v>-363.14999999999964</v>
      </c>
      <c r="O1145" s="202">
        <f t="shared" si="102"/>
        <v>-3.681065547598409E-2</v>
      </c>
      <c r="P1145" s="7"/>
    </row>
    <row r="1146" spans="1:16" ht="25.5" x14ac:dyDescent="0.2">
      <c r="A1146" s="7"/>
      <c r="B1146" s="1026" t="s">
        <v>700</v>
      </c>
      <c r="C1146" s="1012"/>
      <c r="D1146" s="1012"/>
      <c r="E1146" s="1012"/>
      <c r="F1146" s="1033"/>
      <c r="G1146" s="1029"/>
      <c r="H1146" s="1030">
        <f>SUM(H1143:H1145)</f>
        <v>31253.629999999997</v>
      </c>
      <c r="I1146" s="1034"/>
      <c r="J1146" s="1035"/>
      <c r="K1146" s="1036"/>
      <c r="L1146" s="1030">
        <f>SUM(L1143:L1145)</f>
        <v>27566.329999999998</v>
      </c>
      <c r="M1146" s="1034"/>
      <c r="N1146" s="1020">
        <f t="shared" si="100"/>
        <v>-3687.2999999999993</v>
      </c>
      <c r="O1146" s="1021">
        <f t="shared" si="102"/>
        <v>-0.11797989545534389</v>
      </c>
      <c r="P1146" s="7"/>
    </row>
    <row r="1147" spans="1:16" ht="25.5" x14ac:dyDescent="0.2">
      <c r="A1147" s="7"/>
      <c r="B1147" s="28" t="s">
        <v>34</v>
      </c>
      <c r="C1147" s="26"/>
      <c r="D1147" s="1005" t="s">
        <v>79</v>
      </c>
      <c r="E1147" s="27"/>
      <c r="F1147" s="1037">
        <v>5.1999999999999998E-3</v>
      </c>
      <c r="G1147" s="667">
        <f>F1122*(1+F1170)</f>
        <v>3087334.1456000004</v>
      </c>
      <c r="H1147" s="1038">
        <f t="shared" ref="H1147:H1155" si="103">G1147*F1147</f>
        <v>16054.137557120001</v>
      </c>
      <c r="I1147" s="30"/>
      <c r="J1147" s="1039">
        <v>5.1999999999999998E-3</v>
      </c>
      <c r="K1147" s="668">
        <f>F1122*(1+J1170)</f>
        <v>3106304.4032000001</v>
      </c>
      <c r="L1147" s="1038">
        <f t="shared" ref="L1147:L1155" si="104">K1147*J1147</f>
        <v>16152.782896639999</v>
      </c>
      <c r="M1147" s="30"/>
      <c r="N1147" s="34">
        <f t="shared" si="100"/>
        <v>98.645339519998743</v>
      </c>
      <c r="O1147" s="565">
        <f t="shared" si="102"/>
        <v>6.1445430605675602E-3</v>
      </c>
      <c r="P1147" s="7"/>
    </row>
    <row r="1148" spans="1:16" ht="25.5" x14ac:dyDescent="0.2">
      <c r="A1148" s="7"/>
      <c r="B1148" s="28" t="s">
        <v>35</v>
      </c>
      <c r="C1148" s="26"/>
      <c r="D1148" s="1005" t="s">
        <v>79</v>
      </c>
      <c r="E1148" s="27"/>
      <c r="F1148" s="1037">
        <v>1.1000000000000001E-3</v>
      </c>
      <c r="G1148" s="667">
        <f>F1122*(1+F1170)</f>
        <v>3087334.1456000004</v>
      </c>
      <c r="H1148" s="1038">
        <f t="shared" si="103"/>
        <v>3396.0675601600005</v>
      </c>
      <c r="I1148" s="30"/>
      <c r="J1148" s="1039">
        <v>1.1000000000000001E-3</v>
      </c>
      <c r="K1148" s="668">
        <f>F1122*(1+J1170)</f>
        <v>3106304.4032000001</v>
      </c>
      <c r="L1148" s="1038">
        <f t="shared" si="104"/>
        <v>3416.9348435200004</v>
      </c>
      <c r="M1148" s="30"/>
      <c r="N1148" s="34">
        <f t="shared" si="100"/>
        <v>20.867283359999874</v>
      </c>
      <c r="O1148" s="565">
        <f t="shared" si="102"/>
        <v>6.144543060567601E-3</v>
      </c>
      <c r="P1148" s="7"/>
    </row>
    <row r="1149" spans="1:16" x14ac:dyDescent="0.2">
      <c r="A1149" s="7"/>
      <c r="B1149" s="26" t="s">
        <v>36</v>
      </c>
      <c r="C1149" s="26"/>
      <c r="D1149" s="1005"/>
      <c r="E1149" s="27"/>
      <c r="F1149" s="1037"/>
      <c r="G1149" s="32">
        <v>1</v>
      </c>
      <c r="H1149" s="1038">
        <f t="shared" si="103"/>
        <v>0</v>
      </c>
      <c r="I1149" s="30"/>
      <c r="J1149" s="1039"/>
      <c r="K1149" s="33">
        <v>1</v>
      </c>
      <c r="L1149" s="1038">
        <f t="shared" si="104"/>
        <v>0</v>
      </c>
      <c r="M1149" s="30"/>
      <c r="N1149" s="34">
        <f t="shared" si="100"/>
        <v>0</v>
      </c>
      <c r="O1149" s="565" t="str">
        <f t="shared" si="102"/>
        <v/>
      </c>
      <c r="P1149" s="7"/>
    </row>
    <row r="1150" spans="1:16" x14ac:dyDescent="0.2">
      <c r="A1150" s="7"/>
      <c r="B1150" s="26" t="s">
        <v>37</v>
      </c>
      <c r="C1150" s="26"/>
      <c r="D1150" s="1005" t="s">
        <v>79</v>
      </c>
      <c r="E1150" s="27"/>
      <c r="F1150" s="1037">
        <v>7.0000000000000001E-3</v>
      </c>
      <c r="G1150" s="667">
        <f>F1122</f>
        <v>3011152</v>
      </c>
      <c r="H1150" s="1038">
        <f t="shared" si="103"/>
        <v>21078.064000000002</v>
      </c>
      <c r="I1150" s="30"/>
      <c r="J1150" s="1039">
        <v>7.0000000000000001E-3</v>
      </c>
      <c r="K1150" s="668">
        <f>F1122</f>
        <v>3011152</v>
      </c>
      <c r="L1150" s="1038">
        <f t="shared" si="104"/>
        <v>21078.064000000002</v>
      </c>
      <c r="M1150" s="30"/>
      <c r="N1150" s="34">
        <f t="shared" si="100"/>
        <v>0</v>
      </c>
      <c r="O1150" s="565">
        <f t="shared" si="102"/>
        <v>0</v>
      </c>
      <c r="P1150" s="7"/>
    </row>
    <row r="1151" spans="1:16" x14ac:dyDescent="0.2">
      <c r="A1151" s="7"/>
      <c r="B1151" s="564" t="s">
        <v>777</v>
      </c>
      <c r="C1151" s="26"/>
      <c r="D1151" s="1005" t="s">
        <v>79</v>
      </c>
      <c r="E1151" s="27"/>
      <c r="F1151" s="1040">
        <v>7.4999999999999997E-2</v>
      </c>
      <c r="G1151" s="667">
        <f>IF($G$1147&gt;=750,750,$G$1147)</f>
        <v>750</v>
      </c>
      <c r="H1151" s="1038">
        <f>G1151*F1151</f>
        <v>56.25</v>
      </c>
      <c r="I1151" s="30"/>
      <c r="J1151" s="1037">
        <v>7.4999999999999997E-2</v>
      </c>
      <c r="K1151" s="667">
        <f>IF($K$1147&gt;=750,750,$K$1147)</f>
        <v>750</v>
      </c>
      <c r="L1151" s="1038">
        <f>K1151*J1151</f>
        <v>56.25</v>
      </c>
      <c r="M1151" s="30"/>
      <c r="N1151" s="34">
        <f t="shared" si="100"/>
        <v>0</v>
      </c>
      <c r="O1151" s="565">
        <f t="shared" si="102"/>
        <v>0</v>
      </c>
      <c r="P1151" s="7"/>
    </row>
    <row r="1152" spans="1:16" x14ac:dyDescent="0.2">
      <c r="A1152" s="7"/>
      <c r="B1152" s="564" t="s">
        <v>778</v>
      </c>
      <c r="C1152" s="26"/>
      <c r="D1152" s="1005" t="s">
        <v>79</v>
      </c>
      <c r="E1152" s="27"/>
      <c r="F1152" s="1040">
        <v>8.7999999999999995E-2</v>
      </c>
      <c r="G1152" s="667">
        <f>IF($G$1147&gt;=750,$G$1147-750,0)</f>
        <v>3086584.1456000004</v>
      </c>
      <c r="H1152" s="1038">
        <f>G1152*F1152</f>
        <v>271619.4048128</v>
      </c>
      <c r="I1152" s="30"/>
      <c r="J1152" s="1037">
        <v>8.7999999999999995E-2</v>
      </c>
      <c r="K1152" s="667">
        <f>IF($K$1147&gt;=750,$K$1147-750,0)</f>
        <v>3105554.4032000001</v>
      </c>
      <c r="L1152" s="1038">
        <f>K1152*J1152</f>
        <v>273288.78748160001</v>
      </c>
      <c r="M1152" s="30"/>
      <c r="N1152" s="34">
        <f t="shared" si="100"/>
        <v>1669.3826688000117</v>
      </c>
      <c r="O1152" s="565">
        <f t="shared" si="102"/>
        <v>6.1460361050071138E-3</v>
      </c>
      <c r="P1152" s="7"/>
    </row>
    <row r="1153" spans="1:16" x14ac:dyDescent="0.2">
      <c r="A1153" s="7"/>
      <c r="B1153" s="564" t="s">
        <v>779</v>
      </c>
      <c r="C1153" s="26"/>
      <c r="D1153" s="1005" t="s">
        <v>79</v>
      </c>
      <c r="E1153" s="27"/>
      <c r="F1153" s="1040">
        <v>6.5000000000000002E-2</v>
      </c>
      <c r="G1153" s="669">
        <f>0.64*$G$1147</f>
        <v>1975893.8531840004</v>
      </c>
      <c r="H1153" s="1038">
        <f t="shared" si="103"/>
        <v>128433.10045696003</v>
      </c>
      <c r="I1153" s="30"/>
      <c r="J1153" s="1037">
        <v>6.5000000000000002E-2</v>
      </c>
      <c r="K1153" s="1041">
        <f>0.64*$K$1147</f>
        <v>1988034.8180480001</v>
      </c>
      <c r="L1153" s="1038">
        <f t="shared" si="104"/>
        <v>129222.26317312001</v>
      </c>
      <c r="M1153" s="30"/>
      <c r="N1153" s="34">
        <f t="shared" si="100"/>
        <v>789.16271615997539</v>
      </c>
      <c r="O1153" s="565">
        <f t="shared" si="102"/>
        <v>6.1445430605674457E-3</v>
      </c>
      <c r="P1153" s="7"/>
    </row>
    <row r="1154" spans="1:16" x14ac:dyDescent="0.2">
      <c r="A1154" s="7"/>
      <c r="B1154" s="564" t="s">
        <v>780</v>
      </c>
      <c r="C1154" s="26"/>
      <c r="D1154" s="1005" t="s">
        <v>79</v>
      </c>
      <c r="E1154" s="27"/>
      <c r="F1154" s="1040">
        <v>0.1</v>
      </c>
      <c r="G1154" s="669">
        <f>0.18*$G$1147</f>
        <v>555720.14620800002</v>
      </c>
      <c r="H1154" s="1038">
        <f t="shared" si="103"/>
        <v>55572.014620800008</v>
      </c>
      <c r="I1154" s="30"/>
      <c r="J1154" s="1037">
        <v>0.1</v>
      </c>
      <c r="K1154" s="1041">
        <f>0.18*$K$1147</f>
        <v>559134.79257599998</v>
      </c>
      <c r="L1154" s="1038">
        <f t="shared" si="104"/>
        <v>55913.479257600004</v>
      </c>
      <c r="M1154" s="30"/>
      <c r="N1154" s="34">
        <f t="shared" si="100"/>
        <v>341.46463679999579</v>
      </c>
      <c r="O1154" s="565">
        <f t="shared" si="102"/>
        <v>6.144543060567562E-3</v>
      </c>
      <c r="P1154" s="7"/>
    </row>
    <row r="1155" spans="1:16" ht="13.5" thickBot="1" x14ac:dyDescent="0.25">
      <c r="A1155" s="7"/>
      <c r="B1155" s="647" t="s">
        <v>781</v>
      </c>
      <c r="C1155" s="26"/>
      <c r="D1155" s="1005" t="s">
        <v>79</v>
      </c>
      <c r="E1155" s="27"/>
      <c r="F1155" s="1040">
        <v>0.11700000000000001</v>
      </c>
      <c r="G1155" s="669">
        <f>0.18*$G$1147</f>
        <v>555720.14620800002</v>
      </c>
      <c r="H1155" s="1038">
        <f t="shared" si="103"/>
        <v>65019.257106336008</v>
      </c>
      <c r="I1155" s="30"/>
      <c r="J1155" s="1037">
        <v>0.11700000000000001</v>
      </c>
      <c r="K1155" s="1041">
        <f>0.18*$K$1147</f>
        <v>559134.79257599998</v>
      </c>
      <c r="L1155" s="1038">
        <f t="shared" si="104"/>
        <v>65418.770731392004</v>
      </c>
      <c r="M1155" s="30"/>
      <c r="N1155" s="34">
        <f t="shared" si="100"/>
        <v>399.51362505599536</v>
      </c>
      <c r="O1155" s="565">
        <f t="shared" si="102"/>
        <v>6.1445430605675663E-3</v>
      </c>
      <c r="P1155" s="7"/>
    </row>
    <row r="1156" spans="1:16" ht="13.5" thickBot="1" x14ac:dyDescent="0.25">
      <c r="A1156" s="7"/>
      <c r="B1156" s="1042"/>
      <c r="C1156" s="1043"/>
      <c r="D1156" s="1044"/>
      <c r="E1156" s="1043"/>
      <c r="F1156" s="1045"/>
      <c r="G1156" s="1046"/>
      <c r="H1156" s="1047"/>
      <c r="I1156" s="1048"/>
      <c r="J1156" s="1045"/>
      <c r="K1156" s="1049"/>
      <c r="L1156" s="1047"/>
      <c r="M1156" s="1048"/>
      <c r="N1156" s="1050"/>
      <c r="O1156" s="1051"/>
      <c r="P1156" s="7"/>
    </row>
    <row r="1157" spans="1:16" x14ac:dyDescent="0.2">
      <c r="A1157" s="7"/>
      <c r="B1157" s="36" t="s">
        <v>782</v>
      </c>
      <c r="C1157" s="26"/>
      <c r="D1157" s="26"/>
      <c r="E1157" s="26"/>
      <c r="F1157" s="662"/>
      <c r="G1157" s="652"/>
      <c r="H1157" s="656">
        <f>SUM(H1146:H1152)</f>
        <v>343457.55393008003</v>
      </c>
      <c r="I1157" s="660"/>
      <c r="J1157" s="661"/>
      <c r="K1157" s="661"/>
      <c r="L1157" s="655">
        <f>SUM(L1146:L1152)</f>
        <v>341559.14922175999</v>
      </c>
      <c r="M1157" s="654"/>
      <c r="N1157" s="659">
        <f t="shared" si="100"/>
        <v>-1898.4047083200421</v>
      </c>
      <c r="O1157" s="657">
        <f t="shared" si="102"/>
        <v>-5.5273342705588393E-3</v>
      </c>
      <c r="P1157" s="7"/>
    </row>
    <row r="1158" spans="1:16" x14ac:dyDescent="0.2">
      <c r="A1158" s="7"/>
      <c r="B1158" s="650" t="s">
        <v>38</v>
      </c>
      <c r="C1158" s="26"/>
      <c r="D1158" s="26"/>
      <c r="E1158" s="26"/>
      <c r="F1158" s="649">
        <v>0.13</v>
      </c>
      <c r="G1158" s="652"/>
      <c r="H1158" s="670">
        <f>H1157*F1158</f>
        <v>44649.482010910404</v>
      </c>
      <c r="I1158" s="648"/>
      <c r="J1158" s="676">
        <v>0.13</v>
      </c>
      <c r="K1158" s="677"/>
      <c r="L1158" s="672">
        <f>L1157*J1158</f>
        <v>44402.689398828799</v>
      </c>
      <c r="M1158" s="673"/>
      <c r="N1158" s="674">
        <f t="shared" si="100"/>
        <v>-246.7926120816046</v>
      </c>
      <c r="O1158" s="675">
        <f t="shared" si="102"/>
        <v>-5.5273342705588193E-3</v>
      </c>
      <c r="P1158" s="7"/>
    </row>
    <row r="1159" spans="1:16" x14ac:dyDescent="0.2">
      <c r="A1159" s="7"/>
      <c r="B1159" s="651" t="s">
        <v>1139</v>
      </c>
      <c r="C1159" s="26"/>
      <c r="D1159" s="26"/>
      <c r="E1159" s="26"/>
      <c r="F1159" s="658"/>
      <c r="G1159" s="653"/>
      <c r="H1159" s="670">
        <f>H1157+H1158</f>
        <v>388107.03594099043</v>
      </c>
      <c r="I1159" s="648"/>
      <c r="J1159" s="648"/>
      <c r="K1159" s="648"/>
      <c r="L1159" s="672">
        <f>L1157+L1158</f>
        <v>385961.83862058877</v>
      </c>
      <c r="M1159" s="673"/>
      <c r="N1159" s="674">
        <f t="shared" si="100"/>
        <v>-2145.1973204016685</v>
      </c>
      <c r="O1159" s="675">
        <f t="shared" si="102"/>
        <v>-5.5273342705588931E-3</v>
      </c>
      <c r="P1159" s="7"/>
    </row>
    <row r="1160" spans="1:16" ht="12.75" customHeight="1" x14ac:dyDescent="0.2">
      <c r="A1160" s="7"/>
      <c r="B1160" s="1626" t="s">
        <v>1140</v>
      </c>
      <c r="C1160" s="1626"/>
      <c r="D1160" s="1626"/>
      <c r="E1160" s="26"/>
      <c r="F1160" s="658"/>
      <c r="G1160" s="653"/>
      <c r="H1160" s="1052">
        <f>ROUND(-H1159*10%,2)</f>
        <v>-38810.699999999997</v>
      </c>
      <c r="I1160" s="648"/>
      <c r="J1160" s="648"/>
      <c r="K1160" s="648"/>
      <c r="L1160" s="1053">
        <f>ROUND(-L1159*10%,2)</f>
        <v>-38596.18</v>
      </c>
      <c r="M1160" s="673"/>
      <c r="N1160" s="1054">
        <f t="shared" si="100"/>
        <v>214.5199999999968</v>
      </c>
      <c r="O1160" s="1055">
        <f t="shared" si="102"/>
        <v>-5.5273416866997195E-3</v>
      </c>
      <c r="P1160" s="7"/>
    </row>
    <row r="1161" spans="1:16" ht="13.5" customHeight="1" thickBot="1" x14ac:dyDescent="0.25">
      <c r="A1161" s="7"/>
      <c r="B1161" s="1626" t="s">
        <v>785</v>
      </c>
      <c r="C1161" s="1626"/>
      <c r="D1161" s="1626"/>
      <c r="E1161" s="1056"/>
      <c r="F1161" s="1057"/>
      <c r="G1161" s="1058"/>
      <c r="H1161" s="1059">
        <f>SUM(H1159:H1160)</f>
        <v>349296.33594099042</v>
      </c>
      <c r="I1161" s="1060"/>
      <c r="J1161" s="1060"/>
      <c r="K1161" s="1060"/>
      <c r="L1161" s="1061">
        <f>SUM(L1159:L1160)</f>
        <v>347365.65862058877</v>
      </c>
      <c r="M1161" s="1062"/>
      <c r="N1161" s="1063">
        <f t="shared" si="100"/>
        <v>-1930.6773204016499</v>
      </c>
      <c r="O1161" s="1064">
        <f t="shared" si="102"/>
        <v>-5.5273334465432682E-3</v>
      </c>
      <c r="P1161" s="7"/>
    </row>
    <row r="1162" spans="1:16" ht="13.5" thickBot="1" x14ac:dyDescent="0.25">
      <c r="A1162" s="7"/>
      <c r="B1162" s="1042"/>
      <c r="C1162" s="1043"/>
      <c r="D1162" s="1044"/>
      <c r="E1162" s="1043"/>
      <c r="F1162" s="1065"/>
      <c r="G1162" s="1066"/>
      <c r="H1162" s="1067"/>
      <c r="I1162" s="1068"/>
      <c r="J1162" s="1065"/>
      <c r="K1162" s="1046"/>
      <c r="L1162" s="1069"/>
      <c r="M1162" s="1048"/>
      <c r="N1162" s="1070"/>
      <c r="O1162" s="1051"/>
      <c r="P1162" s="7"/>
    </row>
    <row r="1163" spans="1:16" x14ac:dyDescent="0.2">
      <c r="A1163" s="7"/>
      <c r="B1163" s="36" t="s">
        <v>783</v>
      </c>
      <c r="C1163" s="26"/>
      <c r="D1163" s="26"/>
      <c r="E1163" s="26"/>
      <c r="F1163" s="662"/>
      <c r="G1163" s="652"/>
      <c r="H1163" s="656">
        <f>SUM(H1146:H1150,H1153:H1155)</f>
        <v>320806.27130137605</v>
      </c>
      <c r="I1163" s="660"/>
      <c r="J1163" s="661"/>
      <c r="K1163" s="661"/>
      <c r="L1163" s="666">
        <f>SUM(L1146:L1150,L1153:L1155)</f>
        <v>318768.62490227201</v>
      </c>
      <c r="M1163" s="654"/>
      <c r="N1163" s="659">
        <f>L1163-H1163</f>
        <v>-2037.6463991040364</v>
      </c>
      <c r="O1163" s="657">
        <f>IF((H1163)=0,"",(N1163/H1163))</f>
        <v>-6.3516414153568833E-3</v>
      </c>
      <c r="P1163" s="7"/>
    </row>
    <row r="1164" spans="1:16" x14ac:dyDescent="0.2">
      <c r="A1164" s="7"/>
      <c r="B1164" s="650" t="s">
        <v>38</v>
      </c>
      <c r="C1164" s="26"/>
      <c r="D1164" s="26"/>
      <c r="E1164" s="26"/>
      <c r="F1164" s="649">
        <v>0.13</v>
      </c>
      <c r="G1164" s="653"/>
      <c r="H1164" s="670">
        <f>H1163*F1164</f>
        <v>41704.815269178886</v>
      </c>
      <c r="I1164" s="648"/>
      <c r="J1164" s="671">
        <v>0.13</v>
      </c>
      <c r="K1164" s="648"/>
      <c r="L1164" s="672">
        <f>L1163*J1164</f>
        <v>41439.921237295363</v>
      </c>
      <c r="M1164" s="673"/>
      <c r="N1164" s="674">
        <f t="shared" si="100"/>
        <v>-264.89403188352298</v>
      </c>
      <c r="O1164" s="675">
        <f t="shared" si="102"/>
        <v>-6.3516414153568417E-3</v>
      </c>
      <c r="P1164" s="7"/>
    </row>
    <row r="1165" spans="1:16" x14ac:dyDescent="0.2">
      <c r="A1165" s="7"/>
      <c r="B1165" s="651" t="s">
        <v>1139</v>
      </c>
      <c r="C1165" s="26"/>
      <c r="D1165" s="26"/>
      <c r="E1165" s="26"/>
      <c r="F1165" s="658"/>
      <c r="G1165" s="653"/>
      <c r="H1165" s="670">
        <f>H1163+H1164</f>
        <v>362511.08657055494</v>
      </c>
      <c r="I1165" s="648"/>
      <c r="J1165" s="648"/>
      <c r="K1165" s="648"/>
      <c r="L1165" s="672">
        <f>L1163+L1164</f>
        <v>360208.54613956739</v>
      </c>
      <c r="M1165" s="673"/>
      <c r="N1165" s="674">
        <f t="shared" si="100"/>
        <v>-2302.5404309875448</v>
      </c>
      <c r="O1165" s="675">
        <f t="shared" si="102"/>
        <v>-6.3516414153568382E-3</v>
      </c>
      <c r="P1165" s="7"/>
    </row>
    <row r="1166" spans="1:16" ht="12.75" customHeight="1" x14ac:dyDescent="0.2">
      <c r="A1166" s="7"/>
      <c r="B1166" s="1626" t="s">
        <v>1140</v>
      </c>
      <c r="C1166" s="1626"/>
      <c r="D1166" s="1626"/>
      <c r="E1166" s="26"/>
      <c r="F1166" s="658"/>
      <c r="G1166" s="653"/>
      <c r="H1166" s="1052">
        <f>ROUND(-H1165*10%,2)</f>
        <v>-36251.11</v>
      </c>
      <c r="I1166" s="648"/>
      <c r="J1166" s="648"/>
      <c r="K1166" s="648"/>
      <c r="L1166" s="1053">
        <f>ROUND(-L1165*10%,2)</f>
        <v>-36020.85</v>
      </c>
      <c r="M1166" s="673"/>
      <c r="N1166" s="1054">
        <f t="shared" si="100"/>
        <v>230.26000000000204</v>
      </c>
      <c r="O1166" s="1055">
        <f t="shared" si="102"/>
        <v>-6.3518055033349886E-3</v>
      </c>
      <c r="P1166" s="7"/>
    </row>
    <row r="1167" spans="1:16" ht="13.5" customHeight="1" thickBot="1" x14ac:dyDescent="0.25">
      <c r="A1167" s="7"/>
      <c r="B1167" s="1626" t="s">
        <v>784</v>
      </c>
      <c r="C1167" s="1626"/>
      <c r="D1167" s="1626"/>
      <c r="E1167" s="1056"/>
      <c r="F1167" s="1071"/>
      <c r="G1167" s="1072"/>
      <c r="H1167" s="1073">
        <f>H1165+H1166</f>
        <v>326259.97657055495</v>
      </c>
      <c r="I1167" s="1074"/>
      <c r="J1167" s="1074"/>
      <c r="K1167" s="1074"/>
      <c r="L1167" s="1075">
        <f>L1165+L1166</f>
        <v>324187.69613956742</v>
      </c>
      <c r="M1167" s="1076"/>
      <c r="N1167" s="1077">
        <f t="shared" si="100"/>
        <v>-2072.2804309875355</v>
      </c>
      <c r="O1167" s="1078">
        <f t="shared" si="102"/>
        <v>-6.3516231833584931E-3</v>
      </c>
      <c r="P1167" s="7"/>
    </row>
    <row r="1168" spans="1:16" ht="13.5" thickBot="1" x14ac:dyDescent="0.25">
      <c r="A1168" s="7"/>
      <c r="B1168" s="1042"/>
      <c r="C1168" s="1043"/>
      <c r="D1168" s="1044"/>
      <c r="E1168" s="1043"/>
      <c r="F1168" s="1065"/>
      <c r="G1168" s="1066"/>
      <c r="H1168" s="1067"/>
      <c r="I1168" s="1068"/>
      <c r="J1168" s="1065"/>
      <c r="K1168" s="1046"/>
      <c r="L1168" s="1069"/>
      <c r="M1168" s="1048"/>
      <c r="N1168" s="1070"/>
      <c r="O1168" s="1051"/>
      <c r="P1168" s="7"/>
    </row>
    <row r="1169" spans="1:16" x14ac:dyDescent="0.2">
      <c r="A1169" s="7"/>
      <c r="B1169" s="7"/>
      <c r="C1169" s="7"/>
      <c r="D1169" s="7"/>
      <c r="E1169" s="7"/>
      <c r="F1169" s="7"/>
      <c r="G1169" s="7"/>
      <c r="H1169" s="7"/>
      <c r="I1169" s="7"/>
      <c r="J1169" s="7"/>
      <c r="K1169" s="7"/>
      <c r="L1169" s="678"/>
      <c r="M1169" s="7"/>
      <c r="N1169" s="7"/>
      <c r="O1169" s="7"/>
      <c r="P1169" s="7"/>
    </row>
    <row r="1170" spans="1:16" x14ac:dyDescent="0.2">
      <c r="A1170" s="7"/>
      <c r="B1170" s="8" t="s">
        <v>39</v>
      </c>
      <c r="C1170" s="7"/>
      <c r="D1170" s="7"/>
      <c r="E1170" s="7"/>
      <c r="F1170" s="1079">
        <v>2.53E-2</v>
      </c>
      <c r="G1170" s="7"/>
      <c r="H1170" s="7"/>
      <c r="I1170" s="7"/>
      <c r="J1170" s="1079">
        <v>3.1600000000000003E-2</v>
      </c>
      <c r="K1170" s="7"/>
      <c r="L1170" s="7"/>
      <c r="M1170" s="7"/>
      <c r="N1170" s="7"/>
      <c r="O1170" s="7"/>
      <c r="P1170" s="7"/>
    </row>
    <row r="1171" spans="1:16" x14ac:dyDescent="0.2">
      <c r="A1171" s="7"/>
      <c r="B1171" s="7"/>
      <c r="C1171" s="7"/>
      <c r="D1171" s="7"/>
      <c r="E1171" s="7"/>
      <c r="F1171" s="7"/>
      <c r="G1171" s="7"/>
      <c r="H1171" s="7"/>
      <c r="I1171" s="7"/>
      <c r="J1171" s="7"/>
      <c r="K1171" s="7"/>
      <c r="L1171" s="7"/>
      <c r="M1171" s="7"/>
      <c r="N1171" s="7"/>
      <c r="O1171" s="7"/>
      <c r="P1171" s="7"/>
    </row>
    <row r="1172" spans="1:16" ht="14.25" x14ac:dyDescent="0.2">
      <c r="A1172" s="214" t="s">
        <v>1141</v>
      </c>
      <c r="B1172" s="7"/>
      <c r="C1172" s="7"/>
      <c r="D1172" s="7"/>
      <c r="E1172" s="7"/>
      <c r="F1172" s="7"/>
      <c r="G1172" s="7"/>
      <c r="H1172" s="7"/>
      <c r="I1172" s="7"/>
      <c r="J1172" s="7"/>
      <c r="K1172" s="7"/>
      <c r="L1172" s="7"/>
      <c r="M1172" s="7"/>
      <c r="N1172" s="7"/>
      <c r="O1172" s="7"/>
      <c r="P1172" s="7"/>
    </row>
    <row r="1173" spans="1:16" x14ac:dyDescent="0.2">
      <c r="A1173" s="7"/>
      <c r="B1173" s="7"/>
      <c r="C1173" s="7"/>
      <c r="D1173" s="7"/>
      <c r="E1173" s="7"/>
      <c r="F1173" s="7"/>
      <c r="G1173" s="7"/>
      <c r="H1173" s="7"/>
      <c r="I1173" s="7"/>
      <c r="J1173" s="7"/>
      <c r="K1173" s="7"/>
      <c r="L1173" s="7"/>
      <c r="M1173" s="7"/>
      <c r="N1173" s="7"/>
      <c r="O1173" s="7"/>
      <c r="P1173" s="7"/>
    </row>
    <row r="1174" spans="1:16" x14ac:dyDescent="0.2">
      <c r="A1174" s="7" t="s">
        <v>107</v>
      </c>
      <c r="B1174" s="7"/>
      <c r="C1174" s="7"/>
      <c r="D1174" s="7"/>
      <c r="E1174" s="7"/>
      <c r="F1174" s="7"/>
      <c r="G1174" s="7"/>
      <c r="H1174" s="7"/>
      <c r="I1174" s="7"/>
      <c r="J1174" s="7"/>
      <c r="K1174" s="7"/>
      <c r="L1174" s="7"/>
      <c r="M1174" s="7"/>
      <c r="N1174" s="7"/>
      <c r="O1174" s="7"/>
      <c r="P1174" s="7"/>
    </row>
    <row r="1175" spans="1:16" x14ac:dyDescent="0.2">
      <c r="A1175" s="7" t="s">
        <v>108</v>
      </c>
      <c r="B1175" s="7"/>
      <c r="C1175" s="7"/>
      <c r="D1175" s="7"/>
      <c r="E1175" s="7"/>
      <c r="F1175" s="7"/>
      <c r="G1175" s="7"/>
      <c r="H1175" s="7"/>
      <c r="I1175" s="7"/>
      <c r="J1175" s="7"/>
      <c r="K1175" s="7"/>
      <c r="L1175" s="7"/>
      <c r="M1175" s="7"/>
      <c r="N1175" s="7"/>
      <c r="O1175" s="7"/>
      <c r="P1175" s="7"/>
    </row>
    <row r="1176" spans="1:16" x14ac:dyDescent="0.2">
      <c r="A1176" s="7"/>
      <c r="B1176" s="7"/>
      <c r="C1176" s="7"/>
      <c r="D1176" s="7"/>
      <c r="E1176" s="7"/>
      <c r="F1176" s="7"/>
      <c r="G1176" s="7"/>
      <c r="H1176" s="7"/>
      <c r="I1176" s="7"/>
      <c r="J1176" s="7"/>
      <c r="K1176" s="7"/>
      <c r="L1176" s="7"/>
      <c r="M1176" s="7"/>
      <c r="N1176" s="7"/>
      <c r="O1176" s="7"/>
      <c r="P1176" s="7"/>
    </row>
    <row r="1177" spans="1:16" x14ac:dyDescent="0.2">
      <c r="A1177" s="7" t="s">
        <v>331</v>
      </c>
      <c r="B1177" s="7"/>
      <c r="C1177" s="7"/>
      <c r="D1177" s="7"/>
      <c r="E1177" s="7"/>
      <c r="F1177" s="7"/>
      <c r="G1177" s="7"/>
      <c r="H1177" s="7"/>
      <c r="I1177" s="7"/>
      <c r="J1177" s="7"/>
      <c r="K1177" s="7"/>
      <c r="L1177" s="7"/>
      <c r="M1177" s="7"/>
      <c r="N1177" s="7"/>
      <c r="O1177" s="7"/>
      <c r="P1177" s="7"/>
    </row>
    <row r="1178" spans="1:16" x14ac:dyDescent="0.2">
      <c r="A1178" s="7" t="s">
        <v>109</v>
      </c>
      <c r="B1178" s="7"/>
      <c r="C1178" s="7"/>
      <c r="D1178" s="7"/>
      <c r="E1178" s="7"/>
      <c r="F1178" s="7"/>
      <c r="G1178" s="7"/>
      <c r="H1178" s="7"/>
      <c r="I1178" s="7"/>
      <c r="J1178" s="7"/>
      <c r="K1178" s="7"/>
      <c r="L1178" s="7"/>
      <c r="M1178" s="7"/>
      <c r="N1178" s="7"/>
      <c r="O1178" s="7"/>
      <c r="P1178" s="7"/>
    </row>
    <row r="1179" spans="1:16" x14ac:dyDescent="0.2">
      <c r="A1179" s="7"/>
      <c r="B1179" s="7"/>
      <c r="C1179" s="7"/>
      <c r="D1179" s="7"/>
      <c r="E1179" s="7"/>
      <c r="F1179" s="7"/>
      <c r="G1179" s="7"/>
      <c r="H1179" s="7"/>
      <c r="I1179" s="7"/>
      <c r="J1179" s="7"/>
      <c r="K1179" s="7"/>
      <c r="L1179" s="7"/>
      <c r="M1179" s="7"/>
      <c r="N1179" s="7"/>
      <c r="O1179" s="7"/>
      <c r="P1179" s="7"/>
    </row>
    <row r="1180" spans="1:16" x14ac:dyDescent="0.2">
      <c r="A1180" s="7" t="s">
        <v>110</v>
      </c>
      <c r="B1180" s="7"/>
      <c r="C1180" s="7"/>
      <c r="D1180" s="7"/>
      <c r="E1180" s="7"/>
      <c r="F1180" s="7"/>
      <c r="G1180" s="7"/>
      <c r="H1180" s="7"/>
      <c r="I1180" s="7"/>
      <c r="J1180" s="7"/>
      <c r="K1180" s="7"/>
      <c r="L1180" s="7"/>
      <c r="M1180" s="7"/>
      <c r="N1180" s="7"/>
      <c r="O1180" s="7"/>
      <c r="P1180" s="7"/>
    </row>
    <row r="1181" spans="1:16" x14ac:dyDescent="0.2">
      <c r="A1181" s="7" t="s">
        <v>111</v>
      </c>
      <c r="B1181" s="7"/>
      <c r="C1181" s="7"/>
      <c r="D1181" s="7"/>
      <c r="E1181" s="7"/>
      <c r="F1181" s="7"/>
      <c r="G1181" s="7"/>
      <c r="H1181" s="7"/>
      <c r="I1181" s="7"/>
      <c r="J1181" s="7"/>
      <c r="K1181" s="7"/>
      <c r="L1181" s="7"/>
      <c r="M1181" s="7"/>
      <c r="N1181" s="7"/>
      <c r="O1181" s="7"/>
      <c r="P1181" s="7"/>
    </row>
    <row r="1182" spans="1:16" x14ac:dyDescent="0.2">
      <c r="A1182" s="7" t="s">
        <v>112</v>
      </c>
      <c r="B1182" s="7"/>
      <c r="C1182" s="7"/>
      <c r="D1182" s="7"/>
      <c r="E1182" s="7"/>
      <c r="F1182" s="7"/>
      <c r="G1182" s="7"/>
      <c r="H1182" s="7"/>
      <c r="I1182" s="7"/>
      <c r="J1182" s="7"/>
      <c r="K1182" s="7"/>
      <c r="L1182" s="7"/>
      <c r="M1182" s="7"/>
      <c r="N1182" s="7"/>
      <c r="O1182" s="7"/>
      <c r="P1182" s="7"/>
    </row>
    <row r="1183" spans="1:16" x14ac:dyDescent="0.2">
      <c r="A1183" s="7" t="s">
        <v>113</v>
      </c>
      <c r="B1183" s="7"/>
      <c r="C1183" s="7"/>
      <c r="D1183" s="7"/>
      <c r="E1183" s="7"/>
      <c r="F1183" s="7"/>
      <c r="G1183" s="7"/>
      <c r="H1183" s="7"/>
      <c r="I1183" s="7"/>
      <c r="J1183" s="7"/>
      <c r="K1183" s="7"/>
      <c r="L1183" s="7"/>
      <c r="M1183" s="7"/>
      <c r="N1183" s="7"/>
      <c r="O1183" s="7"/>
      <c r="P1183" s="7"/>
    </row>
    <row r="1184" spans="1:16" x14ac:dyDescent="0.2">
      <c r="A1184" s="7" t="s">
        <v>114</v>
      </c>
      <c r="B1184" s="7"/>
      <c r="C1184" s="7"/>
      <c r="D1184" s="7"/>
      <c r="E1184" s="7"/>
      <c r="F1184" s="7"/>
      <c r="G1184" s="7"/>
      <c r="H1184" s="7"/>
      <c r="I1184" s="7"/>
      <c r="J1184" s="7"/>
      <c r="K1184" s="7"/>
      <c r="L1184" s="7"/>
      <c r="M1184" s="7"/>
      <c r="N1184" s="7"/>
      <c r="O1184" s="7"/>
      <c r="P1184" s="7"/>
    </row>
    <row r="1186" spans="1:16" ht="21.75" x14ac:dyDescent="0.2">
      <c r="A1186" s="41"/>
      <c r="B1186" s="41"/>
      <c r="C1186" s="41"/>
      <c r="D1186" s="41"/>
      <c r="E1186" s="41"/>
      <c r="F1186" s="41"/>
      <c r="G1186" s="41"/>
      <c r="H1186" s="41"/>
      <c r="I1186" s="41"/>
      <c r="J1186" s="41"/>
      <c r="K1186" s="41"/>
      <c r="L1186" s="37"/>
      <c r="M1186" s="37"/>
      <c r="N1186" s="16" t="s">
        <v>444</v>
      </c>
      <c r="O1186" s="250" t="s">
        <v>866</v>
      </c>
    </row>
    <row r="1187" spans="1:16" ht="18" x14ac:dyDescent="0.25">
      <c r="A1187" s="40"/>
      <c r="B1187" s="40"/>
      <c r="C1187" s="40"/>
      <c r="D1187" s="40"/>
      <c r="E1187" s="40"/>
      <c r="F1187" s="40"/>
      <c r="G1187" s="40"/>
      <c r="H1187" s="40"/>
      <c r="I1187" s="40"/>
      <c r="J1187" s="40"/>
      <c r="K1187" s="40"/>
      <c r="L1187" s="37"/>
      <c r="M1187" s="37"/>
      <c r="N1187" s="16" t="s">
        <v>445</v>
      </c>
      <c r="O1187" s="1001"/>
    </row>
    <row r="1188" spans="1:16" x14ac:dyDescent="0.2">
      <c r="A1188" s="1626"/>
      <c r="B1188" s="1626"/>
      <c r="C1188" s="1626"/>
      <c r="D1188" s="1626"/>
      <c r="E1188" s="1626"/>
      <c r="F1188" s="1626"/>
      <c r="G1188" s="1626"/>
      <c r="H1188" s="1626"/>
      <c r="I1188" s="1626"/>
      <c r="J1188" s="1626"/>
      <c r="K1188" s="1626"/>
      <c r="L1188" s="37"/>
      <c r="M1188" s="37"/>
      <c r="N1188" s="16" t="s">
        <v>446</v>
      </c>
      <c r="O1188" s="1001"/>
    </row>
    <row r="1189" spans="1:16" ht="18" x14ac:dyDescent="0.25">
      <c r="A1189" s="40"/>
      <c r="B1189" s="40"/>
      <c r="C1189" s="40"/>
      <c r="D1189" s="40"/>
      <c r="E1189" s="40"/>
      <c r="F1189" s="40"/>
      <c r="G1189" s="40"/>
      <c r="H1189" s="40"/>
      <c r="I1189" s="38"/>
      <c r="J1189" s="38"/>
      <c r="K1189" s="38"/>
      <c r="L1189" s="37"/>
      <c r="M1189" s="37"/>
      <c r="N1189" s="16" t="s">
        <v>447</v>
      </c>
      <c r="O1189" s="1001"/>
    </row>
    <row r="1190" spans="1:16" ht="15.75" x14ac:dyDescent="0.25">
      <c r="A1190" s="37"/>
      <c r="B1190" s="37"/>
      <c r="C1190" s="39"/>
      <c r="D1190" s="39"/>
      <c r="E1190" s="39"/>
      <c r="F1190" s="37"/>
      <c r="G1190" s="37"/>
      <c r="H1190" s="37"/>
      <c r="I1190" s="37"/>
      <c r="J1190" s="37"/>
      <c r="K1190" s="37"/>
      <c r="L1190" s="37"/>
      <c r="M1190" s="37"/>
      <c r="N1190" s="16" t="s">
        <v>448</v>
      </c>
      <c r="O1190" s="1002" t="s">
        <v>1159</v>
      </c>
    </row>
    <row r="1191" spans="1:16" x14ac:dyDescent="0.2">
      <c r="A1191" s="37"/>
      <c r="B1191" s="37"/>
      <c r="C1191" s="37"/>
      <c r="D1191" s="37"/>
      <c r="E1191" s="37"/>
      <c r="F1191" s="37"/>
      <c r="G1191" s="37"/>
      <c r="H1191" s="37"/>
      <c r="I1191" s="37"/>
      <c r="J1191" s="37"/>
      <c r="K1191" s="37"/>
      <c r="L1191" s="37"/>
      <c r="M1191" s="37"/>
      <c r="N1191" s="16"/>
      <c r="O1191" s="250"/>
    </row>
    <row r="1192" spans="1:16" x14ac:dyDescent="0.2">
      <c r="A1192" s="37"/>
      <c r="B1192" s="37"/>
      <c r="C1192" s="37"/>
      <c r="D1192" s="37"/>
      <c r="E1192" s="37"/>
      <c r="F1192" s="37"/>
      <c r="G1192" s="37"/>
      <c r="H1192" s="37"/>
      <c r="I1192" s="37"/>
      <c r="J1192" s="37"/>
      <c r="K1192" s="37"/>
      <c r="L1192" s="37"/>
      <c r="M1192" s="37"/>
      <c r="N1192" s="16" t="s">
        <v>449</v>
      </c>
      <c r="O1192" s="1002"/>
    </row>
    <row r="1193" spans="1:16" x14ac:dyDescent="0.2">
      <c r="A1193" s="37"/>
      <c r="B1193" s="37"/>
      <c r="C1193" s="37"/>
      <c r="D1193" s="37"/>
      <c r="E1193" s="37"/>
      <c r="F1193" s="37"/>
      <c r="G1193" s="37"/>
      <c r="H1193" s="37"/>
      <c r="I1193" s="37"/>
      <c r="J1193" s="37"/>
      <c r="K1193" s="37"/>
      <c r="L1193" s="37"/>
      <c r="M1193" s="37"/>
      <c r="N1193" s="7"/>
    </row>
    <row r="1194" spans="1:16" x14ac:dyDescent="0.2">
      <c r="A1194" s="7"/>
      <c r="B1194" s="7"/>
      <c r="C1194" s="7"/>
      <c r="D1194" s="7"/>
      <c r="E1194" s="7"/>
      <c r="F1194" s="7"/>
      <c r="G1194" s="7"/>
      <c r="H1194" s="7"/>
      <c r="I1194" s="7"/>
      <c r="J1194" s="7"/>
      <c r="K1194" s="7"/>
    </row>
    <row r="1195" spans="1:16" x14ac:dyDescent="0.2">
      <c r="A1195" s="7"/>
      <c r="B1195" s="1626" t="s">
        <v>695</v>
      </c>
      <c r="C1195" s="1626"/>
      <c r="D1195" s="1626"/>
      <c r="E1195" s="1626"/>
      <c r="F1195" s="1626"/>
      <c r="G1195" s="1626"/>
      <c r="H1195" s="1626"/>
      <c r="I1195" s="1626"/>
      <c r="J1195" s="1626"/>
      <c r="K1195" s="1626"/>
      <c r="L1195" s="1626"/>
      <c r="M1195" s="1626"/>
      <c r="N1195" s="1626"/>
      <c r="O1195" s="1626"/>
    </row>
    <row r="1196" spans="1:16" x14ac:dyDescent="0.2">
      <c r="A1196" s="7"/>
      <c r="B1196" s="1626" t="s">
        <v>63</v>
      </c>
      <c r="C1196" s="1626"/>
      <c r="D1196" s="1626"/>
      <c r="E1196" s="1626"/>
      <c r="F1196" s="1626"/>
      <c r="G1196" s="1626"/>
      <c r="H1196" s="1626"/>
      <c r="I1196" s="1626"/>
      <c r="J1196" s="1626"/>
      <c r="K1196" s="1626"/>
      <c r="L1196" s="1626"/>
      <c r="M1196" s="1626"/>
      <c r="N1196" s="1626"/>
      <c r="O1196" s="1626"/>
    </row>
    <row r="1197" spans="1:16" x14ac:dyDescent="0.2">
      <c r="A1197" s="7"/>
      <c r="B1197" s="7"/>
      <c r="C1197" s="7"/>
      <c r="D1197" s="7"/>
      <c r="E1197" s="7"/>
      <c r="F1197" s="7"/>
      <c r="G1197" s="7"/>
      <c r="H1197" s="7"/>
      <c r="I1197" s="7"/>
      <c r="J1197" s="7"/>
      <c r="K1197" s="7"/>
    </row>
    <row r="1198" spans="1:16" x14ac:dyDescent="0.2">
      <c r="A1198" s="7"/>
      <c r="B1198" s="7"/>
      <c r="C1198" s="7"/>
      <c r="D1198" s="7"/>
      <c r="E1198" s="7"/>
      <c r="F1198" s="7"/>
      <c r="G1198" s="7"/>
      <c r="H1198" s="7"/>
      <c r="I1198" s="7"/>
      <c r="J1198" s="7"/>
      <c r="K1198" s="7"/>
    </row>
    <row r="1199" spans="1:16" x14ac:dyDescent="0.2">
      <c r="A1199" s="7"/>
      <c r="B1199" s="43" t="s">
        <v>40</v>
      </c>
      <c r="C1199" s="7"/>
      <c r="D1199" s="1626" t="s">
        <v>84</v>
      </c>
      <c r="E1199" s="1626"/>
      <c r="F1199" s="1626"/>
      <c r="G1199" s="1626"/>
      <c r="H1199" s="1626"/>
      <c r="I1199" s="1626"/>
      <c r="J1199" s="1626"/>
      <c r="K1199" s="1626"/>
      <c r="L1199" s="1626"/>
      <c r="M1199" s="1626"/>
      <c r="N1199" s="1626"/>
      <c r="O1199" s="1626"/>
      <c r="P1199" s="7"/>
    </row>
    <row r="1200" spans="1:16" ht="15.75" x14ac:dyDescent="0.25">
      <c r="A1200" s="7"/>
      <c r="B1200" s="1003"/>
      <c r="C1200" s="7"/>
      <c r="D1200" s="42"/>
      <c r="E1200" s="42"/>
      <c r="F1200" s="42"/>
      <c r="G1200" s="42"/>
      <c r="H1200" s="42"/>
      <c r="I1200" s="42"/>
      <c r="J1200" s="42"/>
      <c r="K1200" s="42"/>
      <c r="L1200" s="42"/>
      <c r="M1200" s="42"/>
      <c r="N1200" s="42"/>
      <c r="O1200" s="42"/>
      <c r="P1200" s="7"/>
    </row>
    <row r="1201" spans="1:16" x14ac:dyDescent="0.2">
      <c r="A1201" s="7"/>
      <c r="B1201" s="647"/>
      <c r="C1201" s="7"/>
      <c r="D1201" s="8" t="s">
        <v>17</v>
      </c>
      <c r="E1201" s="8"/>
      <c r="F1201" s="1004">
        <v>4230083</v>
      </c>
      <c r="G1201" s="8" t="s">
        <v>18</v>
      </c>
      <c r="H1201" s="7"/>
      <c r="I1201" s="7"/>
      <c r="J1201" s="7"/>
      <c r="K1201" s="7"/>
      <c r="L1201" s="7"/>
      <c r="M1201" s="7"/>
      <c r="N1201" s="7"/>
      <c r="O1201" s="7"/>
      <c r="P1201" s="7"/>
    </row>
    <row r="1202" spans="1:16" x14ac:dyDescent="0.2">
      <c r="A1202" s="7"/>
      <c r="B1202" s="647"/>
      <c r="C1202" s="7"/>
      <c r="D1202" s="7"/>
      <c r="E1202" s="7"/>
      <c r="F1202" s="7"/>
      <c r="G1202" s="7"/>
      <c r="H1202" s="7"/>
      <c r="I1202" s="7"/>
      <c r="J1202" s="7"/>
      <c r="K1202" s="7"/>
      <c r="L1202" s="7"/>
      <c r="M1202" s="7"/>
      <c r="N1202" s="7"/>
      <c r="O1202" s="7"/>
      <c r="P1202" s="7"/>
    </row>
    <row r="1203" spans="1:16" x14ac:dyDescent="0.2">
      <c r="A1203" s="7"/>
      <c r="B1203" s="647"/>
      <c r="C1203" s="7"/>
      <c r="D1203" s="19"/>
      <c r="E1203" s="19"/>
      <c r="F1203" s="1626" t="s">
        <v>19</v>
      </c>
      <c r="G1203" s="1626"/>
      <c r="H1203" s="1626"/>
      <c r="I1203" s="7"/>
      <c r="J1203" s="1626" t="s">
        <v>20</v>
      </c>
      <c r="K1203" s="1626"/>
      <c r="L1203" s="1626"/>
      <c r="M1203" s="7"/>
      <c r="N1203" s="1626" t="s">
        <v>21</v>
      </c>
      <c r="O1203" s="1626"/>
      <c r="P1203" s="7"/>
    </row>
    <row r="1204" spans="1:16" ht="12.75" customHeight="1" x14ac:dyDescent="0.2">
      <c r="A1204" s="7"/>
      <c r="B1204" s="647"/>
      <c r="C1204" s="7"/>
      <c r="D1204" s="1626" t="s">
        <v>22</v>
      </c>
      <c r="E1204" s="20"/>
      <c r="F1204" s="21" t="s">
        <v>23</v>
      </c>
      <c r="G1204" s="21" t="s">
        <v>24</v>
      </c>
      <c r="H1204" s="22" t="s">
        <v>25</v>
      </c>
      <c r="I1204" s="7"/>
      <c r="J1204" s="21" t="s">
        <v>23</v>
      </c>
      <c r="K1204" s="23" t="s">
        <v>24</v>
      </c>
      <c r="L1204" s="22" t="s">
        <v>25</v>
      </c>
      <c r="M1204" s="7"/>
      <c r="N1204" s="1626" t="s">
        <v>26</v>
      </c>
      <c r="O1204" s="1626" t="s">
        <v>27</v>
      </c>
      <c r="P1204" s="7"/>
    </row>
    <row r="1205" spans="1:16" x14ac:dyDescent="0.2">
      <c r="A1205" s="7"/>
      <c r="B1205" s="647"/>
      <c r="C1205" s="7"/>
      <c r="D1205" s="1626"/>
      <c r="E1205" s="20"/>
      <c r="F1205" s="24" t="s">
        <v>452</v>
      </c>
      <c r="G1205" s="24"/>
      <c r="H1205" s="25" t="s">
        <v>452</v>
      </c>
      <c r="I1205" s="7"/>
      <c r="J1205" s="24" t="s">
        <v>452</v>
      </c>
      <c r="K1205" s="25"/>
      <c r="L1205" s="25" t="s">
        <v>452</v>
      </c>
      <c r="M1205" s="7"/>
      <c r="N1205" s="1626"/>
      <c r="O1205" s="1626"/>
      <c r="P1205" s="7"/>
    </row>
    <row r="1206" spans="1:16" x14ac:dyDescent="0.2">
      <c r="A1206" s="7"/>
      <c r="B1206" s="26" t="s">
        <v>28</v>
      </c>
      <c r="C1206" s="26"/>
      <c r="D1206" s="1005" t="s">
        <v>1130</v>
      </c>
      <c r="E1206" s="27"/>
      <c r="F1206" s="1006">
        <v>24427.599999999999</v>
      </c>
      <c r="G1206" s="32">
        <v>1</v>
      </c>
      <c r="H1206" s="1007">
        <f>G1206*F1206</f>
        <v>24427.599999999999</v>
      </c>
      <c r="I1206" s="30"/>
      <c r="J1206" s="1008">
        <v>24427.599999999999</v>
      </c>
      <c r="K1206" s="33">
        <v>1</v>
      </c>
      <c r="L1206" s="1007">
        <f>K1206*J1206</f>
        <v>24427.599999999999</v>
      </c>
      <c r="M1206" s="30"/>
      <c r="N1206" s="34">
        <f>L1206-H1206</f>
        <v>0</v>
      </c>
      <c r="O1206" s="202">
        <f>IF((H1206)=0,"",(N1206/H1206))</f>
        <v>0</v>
      </c>
      <c r="P1206" s="7"/>
    </row>
    <row r="1207" spans="1:16" x14ac:dyDescent="0.2">
      <c r="A1207" s="7"/>
      <c r="B1207" s="26" t="s">
        <v>29</v>
      </c>
      <c r="C1207" s="26"/>
      <c r="D1207" s="1005" t="s">
        <v>1130</v>
      </c>
      <c r="E1207" s="27"/>
      <c r="F1207" s="1006">
        <v>0</v>
      </c>
      <c r="G1207" s="32">
        <v>1</v>
      </c>
      <c r="H1207" s="1007">
        <f t="shared" ref="H1207:H1215" si="105">G1207*F1207</f>
        <v>0</v>
      </c>
      <c r="I1207" s="30"/>
      <c r="J1207" s="1008">
        <v>0</v>
      </c>
      <c r="K1207" s="33">
        <v>1</v>
      </c>
      <c r="L1207" s="1007">
        <f>K1207*J1207</f>
        <v>0</v>
      </c>
      <c r="M1207" s="30"/>
      <c r="N1207" s="34">
        <f>L1207-H1207</f>
        <v>0</v>
      </c>
      <c r="O1207" s="202" t="str">
        <f>IF((H1207)=0,"",(N1207/H1207))</f>
        <v/>
      </c>
      <c r="P1207" s="7"/>
    </row>
    <row r="1208" spans="1:16" x14ac:dyDescent="0.2">
      <c r="A1208" s="7"/>
      <c r="B1208" s="1009" t="s">
        <v>1131</v>
      </c>
      <c r="C1208" s="26"/>
      <c r="D1208" s="1005" t="s">
        <v>80</v>
      </c>
      <c r="E1208" s="27"/>
      <c r="F1208" s="1006">
        <v>-4.7E-2</v>
      </c>
      <c r="G1208" s="32">
        <v>6943</v>
      </c>
      <c r="H1208" s="1007">
        <f t="shared" si="105"/>
        <v>-326.32100000000003</v>
      </c>
      <c r="I1208" s="30"/>
      <c r="J1208" s="1008">
        <v>0</v>
      </c>
      <c r="K1208" s="33">
        <v>6943</v>
      </c>
      <c r="L1208" s="1007">
        <f t="shared" ref="L1208:L1215" si="106">K1208*J1208</f>
        <v>0</v>
      </c>
      <c r="M1208" s="30"/>
      <c r="N1208" s="34">
        <f t="shared" ref="N1208:N1246" si="107">L1208-H1208</f>
        <v>326.32100000000003</v>
      </c>
      <c r="O1208" s="202">
        <f t="shared" ref="O1208:O1216" si="108">IF((H1208)=0,"",(N1208/H1208))</f>
        <v>-1</v>
      </c>
      <c r="P1208" s="7"/>
    </row>
    <row r="1209" spans="1:16" x14ac:dyDescent="0.2">
      <c r="A1209" s="7"/>
      <c r="B1209" s="1009" t="s">
        <v>36</v>
      </c>
      <c r="C1209" s="26"/>
      <c r="D1209" s="1005" t="s">
        <v>1130</v>
      </c>
      <c r="E1209" s="27"/>
      <c r="F1209" s="1006">
        <v>0.25</v>
      </c>
      <c r="G1209" s="32">
        <v>1</v>
      </c>
      <c r="H1209" s="1007">
        <f t="shared" si="105"/>
        <v>0.25</v>
      </c>
      <c r="I1209" s="30"/>
      <c r="J1209" s="1008">
        <v>0.25</v>
      </c>
      <c r="K1209" s="33">
        <v>1</v>
      </c>
      <c r="L1209" s="1007">
        <f t="shared" si="106"/>
        <v>0.25</v>
      </c>
      <c r="M1209" s="30"/>
      <c r="N1209" s="34">
        <f t="shared" si="107"/>
        <v>0</v>
      </c>
      <c r="O1209" s="202">
        <f t="shared" si="108"/>
        <v>0</v>
      </c>
      <c r="P1209" s="7"/>
    </row>
    <row r="1210" spans="1:16" x14ac:dyDescent="0.2">
      <c r="A1210" s="7"/>
      <c r="B1210" s="26" t="s">
        <v>30</v>
      </c>
      <c r="C1210" s="26"/>
      <c r="D1210" s="1005" t="s">
        <v>80</v>
      </c>
      <c r="E1210" s="27"/>
      <c r="F1210" s="1006">
        <v>1.4610000000000001</v>
      </c>
      <c r="G1210" s="32">
        <v>6943</v>
      </c>
      <c r="H1210" s="1007">
        <f t="shared" si="105"/>
        <v>10143.723</v>
      </c>
      <c r="I1210" s="30"/>
      <c r="J1210" s="1008">
        <v>2.0411999999999999</v>
      </c>
      <c r="K1210" s="32">
        <v>6943</v>
      </c>
      <c r="L1210" s="1007">
        <f t="shared" si="106"/>
        <v>14172.051599999999</v>
      </c>
      <c r="M1210" s="30"/>
      <c r="N1210" s="34">
        <f t="shared" si="107"/>
        <v>4028.3285999999989</v>
      </c>
      <c r="O1210" s="202">
        <f t="shared" si="108"/>
        <v>0.39712525667351117</v>
      </c>
      <c r="P1210" s="7"/>
    </row>
    <row r="1211" spans="1:16" x14ac:dyDescent="0.2">
      <c r="A1211" s="7"/>
      <c r="B1211" s="26" t="s">
        <v>31</v>
      </c>
      <c r="C1211" s="26"/>
      <c r="D1211" s="1005"/>
      <c r="E1211" s="27"/>
      <c r="F1211" s="1006"/>
      <c r="G1211" s="32"/>
      <c r="H1211" s="1007">
        <f t="shared" si="105"/>
        <v>0</v>
      </c>
      <c r="I1211" s="30"/>
      <c r="J1211" s="1008"/>
      <c r="K1211" s="32"/>
      <c r="L1211" s="1007">
        <f t="shared" si="106"/>
        <v>0</v>
      </c>
      <c r="M1211" s="30"/>
      <c r="N1211" s="34">
        <f t="shared" si="107"/>
        <v>0</v>
      </c>
      <c r="O1211" s="202" t="str">
        <f t="shared" si="108"/>
        <v/>
      </c>
      <c r="P1211" s="7"/>
    </row>
    <row r="1212" spans="1:16" x14ac:dyDescent="0.2">
      <c r="A1212" s="7"/>
      <c r="B1212" s="26" t="s">
        <v>1132</v>
      </c>
      <c r="C1212" s="26"/>
      <c r="D1212" s="1005" t="s">
        <v>80</v>
      </c>
      <c r="E1212" s="27"/>
      <c r="F1212" s="1006">
        <v>0</v>
      </c>
      <c r="G1212" s="32">
        <v>6943</v>
      </c>
      <c r="H1212" s="1007">
        <f t="shared" si="105"/>
        <v>0</v>
      </c>
      <c r="I1212" s="30"/>
      <c r="J1212" s="1008">
        <v>0</v>
      </c>
      <c r="K1212" s="32">
        <v>6943</v>
      </c>
      <c r="L1212" s="1007">
        <f t="shared" si="106"/>
        <v>0</v>
      </c>
      <c r="M1212" s="30"/>
      <c r="N1212" s="34">
        <f t="shared" si="107"/>
        <v>0</v>
      </c>
      <c r="O1212" s="202" t="str">
        <f t="shared" si="108"/>
        <v/>
      </c>
      <c r="P1212" s="7"/>
    </row>
    <row r="1213" spans="1:16" x14ac:dyDescent="0.2">
      <c r="A1213" s="7"/>
      <c r="B1213" s="26" t="s">
        <v>1133</v>
      </c>
      <c r="C1213" s="26"/>
      <c r="D1213" s="1005" t="s">
        <v>80</v>
      </c>
      <c r="E1213" s="27"/>
      <c r="F1213" s="1006">
        <v>0</v>
      </c>
      <c r="G1213" s="32">
        <v>6943</v>
      </c>
      <c r="H1213" s="1007">
        <f t="shared" si="105"/>
        <v>0</v>
      </c>
      <c r="I1213" s="30"/>
      <c r="J1213" s="1008">
        <v>0</v>
      </c>
      <c r="K1213" s="32">
        <v>6943</v>
      </c>
      <c r="L1213" s="1007">
        <f t="shared" si="106"/>
        <v>0</v>
      </c>
      <c r="M1213" s="30"/>
      <c r="N1213" s="34">
        <f t="shared" si="107"/>
        <v>0</v>
      </c>
      <c r="O1213" s="202" t="str">
        <f t="shared" si="108"/>
        <v/>
      </c>
      <c r="P1213" s="7"/>
    </row>
    <row r="1214" spans="1:16" x14ac:dyDescent="0.2">
      <c r="A1214" s="7"/>
      <c r="B1214" s="26" t="s">
        <v>1134</v>
      </c>
      <c r="C1214" s="26"/>
      <c r="D1214" s="1005" t="s">
        <v>80</v>
      </c>
      <c r="E1214" s="27"/>
      <c r="F1214" s="1006">
        <v>0</v>
      </c>
      <c r="G1214" s="32">
        <v>6943</v>
      </c>
      <c r="H1214" s="1007">
        <f t="shared" si="105"/>
        <v>0</v>
      </c>
      <c r="I1214" s="30"/>
      <c r="J1214" s="1008">
        <v>0</v>
      </c>
      <c r="K1214" s="32">
        <v>6943</v>
      </c>
      <c r="L1214" s="1007">
        <f t="shared" si="106"/>
        <v>0</v>
      </c>
      <c r="M1214" s="30"/>
      <c r="N1214" s="34">
        <f t="shared" si="107"/>
        <v>0</v>
      </c>
      <c r="O1214" s="202" t="str">
        <f t="shared" si="108"/>
        <v/>
      </c>
      <c r="P1214" s="7"/>
    </row>
    <row r="1215" spans="1:16" x14ac:dyDescent="0.2">
      <c r="A1215" s="7"/>
      <c r="B1215" s="1010" t="s">
        <v>1135</v>
      </c>
      <c r="C1215" s="26"/>
      <c r="D1215" s="1005" t="s">
        <v>1130</v>
      </c>
      <c r="E1215" s="27"/>
      <c r="F1215" s="1006">
        <v>0</v>
      </c>
      <c r="G1215" s="32">
        <v>1</v>
      </c>
      <c r="H1215" s="1007">
        <f t="shared" si="105"/>
        <v>0</v>
      </c>
      <c r="I1215" s="30"/>
      <c r="J1215" s="1008">
        <v>0</v>
      </c>
      <c r="K1215" s="32">
        <v>1</v>
      </c>
      <c r="L1215" s="1007">
        <f t="shared" si="106"/>
        <v>0</v>
      </c>
      <c r="M1215" s="30"/>
      <c r="N1215" s="34">
        <f t="shared" si="107"/>
        <v>0</v>
      </c>
      <c r="O1215" s="202" t="str">
        <f t="shared" si="108"/>
        <v/>
      </c>
      <c r="P1215" s="7"/>
    </row>
    <row r="1216" spans="1:16" x14ac:dyDescent="0.2">
      <c r="A1216" s="29"/>
      <c r="B1216" s="1011" t="s">
        <v>698</v>
      </c>
      <c r="C1216" s="1012"/>
      <c r="D1216" s="1013"/>
      <c r="E1216" s="1012"/>
      <c r="F1216" s="1014"/>
      <c r="G1216" s="1015"/>
      <c r="H1216" s="1016">
        <f>SUM(H1206:H1215)</f>
        <v>34245.252</v>
      </c>
      <c r="I1216" s="1017"/>
      <c r="J1216" s="1018"/>
      <c r="K1216" s="1019"/>
      <c r="L1216" s="1016">
        <f>SUM(L1206:L1215)</f>
        <v>38599.901599999997</v>
      </c>
      <c r="M1216" s="1017"/>
      <c r="N1216" s="1020">
        <f t="shared" si="107"/>
        <v>4354.649599999997</v>
      </c>
      <c r="O1216" s="1021">
        <f t="shared" si="108"/>
        <v>0.12716068201220995</v>
      </c>
      <c r="P1216" s="29"/>
    </row>
    <row r="1217" spans="1:16" ht="38.25" x14ac:dyDescent="0.2">
      <c r="A1217" s="7"/>
      <c r="B1217" s="1022" t="s">
        <v>1136</v>
      </c>
      <c r="C1217" s="26"/>
      <c r="D1217" s="1005" t="s">
        <v>80</v>
      </c>
      <c r="E1217" s="27"/>
      <c r="F1217" s="1006">
        <v>0.65790000000000004</v>
      </c>
      <c r="G1217" s="32">
        <v>6943</v>
      </c>
      <c r="H1217" s="1007">
        <f>G1217*F1217</f>
        <v>4567.7997000000005</v>
      </c>
      <c r="I1217" s="30"/>
      <c r="J1217" s="1008">
        <v>0</v>
      </c>
      <c r="K1217" s="32">
        <v>6943</v>
      </c>
      <c r="L1217" s="1007">
        <f>K1217*J1217</f>
        <v>0</v>
      </c>
      <c r="M1217" s="30"/>
      <c r="N1217" s="34">
        <f t="shared" si="107"/>
        <v>-4567.7997000000005</v>
      </c>
      <c r="O1217" s="202">
        <f>IF((H1217)=0,"",(N1217/H1217))</f>
        <v>-1</v>
      </c>
      <c r="P1217" s="7"/>
    </row>
    <row r="1218" spans="1:16" ht="38.25" x14ac:dyDescent="0.2">
      <c r="A1218" s="7"/>
      <c r="B1218" s="1022" t="s">
        <v>1137</v>
      </c>
      <c r="C1218" s="26"/>
      <c r="D1218" s="1005" t="s">
        <v>80</v>
      </c>
      <c r="E1218" s="27"/>
      <c r="F1218" s="1006">
        <v>-0.7177</v>
      </c>
      <c r="G1218" s="32">
        <v>6943</v>
      </c>
      <c r="H1218" s="1007">
        <f>G1218*F1218</f>
        <v>-4982.9911000000002</v>
      </c>
      <c r="I1218" s="30"/>
      <c r="J1218" s="1008">
        <v>-0.7177</v>
      </c>
      <c r="K1218" s="32">
        <v>6943</v>
      </c>
      <c r="L1218" s="1007">
        <f>K1218*J1218</f>
        <v>-4982.9911000000002</v>
      </c>
      <c r="M1218" s="30"/>
      <c r="N1218" s="34">
        <f t="shared" si="107"/>
        <v>0</v>
      </c>
      <c r="O1218" s="202">
        <f>IF((H1218)=0,"",(N1218/H1218))</f>
        <v>0</v>
      </c>
      <c r="P1218" s="7"/>
    </row>
    <row r="1219" spans="1:16" ht="51" x14ac:dyDescent="0.2">
      <c r="A1219" s="7"/>
      <c r="B1219" s="1022" t="s">
        <v>1138</v>
      </c>
      <c r="C1219" s="26"/>
      <c r="D1219" s="1005" t="s">
        <v>80</v>
      </c>
      <c r="E1219" s="27"/>
      <c r="F1219" s="1006">
        <v>0</v>
      </c>
      <c r="G1219" s="32">
        <v>6943</v>
      </c>
      <c r="H1219" s="1007">
        <f>G1219*F1219</f>
        <v>0</v>
      </c>
      <c r="I1219" s="30"/>
      <c r="J1219" s="1008">
        <v>-0.83279999999999998</v>
      </c>
      <c r="K1219" s="32">
        <v>6943</v>
      </c>
      <c r="L1219" s="1007">
        <f>K1219*J1219</f>
        <v>-5782.1304</v>
      </c>
      <c r="M1219" s="30"/>
      <c r="N1219" s="34">
        <f t="shared" si="107"/>
        <v>-5782.1304</v>
      </c>
      <c r="O1219" s="202" t="str">
        <f>IF((H1219)=0,"",(N1219/H1219))</f>
        <v/>
      </c>
      <c r="P1219" s="7"/>
    </row>
    <row r="1220" spans="1:16" x14ac:dyDescent="0.2">
      <c r="A1220" s="7"/>
      <c r="B1220" s="564" t="s">
        <v>808</v>
      </c>
      <c r="C1220" s="26"/>
      <c r="D1220" s="1005" t="s">
        <v>80</v>
      </c>
      <c r="E1220" s="27"/>
      <c r="F1220" s="1006">
        <v>9.0499999999999997E-2</v>
      </c>
      <c r="G1220" s="32">
        <v>6943</v>
      </c>
      <c r="H1220" s="1007">
        <f>G1220*F1220</f>
        <v>628.3415</v>
      </c>
      <c r="I1220" s="30"/>
      <c r="J1220" s="1008">
        <v>9.3700000000000006E-2</v>
      </c>
      <c r="K1220" s="32">
        <v>6943</v>
      </c>
      <c r="L1220" s="1007">
        <f>K1220*J1220</f>
        <v>650.55910000000006</v>
      </c>
      <c r="M1220" s="30"/>
      <c r="N1220" s="34">
        <f t="shared" si="107"/>
        <v>22.217600000000061</v>
      </c>
      <c r="O1220" s="202">
        <f>IF((H1220)=0,"",(N1220/H1220))</f>
        <v>3.5359116022099547E-2</v>
      </c>
      <c r="P1220" s="7"/>
    </row>
    <row r="1221" spans="1:16" x14ac:dyDescent="0.2">
      <c r="A1221" s="7"/>
      <c r="B1221" s="564" t="s">
        <v>701</v>
      </c>
      <c r="C1221" s="26"/>
      <c r="D1221" s="1005"/>
      <c r="E1221" s="27"/>
      <c r="F1221" s="1023"/>
      <c r="G1221" s="1024"/>
      <c r="H1221" s="1025"/>
      <c r="I1221" s="30"/>
      <c r="J1221" s="1008"/>
      <c r="K1221" s="32">
        <f>F1201</f>
        <v>4230083</v>
      </c>
      <c r="L1221" s="1007">
        <f>K1221*J1221</f>
        <v>0</v>
      </c>
      <c r="M1221" s="30"/>
      <c r="N1221" s="34">
        <f t="shared" si="107"/>
        <v>0</v>
      </c>
      <c r="O1221" s="202"/>
      <c r="P1221" s="7"/>
    </row>
    <row r="1222" spans="1:16" ht="25.5" x14ac:dyDescent="0.2">
      <c r="A1222" s="7"/>
      <c r="B1222" s="1026" t="s">
        <v>699</v>
      </c>
      <c r="C1222" s="1027"/>
      <c r="D1222" s="1027"/>
      <c r="E1222" s="1027"/>
      <c r="F1222" s="1028"/>
      <c r="G1222" s="1029"/>
      <c r="H1222" s="1030">
        <f>SUM(H1216:H1221)</f>
        <v>34458.402100000007</v>
      </c>
      <c r="I1222" s="1017"/>
      <c r="J1222" s="1029"/>
      <c r="K1222" s="1031"/>
      <c r="L1222" s="1030">
        <f>SUM(L1216:L1221)</f>
        <v>28485.339199999995</v>
      </c>
      <c r="M1222" s="1017"/>
      <c r="N1222" s="1020">
        <f t="shared" si="107"/>
        <v>-5973.0629000000117</v>
      </c>
      <c r="O1222" s="1021">
        <f t="shared" ref="O1222:O1246" si="109">IF((H1222)=0,"",(N1222/H1222))</f>
        <v>-0.17334126181086065</v>
      </c>
      <c r="P1222" s="7"/>
    </row>
    <row r="1223" spans="1:16" x14ac:dyDescent="0.2">
      <c r="A1223" s="7"/>
      <c r="B1223" s="30" t="s">
        <v>32</v>
      </c>
      <c r="C1223" s="30"/>
      <c r="D1223" s="1032" t="s">
        <v>80</v>
      </c>
      <c r="E1223" s="31"/>
      <c r="F1223" s="1008">
        <v>3.0162</v>
      </c>
      <c r="G1223" s="667">
        <f>6943</f>
        <v>6943</v>
      </c>
      <c r="H1223" s="1007">
        <f>G1223*F1223</f>
        <v>20941.476599999998</v>
      </c>
      <c r="I1223" s="30"/>
      <c r="J1223" s="1008">
        <v>2.774</v>
      </c>
      <c r="K1223" s="668">
        <f>6943</f>
        <v>6943</v>
      </c>
      <c r="L1223" s="1007">
        <f>K1223*J1223</f>
        <v>19259.882000000001</v>
      </c>
      <c r="M1223" s="30"/>
      <c r="N1223" s="34">
        <f t="shared" si="107"/>
        <v>-1681.5945999999967</v>
      </c>
      <c r="O1223" s="202">
        <f t="shared" si="109"/>
        <v>-8.0299714873018888E-2</v>
      </c>
      <c r="P1223" s="7"/>
    </row>
    <row r="1224" spans="1:16" ht="25.5" x14ac:dyDescent="0.2">
      <c r="A1224" s="7"/>
      <c r="B1224" s="35" t="s">
        <v>33</v>
      </c>
      <c r="C1224" s="30"/>
      <c r="D1224" s="1032" t="s">
        <v>80</v>
      </c>
      <c r="E1224" s="31"/>
      <c r="F1224" s="1008">
        <v>2.5070000000000001</v>
      </c>
      <c r="G1224" s="667">
        <f>G1223</f>
        <v>6943</v>
      </c>
      <c r="H1224" s="1007">
        <f>G1224*F1224</f>
        <v>17406.101000000002</v>
      </c>
      <c r="I1224" s="30"/>
      <c r="J1224" s="1008">
        <v>2.4148000000000001</v>
      </c>
      <c r="K1224" s="668">
        <f>K1223</f>
        <v>6943</v>
      </c>
      <c r="L1224" s="1007">
        <f>K1224*J1224</f>
        <v>16765.956399999999</v>
      </c>
      <c r="M1224" s="30"/>
      <c r="N1224" s="34">
        <f t="shared" si="107"/>
        <v>-640.14460000000327</v>
      </c>
      <c r="O1224" s="202">
        <f t="shared" si="109"/>
        <v>-3.6777024331870946E-2</v>
      </c>
      <c r="P1224" s="7"/>
    </row>
    <row r="1225" spans="1:16" ht="25.5" x14ac:dyDescent="0.2">
      <c r="A1225" s="7"/>
      <c r="B1225" s="1026" t="s">
        <v>700</v>
      </c>
      <c r="C1225" s="1012"/>
      <c r="D1225" s="1012"/>
      <c r="E1225" s="1012"/>
      <c r="F1225" s="1033"/>
      <c r="G1225" s="1029"/>
      <c r="H1225" s="1030">
        <f>SUM(H1222:H1224)</f>
        <v>72805.979699999996</v>
      </c>
      <c r="I1225" s="1034"/>
      <c r="J1225" s="1035"/>
      <c r="K1225" s="1036"/>
      <c r="L1225" s="1030">
        <f>SUM(L1222:L1224)</f>
        <v>64511.177599999995</v>
      </c>
      <c r="M1225" s="1034"/>
      <c r="N1225" s="1020">
        <f t="shared" si="107"/>
        <v>-8294.8021000000008</v>
      </c>
      <c r="O1225" s="1021">
        <f t="shared" si="109"/>
        <v>-0.11393023120050126</v>
      </c>
      <c r="P1225" s="7"/>
    </row>
    <row r="1226" spans="1:16" ht="25.5" x14ac:dyDescent="0.2">
      <c r="A1226" s="7"/>
      <c r="B1226" s="28" t="s">
        <v>34</v>
      </c>
      <c r="C1226" s="26"/>
      <c r="D1226" s="1005" t="s">
        <v>79</v>
      </c>
      <c r="E1226" s="27"/>
      <c r="F1226" s="1037">
        <v>5.1999999999999998E-3</v>
      </c>
      <c r="G1226" s="667">
        <f>F1201*(1+F1249)</f>
        <v>4249118.3734999998</v>
      </c>
      <c r="H1226" s="1038">
        <f t="shared" ref="H1226:H1234" si="110">G1226*F1226</f>
        <v>22095.415542199997</v>
      </c>
      <c r="I1226" s="30"/>
      <c r="J1226" s="1039">
        <v>5.1999999999999998E-3</v>
      </c>
      <c r="K1226" s="668">
        <f>F1201*(1+J1249)</f>
        <v>4259270.5726999994</v>
      </c>
      <c r="L1226" s="1038">
        <f t="shared" ref="L1226:L1234" si="111">K1226*J1226</f>
        <v>22148.206978039994</v>
      </c>
      <c r="M1226" s="30"/>
      <c r="N1226" s="34">
        <f t="shared" si="107"/>
        <v>52.791435839997575</v>
      </c>
      <c r="O1226" s="565">
        <f t="shared" si="109"/>
        <v>2.3892483822796316E-3</v>
      </c>
      <c r="P1226" s="7"/>
    </row>
    <row r="1227" spans="1:16" ht="25.5" x14ac:dyDescent="0.2">
      <c r="A1227" s="7"/>
      <c r="B1227" s="28" t="s">
        <v>35</v>
      </c>
      <c r="C1227" s="26"/>
      <c r="D1227" s="1005" t="s">
        <v>79</v>
      </c>
      <c r="E1227" s="27"/>
      <c r="F1227" s="1037">
        <v>1.1000000000000001E-3</v>
      </c>
      <c r="G1227" s="667">
        <f>F1201*(1+F1249)</f>
        <v>4249118.3734999998</v>
      </c>
      <c r="H1227" s="1038">
        <f t="shared" si="110"/>
        <v>4674.03021085</v>
      </c>
      <c r="I1227" s="30"/>
      <c r="J1227" s="1039">
        <v>1.1000000000000001E-3</v>
      </c>
      <c r="K1227" s="668">
        <f>F1201*(1+J1249)</f>
        <v>4259270.5726999994</v>
      </c>
      <c r="L1227" s="1038">
        <f t="shared" si="111"/>
        <v>4685.19762997</v>
      </c>
      <c r="M1227" s="30"/>
      <c r="N1227" s="34">
        <f t="shared" si="107"/>
        <v>11.167419119999977</v>
      </c>
      <c r="O1227" s="565">
        <f t="shared" si="109"/>
        <v>2.3892483822797361E-3</v>
      </c>
      <c r="P1227" s="7"/>
    </row>
    <row r="1228" spans="1:16" x14ac:dyDescent="0.2">
      <c r="A1228" s="7"/>
      <c r="B1228" s="26" t="s">
        <v>36</v>
      </c>
      <c r="C1228" s="26"/>
      <c r="D1228" s="1005"/>
      <c r="E1228" s="27"/>
      <c r="F1228" s="1037"/>
      <c r="G1228" s="32">
        <v>1</v>
      </c>
      <c r="H1228" s="1038">
        <f t="shared" si="110"/>
        <v>0</v>
      </c>
      <c r="I1228" s="30"/>
      <c r="J1228" s="1039"/>
      <c r="K1228" s="33">
        <v>1</v>
      </c>
      <c r="L1228" s="1038">
        <f t="shared" si="111"/>
        <v>0</v>
      </c>
      <c r="M1228" s="30"/>
      <c r="N1228" s="34">
        <f t="shared" si="107"/>
        <v>0</v>
      </c>
      <c r="O1228" s="565" t="str">
        <f t="shared" si="109"/>
        <v/>
      </c>
      <c r="P1228" s="7"/>
    </row>
    <row r="1229" spans="1:16" x14ac:dyDescent="0.2">
      <c r="A1229" s="7"/>
      <c r="B1229" s="26" t="s">
        <v>37</v>
      </c>
      <c r="C1229" s="26"/>
      <c r="D1229" s="1005" t="s">
        <v>79</v>
      </c>
      <c r="E1229" s="27"/>
      <c r="F1229" s="1037">
        <v>7.0000000000000001E-3</v>
      </c>
      <c r="G1229" s="667">
        <f>F1201</f>
        <v>4230083</v>
      </c>
      <c r="H1229" s="1038">
        <f t="shared" si="110"/>
        <v>29610.581000000002</v>
      </c>
      <c r="I1229" s="30"/>
      <c r="J1229" s="1039">
        <v>7.0000000000000001E-3</v>
      </c>
      <c r="K1229" s="668">
        <f>F1201</f>
        <v>4230083</v>
      </c>
      <c r="L1229" s="1038">
        <f t="shared" si="111"/>
        <v>29610.581000000002</v>
      </c>
      <c r="M1229" s="30"/>
      <c r="N1229" s="34">
        <f t="shared" si="107"/>
        <v>0</v>
      </c>
      <c r="O1229" s="565">
        <f t="shared" si="109"/>
        <v>0</v>
      </c>
      <c r="P1229" s="7"/>
    </row>
    <row r="1230" spans="1:16" x14ac:dyDescent="0.2">
      <c r="A1230" s="7"/>
      <c r="B1230" s="564" t="s">
        <v>777</v>
      </c>
      <c r="C1230" s="26"/>
      <c r="D1230" s="1005" t="s">
        <v>79</v>
      </c>
      <c r="E1230" s="27"/>
      <c r="F1230" s="1040">
        <v>7.4999999999999997E-2</v>
      </c>
      <c r="G1230" s="667">
        <f>IF($G$1226&gt;=750,750,$G$1226)</f>
        <v>750</v>
      </c>
      <c r="H1230" s="1038">
        <f>G1230*F1230</f>
        <v>56.25</v>
      </c>
      <c r="I1230" s="30"/>
      <c r="J1230" s="1037">
        <v>7.4999999999999997E-2</v>
      </c>
      <c r="K1230" s="667">
        <f>IF($K$1226&gt;=750,750,$K$1226)</f>
        <v>750</v>
      </c>
      <c r="L1230" s="1038">
        <f>K1230*J1230</f>
        <v>56.25</v>
      </c>
      <c r="M1230" s="30"/>
      <c r="N1230" s="34">
        <f t="shared" si="107"/>
        <v>0</v>
      </c>
      <c r="O1230" s="565">
        <f t="shared" si="109"/>
        <v>0</v>
      </c>
      <c r="P1230" s="7"/>
    </row>
    <row r="1231" spans="1:16" x14ac:dyDescent="0.2">
      <c r="A1231" s="7"/>
      <c r="B1231" s="564" t="s">
        <v>778</v>
      </c>
      <c r="C1231" s="26"/>
      <c r="D1231" s="1005" t="s">
        <v>79</v>
      </c>
      <c r="E1231" s="27"/>
      <c r="F1231" s="1040">
        <v>8.7999999999999995E-2</v>
      </c>
      <c r="G1231" s="667">
        <f>IF($G$1226&gt;=750,$G$1226-750,0)</f>
        <v>4248368.3734999998</v>
      </c>
      <c r="H1231" s="1038">
        <f>G1231*F1231</f>
        <v>373856.41686799994</v>
      </c>
      <c r="I1231" s="30"/>
      <c r="J1231" s="1037">
        <v>8.7999999999999995E-2</v>
      </c>
      <c r="K1231" s="667">
        <f>IF($K$1226&gt;=750,$K$1226-750,0)</f>
        <v>4258520.5726999994</v>
      </c>
      <c r="L1231" s="1038">
        <f>K1231*J1231</f>
        <v>374749.81039759994</v>
      </c>
      <c r="M1231" s="30"/>
      <c r="N1231" s="34">
        <f t="shared" si="107"/>
        <v>893.39352959999815</v>
      </c>
      <c r="O1231" s="565">
        <f t="shared" si="109"/>
        <v>2.3896701762790252E-3</v>
      </c>
      <c r="P1231" s="7"/>
    </row>
    <row r="1232" spans="1:16" x14ac:dyDescent="0.2">
      <c r="A1232" s="7"/>
      <c r="B1232" s="564" t="s">
        <v>779</v>
      </c>
      <c r="C1232" s="26"/>
      <c r="D1232" s="1005" t="s">
        <v>79</v>
      </c>
      <c r="E1232" s="27"/>
      <c r="F1232" s="1040">
        <v>6.5000000000000002E-2</v>
      </c>
      <c r="G1232" s="669">
        <f>0.64*$G$1226</f>
        <v>2719435.7590399999</v>
      </c>
      <c r="H1232" s="1038">
        <f t="shared" si="110"/>
        <v>176763.3243376</v>
      </c>
      <c r="I1232" s="30"/>
      <c r="J1232" s="1037">
        <v>6.5000000000000002E-2</v>
      </c>
      <c r="K1232" s="1041">
        <f>0.64*$K$1226</f>
        <v>2725933.1665279996</v>
      </c>
      <c r="L1232" s="1038">
        <f t="shared" si="111"/>
        <v>177185.65582431998</v>
      </c>
      <c r="M1232" s="30"/>
      <c r="N1232" s="34">
        <f t="shared" si="107"/>
        <v>422.3314867199806</v>
      </c>
      <c r="O1232" s="565">
        <f t="shared" si="109"/>
        <v>2.3892483822796312E-3</v>
      </c>
      <c r="P1232" s="7"/>
    </row>
    <row r="1233" spans="1:16" x14ac:dyDescent="0.2">
      <c r="A1233" s="7"/>
      <c r="B1233" s="564" t="s">
        <v>780</v>
      </c>
      <c r="C1233" s="26"/>
      <c r="D1233" s="1005" t="s">
        <v>79</v>
      </c>
      <c r="E1233" s="27"/>
      <c r="F1233" s="1040">
        <v>0.1</v>
      </c>
      <c r="G1233" s="669">
        <f>0.18*$G$1226</f>
        <v>764841.30722999992</v>
      </c>
      <c r="H1233" s="1038">
        <f t="shared" si="110"/>
        <v>76484.130722999995</v>
      </c>
      <c r="I1233" s="30"/>
      <c r="J1233" s="1037">
        <v>0.1</v>
      </c>
      <c r="K1233" s="1041">
        <f>0.18*$K$1226</f>
        <v>766668.70308599982</v>
      </c>
      <c r="L1233" s="1038">
        <f t="shared" si="111"/>
        <v>76666.870308599988</v>
      </c>
      <c r="M1233" s="30"/>
      <c r="N1233" s="34">
        <f t="shared" si="107"/>
        <v>182.73958559999301</v>
      </c>
      <c r="O1233" s="565">
        <f t="shared" si="109"/>
        <v>2.3892483822796498E-3</v>
      </c>
      <c r="P1233" s="7"/>
    </row>
    <row r="1234" spans="1:16" ht="13.5" thickBot="1" x14ac:dyDescent="0.25">
      <c r="A1234" s="7"/>
      <c r="B1234" s="647" t="s">
        <v>781</v>
      </c>
      <c r="C1234" s="26"/>
      <c r="D1234" s="1005" t="s">
        <v>79</v>
      </c>
      <c r="E1234" s="27"/>
      <c r="F1234" s="1040">
        <v>0.11700000000000001</v>
      </c>
      <c r="G1234" s="669">
        <f>0.18*$G$1226</f>
        <v>764841.30722999992</v>
      </c>
      <c r="H1234" s="1038">
        <f t="shared" si="110"/>
        <v>89486.432945909997</v>
      </c>
      <c r="I1234" s="30"/>
      <c r="J1234" s="1037">
        <v>0.11700000000000001</v>
      </c>
      <c r="K1234" s="1041">
        <f>0.18*$K$1226</f>
        <v>766668.70308599982</v>
      </c>
      <c r="L1234" s="1038">
        <f t="shared" si="111"/>
        <v>89700.238261061982</v>
      </c>
      <c r="M1234" s="30"/>
      <c r="N1234" s="34">
        <f t="shared" si="107"/>
        <v>213.80531515198527</v>
      </c>
      <c r="O1234" s="565">
        <f t="shared" si="109"/>
        <v>2.3892483822795765E-3</v>
      </c>
      <c r="P1234" s="7"/>
    </row>
    <row r="1235" spans="1:16" ht="13.5" thickBot="1" x14ac:dyDescent="0.25">
      <c r="A1235" s="7"/>
      <c r="B1235" s="1042"/>
      <c r="C1235" s="1043"/>
      <c r="D1235" s="1044"/>
      <c r="E1235" s="1043"/>
      <c r="F1235" s="1045"/>
      <c r="G1235" s="1046"/>
      <c r="H1235" s="1047"/>
      <c r="I1235" s="1048"/>
      <c r="J1235" s="1045"/>
      <c r="K1235" s="1049"/>
      <c r="L1235" s="1047"/>
      <c r="M1235" s="1048"/>
      <c r="N1235" s="1050"/>
      <c r="O1235" s="1051"/>
      <c r="P1235" s="7"/>
    </row>
    <row r="1236" spans="1:16" x14ac:dyDescent="0.2">
      <c r="A1236" s="7"/>
      <c r="B1236" s="36" t="s">
        <v>782</v>
      </c>
      <c r="C1236" s="26"/>
      <c r="D1236" s="26"/>
      <c r="E1236" s="26"/>
      <c r="F1236" s="662"/>
      <c r="G1236" s="652"/>
      <c r="H1236" s="656">
        <f>SUM(H1225:H1231)</f>
        <v>503098.67332104995</v>
      </c>
      <c r="I1236" s="660"/>
      <c r="J1236" s="661"/>
      <c r="K1236" s="661"/>
      <c r="L1236" s="655">
        <f>SUM(L1225:L1231)</f>
        <v>495761.22360560996</v>
      </c>
      <c r="M1236" s="654"/>
      <c r="N1236" s="659">
        <f t="shared" si="107"/>
        <v>-7337.4497154399869</v>
      </c>
      <c r="O1236" s="657">
        <f t="shared" si="109"/>
        <v>-1.4584514141140717E-2</v>
      </c>
      <c r="P1236" s="7"/>
    </row>
    <row r="1237" spans="1:16" x14ac:dyDescent="0.2">
      <c r="A1237" s="7"/>
      <c r="B1237" s="650" t="s">
        <v>38</v>
      </c>
      <c r="C1237" s="26"/>
      <c r="D1237" s="26"/>
      <c r="E1237" s="26"/>
      <c r="F1237" s="649">
        <v>0.13</v>
      </c>
      <c r="G1237" s="652"/>
      <c r="H1237" s="670">
        <f>H1236*F1237</f>
        <v>65402.827531736497</v>
      </c>
      <c r="I1237" s="648"/>
      <c r="J1237" s="676">
        <v>0.13</v>
      </c>
      <c r="K1237" s="677"/>
      <c r="L1237" s="672">
        <f>L1236*J1237</f>
        <v>64448.959068729295</v>
      </c>
      <c r="M1237" s="673"/>
      <c r="N1237" s="674">
        <f t="shared" si="107"/>
        <v>-953.86846300720208</v>
      </c>
      <c r="O1237" s="675">
        <f t="shared" si="109"/>
        <v>-1.4584514141140774E-2</v>
      </c>
      <c r="P1237" s="7"/>
    </row>
    <row r="1238" spans="1:16" x14ac:dyDescent="0.2">
      <c r="A1238" s="7"/>
      <c r="B1238" s="651" t="s">
        <v>1139</v>
      </c>
      <c r="C1238" s="26"/>
      <c r="D1238" s="26"/>
      <c r="E1238" s="26"/>
      <c r="F1238" s="658"/>
      <c r="G1238" s="653"/>
      <c r="H1238" s="670">
        <f>H1236+H1237</f>
        <v>568501.50085278647</v>
      </c>
      <c r="I1238" s="648"/>
      <c r="J1238" s="648"/>
      <c r="K1238" s="648"/>
      <c r="L1238" s="672">
        <f>L1236+L1237</f>
        <v>560210.18267433927</v>
      </c>
      <c r="M1238" s="673"/>
      <c r="N1238" s="674">
        <f t="shared" si="107"/>
        <v>-8291.3181784471963</v>
      </c>
      <c r="O1238" s="675">
        <f t="shared" si="109"/>
        <v>-1.4584514141140736E-2</v>
      </c>
      <c r="P1238" s="7"/>
    </row>
    <row r="1239" spans="1:16" ht="12.75" customHeight="1" x14ac:dyDescent="0.2">
      <c r="A1239" s="7"/>
      <c r="B1239" s="1626" t="s">
        <v>1140</v>
      </c>
      <c r="C1239" s="1626"/>
      <c r="D1239" s="1626"/>
      <c r="E1239" s="26"/>
      <c r="F1239" s="658"/>
      <c r="G1239" s="653"/>
      <c r="H1239" s="1052">
        <f>ROUND(-H1238*10%,2)</f>
        <v>-56850.15</v>
      </c>
      <c r="I1239" s="648"/>
      <c r="J1239" s="648"/>
      <c r="K1239" s="648"/>
      <c r="L1239" s="1053">
        <f>ROUND(-L1238*10%,2)</f>
        <v>-56021.02</v>
      </c>
      <c r="M1239" s="673"/>
      <c r="N1239" s="1054">
        <f t="shared" si="107"/>
        <v>829.13000000000466</v>
      </c>
      <c r="O1239" s="1055">
        <f t="shared" si="109"/>
        <v>-1.4584482186942421E-2</v>
      </c>
      <c r="P1239" s="7"/>
    </row>
    <row r="1240" spans="1:16" ht="13.5" customHeight="1" thickBot="1" x14ac:dyDescent="0.25">
      <c r="A1240" s="7"/>
      <c r="B1240" s="1626" t="s">
        <v>785</v>
      </c>
      <c r="C1240" s="1626"/>
      <c r="D1240" s="1626"/>
      <c r="E1240" s="1056"/>
      <c r="F1240" s="1057"/>
      <c r="G1240" s="1058"/>
      <c r="H1240" s="1059">
        <f>SUM(H1238:H1239)</f>
        <v>511651.35085278645</v>
      </c>
      <c r="I1240" s="1060"/>
      <c r="J1240" s="1060"/>
      <c r="K1240" s="1060"/>
      <c r="L1240" s="1061">
        <f>SUM(L1238:L1239)</f>
        <v>504189.16267433926</v>
      </c>
      <c r="M1240" s="1062"/>
      <c r="N1240" s="1063">
        <f t="shared" si="107"/>
        <v>-7462.1881784471916</v>
      </c>
      <c r="O1240" s="1064">
        <f t="shared" si="109"/>
        <v>-1.4584517691607209E-2</v>
      </c>
      <c r="P1240" s="7"/>
    </row>
    <row r="1241" spans="1:16" ht="13.5" thickBot="1" x14ac:dyDescent="0.25">
      <c r="A1241" s="7"/>
      <c r="B1241" s="1042"/>
      <c r="C1241" s="1043"/>
      <c r="D1241" s="1044"/>
      <c r="E1241" s="1043"/>
      <c r="F1241" s="1065"/>
      <c r="G1241" s="1066"/>
      <c r="H1241" s="1067"/>
      <c r="I1241" s="1068"/>
      <c r="J1241" s="1065"/>
      <c r="K1241" s="1046"/>
      <c r="L1241" s="1069"/>
      <c r="M1241" s="1048"/>
      <c r="N1241" s="1070"/>
      <c r="O1241" s="1051"/>
      <c r="P1241" s="7"/>
    </row>
    <row r="1242" spans="1:16" x14ac:dyDescent="0.2">
      <c r="A1242" s="7"/>
      <c r="B1242" s="36" t="s">
        <v>783</v>
      </c>
      <c r="C1242" s="26"/>
      <c r="D1242" s="26"/>
      <c r="E1242" s="26"/>
      <c r="F1242" s="662"/>
      <c r="G1242" s="652"/>
      <c r="H1242" s="656">
        <f>SUM(H1225:H1229,H1232:H1234)</f>
        <v>471919.89445955993</v>
      </c>
      <c r="I1242" s="660"/>
      <c r="J1242" s="661"/>
      <c r="K1242" s="661"/>
      <c r="L1242" s="666">
        <f>SUM(L1225:L1229,L1232:L1234)</f>
        <v>464507.92760199192</v>
      </c>
      <c r="M1242" s="654"/>
      <c r="N1242" s="659">
        <f>L1242-H1242</f>
        <v>-7411.9668575680116</v>
      </c>
      <c r="O1242" s="657">
        <f>IF((H1242)=0,"",(N1242/H1242))</f>
        <v>-1.57059851567736E-2</v>
      </c>
      <c r="P1242" s="7"/>
    </row>
    <row r="1243" spans="1:16" x14ac:dyDescent="0.2">
      <c r="A1243" s="7"/>
      <c r="B1243" s="650" t="s">
        <v>38</v>
      </c>
      <c r="C1243" s="26"/>
      <c r="D1243" s="26"/>
      <c r="E1243" s="26"/>
      <c r="F1243" s="649">
        <v>0.13</v>
      </c>
      <c r="G1243" s="653"/>
      <c r="H1243" s="670">
        <f>H1242*F1243</f>
        <v>61349.586279742791</v>
      </c>
      <c r="I1243" s="648"/>
      <c r="J1243" s="671">
        <v>0.13</v>
      </c>
      <c r="K1243" s="648"/>
      <c r="L1243" s="672">
        <f>L1242*J1243</f>
        <v>60386.030588258953</v>
      </c>
      <c r="M1243" s="673"/>
      <c r="N1243" s="674">
        <f t="shared" si="107"/>
        <v>-963.55569148383802</v>
      </c>
      <c r="O1243" s="675">
        <f t="shared" si="109"/>
        <v>-1.5705985156773541E-2</v>
      </c>
      <c r="P1243" s="7"/>
    </row>
    <row r="1244" spans="1:16" x14ac:dyDescent="0.2">
      <c r="A1244" s="7"/>
      <c r="B1244" s="651" t="s">
        <v>1139</v>
      </c>
      <c r="C1244" s="26"/>
      <c r="D1244" s="26"/>
      <c r="E1244" s="26"/>
      <c r="F1244" s="658"/>
      <c r="G1244" s="653"/>
      <c r="H1244" s="670">
        <f>H1242+H1243</f>
        <v>533269.4807393027</v>
      </c>
      <c r="I1244" s="648"/>
      <c r="J1244" s="648"/>
      <c r="K1244" s="648"/>
      <c r="L1244" s="672">
        <f>L1242+L1243</f>
        <v>524893.95819025091</v>
      </c>
      <c r="M1244" s="673"/>
      <c r="N1244" s="674">
        <f t="shared" si="107"/>
        <v>-8375.5225490517914</v>
      </c>
      <c r="O1244" s="675">
        <f t="shared" si="109"/>
        <v>-1.5705985156773485E-2</v>
      </c>
      <c r="P1244" s="7"/>
    </row>
    <row r="1245" spans="1:16" ht="12.75" customHeight="1" x14ac:dyDescent="0.2">
      <c r="A1245" s="7"/>
      <c r="B1245" s="1626" t="s">
        <v>1140</v>
      </c>
      <c r="C1245" s="1626"/>
      <c r="D1245" s="1626"/>
      <c r="E1245" s="26"/>
      <c r="F1245" s="658"/>
      <c r="G1245" s="653"/>
      <c r="H1245" s="1052">
        <f>ROUND(-H1244*10%,2)</f>
        <v>-53326.95</v>
      </c>
      <c r="I1245" s="648"/>
      <c r="J1245" s="648"/>
      <c r="K1245" s="648"/>
      <c r="L1245" s="1053">
        <f>ROUND(-L1244*10%,2)</f>
        <v>-52489.4</v>
      </c>
      <c r="M1245" s="673"/>
      <c r="N1245" s="1054">
        <f t="shared" si="107"/>
        <v>837.54999999999563</v>
      </c>
      <c r="O1245" s="1055">
        <f t="shared" si="109"/>
        <v>-1.5705942304969547E-2</v>
      </c>
      <c r="P1245" s="7"/>
    </row>
    <row r="1246" spans="1:16" ht="13.5" customHeight="1" thickBot="1" x14ac:dyDescent="0.25">
      <c r="A1246" s="7"/>
      <c r="B1246" s="1626" t="s">
        <v>784</v>
      </c>
      <c r="C1246" s="1626"/>
      <c r="D1246" s="1626"/>
      <c r="E1246" s="1056"/>
      <c r="F1246" s="1071"/>
      <c r="G1246" s="1072"/>
      <c r="H1246" s="1073">
        <f>H1244+H1245</f>
        <v>479942.53073930269</v>
      </c>
      <c r="I1246" s="1074"/>
      <c r="J1246" s="1074"/>
      <c r="K1246" s="1074"/>
      <c r="L1246" s="1075">
        <f>L1244+L1245</f>
        <v>472404.55819025089</v>
      </c>
      <c r="M1246" s="1076"/>
      <c r="N1246" s="1077">
        <f t="shared" si="107"/>
        <v>-7537.9725490518031</v>
      </c>
      <c r="O1246" s="1078">
        <f t="shared" si="109"/>
        <v>-1.570598991808524E-2</v>
      </c>
      <c r="P1246" s="7"/>
    </row>
    <row r="1247" spans="1:16" ht="13.5" thickBot="1" x14ac:dyDescent="0.25">
      <c r="A1247" s="7"/>
      <c r="B1247" s="1042"/>
      <c r="C1247" s="1043"/>
      <c r="D1247" s="1044"/>
      <c r="E1247" s="1043"/>
      <c r="F1247" s="1065"/>
      <c r="G1247" s="1066"/>
      <c r="H1247" s="1067"/>
      <c r="I1247" s="1068"/>
      <c r="J1247" s="1065"/>
      <c r="K1247" s="1046"/>
      <c r="L1247" s="1069"/>
      <c r="M1247" s="1048"/>
      <c r="N1247" s="1070"/>
      <c r="O1247" s="1051"/>
      <c r="P1247" s="7"/>
    </row>
    <row r="1248" spans="1:16" x14ac:dyDescent="0.2">
      <c r="A1248" s="7"/>
      <c r="B1248" s="7"/>
      <c r="C1248" s="7"/>
      <c r="D1248" s="7"/>
      <c r="E1248" s="7"/>
      <c r="F1248" s="7"/>
      <c r="G1248" s="7"/>
      <c r="H1248" s="7"/>
      <c r="I1248" s="7"/>
      <c r="J1248" s="7"/>
      <c r="K1248" s="7"/>
      <c r="L1248" s="678"/>
      <c r="M1248" s="7"/>
      <c r="N1248" s="7"/>
      <c r="O1248" s="7"/>
      <c r="P1248" s="7"/>
    </row>
    <row r="1249" spans="1:16" x14ac:dyDescent="0.2">
      <c r="A1249" s="7"/>
      <c r="B1249" s="8" t="s">
        <v>39</v>
      </c>
      <c r="C1249" s="7"/>
      <c r="D1249" s="7"/>
      <c r="E1249" s="7"/>
      <c r="F1249" s="1080">
        <v>4.4999999999999997E-3</v>
      </c>
      <c r="G1249" s="7"/>
      <c r="H1249" s="7"/>
      <c r="I1249" s="7"/>
      <c r="J1249" s="1080">
        <v>6.8999999999999999E-3</v>
      </c>
      <c r="K1249" s="7"/>
      <c r="L1249" s="7"/>
      <c r="M1249" s="7"/>
      <c r="N1249" s="7"/>
      <c r="O1249" s="7"/>
      <c r="P1249" s="7"/>
    </row>
    <row r="1250" spans="1:16" x14ac:dyDescent="0.2">
      <c r="A1250" s="7"/>
      <c r="B1250" s="7"/>
      <c r="C1250" s="7"/>
      <c r="D1250" s="7"/>
      <c r="E1250" s="7"/>
      <c r="F1250" s="7"/>
      <c r="G1250" s="7"/>
      <c r="H1250" s="7"/>
      <c r="I1250" s="7"/>
      <c r="J1250" s="7"/>
      <c r="K1250" s="7"/>
      <c r="L1250" s="7"/>
      <c r="M1250" s="7"/>
      <c r="N1250" s="7"/>
      <c r="O1250" s="7"/>
      <c r="P1250" s="7"/>
    </row>
    <row r="1251" spans="1:16" ht="14.25" x14ac:dyDescent="0.2">
      <c r="A1251" s="214" t="s">
        <v>1141</v>
      </c>
      <c r="B1251" s="7"/>
      <c r="C1251" s="7"/>
      <c r="D1251" s="7"/>
      <c r="E1251" s="7"/>
      <c r="F1251" s="7"/>
      <c r="G1251" s="7"/>
      <c r="H1251" s="7"/>
      <c r="I1251" s="7"/>
      <c r="J1251" s="7"/>
      <c r="K1251" s="7"/>
      <c r="L1251" s="7"/>
      <c r="M1251" s="7"/>
      <c r="N1251" s="7"/>
      <c r="O1251" s="7"/>
      <c r="P1251" s="7"/>
    </row>
    <row r="1252" spans="1:16" x14ac:dyDescent="0.2">
      <c r="A1252" s="7"/>
      <c r="B1252" s="7"/>
      <c r="C1252" s="7"/>
      <c r="D1252" s="7"/>
      <c r="E1252" s="7"/>
      <c r="F1252" s="7"/>
      <c r="G1252" s="7"/>
      <c r="H1252" s="7"/>
      <c r="I1252" s="7"/>
      <c r="J1252" s="7"/>
      <c r="K1252" s="7"/>
      <c r="L1252" s="7"/>
      <c r="M1252" s="7"/>
      <c r="N1252" s="7"/>
      <c r="O1252" s="7"/>
      <c r="P1252" s="7"/>
    </row>
    <row r="1253" spans="1:16" x14ac:dyDescent="0.2">
      <c r="A1253" s="7" t="s">
        <v>107</v>
      </c>
      <c r="B1253" s="7"/>
      <c r="C1253" s="7"/>
      <c r="D1253" s="7"/>
      <c r="E1253" s="7"/>
      <c r="F1253" s="7"/>
      <c r="G1253" s="7"/>
      <c r="H1253" s="7"/>
      <c r="I1253" s="7"/>
      <c r="J1253" s="7"/>
      <c r="K1253" s="7"/>
      <c r="L1253" s="7"/>
      <c r="M1253" s="7"/>
      <c r="N1253" s="7"/>
      <c r="O1253" s="7"/>
      <c r="P1253" s="7"/>
    </row>
    <row r="1254" spans="1:16" x14ac:dyDescent="0.2">
      <c r="A1254" s="7" t="s">
        <v>108</v>
      </c>
      <c r="B1254" s="7"/>
      <c r="C1254" s="7"/>
      <c r="D1254" s="7"/>
      <c r="E1254" s="7"/>
      <c r="F1254" s="7"/>
      <c r="G1254" s="7"/>
      <c r="H1254" s="7"/>
      <c r="I1254" s="7"/>
      <c r="J1254" s="7"/>
      <c r="K1254" s="7"/>
      <c r="L1254" s="7"/>
      <c r="M1254" s="7"/>
      <c r="N1254" s="7"/>
      <c r="O1254" s="7"/>
      <c r="P1254" s="7"/>
    </row>
    <row r="1255" spans="1:16" x14ac:dyDescent="0.2">
      <c r="A1255" s="7"/>
      <c r="B1255" s="7"/>
      <c r="C1255" s="7"/>
      <c r="D1255" s="7"/>
      <c r="E1255" s="7"/>
      <c r="F1255" s="7"/>
      <c r="G1255" s="7"/>
      <c r="H1255" s="7"/>
      <c r="I1255" s="7"/>
      <c r="J1255" s="7"/>
      <c r="K1255" s="7"/>
      <c r="L1255" s="7"/>
      <c r="M1255" s="7"/>
      <c r="N1255" s="7"/>
      <c r="O1255" s="7"/>
      <c r="P1255" s="7"/>
    </row>
    <row r="1256" spans="1:16" x14ac:dyDescent="0.2">
      <c r="A1256" s="7" t="s">
        <v>331</v>
      </c>
      <c r="B1256" s="7"/>
      <c r="C1256" s="7"/>
      <c r="D1256" s="7"/>
      <c r="E1256" s="7"/>
      <c r="F1256" s="7"/>
      <c r="G1256" s="7"/>
      <c r="H1256" s="7"/>
      <c r="I1256" s="7"/>
      <c r="J1256" s="7"/>
      <c r="K1256" s="7"/>
      <c r="L1256" s="7"/>
      <c r="M1256" s="7"/>
      <c r="N1256" s="7"/>
      <c r="O1256" s="7"/>
      <c r="P1256" s="7"/>
    </row>
    <row r="1257" spans="1:16" x14ac:dyDescent="0.2">
      <c r="A1257" s="7" t="s">
        <v>109</v>
      </c>
      <c r="B1257" s="7"/>
      <c r="C1257" s="7"/>
      <c r="D1257" s="7"/>
      <c r="E1257" s="7"/>
      <c r="F1257" s="7"/>
      <c r="G1257" s="7"/>
      <c r="H1257" s="7"/>
      <c r="I1257" s="7"/>
      <c r="J1257" s="7"/>
      <c r="K1257" s="7"/>
      <c r="L1257" s="7"/>
      <c r="M1257" s="7"/>
      <c r="N1257" s="7"/>
      <c r="O1257" s="7"/>
      <c r="P1257" s="7"/>
    </row>
    <row r="1258" spans="1:16" x14ac:dyDescent="0.2">
      <c r="A1258" s="7"/>
      <c r="B1258" s="7"/>
      <c r="C1258" s="7"/>
      <c r="D1258" s="7"/>
      <c r="E1258" s="7"/>
      <c r="F1258" s="7"/>
      <c r="G1258" s="7"/>
      <c r="H1258" s="7"/>
      <c r="I1258" s="7"/>
      <c r="J1258" s="7"/>
      <c r="K1258" s="7"/>
      <c r="L1258" s="7"/>
      <c r="M1258" s="7"/>
      <c r="N1258" s="7"/>
      <c r="O1258" s="7"/>
      <c r="P1258" s="7"/>
    </row>
    <row r="1259" spans="1:16" x14ac:dyDescent="0.2">
      <c r="A1259" s="7" t="s">
        <v>110</v>
      </c>
      <c r="B1259" s="7"/>
      <c r="C1259" s="7"/>
      <c r="D1259" s="7"/>
      <c r="E1259" s="7"/>
      <c r="F1259" s="7"/>
      <c r="G1259" s="7"/>
      <c r="H1259" s="7"/>
      <c r="I1259" s="7"/>
      <c r="J1259" s="7"/>
      <c r="K1259" s="7"/>
      <c r="L1259" s="7"/>
      <c r="M1259" s="7"/>
      <c r="N1259" s="7"/>
      <c r="O1259" s="7"/>
      <c r="P1259" s="7"/>
    </row>
    <row r="1260" spans="1:16" x14ac:dyDescent="0.2">
      <c r="A1260" s="7" t="s">
        <v>111</v>
      </c>
      <c r="B1260" s="7"/>
      <c r="C1260" s="7"/>
      <c r="D1260" s="7"/>
      <c r="E1260" s="7"/>
      <c r="F1260" s="7"/>
      <c r="G1260" s="7"/>
      <c r="H1260" s="7"/>
      <c r="I1260" s="7"/>
      <c r="J1260" s="7"/>
      <c r="K1260" s="7"/>
      <c r="L1260" s="7"/>
      <c r="M1260" s="7"/>
      <c r="N1260" s="7"/>
      <c r="O1260" s="7"/>
      <c r="P1260" s="7"/>
    </row>
    <row r="1261" spans="1:16" x14ac:dyDescent="0.2">
      <c r="A1261" s="7" t="s">
        <v>112</v>
      </c>
      <c r="B1261" s="7"/>
      <c r="C1261" s="7"/>
      <c r="D1261" s="7"/>
      <c r="E1261" s="7"/>
      <c r="F1261" s="7"/>
      <c r="G1261" s="7"/>
      <c r="H1261" s="7"/>
      <c r="I1261" s="7"/>
      <c r="J1261" s="7"/>
      <c r="K1261" s="7"/>
      <c r="L1261" s="7"/>
      <c r="M1261" s="7"/>
      <c r="N1261" s="7"/>
      <c r="O1261" s="7"/>
      <c r="P1261" s="7"/>
    </row>
    <row r="1262" spans="1:16" x14ac:dyDescent="0.2">
      <c r="A1262" s="7" t="s">
        <v>113</v>
      </c>
      <c r="B1262" s="7"/>
      <c r="C1262" s="7"/>
      <c r="D1262" s="7"/>
      <c r="E1262" s="7"/>
      <c r="F1262" s="7"/>
      <c r="G1262" s="7"/>
      <c r="H1262" s="7"/>
      <c r="I1262" s="7"/>
      <c r="J1262" s="7"/>
      <c r="K1262" s="7"/>
      <c r="L1262" s="7"/>
      <c r="M1262" s="7"/>
      <c r="N1262" s="7"/>
      <c r="O1262" s="7"/>
      <c r="P1262" s="7"/>
    </row>
    <row r="1263" spans="1:16" x14ac:dyDescent="0.2">
      <c r="A1263" s="7" t="s">
        <v>114</v>
      </c>
      <c r="B1263" s="7"/>
      <c r="C1263" s="7"/>
      <c r="D1263" s="7"/>
      <c r="E1263" s="7"/>
      <c r="F1263" s="7"/>
      <c r="G1263" s="7"/>
      <c r="H1263" s="7"/>
      <c r="I1263" s="7"/>
      <c r="J1263" s="7"/>
      <c r="K1263" s="7"/>
      <c r="L1263" s="7"/>
      <c r="M1263" s="7"/>
      <c r="N1263" s="7"/>
      <c r="O1263" s="7"/>
      <c r="P1263" s="7"/>
    </row>
    <row r="1265" spans="1:16" ht="21.75" x14ac:dyDescent="0.2">
      <c r="A1265" s="41"/>
      <c r="B1265" s="41"/>
      <c r="C1265" s="41"/>
      <c r="D1265" s="41"/>
      <c r="E1265" s="41"/>
      <c r="F1265" s="41"/>
      <c r="G1265" s="41"/>
      <c r="H1265" s="41"/>
      <c r="I1265" s="41"/>
      <c r="J1265" s="41"/>
      <c r="K1265" s="41"/>
      <c r="L1265" s="37"/>
      <c r="M1265" s="37"/>
      <c r="N1265" s="16" t="s">
        <v>444</v>
      </c>
      <c r="O1265" s="250" t="s">
        <v>866</v>
      </c>
    </row>
    <row r="1266" spans="1:16" ht="18" x14ac:dyDescent="0.25">
      <c r="A1266" s="40"/>
      <c r="B1266" s="40"/>
      <c r="C1266" s="40"/>
      <c r="D1266" s="40"/>
      <c r="E1266" s="40"/>
      <c r="F1266" s="40"/>
      <c r="G1266" s="40"/>
      <c r="H1266" s="40"/>
      <c r="I1266" s="40"/>
      <c r="J1266" s="40"/>
      <c r="K1266" s="40"/>
      <c r="L1266" s="37"/>
      <c r="M1266" s="37"/>
      <c r="N1266" s="16" t="s">
        <v>445</v>
      </c>
      <c r="O1266" s="1001"/>
    </row>
    <row r="1267" spans="1:16" x14ac:dyDescent="0.2">
      <c r="A1267" s="1626"/>
      <c r="B1267" s="1626"/>
      <c r="C1267" s="1626"/>
      <c r="D1267" s="1626"/>
      <c r="E1267" s="1626"/>
      <c r="F1267" s="1626"/>
      <c r="G1267" s="1626"/>
      <c r="H1267" s="1626"/>
      <c r="I1267" s="1626"/>
      <c r="J1267" s="1626"/>
      <c r="K1267" s="1626"/>
      <c r="L1267" s="37"/>
      <c r="M1267" s="37"/>
      <c r="N1267" s="16" t="s">
        <v>446</v>
      </c>
      <c r="O1267" s="1001"/>
    </row>
    <row r="1268" spans="1:16" ht="18" x14ac:dyDescent="0.25">
      <c r="A1268" s="40"/>
      <c r="B1268" s="40"/>
      <c r="C1268" s="40"/>
      <c r="D1268" s="40"/>
      <c r="E1268" s="40"/>
      <c r="F1268" s="40"/>
      <c r="G1268" s="40"/>
      <c r="H1268" s="40"/>
      <c r="I1268" s="38"/>
      <c r="J1268" s="38"/>
      <c r="K1268" s="38"/>
      <c r="L1268" s="37"/>
      <c r="M1268" s="37"/>
      <c r="N1268" s="16" t="s">
        <v>447</v>
      </c>
      <c r="O1268" s="1001"/>
    </row>
    <row r="1269" spans="1:16" ht="15.75" x14ac:dyDescent="0.25">
      <c r="A1269" s="37"/>
      <c r="B1269" s="37"/>
      <c r="C1269" s="39"/>
      <c r="D1269" s="39"/>
      <c r="E1269" s="39"/>
      <c r="F1269" s="37"/>
      <c r="G1269" s="37"/>
      <c r="H1269" s="37"/>
      <c r="I1269" s="37"/>
      <c r="J1269" s="37"/>
      <c r="K1269" s="37"/>
      <c r="L1269" s="37"/>
      <c r="M1269" s="37"/>
      <c r="N1269" s="16" t="s">
        <v>448</v>
      </c>
      <c r="O1269" s="1002" t="s">
        <v>1160</v>
      </c>
    </row>
    <row r="1270" spans="1:16" x14ac:dyDescent="0.2">
      <c r="A1270" s="37"/>
      <c r="B1270" s="37"/>
      <c r="C1270" s="37"/>
      <c r="D1270" s="37"/>
      <c r="E1270" s="37"/>
      <c r="F1270" s="37"/>
      <c r="G1270" s="37"/>
      <c r="H1270" s="37"/>
      <c r="I1270" s="37"/>
      <c r="J1270" s="37"/>
      <c r="K1270" s="37"/>
      <c r="L1270" s="37"/>
      <c r="M1270" s="37"/>
      <c r="N1270" s="16"/>
      <c r="O1270" s="250"/>
    </row>
    <row r="1271" spans="1:16" x14ac:dyDescent="0.2">
      <c r="A1271" s="37"/>
      <c r="B1271" s="37"/>
      <c r="C1271" s="37"/>
      <c r="D1271" s="37"/>
      <c r="E1271" s="37"/>
      <c r="F1271" s="37"/>
      <c r="G1271" s="37"/>
      <c r="H1271" s="37"/>
      <c r="I1271" s="37"/>
      <c r="J1271" s="37"/>
      <c r="K1271" s="37"/>
      <c r="L1271" s="37"/>
      <c r="M1271" s="37"/>
      <c r="N1271" s="16" t="s">
        <v>449</v>
      </c>
      <c r="O1271" s="1002"/>
    </row>
    <row r="1272" spans="1:16" x14ac:dyDescent="0.2">
      <c r="A1272" s="37"/>
      <c r="B1272" s="37"/>
      <c r="C1272" s="37"/>
      <c r="D1272" s="37"/>
      <c r="E1272" s="37"/>
      <c r="F1272" s="37"/>
      <c r="G1272" s="37"/>
      <c r="H1272" s="37"/>
      <c r="I1272" s="37"/>
      <c r="J1272" s="37"/>
      <c r="K1272" s="37"/>
      <c r="L1272" s="37"/>
      <c r="M1272" s="37"/>
      <c r="N1272" s="7"/>
    </row>
    <row r="1273" spans="1:16" x14ac:dyDescent="0.2">
      <c r="A1273" s="7"/>
      <c r="B1273" s="7"/>
      <c r="C1273" s="7"/>
      <c r="D1273" s="7"/>
      <c r="E1273" s="7"/>
      <c r="F1273" s="7"/>
      <c r="G1273" s="7"/>
      <c r="H1273" s="7"/>
      <c r="I1273" s="7"/>
      <c r="J1273" s="7"/>
      <c r="K1273" s="7"/>
    </row>
    <row r="1274" spans="1:16" x14ac:dyDescent="0.2">
      <c r="A1274" s="7"/>
      <c r="B1274" s="1626" t="s">
        <v>695</v>
      </c>
      <c r="C1274" s="1626"/>
      <c r="D1274" s="1626"/>
      <c r="E1274" s="1626"/>
      <c r="F1274" s="1626"/>
      <c r="G1274" s="1626"/>
      <c r="H1274" s="1626"/>
      <c r="I1274" s="1626"/>
      <c r="J1274" s="1626"/>
      <c r="K1274" s="1626"/>
      <c r="L1274" s="1626"/>
      <c r="M1274" s="1626"/>
      <c r="N1274" s="1626"/>
      <c r="O1274" s="1626"/>
    </row>
    <row r="1275" spans="1:16" x14ac:dyDescent="0.2">
      <c r="A1275" s="7"/>
      <c r="B1275" s="1626" t="s">
        <v>63</v>
      </c>
      <c r="C1275" s="1626"/>
      <c r="D1275" s="1626"/>
      <c r="E1275" s="1626"/>
      <c r="F1275" s="1626"/>
      <c r="G1275" s="1626"/>
      <c r="H1275" s="1626"/>
      <c r="I1275" s="1626"/>
      <c r="J1275" s="1626"/>
      <c r="K1275" s="1626"/>
      <c r="L1275" s="1626"/>
      <c r="M1275" s="1626"/>
      <c r="N1275" s="1626"/>
      <c r="O1275" s="1626"/>
    </row>
    <row r="1276" spans="1:16" x14ac:dyDescent="0.2">
      <c r="A1276" s="7"/>
      <c r="B1276" s="7"/>
      <c r="C1276" s="7"/>
      <c r="D1276" s="7"/>
      <c r="E1276" s="7"/>
      <c r="F1276" s="7"/>
      <c r="G1276" s="7"/>
      <c r="H1276" s="7"/>
      <c r="I1276" s="7"/>
      <c r="J1276" s="7"/>
      <c r="K1276" s="7"/>
    </row>
    <row r="1277" spans="1:16" x14ac:dyDescent="0.2">
      <c r="A1277" s="7"/>
      <c r="B1277" s="7"/>
      <c r="C1277" s="7"/>
      <c r="D1277" s="7"/>
      <c r="E1277" s="7"/>
      <c r="F1277" s="7"/>
      <c r="G1277" s="7"/>
      <c r="H1277" s="7"/>
      <c r="I1277" s="7"/>
      <c r="J1277" s="7"/>
      <c r="K1277" s="7"/>
    </row>
    <row r="1278" spans="1:16" x14ac:dyDescent="0.2">
      <c r="A1278" s="7"/>
      <c r="B1278" s="43" t="s">
        <v>40</v>
      </c>
      <c r="C1278" s="7"/>
      <c r="D1278" s="1626" t="s">
        <v>84</v>
      </c>
      <c r="E1278" s="1626"/>
      <c r="F1278" s="1626"/>
      <c r="G1278" s="1626"/>
      <c r="H1278" s="1626"/>
      <c r="I1278" s="1626"/>
      <c r="J1278" s="1626"/>
      <c r="K1278" s="1626"/>
      <c r="L1278" s="1626"/>
      <c r="M1278" s="1626"/>
      <c r="N1278" s="1626"/>
      <c r="O1278" s="1626"/>
      <c r="P1278" s="7"/>
    </row>
    <row r="1279" spans="1:16" ht="15.75" x14ac:dyDescent="0.25">
      <c r="A1279" s="7"/>
      <c r="B1279" s="1003"/>
      <c r="C1279" s="7"/>
      <c r="D1279" s="42"/>
      <c r="E1279" s="42"/>
      <c r="F1279" s="42"/>
      <c r="G1279" s="42"/>
      <c r="H1279" s="42"/>
      <c r="I1279" s="42"/>
      <c r="J1279" s="42"/>
      <c r="K1279" s="42"/>
      <c r="L1279" s="42"/>
      <c r="M1279" s="42"/>
      <c r="N1279" s="42"/>
      <c r="O1279" s="42"/>
      <c r="P1279" s="7"/>
    </row>
    <row r="1280" spans="1:16" x14ac:dyDescent="0.2">
      <c r="A1280" s="7"/>
      <c r="B1280" s="647"/>
      <c r="C1280" s="7"/>
      <c r="D1280" s="8" t="s">
        <v>17</v>
      </c>
      <c r="E1280" s="8"/>
      <c r="F1280" s="1004">
        <v>7340623</v>
      </c>
      <c r="G1280" s="8" t="s">
        <v>18</v>
      </c>
      <c r="H1280" s="7"/>
      <c r="I1280" s="7"/>
      <c r="J1280" s="7"/>
      <c r="K1280" s="7"/>
      <c r="L1280" s="7"/>
      <c r="M1280" s="7"/>
      <c r="N1280" s="7"/>
      <c r="O1280" s="7"/>
      <c r="P1280" s="7"/>
    </row>
    <row r="1281" spans="1:16" x14ac:dyDescent="0.2">
      <c r="A1281" s="7"/>
      <c r="B1281" s="647"/>
      <c r="C1281" s="7"/>
      <c r="D1281" s="7"/>
      <c r="E1281" s="7"/>
      <c r="F1281" s="7"/>
      <c r="G1281" s="7"/>
      <c r="H1281" s="7"/>
      <c r="I1281" s="7"/>
      <c r="J1281" s="7"/>
      <c r="K1281" s="7"/>
      <c r="L1281" s="7"/>
      <c r="M1281" s="7"/>
      <c r="N1281" s="7"/>
      <c r="O1281" s="7"/>
      <c r="P1281" s="7"/>
    </row>
    <row r="1282" spans="1:16" x14ac:dyDescent="0.2">
      <c r="A1282" s="7"/>
      <c r="B1282" s="647"/>
      <c r="C1282" s="7"/>
      <c r="D1282" s="19"/>
      <c r="E1282" s="19"/>
      <c r="F1282" s="1626" t="s">
        <v>19</v>
      </c>
      <c r="G1282" s="1626"/>
      <c r="H1282" s="1626"/>
      <c r="I1282" s="7"/>
      <c r="J1282" s="1626" t="s">
        <v>20</v>
      </c>
      <c r="K1282" s="1626"/>
      <c r="L1282" s="1626"/>
      <c r="M1282" s="7"/>
      <c r="N1282" s="1626" t="s">
        <v>21</v>
      </c>
      <c r="O1282" s="1626"/>
      <c r="P1282" s="7"/>
    </row>
    <row r="1283" spans="1:16" ht="12.75" customHeight="1" x14ac:dyDescent="0.2">
      <c r="A1283" s="7"/>
      <c r="B1283" s="647"/>
      <c r="C1283" s="7"/>
      <c r="D1283" s="1626" t="s">
        <v>22</v>
      </c>
      <c r="E1283" s="20"/>
      <c r="F1283" s="21" t="s">
        <v>23</v>
      </c>
      <c r="G1283" s="21" t="s">
        <v>24</v>
      </c>
      <c r="H1283" s="22" t="s">
        <v>25</v>
      </c>
      <c r="I1283" s="7"/>
      <c r="J1283" s="21" t="s">
        <v>23</v>
      </c>
      <c r="K1283" s="23" t="s">
        <v>24</v>
      </c>
      <c r="L1283" s="22" t="s">
        <v>25</v>
      </c>
      <c r="M1283" s="7"/>
      <c r="N1283" s="1626" t="s">
        <v>26</v>
      </c>
      <c r="O1283" s="1626" t="s">
        <v>27</v>
      </c>
      <c r="P1283" s="7"/>
    </row>
    <row r="1284" spans="1:16" x14ac:dyDescent="0.2">
      <c r="A1284" s="7"/>
      <c r="B1284" s="647"/>
      <c r="C1284" s="7"/>
      <c r="D1284" s="1626"/>
      <c r="E1284" s="20"/>
      <c r="F1284" s="24" t="s">
        <v>452</v>
      </c>
      <c r="G1284" s="24"/>
      <c r="H1284" s="25" t="s">
        <v>452</v>
      </c>
      <c r="I1284" s="7"/>
      <c r="J1284" s="24" t="s">
        <v>452</v>
      </c>
      <c r="K1284" s="25"/>
      <c r="L1284" s="25" t="s">
        <v>452</v>
      </c>
      <c r="M1284" s="7"/>
      <c r="N1284" s="1626"/>
      <c r="O1284" s="1626"/>
      <c r="P1284" s="7"/>
    </row>
    <row r="1285" spans="1:16" x14ac:dyDescent="0.2">
      <c r="A1285" s="7"/>
      <c r="B1285" s="26" t="s">
        <v>28</v>
      </c>
      <c r="C1285" s="26"/>
      <c r="D1285" s="1005" t="s">
        <v>1130</v>
      </c>
      <c r="E1285" s="27"/>
      <c r="F1285" s="1006">
        <v>24427.599999999999</v>
      </c>
      <c r="G1285" s="32">
        <v>1</v>
      </c>
      <c r="H1285" s="1007">
        <f>G1285*F1285</f>
        <v>24427.599999999999</v>
      </c>
      <c r="I1285" s="30"/>
      <c r="J1285" s="1008">
        <v>24427.599999999999</v>
      </c>
      <c r="K1285" s="33">
        <v>1</v>
      </c>
      <c r="L1285" s="1007">
        <f>K1285*J1285</f>
        <v>24427.599999999999</v>
      </c>
      <c r="M1285" s="30"/>
      <c r="N1285" s="34">
        <f>L1285-H1285</f>
        <v>0</v>
      </c>
      <c r="O1285" s="202">
        <f>IF((H1285)=0,"",(N1285/H1285))</f>
        <v>0</v>
      </c>
      <c r="P1285" s="7"/>
    </row>
    <row r="1286" spans="1:16" x14ac:dyDescent="0.2">
      <c r="A1286" s="7"/>
      <c r="B1286" s="26" t="s">
        <v>29</v>
      </c>
      <c r="C1286" s="26"/>
      <c r="D1286" s="1005" t="s">
        <v>1130</v>
      </c>
      <c r="E1286" s="27"/>
      <c r="F1286" s="1006">
        <v>0</v>
      </c>
      <c r="G1286" s="32">
        <v>1</v>
      </c>
      <c r="H1286" s="1007">
        <f t="shared" ref="H1286:H1294" si="112">G1286*F1286</f>
        <v>0</v>
      </c>
      <c r="I1286" s="30"/>
      <c r="J1286" s="1008">
        <v>0</v>
      </c>
      <c r="K1286" s="33">
        <v>1</v>
      </c>
      <c r="L1286" s="1007">
        <f>K1286*J1286</f>
        <v>0</v>
      </c>
      <c r="M1286" s="30"/>
      <c r="N1286" s="34">
        <f>L1286-H1286</f>
        <v>0</v>
      </c>
      <c r="O1286" s="202" t="str">
        <f>IF((H1286)=0,"",(N1286/H1286))</f>
        <v/>
      </c>
      <c r="P1286" s="7"/>
    </row>
    <row r="1287" spans="1:16" x14ac:dyDescent="0.2">
      <c r="A1287" s="7"/>
      <c r="B1287" s="1009" t="s">
        <v>1131</v>
      </c>
      <c r="C1287" s="26"/>
      <c r="D1287" s="1005" t="s">
        <v>80</v>
      </c>
      <c r="E1287" s="27"/>
      <c r="F1287" s="1006">
        <v>-4.7E-2</v>
      </c>
      <c r="G1287" s="32">
        <v>10492</v>
      </c>
      <c r="H1287" s="1007">
        <f t="shared" si="112"/>
        <v>-493.12400000000002</v>
      </c>
      <c r="I1287" s="30"/>
      <c r="J1287" s="1008">
        <v>0</v>
      </c>
      <c r="K1287" s="33">
        <v>10492</v>
      </c>
      <c r="L1287" s="1007">
        <f t="shared" ref="L1287:L1294" si="113">K1287*J1287</f>
        <v>0</v>
      </c>
      <c r="M1287" s="30"/>
      <c r="N1287" s="34">
        <f t="shared" ref="N1287:N1325" si="114">L1287-H1287</f>
        <v>493.12400000000002</v>
      </c>
      <c r="O1287" s="202">
        <f t="shared" ref="O1287:O1295" si="115">IF((H1287)=0,"",(N1287/H1287))</f>
        <v>-1</v>
      </c>
      <c r="P1287" s="7"/>
    </row>
    <row r="1288" spans="1:16" x14ac:dyDescent="0.2">
      <c r="A1288" s="7"/>
      <c r="B1288" s="1009" t="s">
        <v>36</v>
      </c>
      <c r="C1288" s="26"/>
      <c r="D1288" s="1005" t="s">
        <v>1130</v>
      </c>
      <c r="E1288" s="27"/>
      <c r="F1288" s="1006">
        <v>0.25</v>
      </c>
      <c r="G1288" s="32">
        <v>1</v>
      </c>
      <c r="H1288" s="1007">
        <f t="shared" si="112"/>
        <v>0.25</v>
      </c>
      <c r="I1288" s="30"/>
      <c r="J1288" s="1008">
        <v>0.25</v>
      </c>
      <c r="K1288" s="33">
        <v>1</v>
      </c>
      <c r="L1288" s="1007">
        <f t="shared" si="113"/>
        <v>0.25</v>
      </c>
      <c r="M1288" s="30"/>
      <c r="N1288" s="34">
        <f t="shared" si="114"/>
        <v>0</v>
      </c>
      <c r="O1288" s="202">
        <f t="shared" si="115"/>
        <v>0</v>
      </c>
      <c r="P1288" s="7"/>
    </row>
    <row r="1289" spans="1:16" x14ac:dyDescent="0.2">
      <c r="A1289" s="7"/>
      <c r="B1289" s="26" t="s">
        <v>30</v>
      </c>
      <c r="C1289" s="26"/>
      <c r="D1289" s="1005" t="s">
        <v>80</v>
      </c>
      <c r="E1289" s="27"/>
      <c r="F1289" s="1006">
        <v>1.4610000000000001</v>
      </c>
      <c r="G1289" s="32">
        <v>10492</v>
      </c>
      <c r="H1289" s="1007">
        <f t="shared" si="112"/>
        <v>15328.812</v>
      </c>
      <c r="I1289" s="30"/>
      <c r="J1289" s="1008">
        <v>2.0411999999999999</v>
      </c>
      <c r="K1289" s="32">
        <v>10492</v>
      </c>
      <c r="L1289" s="1007">
        <f t="shared" si="113"/>
        <v>21416.270399999998</v>
      </c>
      <c r="M1289" s="30"/>
      <c r="N1289" s="34">
        <f t="shared" si="114"/>
        <v>6087.4583999999977</v>
      </c>
      <c r="O1289" s="202">
        <f t="shared" si="115"/>
        <v>0.39712525667351117</v>
      </c>
      <c r="P1289" s="7"/>
    </row>
    <row r="1290" spans="1:16" x14ac:dyDescent="0.2">
      <c r="A1290" s="7"/>
      <c r="B1290" s="26" t="s">
        <v>31</v>
      </c>
      <c r="C1290" s="26"/>
      <c r="D1290" s="1005"/>
      <c r="E1290" s="27"/>
      <c r="F1290" s="1006"/>
      <c r="G1290" s="32"/>
      <c r="H1290" s="1007">
        <f t="shared" si="112"/>
        <v>0</v>
      </c>
      <c r="I1290" s="30"/>
      <c r="J1290" s="1008"/>
      <c r="K1290" s="32"/>
      <c r="L1290" s="1007">
        <f t="shared" si="113"/>
        <v>0</v>
      </c>
      <c r="M1290" s="30"/>
      <c r="N1290" s="34">
        <f t="shared" si="114"/>
        <v>0</v>
      </c>
      <c r="O1290" s="202" t="str">
        <f t="shared" si="115"/>
        <v/>
      </c>
      <c r="P1290" s="7"/>
    </row>
    <row r="1291" spans="1:16" x14ac:dyDescent="0.2">
      <c r="A1291" s="7"/>
      <c r="B1291" s="26" t="s">
        <v>1132</v>
      </c>
      <c r="C1291" s="26"/>
      <c r="D1291" s="1005" t="s">
        <v>80</v>
      </c>
      <c r="E1291" s="27"/>
      <c r="F1291" s="1006">
        <v>0</v>
      </c>
      <c r="G1291" s="32">
        <v>10492</v>
      </c>
      <c r="H1291" s="1007">
        <f t="shared" si="112"/>
        <v>0</v>
      </c>
      <c r="I1291" s="30"/>
      <c r="J1291" s="1008">
        <v>0</v>
      </c>
      <c r="K1291" s="32">
        <v>10492</v>
      </c>
      <c r="L1291" s="1007">
        <f t="shared" si="113"/>
        <v>0</v>
      </c>
      <c r="M1291" s="30"/>
      <c r="N1291" s="34">
        <f t="shared" si="114"/>
        <v>0</v>
      </c>
      <c r="O1291" s="202" t="str">
        <f t="shared" si="115"/>
        <v/>
      </c>
      <c r="P1291" s="7"/>
    </row>
    <row r="1292" spans="1:16" x14ac:dyDescent="0.2">
      <c r="A1292" s="7"/>
      <c r="B1292" s="26" t="s">
        <v>1133</v>
      </c>
      <c r="C1292" s="26"/>
      <c r="D1292" s="1005" t="s">
        <v>80</v>
      </c>
      <c r="E1292" s="27"/>
      <c r="F1292" s="1006">
        <v>0</v>
      </c>
      <c r="G1292" s="32">
        <v>10492</v>
      </c>
      <c r="H1292" s="1007">
        <f t="shared" si="112"/>
        <v>0</v>
      </c>
      <c r="I1292" s="30"/>
      <c r="J1292" s="1008">
        <v>0</v>
      </c>
      <c r="K1292" s="32">
        <v>10492</v>
      </c>
      <c r="L1292" s="1007">
        <f t="shared" si="113"/>
        <v>0</v>
      </c>
      <c r="M1292" s="30"/>
      <c r="N1292" s="34">
        <f t="shared" si="114"/>
        <v>0</v>
      </c>
      <c r="O1292" s="202" t="str">
        <f t="shared" si="115"/>
        <v/>
      </c>
      <c r="P1292" s="7"/>
    </row>
    <row r="1293" spans="1:16" x14ac:dyDescent="0.2">
      <c r="A1293" s="7"/>
      <c r="B1293" s="26" t="s">
        <v>1134</v>
      </c>
      <c r="C1293" s="26"/>
      <c r="D1293" s="1005" t="s">
        <v>80</v>
      </c>
      <c r="E1293" s="27"/>
      <c r="F1293" s="1006">
        <v>0</v>
      </c>
      <c r="G1293" s="32">
        <v>10492</v>
      </c>
      <c r="H1293" s="1007">
        <f t="shared" si="112"/>
        <v>0</v>
      </c>
      <c r="I1293" s="30"/>
      <c r="J1293" s="1008">
        <v>0</v>
      </c>
      <c r="K1293" s="32">
        <v>10492</v>
      </c>
      <c r="L1293" s="1007">
        <f t="shared" si="113"/>
        <v>0</v>
      </c>
      <c r="M1293" s="30"/>
      <c r="N1293" s="34">
        <f t="shared" si="114"/>
        <v>0</v>
      </c>
      <c r="O1293" s="202" t="str">
        <f t="shared" si="115"/>
        <v/>
      </c>
      <c r="P1293" s="7"/>
    </row>
    <row r="1294" spans="1:16" x14ac:dyDescent="0.2">
      <c r="A1294" s="7"/>
      <c r="B1294" s="1010" t="s">
        <v>1135</v>
      </c>
      <c r="C1294" s="26"/>
      <c r="D1294" s="1005" t="s">
        <v>1130</v>
      </c>
      <c r="E1294" s="27"/>
      <c r="F1294" s="1006">
        <v>0</v>
      </c>
      <c r="G1294" s="32">
        <v>1</v>
      </c>
      <c r="H1294" s="1007">
        <f t="shared" si="112"/>
        <v>0</v>
      </c>
      <c r="I1294" s="30"/>
      <c r="J1294" s="1008">
        <v>0</v>
      </c>
      <c r="K1294" s="32">
        <v>1</v>
      </c>
      <c r="L1294" s="1007">
        <f t="shared" si="113"/>
        <v>0</v>
      </c>
      <c r="M1294" s="30"/>
      <c r="N1294" s="34">
        <f t="shared" si="114"/>
        <v>0</v>
      </c>
      <c r="O1294" s="202" t="str">
        <f t="shared" si="115"/>
        <v/>
      </c>
      <c r="P1294" s="7"/>
    </row>
    <row r="1295" spans="1:16" x14ac:dyDescent="0.2">
      <c r="A1295" s="29"/>
      <c r="B1295" s="1011" t="s">
        <v>698</v>
      </c>
      <c r="C1295" s="1012"/>
      <c r="D1295" s="1013"/>
      <c r="E1295" s="1012"/>
      <c r="F1295" s="1014"/>
      <c r="G1295" s="1015"/>
      <c r="H1295" s="1016">
        <f>SUM(H1285:H1294)</f>
        <v>39263.538</v>
      </c>
      <c r="I1295" s="1017"/>
      <c r="J1295" s="1018"/>
      <c r="K1295" s="1019"/>
      <c r="L1295" s="1016">
        <f>SUM(L1285:L1294)</f>
        <v>45844.1204</v>
      </c>
      <c r="M1295" s="1017"/>
      <c r="N1295" s="1020">
        <f t="shared" si="114"/>
        <v>6580.5823999999993</v>
      </c>
      <c r="O1295" s="1021">
        <f t="shared" si="115"/>
        <v>0.16760034207818966</v>
      </c>
      <c r="P1295" s="29"/>
    </row>
    <row r="1296" spans="1:16" ht="38.25" x14ac:dyDescent="0.2">
      <c r="A1296" s="7"/>
      <c r="B1296" s="1022" t="s">
        <v>1136</v>
      </c>
      <c r="C1296" s="26"/>
      <c r="D1296" s="1005" t="s">
        <v>80</v>
      </c>
      <c r="E1296" s="27"/>
      <c r="F1296" s="1006">
        <v>0.65790000000000004</v>
      </c>
      <c r="G1296" s="32">
        <v>10492</v>
      </c>
      <c r="H1296" s="1007">
        <f>G1296*F1296</f>
        <v>6902.6868000000004</v>
      </c>
      <c r="I1296" s="30"/>
      <c r="J1296" s="1008">
        <v>0</v>
      </c>
      <c r="K1296" s="32">
        <v>10492</v>
      </c>
      <c r="L1296" s="1007">
        <f>K1296*J1296</f>
        <v>0</v>
      </c>
      <c r="M1296" s="30"/>
      <c r="N1296" s="34">
        <f t="shared" si="114"/>
        <v>-6902.6868000000004</v>
      </c>
      <c r="O1296" s="202">
        <f>IF((H1296)=0,"",(N1296/H1296))</f>
        <v>-1</v>
      </c>
      <c r="P1296" s="7"/>
    </row>
    <row r="1297" spans="1:16" ht="38.25" x14ac:dyDescent="0.2">
      <c r="A1297" s="7"/>
      <c r="B1297" s="1022" t="s">
        <v>1137</v>
      </c>
      <c r="C1297" s="26"/>
      <c r="D1297" s="1005" t="s">
        <v>80</v>
      </c>
      <c r="E1297" s="27"/>
      <c r="F1297" s="1006">
        <v>-0.7177</v>
      </c>
      <c r="G1297" s="32">
        <v>10492</v>
      </c>
      <c r="H1297" s="1007">
        <f>G1297*F1297</f>
        <v>-7530.1084000000001</v>
      </c>
      <c r="I1297" s="30"/>
      <c r="J1297" s="1008">
        <v>-0.7177</v>
      </c>
      <c r="K1297" s="32">
        <v>10492</v>
      </c>
      <c r="L1297" s="1007">
        <f>K1297*J1297</f>
        <v>-7530.1084000000001</v>
      </c>
      <c r="M1297" s="30"/>
      <c r="N1297" s="34">
        <f t="shared" si="114"/>
        <v>0</v>
      </c>
      <c r="O1297" s="202">
        <f>IF((H1297)=0,"",(N1297/H1297))</f>
        <v>0</v>
      </c>
      <c r="P1297" s="7"/>
    </row>
    <row r="1298" spans="1:16" ht="51" x14ac:dyDescent="0.2">
      <c r="A1298" s="7"/>
      <c r="B1298" s="1022" t="s">
        <v>1138</v>
      </c>
      <c r="C1298" s="26"/>
      <c r="D1298" s="1005" t="s">
        <v>80</v>
      </c>
      <c r="E1298" s="27"/>
      <c r="F1298" s="1006">
        <v>0</v>
      </c>
      <c r="G1298" s="32">
        <v>10492</v>
      </c>
      <c r="H1298" s="1007">
        <f>G1298*F1298</f>
        <v>0</v>
      </c>
      <c r="I1298" s="30"/>
      <c r="J1298" s="1008">
        <v>-0.83279999999999998</v>
      </c>
      <c r="K1298" s="32">
        <v>10492</v>
      </c>
      <c r="L1298" s="1007">
        <f>K1298*J1298</f>
        <v>-8737.7376000000004</v>
      </c>
      <c r="M1298" s="30"/>
      <c r="N1298" s="34">
        <f t="shared" si="114"/>
        <v>-8737.7376000000004</v>
      </c>
      <c r="O1298" s="202" t="str">
        <f>IF((H1298)=0,"",(N1298/H1298))</f>
        <v/>
      </c>
      <c r="P1298" s="7"/>
    </row>
    <row r="1299" spans="1:16" x14ac:dyDescent="0.2">
      <c r="A1299" s="7"/>
      <c r="B1299" s="564" t="s">
        <v>808</v>
      </c>
      <c r="C1299" s="26"/>
      <c r="D1299" s="1005" t="s">
        <v>80</v>
      </c>
      <c r="E1299" s="27"/>
      <c r="F1299" s="1006">
        <v>9.0499999999999997E-2</v>
      </c>
      <c r="G1299" s="32">
        <v>10492</v>
      </c>
      <c r="H1299" s="1007">
        <f>G1299*F1299</f>
        <v>949.52599999999995</v>
      </c>
      <c r="I1299" s="30"/>
      <c r="J1299" s="1008">
        <v>9.3700000000000006E-2</v>
      </c>
      <c r="K1299" s="32">
        <v>10492</v>
      </c>
      <c r="L1299" s="1007">
        <f>K1299*J1299</f>
        <v>983.10040000000004</v>
      </c>
      <c r="M1299" s="30"/>
      <c r="N1299" s="34">
        <f t="shared" si="114"/>
        <v>33.574400000000082</v>
      </c>
      <c r="O1299" s="202">
        <f>IF((H1299)=0,"",(N1299/H1299))</f>
        <v>3.5359116022099533E-2</v>
      </c>
      <c r="P1299" s="7"/>
    </row>
    <row r="1300" spans="1:16" x14ac:dyDescent="0.2">
      <c r="A1300" s="7"/>
      <c r="B1300" s="564" t="s">
        <v>701</v>
      </c>
      <c r="C1300" s="26"/>
      <c r="D1300" s="1005"/>
      <c r="E1300" s="27"/>
      <c r="F1300" s="1023"/>
      <c r="G1300" s="1024"/>
      <c r="H1300" s="1025"/>
      <c r="I1300" s="30"/>
      <c r="J1300" s="1008"/>
      <c r="K1300" s="32">
        <f>F1280</f>
        <v>7340623</v>
      </c>
      <c r="L1300" s="1007">
        <f>K1300*J1300</f>
        <v>0</v>
      </c>
      <c r="M1300" s="30"/>
      <c r="N1300" s="34">
        <f t="shared" si="114"/>
        <v>0</v>
      </c>
      <c r="O1300" s="202"/>
      <c r="P1300" s="7"/>
    </row>
    <row r="1301" spans="1:16" ht="25.5" x14ac:dyDescent="0.2">
      <c r="A1301" s="7"/>
      <c r="B1301" s="1026" t="s">
        <v>699</v>
      </c>
      <c r="C1301" s="1027"/>
      <c r="D1301" s="1027"/>
      <c r="E1301" s="1027"/>
      <c r="F1301" s="1028"/>
      <c r="G1301" s="1029"/>
      <c r="H1301" s="1030">
        <f>SUM(H1295:H1300)</f>
        <v>39585.642400000004</v>
      </c>
      <c r="I1301" s="1017"/>
      <c r="J1301" s="1029"/>
      <c r="K1301" s="1031"/>
      <c r="L1301" s="1030">
        <f>SUM(L1295:L1300)</f>
        <v>30559.374800000001</v>
      </c>
      <c r="M1301" s="1017"/>
      <c r="N1301" s="1020">
        <f t="shared" si="114"/>
        <v>-9026.2676000000029</v>
      </c>
      <c r="O1301" s="1021">
        <f t="shared" ref="O1301:O1325" si="116">IF((H1301)=0,"",(N1301/H1301))</f>
        <v>-0.22801872226279701</v>
      </c>
      <c r="P1301" s="7"/>
    </row>
    <row r="1302" spans="1:16" x14ac:dyDescent="0.2">
      <c r="A1302" s="7"/>
      <c r="B1302" s="30" t="s">
        <v>32</v>
      </c>
      <c r="C1302" s="30"/>
      <c r="D1302" s="1032" t="s">
        <v>80</v>
      </c>
      <c r="E1302" s="31"/>
      <c r="F1302" s="1008">
        <v>3.0162</v>
      </c>
      <c r="G1302" s="667">
        <f>10492</f>
        <v>10492</v>
      </c>
      <c r="H1302" s="1007">
        <f>G1302*F1302</f>
        <v>31645.970399999998</v>
      </c>
      <c r="I1302" s="30"/>
      <c r="J1302" s="1008">
        <v>2.774</v>
      </c>
      <c r="K1302" s="668">
        <f>10492</f>
        <v>10492</v>
      </c>
      <c r="L1302" s="1007">
        <f>K1302*J1302</f>
        <v>29104.808000000001</v>
      </c>
      <c r="M1302" s="30"/>
      <c r="N1302" s="34">
        <f t="shared" si="114"/>
        <v>-2541.1623999999974</v>
      </c>
      <c r="O1302" s="202">
        <f t="shared" si="116"/>
        <v>-8.0299714873018957E-2</v>
      </c>
      <c r="P1302" s="7"/>
    </row>
    <row r="1303" spans="1:16" ht="25.5" x14ac:dyDescent="0.2">
      <c r="A1303" s="7"/>
      <c r="B1303" s="35" t="s">
        <v>33</v>
      </c>
      <c r="C1303" s="30"/>
      <c r="D1303" s="1032" t="s">
        <v>80</v>
      </c>
      <c r="E1303" s="31"/>
      <c r="F1303" s="1008">
        <v>2.5070000000000001</v>
      </c>
      <c r="G1303" s="667">
        <f>G1302</f>
        <v>10492</v>
      </c>
      <c r="H1303" s="1007">
        <f>G1303*F1303</f>
        <v>26303.444</v>
      </c>
      <c r="I1303" s="30"/>
      <c r="J1303" s="1008">
        <v>2.4148000000000001</v>
      </c>
      <c r="K1303" s="668">
        <f>K1302</f>
        <v>10492</v>
      </c>
      <c r="L1303" s="1007">
        <f>K1303*J1303</f>
        <v>25336.081600000001</v>
      </c>
      <c r="M1303" s="30"/>
      <c r="N1303" s="34">
        <f t="shared" si="114"/>
        <v>-967.36239999999816</v>
      </c>
      <c r="O1303" s="202">
        <f t="shared" si="116"/>
        <v>-3.6777024331870696E-2</v>
      </c>
      <c r="P1303" s="7"/>
    </row>
    <row r="1304" spans="1:16" ht="25.5" x14ac:dyDescent="0.2">
      <c r="A1304" s="7"/>
      <c r="B1304" s="1026" t="s">
        <v>700</v>
      </c>
      <c r="C1304" s="1012"/>
      <c r="D1304" s="1012"/>
      <c r="E1304" s="1012"/>
      <c r="F1304" s="1033"/>
      <c r="G1304" s="1029"/>
      <c r="H1304" s="1030">
        <f>SUM(H1301:H1303)</f>
        <v>97535.056800000006</v>
      </c>
      <c r="I1304" s="1034"/>
      <c r="J1304" s="1035"/>
      <c r="K1304" s="1036"/>
      <c r="L1304" s="1030">
        <f>SUM(L1301:L1303)</f>
        <v>85000.2644</v>
      </c>
      <c r="M1304" s="1034"/>
      <c r="N1304" s="1020">
        <f t="shared" si="114"/>
        <v>-12534.792400000006</v>
      </c>
      <c r="O1304" s="1021">
        <f t="shared" si="116"/>
        <v>-0.12851576460044678</v>
      </c>
      <c r="P1304" s="7"/>
    </row>
    <row r="1305" spans="1:16" ht="25.5" x14ac:dyDescent="0.2">
      <c r="A1305" s="7"/>
      <c r="B1305" s="28" t="s">
        <v>34</v>
      </c>
      <c r="C1305" s="26"/>
      <c r="D1305" s="1005" t="s">
        <v>79</v>
      </c>
      <c r="E1305" s="27"/>
      <c r="F1305" s="1037">
        <v>5.1999999999999998E-3</v>
      </c>
      <c r="G1305" s="667">
        <f>F1280*(1+F1328)</f>
        <v>7373655.8034999995</v>
      </c>
      <c r="H1305" s="1038">
        <f t="shared" ref="H1305:H1313" si="117">G1305*F1305</f>
        <v>38343.010178199998</v>
      </c>
      <c r="I1305" s="30"/>
      <c r="J1305" s="1039">
        <v>5.1999999999999998E-3</v>
      </c>
      <c r="K1305" s="668">
        <f>F1280*(1+J1328)</f>
        <v>7391273.2986999992</v>
      </c>
      <c r="L1305" s="1038">
        <f t="shared" ref="L1305:L1313" si="118">K1305*J1305</f>
        <v>38434.621153239998</v>
      </c>
      <c r="M1305" s="30"/>
      <c r="N1305" s="34">
        <f t="shared" si="114"/>
        <v>91.610975039999175</v>
      </c>
      <c r="O1305" s="565">
        <f t="shared" si="116"/>
        <v>2.3892483822797197E-3</v>
      </c>
      <c r="P1305" s="7"/>
    </row>
    <row r="1306" spans="1:16" ht="25.5" x14ac:dyDescent="0.2">
      <c r="A1306" s="7"/>
      <c r="B1306" s="28" t="s">
        <v>35</v>
      </c>
      <c r="C1306" s="26"/>
      <c r="D1306" s="1005" t="s">
        <v>79</v>
      </c>
      <c r="E1306" s="27"/>
      <c r="F1306" s="1037">
        <v>1.1000000000000001E-3</v>
      </c>
      <c r="G1306" s="667">
        <f>F1280*(1+F1328)</f>
        <v>7373655.8034999995</v>
      </c>
      <c r="H1306" s="1038">
        <f t="shared" si="117"/>
        <v>8111.0213838499994</v>
      </c>
      <c r="I1306" s="30"/>
      <c r="J1306" s="1039">
        <v>1.1000000000000001E-3</v>
      </c>
      <c r="K1306" s="668">
        <f>F1280*(1+J1328)</f>
        <v>7391273.2986999992</v>
      </c>
      <c r="L1306" s="1038">
        <f t="shared" si="118"/>
        <v>8130.4006285699998</v>
      </c>
      <c r="M1306" s="30"/>
      <c r="N1306" s="34">
        <f t="shared" si="114"/>
        <v>19.379244720000315</v>
      </c>
      <c r="O1306" s="565">
        <f t="shared" si="116"/>
        <v>2.3892483822797804E-3</v>
      </c>
      <c r="P1306" s="7"/>
    </row>
    <row r="1307" spans="1:16" x14ac:dyDescent="0.2">
      <c r="A1307" s="7"/>
      <c r="B1307" s="26" t="s">
        <v>36</v>
      </c>
      <c r="C1307" s="26"/>
      <c r="D1307" s="1005"/>
      <c r="E1307" s="27"/>
      <c r="F1307" s="1037"/>
      <c r="G1307" s="32">
        <v>1</v>
      </c>
      <c r="H1307" s="1038">
        <f t="shared" si="117"/>
        <v>0</v>
      </c>
      <c r="I1307" s="30"/>
      <c r="J1307" s="1039"/>
      <c r="K1307" s="33">
        <v>1</v>
      </c>
      <c r="L1307" s="1038">
        <f t="shared" si="118"/>
        <v>0</v>
      </c>
      <c r="M1307" s="30"/>
      <c r="N1307" s="34">
        <f t="shared" si="114"/>
        <v>0</v>
      </c>
      <c r="O1307" s="565" t="str">
        <f t="shared" si="116"/>
        <v/>
      </c>
      <c r="P1307" s="7"/>
    </row>
    <row r="1308" spans="1:16" x14ac:dyDescent="0.2">
      <c r="A1308" s="7"/>
      <c r="B1308" s="26" t="s">
        <v>37</v>
      </c>
      <c r="C1308" s="26"/>
      <c r="D1308" s="1005" t="s">
        <v>79</v>
      </c>
      <c r="E1308" s="27"/>
      <c r="F1308" s="1037">
        <v>7.0000000000000001E-3</v>
      </c>
      <c r="G1308" s="667">
        <f>F1280</f>
        <v>7340623</v>
      </c>
      <c r="H1308" s="1038">
        <f t="shared" si="117"/>
        <v>51384.361000000004</v>
      </c>
      <c r="I1308" s="30"/>
      <c r="J1308" s="1039">
        <v>7.0000000000000001E-3</v>
      </c>
      <c r="K1308" s="668">
        <f>F1280</f>
        <v>7340623</v>
      </c>
      <c r="L1308" s="1038">
        <f t="shared" si="118"/>
        <v>51384.361000000004</v>
      </c>
      <c r="M1308" s="30"/>
      <c r="N1308" s="34">
        <f t="shared" si="114"/>
        <v>0</v>
      </c>
      <c r="O1308" s="565">
        <f t="shared" si="116"/>
        <v>0</v>
      </c>
      <c r="P1308" s="7"/>
    </row>
    <row r="1309" spans="1:16" x14ac:dyDescent="0.2">
      <c r="A1309" s="7"/>
      <c r="B1309" s="564" t="s">
        <v>777</v>
      </c>
      <c r="C1309" s="26"/>
      <c r="D1309" s="1005" t="s">
        <v>79</v>
      </c>
      <c r="E1309" s="27"/>
      <c r="F1309" s="1040">
        <v>7.4999999999999997E-2</v>
      </c>
      <c r="G1309" s="667">
        <f>IF($G$1305&gt;=750,750,$G$1305)</f>
        <v>750</v>
      </c>
      <c r="H1309" s="1038">
        <f>G1309*F1309</f>
        <v>56.25</v>
      </c>
      <c r="I1309" s="30"/>
      <c r="J1309" s="1037">
        <v>7.4999999999999997E-2</v>
      </c>
      <c r="K1309" s="667">
        <f>IF($K$1305&gt;=750,750,$K$1305)</f>
        <v>750</v>
      </c>
      <c r="L1309" s="1038">
        <f>K1309*J1309</f>
        <v>56.25</v>
      </c>
      <c r="M1309" s="30"/>
      <c r="N1309" s="34">
        <f t="shared" si="114"/>
        <v>0</v>
      </c>
      <c r="O1309" s="565">
        <f t="shared" si="116"/>
        <v>0</v>
      </c>
      <c r="P1309" s="7"/>
    </row>
    <row r="1310" spans="1:16" x14ac:dyDescent="0.2">
      <c r="A1310" s="7"/>
      <c r="B1310" s="564" t="s">
        <v>778</v>
      </c>
      <c r="C1310" s="26"/>
      <c r="D1310" s="1005" t="s">
        <v>79</v>
      </c>
      <c r="E1310" s="27"/>
      <c r="F1310" s="1040">
        <v>8.7999999999999995E-2</v>
      </c>
      <c r="G1310" s="667">
        <f>IF($G$1305&gt;=750,$G$1305-750,0)</f>
        <v>7372905.8034999995</v>
      </c>
      <c r="H1310" s="1038">
        <f>G1310*F1310</f>
        <v>648815.71070799988</v>
      </c>
      <c r="I1310" s="30"/>
      <c r="J1310" s="1037">
        <v>8.7999999999999995E-2</v>
      </c>
      <c r="K1310" s="667">
        <f>IF($K$1305&gt;=750,$K$1305-750,0)</f>
        <v>7390523.2986999992</v>
      </c>
      <c r="L1310" s="1038">
        <f>K1310*J1310</f>
        <v>650366.05028559989</v>
      </c>
      <c r="M1310" s="30"/>
      <c r="N1310" s="34">
        <f t="shared" si="114"/>
        <v>1550.3395776000107</v>
      </c>
      <c r="O1310" s="565">
        <f t="shared" si="116"/>
        <v>2.3894914257058465E-3</v>
      </c>
      <c r="P1310" s="7"/>
    </row>
    <row r="1311" spans="1:16" x14ac:dyDescent="0.2">
      <c r="A1311" s="7"/>
      <c r="B1311" s="564" t="s">
        <v>779</v>
      </c>
      <c r="C1311" s="26"/>
      <c r="D1311" s="1005" t="s">
        <v>79</v>
      </c>
      <c r="E1311" s="27"/>
      <c r="F1311" s="1040">
        <v>6.5000000000000002E-2</v>
      </c>
      <c r="G1311" s="669">
        <f>0.64*$G$1305</f>
        <v>4719139.7142399997</v>
      </c>
      <c r="H1311" s="1038">
        <f t="shared" si="117"/>
        <v>306744.08142559999</v>
      </c>
      <c r="I1311" s="30"/>
      <c r="J1311" s="1037">
        <v>6.5000000000000002E-2</v>
      </c>
      <c r="K1311" s="1041">
        <f>0.64*$K$1305</f>
        <v>4730414.9111679997</v>
      </c>
      <c r="L1311" s="1038">
        <f t="shared" si="118"/>
        <v>307476.96922591998</v>
      </c>
      <c r="M1311" s="30"/>
      <c r="N1311" s="34">
        <f t="shared" si="114"/>
        <v>732.8878003199934</v>
      </c>
      <c r="O1311" s="565">
        <f t="shared" si="116"/>
        <v>2.3892483822797197E-3</v>
      </c>
      <c r="P1311" s="7"/>
    </row>
    <row r="1312" spans="1:16" x14ac:dyDescent="0.2">
      <c r="A1312" s="7"/>
      <c r="B1312" s="564" t="s">
        <v>780</v>
      </c>
      <c r="C1312" s="26"/>
      <c r="D1312" s="1005" t="s">
        <v>79</v>
      </c>
      <c r="E1312" s="27"/>
      <c r="F1312" s="1040">
        <v>0.1</v>
      </c>
      <c r="G1312" s="669">
        <f>0.18*$G$1305</f>
        <v>1327258.0446299999</v>
      </c>
      <c r="H1312" s="1038">
        <f t="shared" si="117"/>
        <v>132725.80446300001</v>
      </c>
      <c r="I1312" s="30"/>
      <c r="J1312" s="1037">
        <v>0.1</v>
      </c>
      <c r="K1312" s="1041">
        <f>0.18*$K$1305</f>
        <v>1330429.1937659997</v>
      </c>
      <c r="L1312" s="1038">
        <f t="shared" si="118"/>
        <v>133042.91937659998</v>
      </c>
      <c r="M1312" s="30"/>
      <c r="N1312" s="34">
        <f t="shared" si="114"/>
        <v>317.11491359997308</v>
      </c>
      <c r="O1312" s="565">
        <f t="shared" si="116"/>
        <v>2.3892483822795384E-3</v>
      </c>
      <c r="P1312" s="7"/>
    </row>
    <row r="1313" spans="1:16" ht="13.5" thickBot="1" x14ac:dyDescent="0.25">
      <c r="A1313" s="7"/>
      <c r="B1313" s="647" t="s">
        <v>781</v>
      </c>
      <c r="C1313" s="26"/>
      <c r="D1313" s="1005" t="s">
        <v>79</v>
      </c>
      <c r="E1313" s="27"/>
      <c r="F1313" s="1040">
        <v>0.11700000000000001</v>
      </c>
      <c r="G1313" s="669">
        <f>0.18*$G$1305</f>
        <v>1327258.0446299999</v>
      </c>
      <c r="H1313" s="1038">
        <f t="shared" si="117"/>
        <v>155289.19122171</v>
      </c>
      <c r="I1313" s="30"/>
      <c r="J1313" s="1037">
        <v>0.11700000000000001</v>
      </c>
      <c r="K1313" s="1041">
        <f>0.18*$K$1305</f>
        <v>1330429.1937659997</v>
      </c>
      <c r="L1313" s="1038">
        <f t="shared" si="118"/>
        <v>155660.21567062198</v>
      </c>
      <c r="M1313" s="30"/>
      <c r="N1313" s="34">
        <f t="shared" si="114"/>
        <v>371.02444891197956</v>
      </c>
      <c r="O1313" s="565">
        <f t="shared" si="116"/>
        <v>2.3892483822796095E-3</v>
      </c>
      <c r="P1313" s="7"/>
    </row>
    <row r="1314" spans="1:16" ht="13.5" thickBot="1" x14ac:dyDescent="0.25">
      <c r="A1314" s="7"/>
      <c r="B1314" s="1042"/>
      <c r="C1314" s="1043"/>
      <c r="D1314" s="1044"/>
      <c r="E1314" s="1043"/>
      <c r="F1314" s="1045"/>
      <c r="G1314" s="1046"/>
      <c r="H1314" s="1047"/>
      <c r="I1314" s="1048"/>
      <c r="J1314" s="1045"/>
      <c r="K1314" s="1049"/>
      <c r="L1314" s="1047"/>
      <c r="M1314" s="1048"/>
      <c r="N1314" s="1050"/>
      <c r="O1314" s="1051"/>
      <c r="P1314" s="7"/>
    </row>
    <row r="1315" spans="1:16" x14ac:dyDescent="0.2">
      <c r="A1315" s="7"/>
      <c r="B1315" s="36" t="s">
        <v>782</v>
      </c>
      <c r="C1315" s="26"/>
      <c r="D1315" s="26"/>
      <c r="E1315" s="26"/>
      <c r="F1315" s="662"/>
      <c r="G1315" s="652"/>
      <c r="H1315" s="656">
        <f>SUM(H1304:H1310)</f>
        <v>844245.41007004981</v>
      </c>
      <c r="I1315" s="660"/>
      <c r="J1315" s="661"/>
      <c r="K1315" s="661"/>
      <c r="L1315" s="655">
        <f>SUM(L1304:L1310)</f>
        <v>833371.94746740989</v>
      </c>
      <c r="M1315" s="654"/>
      <c r="N1315" s="659">
        <f t="shared" si="114"/>
        <v>-10873.46260263992</v>
      </c>
      <c r="O1315" s="657">
        <f t="shared" si="116"/>
        <v>-1.2879504552755239E-2</v>
      </c>
      <c r="P1315" s="7"/>
    </row>
    <row r="1316" spans="1:16" x14ac:dyDescent="0.2">
      <c r="A1316" s="7"/>
      <c r="B1316" s="650" t="s">
        <v>38</v>
      </c>
      <c r="C1316" s="26"/>
      <c r="D1316" s="26"/>
      <c r="E1316" s="26"/>
      <c r="F1316" s="649">
        <v>0.13</v>
      </c>
      <c r="G1316" s="652"/>
      <c r="H1316" s="670">
        <f>H1315*F1316</f>
        <v>109751.90330910648</v>
      </c>
      <c r="I1316" s="648"/>
      <c r="J1316" s="676">
        <v>0.13</v>
      </c>
      <c r="K1316" s="677"/>
      <c r="L1316" s="672">
        <f>L1315*J1316</f>
        <v>108338.35317076329</v>
      </c>
      <c r="M1316" s="673"/>
      <c r="N1316" s="674">
        <f t="shared" si="114"/>
        <v>-1413.5501383431838</v>
      </c>
      <c r="O1316" s="675">
        <f t="shared" si="116"/>
        <v>-1.2879504552755185E-2</v>
      </c>
      <c r="P1316" s="7"/>
    </row>
    <row r="1317" spans="1:16" x14ac:dyDescent="0.2">
      <c r="A1317" s="7"/>
      <c r="B1317" s="651" t="s">
        <v>1139</v>
      </c>
      <c r="C1317" s="26"/>
      <c r="D1317" s="26"/>
      <c r="E1317" s="26"/>
      <c r="F1317" s="658"/>
      <c r="G1317" s="653"/>
      <c r="H1317" s="670">
        <f>H1315+H1316</f>
        <v>953997.31337915629</v>
      </c>
      <c r="I1317" s="648"/>
      <c r="J1317" s="648"/>
      <c r="K1317" s="648"/>
      <c r="L1317" s="672">
        <f>L1315+L1316</f>
        <v>941710.30063817324</v>
      </c>
      <c r="M1317" s="673"/>
      <c r="N1317" s="674">
        <f t="shared" si="114"/>
        <v>-12287.012740983046</v>
      </c>
      <c r="O1317" s="675">
        <f t="shared" si="116"/>
        <v>-1.2879504552755171E-2</v>
      </c>
      <c r="P1317" s="7"/>
    </row>
    <row r="1318" spans="1:16" ht="12.75" customHeight="1" x14ac:dyDescent="0.2">
      <c r="A1318" s="7"/>
      <c r="B1318" s="1626" t="s">
        <v>1140</v>
      </c>
      <c r="C1318" s="1626"/>
      <c r="D1318" s="1626"/>
      <c r="E1318" s="26"/>
      <c r="F1318" s="658"/>
      <c r="G1318" s="653"/>
      <c r="H1318" s="1052">
        <f>ROUND(-H1317*10%,2)</f>
        <v>-95399.73</v>
      </c>
      <c r="I1318" s="648"/>
      <c r="J1318" s="648"/>
      <c r="K1318" s="648"/>
      <c r="L1318" s="1053">
        <f>ROUND(-L1317*10%,2)</f>
        <v>-94171.03</v>
      </c>
      <c r="M1318" s="673"/>
      <c r="N1318" s="1054">
        <f t="shared" si="114"/>
        <v>1228.6999999999971</v>
      </c>
      <c r="O1318" s="1055">
        <f t="shared" si="116"/>
        <v>-1.28794913780154E-2</v>
      </c>
      <c r="P1318" s="7"/>
    </row>
    <row r="1319" spans="1:16" ht="13.5" customHeight="1" thickBot="1" x14ac:dyDescent="0.25">
      <c r="A1319" s="7"/>
      <c r="B1319" s="1626" t="s">
        <v>785</v>
      </c>
      <c r="C1319" s="1626"/>
      <c r="D1319" s="1626"/>
      <c r="E1319" s="1056"/>
      <c r="F1319" s="1057"/>
      <c r="G1319" s="1058"/>
      <c r="H1319" s="1059">
        <f>SUM(H1317:H1318)</f>
        <v>858597.58337915631</v>
      </c>
      <c r="I1319" s="1060"/>
      <c r="J1319" s="1060"/>
      <c r="K1319" s="1060"/>
      <c r="L1319" s="1061">
        <f>SUM(L1317:L1318)</f>
        <v>847539.27063817321</v>
      </c>
      <c r="M1319" s="1062"/>
      <c r="N1319" s="1063">
        <f t="shared" si="114"/>
        <v>-11058.312740983092</v>
      </c>
      <c r="O1319" s="1064">
        <f t="shared" si="116"/>
        <v>-1.2879506016615173E-2</v>
      </c>
      <c r="P1319" s="7"/>
    </row>
    <row r="1320" spans="1:16" ht="13.5" thickBot="1" x14ac:dyDescent="0.25">
      <c r="A1320" s="7"/>
      <c r="B1320" s="1042"/>
      <c r="C1320" s="1043"/>
      <c r="D1320" s="1044"/>
      <c r="E1320" s="1043"/>
      <c r="F1320" s="1065"/>
      <c r="G1320" s="1066"/>
      <c r="H1320" s="1067"/>
      <c r="I1320" s="1068"/>
      <c r="J1320" s="1065"/>
      <c r="K1320" s="1046"/>
      <c r="L1320" s="1069"/>
      <c r="M1320" s="1048"/>
      <c r="N1320" s="1070"/>
      <c r="O1320" s="1051"/>
      <c r="P1320" s="7"/>
    </row>
    <row r="1321" spans="1:16" x14ac:dyDescent="0.2">
      <c r="A1321" s="7"/>
      <c r="B1321" s="36" t="s">
        <v>783</v>
      </c>
      <c r="C1321" s="26"/>
      <c r="D1321" s="26"/>
      <c r="E1321" s="26"/>
      <c r="F1321" s="662"/>
      <c r="G1321" s="652"/>
      <c r="H1321" s="656">
        <f>SUM(H1304:H1308,H1311:H1313)</f>
        <v>790132.5264723599</v>
      </c>
      <c r="I1321" s="660"/>
      <c r="J1321" s="661"/>
      <c r="K1321" s="661"/>
      <c r="L1321" s="666">
        <f>SUM(L1304:L1308,L1311:L1313)</f>
        <v>779129.75145495194</v>
      </c>
      <c r="M1321" s="654"/>
      <c r="N1321" s="659">
        <f>L1321-H1321</f>
        <v>-11002.775017407956</v>
      </c>
      <c r="O1321" s="657">
        <f>IF((H1321)=0,"",(N1321/H1321))</f>
        <v>-1.3925227286277084E-2</v>
      </c>
      <c r="P1321" s="7"/>
    </row>
    <row r="1322" spans="1:16" x14ac:dyDescent="0.2">
      <c r="A1322" s="7"/>
      <c r="B1322" s="650" t="s">
        <v>38</v>
      </c>
      <c r="C1322" s="26"/>
      <c r="D1322" s="26"/>
      <c r="E1322" s="26"/>
      <c r="F1322" s="649">
        <v>0.13</v>
      </c>
      <c r="G1322" s="653"/>
      <c r="H1322" s="670">
        <f>H1321*F1322</f>
        <v>102717.22844140678</v>
      </c>
      <c r="I1322" s="648"/>
      <c r="J1322" s="671">
        <v>0.13</v>
      </c>
      <c r="K1322" s="648"/>
      <c r="L1322" s="672">
        <f>L1321*J1322</f>
        <v>101286.86768914375</v>
      </c>
      <c r="M1322" s="673"/>
      <c r="N1322" s="674">
        <f t="shared" si="114"/>
        <v>-1430.3607522630336</v>
      </c>
      <c r="O1322" s="675">
        <f t="shared" si="116"/>
        <v>-1.3925227286277079E-2</v>
      </c>
      <c r="P1322" s="7"/>
    </row>
    <row r="1323" spans="1:16" x14ac:dyDescent="0.2">
      <c r="A1323" s="7"/>
      <c r="B1323" s="651" t="s">
        <v>1139</v>
      </c>
      <c r="C1323" s="26"/>
      <c r="D1323" s="26"/>
      <c r="E1323" s="26"/>
      <c r="F1323" s="658"/>
      <c r="G1323" s="653"/>
      <c r="H1323" s="670">
        <f>H1321+H1322</f>
        <v>892849.75491376664</v>
      </c>
      <c r="I1323" s="648"/>
      <c r="J1323" s="648"/>
      <c r="K1323" s="648"/>
      <c r="L1323" s="672">
        <f>L1321+L1322</f>
        <v>880416.61914409569</v>
      </c>
      <c r="M1323" s="673"/>
      <c r="N1323" s="674">
        <f t="shared" si="114"/>
        <v>-12433.135769670946</v>
      </c>
      <c r="O1323" s="675">
        <f t="shared" si="116"/>
        <v>-1.3925227286277033E-2</v>
      </c>
      <c r="P1323" s="7"/>
    </row>
    <row r="1324" spans="1:16" ht="12.75" customHeight="1" x14ac:dyDescent="0.2">
      <c r="A1324" s="7"/>
      <c r="B1324" s="1626" t="s">
        <v>1140</v>
      </c>
      <c r="C1324" s="1626"/>
      <c r="D1324" s="1626"/>
      <c r="E1324" s="26"/>
      <c r="F1324" s="658"/>
      <c r="G1324" s="653"/>
      <c r="H1324" s="1052">
        <f>ROUND(-H1323*10%,2)</f>
        <v>-89284.98</v>
      </c>
      <c r="I1324" s="648"/>
      <c r="J1324" s="648"/>
      <c r="K1324" s="648"/>
      <c r="L1324" s="1053">
        <f>ROUND(-L1323*10%,2)</f>
        <v>-88041.66</v>
      </c>
      <c r="M1324" s="673"/>
      <c r="N1324" s="1054">
        <f t="shared" si="114"/>
        <v>1243.3199999999924</v>
      </c>
      <c r="O1324" s="1055">
        <f t="shared" si="116"/>
        <v>-1.3925298521654958E-2</v>
      </c>
      <c r="P1324" s="7"/>
    </row>
    <row r="1325" spans="1:16" ht="13.5" customHeight="1" thickBot="1" x14ac:dyDescent="0.25">
      <c r="A1325" s="7"/>
      <c r="B1325" s="1626" t="s">
        <v>784</v>
      </c>
      <c r="C1325" s="1626"/>
      <c r="D1325" s="1626"/>
      <c r="E1325" s="1056"/>
      <c r="F1325" s="1071"/>
      <c r="G1325" s="1072"/>
      <c r="H1325" s="1073">
        <f>H1323+H1324</f>
        <v>803564.77491376665</v>
      </c>
      <c r="I1325" s="1074"/>
      <c r="J1325" s="1074"/>
      <c r="K1325" s="1074"/>
      <c r="L1325" s="1075">
        <f>L1323+L1324</f>
        <v>792374.95914409566</v>
      </c>
      <c r="M1325" s="1076"/>
      <c r="N1325" s="1077">
        <f t="shared" si="114"/>
        <v>-11189.815769670997</v>
      </c>
      <c r="O1325" s="1078">
        <f t="shared" si="116"/>
        <v>-1.3925219371234653E-2</v>
      </c>
      <c r="P1325" s="7"/>
    </row>
    <row r="1326" spans="1:16" ht="13.5" thickBot="1" x14ac:dyDescent="0.25">
      <c r="A1326" s="7"/>
      <c r="B1326" s="1042"/>
      <c r="C1326" s="1043"/>
      <c r="D1326" s="1044"/>
      <c r="E1326" s="1043"/>
      <c r="F1326" s="1065"/>
      <c r="G1326" s="1066"/>
      <c r="H1326" s="1067"/>
      <c r="I1326" s="1068"/>
      <c r="J1326" s="1065"/>
      <c r="K1326" s="1046"/>
      <c r="L1326" s="1069"/>
      <c r="M1326" s="1048"/>
      <c r="N1326" s="1070"/>
      <c r="O1326" s="1051"/>
      <c r="P1326" s="7"/>
    </row>
    <row r="1327" spans="1:16" x14ac:dyDescent="0.2">
      <c r="A1327" s="7"/>
      <c r="B1327" s="7"/>
      <c r="C1327" s="7"/>
      <c r="D1327" s="7"/>
      <c r="E1327" s="7"/>
      <c r="F1327" s="7"/>
      <c r="G1327" s="7"/>
      <c r="H1327" s="7"/>
      <c r="I1327" s="7"/>
      <c r="J1327" s="7"/>
      <c r="K1327" s="7"/>
      <c r="L1327" s="678"/>
      <c r="M1327" s="7"/>
      <c r="N1327" s="7"/>
      <c r="O1327" s="7"/>
      <c r="P1327" s="7"/>
    </row>
    <row r="1328" spans="1:16" x14ac:dyDescent="0.2">
      <c r="A1328" s="7"/>
      <c r="B1328" s="8" t="s">
        <v>39</v>
      </c>
      <c r="C1328" s="7"/>
      <c r="D1328" s="7"/>
      <c r="E1328" s="7"/>
      <c r="F1328" s="1080">
        <v>4.4999999999999997E-3</v>
      </c>
      <c r="G1328" s="7"/>
      <c r="H1328" s="7"/>
      <c r="I1328" s="7"/>
      <c r="J1328" s="1080">
        <v>6.8999999999999999E-3</v>
      </c>
      <c r="K1328" s="7"/>
      <c r="L1328" s="7"/>
      <c r="M1328" s="7"/>
      <c r="N1328" s="7"/>
      <c r="O1328" s="7"/>
      <c r="P1328" s="7"/>
    </row>
    <row r="1329" spans="1:16" x14ac:dyDescent="0.2">
      <c r="A1329" s="7"/>
      <c r="B1329" s="7"/>
      <c r="C1329" s="7"/>
      <c r="D1329" s="7"/>
      <c r="E1329" s="7"/>
      <c r="F1329" s="7"/>
      <c r="G1329" s="7"/>
      <c r="H1329" s="7"/>
      <c r="I1329" s="7"/>
      <c r="J1329" s="7"/>
      <c r="K1329" s="7"/>
      <c r="L1329" s="7"/>
      <c r="M1329" s="7"/>
      <c r="N1329" s="7"/>
      <c r="O1329" s="7"/>
      <c r="P1329" s="7"/>
    </row>
    <row r="1330" spans="1:16" ht="14.25" x14ac:dyDescent="0.2">
      <c r="A1330" s="214" t="s">
        <v>1141</v>
      </c>
      <c r="B1330" s="7"/>
      <c r="C1330" s="7"/>
      <c r="D1330" s="7"/>
      <c r="E1330" s="7"/>
      <c r="F1330" s="7"/>
      <c r="G1330" s="7"/>
      <c r="H1330" s="7"/>
      <c r="I1330" s="7"/>
      <c r="J1330" s="7"/>
      <c r="K1330" s="7"/>
      <c r="L1330" s="7"/>
      <c r="M1330" s="7"/>
      <c r="N1330" s="7"/>
      <c r="O1330" s="7"/>
      <c r="P1330" s="7"/>
    </row>
    <row r="1331" spans="1:16" x14ac:dyDescent="0.2">
      <c r="A1331" s="7"/>
      <c r="B1331" s="7"/>
      <c r="C1331" s="7"/>
      <c r="D1331" s="7"/>
      <c r="E1331" s="7"/>
      <c r="F1331" s="7"/>
      <c r="G1331" s="7"/>
      <c r="H1331" s="7"/>
      <c r="I1331" s="7"/>
      <c r="J1331" s="7"/>
      <c r="K1331" s="7"/>
      <c r="L1331" s="7"/>
      <c r="M1331" s="7"/>
      <c r="N1331" s="7"/>
      <c r="O1331" s="7"/>
      <c r="P1331" s="7"/>
    </row>
    <row r="1332" spans="1:16" x14ac:dyDescent="0.2">
      <c r="A1332" s="7" t="s">
        <v>107</v>
      </c>
      <c r="B1332" s="7"/>
      <c r="C1332" s="7"/>
      <c r="D1332" s="7"/>
      <c r="E1332" s="7"/>
      <c r="F1332" s="7"/>
      <c r="G1332" s="7"/>
      <c r="H1332" s="7"/>
      <c r="I1332" s="7"/>
      <c r="J1332" s="7"/>
      <c r="K1332" s="7"/>
      <c r="L1332" s="7"/>
      <c r="M1332" s="7"/>
      <c r="N1332" s="7"/>
      <c r="O1332" s="7"/>
      <c r="P1332" s="7"/>
    </row>
    <row r="1333" spans="1:16" x14ac:dyDescent="0.2">
      <c r="A1333" s="7" t="s">
        <v>108</v>
      </c>
      <c r="B1333" s="7"/>
      <c r="C1333" s="7"/>
      <c r="D1333" s="7"/>
      <c r="E1333" s="7"/>
      <c r="F1333" s="7"/>
      <c r="G1333" s="7"/>
      <c r="H1333" s="7"/>
      <c r="I1333" s="7"/>
      <c r="J1333" s="7"/>
      <c r="K1333" s="7"/>
      <c r="L1333" s="7"/>
      <c r="M1333" s="7"/>
      <c r="N1333" s="7"/>
      <c r="O1333" s="7"/>
      <c r="P1333" s="7"/>
    </row>
    <row r="1334" spans="1:16" x14ac:dyDescent="0.2">
      <c r="A1334" s="7"/>
      <c r="B1334" s="7"/>
      <c r="C1334" s="7"/>
      <c r="D1334" s="7"/>
      <c r="E1334" s="7"/>
      <c r="F1334" s="7"/>
      <c r="G1334" s="7"/>
      <c r="H1334" s="7"/>
      <c r="I1334" s="7"/>
      <c r="J1334" s="7"/>
      <c r="K1334" s="7"/>
      <c r="L1334" s="7"/>
      <c r="M1334" s="7"/>
      <c r="N1334" s="7"/>
      <c r="O1334" s="7"/>
      <c r="P1334" s="7"/>
    </row>
    <row r="1335" spans="1:16" x14ac:dyDescent="0.2">
      <c r="A1335" s="7" t="s">
        <v>331</v>
      </c>
      <c r="B1335" s="7"/>
      <c r="C1335" s="7"/>
      <c r="D1335" s="7"/>
      <c r="E1335" s="7"/>
      <c r="F1335" s="7"/>
      <c r="G1335" s="7"/>
      <c r="H1335" s="7"/>
      <c r="I1335" s="7"/>
      <c r="J1335" s="7"/>
      <c r="K1335" s="7"/>
      <c r="L1335" s="7"/>
      <c r="M1335" s="7"/>
      <c r="N1335" s="7"/>
      <c r="O1335" s="7"/>
      <c r="P1335" s="7"/>
    </row>
    <row r="1336" spans="1:16" x14ac:dyDescent="0.2">
      <c r="A1336" s="7" t="s">
        <v>109</v>
      </c>
      <c r="B1336" s="7"/>
      <c r="C1336" s="7"/>
      <c r="D1336" s="7"/>
      <c r="E1336" s="7"/>
      <c r="F1336" s="7"/>
      <c r="G1336" s="7"/>
      <c r="H1336" s="7"/>
      <c r="I1336" s="7"/>
      <c r="J1336" s="7"/>
      <c r="K1336" s="7"/>
      <c r="L1336" s="7"/>
      <c r="M1336" s="7"/>
      <c r="N1336" s="7"/>
      <c r="O1336" s="7"/>
      <c r="P1336" s="7"/>
    </row>
    <row r="1337" spans="1:16" x14ac:dyDescent="0.2">
      <c r="A1337" s="7"/>
      <c r="B1337" s="7"/>
      <c r="C1337" s="7"/>
      <c r="D1337" s="7"/>
      <c r="E1337" s="7"/>
      <c r="F1337" s="7"/>
      <c r="G1337" s="7"/>
      <c r="H1337" s="7"/>
      <c r="I1337" s="7"/>
      <c r="J1337" s="7"/>
      <c r="K1337" s="7"/>
      <c r="L1337" s="7"/>
      <c r="M1337" s="7"/>
      <c r="N1337" s="7"/>
      <c r="O1337" s="7"/>
      <c r="P1337" s="7"/>
    </row>
    <row r="1338" spans="1:16" x14ac:dyDescent="0.2">
      <c r="A1338" s="7" t="s">
        <v>110</v>
      </c>
      <c r="B1338" s="7"/>
      <c r="C1338" s="7"/>
      <c r="D1338" s="7"/>
      <c r="E1338" s="7"/>
      <c r="F1338" s="7"/>
      <c r="G1338" s="7"/>
      <c r="H1338" s="7"/>
      <c r="I1338" s="7"/>
      <c r="J1338" s="7"/>
      <c r="K1338" s="7"/>
      <c r="L1338" s="7"/>
      <c r="M1338" s="7"/>
      <c r="N1338" s="7"/>
      <c r="O1338" s="7"/>
      <c r="P1338" s="7"/>
    </row>
    <row r="1339" spans="1:16" x14ac:dyDescent="0.2">
      <c r="A1339" s="7" t="s">
        <v>111</v>
      </c>
      <c r="B1339" s="7"/>
      <c r="C1339" s="7"/>
      <c r="D1339" s="7"/>
      <c r="E1339" s="7"/>
      <c r="F1339" s="7"/>
      <c r="G1339" s="7"/>
      <c r="H1339" s="7"/>
      <c r="I1339" s="7"/>
      <c r="J1339" s="7"/>
      <c r="K1339" s="7"/>
      <c r="L1339" s="7"/>
      <c r="M1339" s="7"/>
      <c r="N1339" s="7"/>
      <c r="O1339" s="7"/>
      <c r="P1339" s="7"/>
    </row>
    <row r="1340" spans="1:16" x14ac:dyDescent="0.2">
      <c r="A1340" s="7" t="s">
        <v>112</v>
      </c>
      <c r="B1340" s="7"/>
      <c r="C1340" s="7"/>
      <c r="D1340" s="7"/>
      <c r="E1340" s="7"/>
      <c r="F1340" s="7"/>
      <c r="G1340" s="7"/>
      <c r="H1340" s="7"/>
      <c r="I1340" s="7"/>
      <c r="J1340" s="7"/>
      <c r="K1340" s="7"/>
      <c r="L1340" s="7"/>
      <c r="M1340" s="7"/>
      <c r="N1340" s="7"/>
      <c r="O1340" s="7"/>
      <c r="P1340" s="7"/>
    </row>
    <row r="1341" spans="1:16" x14ac:dyDescent="0.2">
      <c r="A1341" s="7" t="s">
        <v>113</v>
      </c>
      <c r="B1341" s="7"/>
      <c r="C1341" s="7"/>
      <c r="D1341" s="7"/>
      <c r="E1341" s="7"/>
      <c r="F1341" s="7"/>
      <c r="G1341" s="7"/>
      <c r="H1341" s="7"/>
      <c r="I1341" s="7"/>
      <c r="J1341" s="7"/>
      <c r="K1341" s="7"/>
      <c r="L1341" s="7"/>
      <c r="M1341" s="7"/>
      <c r="N1341" s="7"/>
      <c r="O1341" s="7"/>
      <c r="P1341" s="7"/>
    </row>
    <row r="1342" spans="1:16" x14ac:dyDescent="0.2">
      <c r="A1342" s="7" t="s">
        <v>114</v>
      </c>
      <c r="B1342" s="7"/>
      <c r="C1342" s="7"/>
      <c r="D1342" s="7"/>
      <c r="E1342" s="7"/>
      <c r="F1342" s="7"/>
      <c r="G1342" s="7"/>
      <c r="H1342" s="7"/>
      <c r="I1342" s="7"/>
      <c r="J1342" s="7"/>
      <c r="K1342" s="7"/>
      <c r="L1342" s="7"/>
      <c r="M1342" s="7"/>
      <c r="N1342" s="7"/>
      <c r="O1342" s="7"/>
      <c r="P1342" s="7"/>
    </row>
    <row r="1344" spans="1:16" ht="21.75" x14ac:dyDescent="0.2">
      <c r="A1344" s="41"/>
      <c r="B1344" s="41"/>
      <c r="C1344" s="41"/>
      <c r="D1344" s="41"/>
      <c r="E1344" s="41"/>
      <c r="F1344" s="41"/>
      <c r="G1344" s="41"/>
      <c r="H1344" s="41"/>
      <c r="I1344" s="41"/>
      <c r="J1344" s="41"/>
      <c r="K1344" s="41"/>
      <c r="L1344" s="37"/>
      <c r="M1344" s="37"/>
      <c r="N1344" s="16" t="s">
        <v>444</v>
      </c>
      <c r="O1344" s="250" t="s">
        <v>866</v>
      </c>
    </row>
    <row r="1345" spans="1:16" ht="18" x14ac:dyDescent="0.25">
      <c r="A1345" s="40"/>
      <c r="B1345" s="40"/>
      <c r="C1345" s="40"/>
      <c r="D1345" s="40"/>
      <c r="E1345" s="40"/>
      <c r="F1345" s="40"/>
      <c r="G1345" s="40"/>
      <c r="H1345" s="40"/>
      <c r="I1345" s="40"/>
      <c r="J1345" s="40"/>
      <c r="K1345" s="40"/>
      <c r="L1345" s="37"/>
      <c r="M1345" s="37"/>
      <c r="N1345" s="16" t="s">
        <v>445</v>
      </c>
      <c r="O1345" s="1001"/>
    </row>
    <row r="1346" spans="1:16" x14ac:dyDescent="0.2">
      <c r="A1346" s="1626"/>
      <c r="B1346" s="1626"/>
      <c r="C1346" s="1626"/>
      <c r="D1346" s="1626"/>
      <c r="E1346" s="1626"/>
      <c r="F1346" s="1626"/>
      <c r="G1346" s="1626"/>
      <c r="H1346" s="1626"/>
      <c r="I1346" s="1626"/>
      <c r="J1346" s="1626"/>
      <c r="K1346" s="1626"/>
      <c r="L1346" s="37"/>
      <c r="M1346" s="37"/>
      <c r="N1346" s="16" t="s">
        <v>446</v>
      </c>
      <c r="O1346" s="1001"/>
    </row>
    <row r="1347" spans="1:16" ht="18" x14ac:dyDescent="0.25">
      <c r="A1347" s="40"/>
      <c r="B1347" s="40"/>
      <c r="C1347" s="40"/>
      <c r="D1347" s="40"/>
      <c r="E1347" s="40"/>
      <c r="F1347" s="40"/>
      <c r="G1347" s="40"/>
      <c r="H1347" s="40"/>
      <c r="I1347" s="38"/>
      <c r="J1347" s="38"/>
      <c r="K1347" s="38"/>
      <c r="L1347" s="37"/>
      <c r="M1347" s="37"/>
      <c r="N1347" s="16" t="s">
        <v>447</v>
      </c>
      <c r="O1347" s="1001"/>
    </row>
    <row r="1348" spans="1:16" ht="15.75" x14ac:dyDescent="0.25">
      <c r="A1348" s="37"/>
      <c r="B1348" s="37"/>
      <c r="C1348" s="39"/>
      <c r="D1348" s="39"/>
      <c r="E1348" s="39"/>
      <c r="F1348" s="37"/>
      <c r="G1348" s="37"/>
      <c r="H1348" s="37"/>
      <c r="I1348" s="37"/>
      <c r="J1348" s="37"/>
      <c r="K1348" s="37"/>
      <c r="L1348" s="37"/>
      <c r="M1348" s="37"/>
      <c r="N1348" s="16" t="s">
        <v>448</v>
      </c>
      <c r="O1348" s="1002" t="s">
        <v>1161</v>
      </c>
    </row>
    <row r="1349" spans="1:16" x14ac:dyDescent="0.2">
      <c r="A1349" s="37"/>
      <c r="B1349" s="37"/>
      <c r="C1349" s="37"/>
      <c r="D1349" s="37"/>
      <c r="E1349" s="37"/>
      <c r="F1349" s="37"/>
      <c r="G1349" s="37"/>
      <c r="H1349" s="37"/>
      <c r="I1349" s="37"/>
      <c r="J1349" s="37"/>
      <c r="K1349" s="37"/>
      <c r="L1349" s="37"/>
      <c r="M1349" s="37"/>
      <c r="N1349" s="16"/>
      <c r="O1349" s="250"/>
    </row>
    <row r="1350" spans="1:16" x14ac:dyDescent="0.2">
      <c r="A1350" s="37"/>
      <c r="B1350" s="37"/>
      <c r="C1350" s="37"/>
      <c r="D1350" s="37"/>
      <c r="E1350" s="37"/>
      <c r="F1350" s="37"/>
      <c r="G1350" s="37"/>
      <c r="H1350" s="37"/>
      <c r="I1350" s="37"/>
      <c r="J1350" s="37"/>
      <c r="K1350" s="37"/>
      <c r="L1350" s="37"/>
      <c r="M1350" s="37"/>
      <c r="N1350" s="16" t="s">
        <v>449</v>
      </c>
      <c r="O1350" s="1002"/>
    </row>
    <row r="1351" spans="1:16" x14ac:dyDescent="0.2">
      <c r="A1351" s="37"/>
      <c r="B1351" s="37"/>
      <c r="C1351" s="37"/>
      <c r="D1351" s="37"/>
      <c r="E1351" s="37"/>
      <c r="F1351" s="37"/>
      <c r="G1351" s="37"/>
      <c r="H1351" s="37"/>
      <c r="I1351" s="37"/>
      <c r="J1351" s="37"/>
      <c r="K1351" s="37"/>
      <c r="L1351" s="37"/>
      <c r="M1351" s="37"/>
      <c r="N1351" s="7"/>
    </row>
    <row r="1352" spans="1:16" x14ac:dyDescent="0.2">
      <c r="A1352" s="7"/>
      <c r="B1352" s="7"/>
      <c r="C1352" s="7"/>
      <c r="D1352" s="7"/>
      <c r="E1352" s="7"/>
      <c r="F1352" s="7"/>
      <c r="G1352" s="7"/>
      <c r="H1352" s="7"/>
      <c r="I1352" s="7"/>
      <c r="J1352" s="7"/>
      <c r="K1352" s="7"/>
    </row>
    <row r="1353" spans="1:16" x14ac:dyDescent="0.2">
      <c r="A1353" s="7"/>
      <c r="B1353" s="1626" t="s">
        <v>695</v>
      </c>
      <c r="C1353" s="1626"/>
      <c r="D1353" s="1626"/>
      <c r="E1353" s="1626"/>
      <c r="F1353" s="1626"/>
      <c r="G1353" s="1626"/>
      <c r="H1353" s="1626"/>
      <c r="I1353" s="1626"/>
      <c r="J1353" s="1626"/>
      <c r="K1353" s="1626"/>
      <c r="L1353" s="1626"/>
      <c r="M1353" s="1626"/>
      <c r="N1353" s="1626"/>
      <c r="O1353" s="1626"/>
    </row>
    <row r="1354" spans="1:16" x14ac:dyDescent="0.2">
      <c r="A1354" s="7"/>
      <c r="B1354" s="1626" t="s">
        <v>63</v>
      </c>
      <c r="C1354" s="1626"/>
      <c r="D1354" s="1626"/>
      <c r="E1354" s="1626"/>
      <c r="F1354" s="1626"/>
      <c r="G1354" s="1626"/>
      <c r="H1354" s="1626"/>
      <c r="I1354" s="1626"/>
      <c r="J1354" s="1626"/>
      <c r="K1354" s="1626"/>
      <c r="L1354" s="1626"/>
      <c r="M1354" s="1626"/>
      <c r="N1354" s="1626"/>
      <c r="O1354" s="1626"/>
    </row>
    <row r="1355" spans="1:16" x14ac:dyDescent="0.2">
      <c r="A1355" s="7"/>
      <c r="B1355" s="7"/>
      <c r="C1355" s="7"/>
      <c r="D1355" s="7"/>
      <c r="E1355" s="7"/>
      <c r="F1355" s="7"/>
      <c r="G1355" s="7"/>
      <c r="H1355" s="7"/>
      <c r="I1355" s="7"/>
      <c r="J1355" s="7"/>
      <c r="K1355" s="7"/>
    </row>
    <row r="1356" spans="1:16" x14ac:dyDescent="0.2">
      <c r="A1356" s="7"/>
      <c r="B1356" s="7"/>
      <c r="C1356" s="7"/>
      <c r="D1356" s="7"/>
      <c r="E1356" s="7"/>
      <c r="F1356" s="7"/>
      <c r="G1356" s="7"/>
      <c r="H1356" s="7"/>
      <c r="I1356" s="7"/>
      <c r="J1356" s="7"/>
      <c r="K1356" s="7"/>
    </row>
    <row r="1357" spans="1:16" x14ac:dyDescent="0.2">
      <c r="A1357" s="7"/>
      <c r="B1357" s="43" t="s">
        <v>40</v>
      </c>
      <c r="C1357" s="7"/>
      <c r="D1357" s="1626" t="s">
        <v>84</v>
      </c>
      <c r="E1357" s="1626"/>
      <c r="F1357" s="1626"/>
      <c r="G1357" s="1626"/>
      <c r="H1357" s="1626"/>
      <c r="I1357" s="1626"/>
      <c r="J1357" s="1626"/>
      <c r="K1357" s="1626"/>
      <c r="L1357" s="1626"/>
      <c r="M1357" s="1626"/>
      <c r="N1357" s="1626"/>
      <c r="O1357" s="1626"/>
      <c r="P1357" s="7"/>
    </row>
    <row r="1358" spans="1:16" ht="15.75" x14ac:dyDescent="0.25">
      <c r="A1358" s="7"/>
      <c r="B1358" s="1003"/>
      <c r="C1358" s="7"/>
      <c r="D1358" s="42"/>
      <c r="E1358" s="42"/>
      <c r="F1358" s="42"/>
      <c r="G1358" s="42"/>
      <c r="H1358" s="42"/>
      <c r="I1358" s="42"/>
      <c r="J1358" s="42"/>
      <c r="K1358" s="42"/>
      <c r="L1358" s="42"/>
      <c r="M1358" s="42"/>
      <c r="N1358" s="42"/>
      <c r="O1358" s="42"/>
      <c r="P1358" s="7"/>
    </row>
    <row r="1359" spans="1:16" x14ac:dyDescent="0.2">
      <c r="A1359" s="7"/>
      <c r="B1359" s="647"/>
      <c r="C1359" s="7"/>
      <c r="D1359" s="8" t="s">
        <v>17</v>
      </c>
      <c r="E1359" s="8"/>
      <c r="F1359" s="1004">
        <v>11523872</v>
      </c>
      <c r="G1359" s="8" t="s">
        <v>18</v>
      </c>
      <c r="H1359" s="7"/>
      <c r="I1359" s="7"/>
      <c r="J1359" s="7"/>
      <c r="K1359" s="7"/>
      <c r="L1359" s="7"/>
      <c r="M1359" s="7"/>
      <c r="N1359" s="7"/>
      <c r="O1359" s="7"/>
      <c r="P1359" s="7"/>
    </row>
    <row r="1360" spans="1:16" x14ac:dyDescent="0.2">
      <c r="A1360" s="7"/>
      <c r="B1360" s="647"/>
      <c r="C1360" s="7"/>
      <c r="D1360" s="7"/>
      <c r="E1360" s="7"/>
      <c r="F1360" s="7"/>
      <c r="G1360" s="7"/>
      <c r="H1360" s="7"/>
      <c r="I1360" s="7"/>
      <c r="J1360" s="7"/>
      <c r="K1360" s="7"/>
      <c r="L1360" s="7"/>
      <c r="M1360" s="7"/>
      <c r="N1360" s="7"/>
      <c r="O1360" s="7"/>
      <c r="P1360" s="7"/>
    </row>
    <row r="1361" spans="1:16" x14ac:dyDescent="0.2">
      <c r="A1361" s="7"/>
      <c r="B1361" s="647"/>
      <c r="C1361" s="7"/>
      <c r="D1361" s="19"/>
      <c r="E1361" s="19"/>
      <c r="F1361" s="1626" t="s">
        <v>19</v>
      </c>
      <c r="G1361" s="1626"/>
      <c r="H1361" s="1626"/>
      <c r="I1361" s="7"/>
      <c r="J1361" s="1626" t="s">
        <v>20</v>
      </c>
      <c r="K1361" s="1626"/>
      <c r="L1361" s="1626"/>
      <c r="M1361" s="7"/>
      <c r="N1361" s="1626" t="s">
        <v>21</v>
      </c>
      <c r="O1361" s="1626"/>
      <c r="P1361" s="7"/>
    </row>
    <row r="1362" spans="1:16" ht="12.75" customHeight="1" x14ac:dyDescent="0.2">
      <c r="A1362" s="7"/>
      <c r="B1362" s="647"/>
      <c r="C1362" s="7"/>
      <c r="D1362" s="1626" t="s">
        <v>22</v>
      </c>
      <c r="E1362" s="20"/>
      <c r="F1362" s="21" t="s">
        <v>23</v>
      </c>
      <c r="G1362" s="21" t="s">
        <v>24</v>
      </c>
      <c r="H1362" s="22" t="s">
        <v>25</v>
      </c>
      <c r="I1362" s="7"/>
      <c r="J1362" s="21" t="s">
        <v>23</v>
      </c>
      <c r="K1362" s="23" t="s">
        <v>24</v>
      </c>
      <c r="L1362" s="22" t="s">
        <v>25</v>
      </c>
      <c r="M1362" s="7"/>
      <c r="N1362" s="1626" t="s">
        <v>26</v>
      </c>
      <c r="O1362" s="1626" t="s">
        <v>27</v>
      </c>
      <c r="P1362" s="7"/>
    </row>
    <row r="1363" spans="1:16" x14ac:dyDescent="0.2">
      <c r="A1363" s="7"/>
      <c r="B1363" s="647"/>
      <c r="C1363" s="7"/>
      <c r="D1363" s="1626"/>
      <c r="E1363" s="20"/>
      <c r="F1363" s="24" t="s">
        <v>452</v>
      </c>
      <c r="G1363" s="24"/>
      <c r="H1363" s="25" t="s">
        <v>452</v>
      </c>
      <c r="I1363" s="7"/>
      <c r="J1363" s="24" t="s">
        <v>452</v>
      </c>
      <c r="K1363" s="25"/>
      <c r="L1363" s="25" t="s">
        <v>452</v>
      </c>
      <c r="M1363" s="7"/>
      <c r="N1363" s="1626"/>
      <c r="O1363" s="1626"/>
      <c r="P1363" s="7"/>
    </row>
    <row r="1364" spans="1:16" x14ac:dyDescent="0.2">
      <c r="A1364" s="7"/>
      <c r="B1364" s="26" t="s">
        <v>28</v>
      </c>
      <c r="C1364" s="26"/>
      <c r="D1364" s="1005" t="s">
        <v>1130</v>
      </c>
      <c r="E1364" s="27"/>
      <c r="F1364" s="1006">
        <v>24427.599999999999</v>
      </c>
      <c r="G1364" s="32">
        <v>1</v>
      </c>
      <c r="H1364" s="1007">
        <f>G1364*F1364</f>
        <v>24427.599999999999</v>
      </c>
      <c r="I1364" s="30"/>
      <c r="J1364" s="1008">
        <v>24427.599999999999</v>
      </c>
      <c r="K1364" s="33">
        <v>1</v>
      </c>
      <c r="L1364" s="1007">
        <f>K1364*J1364</f>
        <v>24427.599999999999</v>
      </c>
      <c r="M1364" s="30"/>
      <c r="N1364" s="34">
        <f>L1364-H1364</f>
        <v>0</v>
      </c>
      <c r="O1364" s="202">
        <f>IF((H1364)=0,"",(N1364/H1364))</f>
        <v>0</v>
      </c>
      <c r="P1364" s="7"/>
    </row>
    <row r="1365" spans="1:16" x14ac:dyDescent="0.2">
      <c r="A1365" s="7"/>
      <c r="B1365" s="26" t="s">
        <v>29</v>
      </c>
      <c r="C1365" s="26"/>
      <c r="D1365" s="1005" t="s">
        <v>1130</v>
      </c>
      <c r="E1365" s="27"/>
      <c r="F1365" s="1006">
        <v>0</v>
      </c>
      <c r="G1365" s="32">
        <v>1</v>
      </c>
      <c r="H1365" s="1007">
        <f t="shared" ref="H1365:H1373" si="119">G1365*F1365</f>
        <v>0</v>
      </c>
      <c r="I1365" s="30"/>
      <c r="J1365" s="1008">
        <v>0</v>
      </c>
      <c r="K1365" s="33">
        <v>1</v>
      </c>
      <c r="L1365" s="1007">
        <f>K1365*J1365</f>
        <v>0</v>
      </c>
      <c r="M1365" s="30"/>
      <c r="N1365" s="34">
        <f>L1365-H1365</f>
        <v>0</v>
      </c>
      <c r="O1365" s="202" t="str">
        <f>IF((H1365)=0,"",(N1365/H1365))</f>
        <v/>
      </c>
      <c r="P1365" s="7"/>
    </row>
    <row r="1366" spans="1:16" x14ac:dyDescent="0.2">
      <c r="A1366" s="7"/>
      <c r="B1366" s="1009" t="s">
        <v>1131</v>
      </c>
      <c r="C1366" s="26"/>
      <c r="D1366" s="1005" t="s">
        <v>80</v>
      </c>
      <c r="E1366" s="27"/>
      <c r="F1366" s="1006">
        <v>-4.7E-2</v>
      </c>
      <c r="G1366" s="32">
        <v>16869</v>
      </c>
      <c r="H1366" s="1007">
        <f t="shared" si="119"/>
        <v>-792.84299999999996</v>
      </c>
      <c r="I1366" s="30"/>
      <c r="J1366" s="1008">
        <v>0</v>
      </c>
      <c r="K1366" s="33">
        <v>16869</v>
      </c>
      <c r="L1366" s="1007">
        <f t="shared" ref="L1366:L1373" si="120">K1366*J1366</f>
        <v>0</v>
      </c>
      <c r="M1366" s="30"/>
      <c r="N1366" s="34">
        <f t="shared" ref="N1366:N1404" si="121">L1366-H1366</f>
        <v>792.84299999999996</v>
      </c>
      <c r="O1366" s="202">
        <f t="shared" ref="O1366:O1374" si="122">IF((H1366)=0,"",(N1366/H1366))</f>
        <v>-1</v>
      </c>
      <c r="P1366" s="7"/>
    </row>
    <row r="1367" spans="1:16" x14ac:dyDescent="0.2">
      <c r="A1367" s="7"/>
      <c r="B1367" s="1009" t="s">
        <v>36</v>
      </c>
      <c r="C1367" s="26"/>
      <c r="D1367" s="1005" t="s">
        <v>1130</v>
      </c>
      <c r="E1367" s="27"/>
      <c r="F1367" s="1006">
        <v>0.25</v>
      </c>
      <c r="G1367" s="32">
        <v>1</v>
      </c>
      <c r="H1367" s="1007">
        <f t="shared" si="119"/>
        <v>0.25</v>
      </c>
      <c r="I1367" s="30"/>
      <c r="J1367" s="1008">
        <v>0.25</v>
      </c>
      <c r="K1367" s="33">
        <v>1</v>
      </c>
      <c r="L1367" s="1007">
        <f t="shared" si="120"/>
        <v>0.25</v>
      </c>
      <c r="M1367" s="30"/>
      <c r="N1367" s="34">
        <f t="shared" si="121"/>
        <v>0</v>
      </c>
      <c r="O1367" s="202">
        <f t="shared" si="122"/>
        <v>0</v>
      </c>
      <c r="P1367" s="7"/>
    </row>
    <row r="1368" spans="1:16" x14ac:dyDescent="0.2">
      <c r="A1368" s="7"/>
      <c r="B1368" s="26" t="s">
        <v>30</v>
      </c>
      <c r="C1368" s="26"/>
      <c r="D1368" s="1005" t="s">
        <v>80</v>
      </c>
      <c r="E1368" s="27"/>
      <c r="F1368" s="1006">
        <v>1.4610000000000001</v>
      </c>
      <c r="G1368" s="32">
        <v>16869</v>
      </c>
      <c r="H1368" s="1007">
        <f t="shared" si="119"/>
        <v>24645.609</v>
      </c>
      <c r="I1368" s="30"/>
      <c r="J1368" s="1008">
        <v>2.0411999999999999</v>
      </c>
      <c r="K1368" s="32">
        <v>16869</v>
      </c>
      <c r="L1368" s="1007">
        <f t="shared" si="120"/>
        <v>34433.002799999995</v>
      </c>
      <c r="M1368" s="30"/>
      <c r="N1368" s="34">
        <f t="shared" si="121"/>
        <v>9787.3937999999944</v>
      </c>
      <c r="O1368" s="202">
        <f t="shared" si="122"/>
        <v>0.39712525667351106</v>
      </c>
      <c r="P1368" s="7"/>
    </row>
    <row r="1369" spans="1:16" x14ac:dyDescent="0.2">
      <c r="A1369" s="7"/>
      <c r="B1369" s="26" t="s">
        <v>31</v>
      </c>
      <c r="C1369" s="26"/>
      <c r="D1369" s="1005"/>
      <c r="E1369" s="27"/>
      <c r="F1369" s="1006"/>
      <c r="G1369" s="32"/>
      <c r="H1369" s="1007">
        <f t="shared" si="119"/>
        <v>0</v>
      </c>
      <c r="I1369" s="30"/>
      <c r="J1369" s="1008"/>
      <c r="K1369" s="32"/>
      <c r="L1369" s="1007">
        <f t="shared" si="120"/>
        <v>0</v>
      </c>
      <c r="M1369" s="30"/>
      <c r="N1369" s="34">
        <f t="shared" si="121"/>
        <v>0</v>
      </c>
      <c r="O1369" s="202" t="str">
        <f t="shared" si="122"/>
        <v/>
      </c>
      <c r="P1369" s="7"/>
    </row>
    <row r="1370" spans="1:16" x14ac:dyDescent="0.2">
      <c r="A1370" s="7"/>
      <c r="B1370" s="26" t="s">
        <v>1132</v>
      </c>
      <c r="C1370" s="26"/>
      <c r="D1370" s="1005" t="s">
        <v>80</v>
      </c>
      <c r="E1370" s="27"/>
      <c r="F1370" s="1006">
        <v>0</v>
      </c>
      <c r="G1370" s="32">
        <v>16869</v>
      </c>
      <c r="H1370" s="1007">
        <f t="shared" si="119"/>
        <v>0</v>
      </c>
      <c r="I1370" s="30"/>
      <c r="J1370" s="1008">
        <v>0</v>
      </c>
      <c r="K1370" s="32">
        <v>16869</v>
      </c>
      <c r="L1370" s="1007">
        <f t="shared" si="120"/>
        <v>0</v>
      </c>
      <c r="M1370" s="30"/>
      <c r="N1370" s="34">
        <f t="shared" si="121"/>
        <v>0</v>
      </c>
      <c r="O1370" s="202" t="str">
        <f t="shared" si="122"/>
        <v/>
      </c>
      <c r="P1370" s="7"/>
    </row>
    <row r="1371" spans="1:16" x14ac:dyDescent="0.2">
      <c r="A1371" s="7"/>
      <c r="B1371" s="26" t="s">
        <v>1133</v>
      </c>
      <c r="C1371" s="26"/>
      <c r="D1371" s="1005" t="s">
        <v>80</v>
      </c>
      <c r="E1371" s="27"/>
      <c r="F1371" s="1006">
        <v>0</v>
      </c>
      <c r="G1371" s="32">
        <v>16869</v>
      </c>
      <c r="H1371" s="1007">
        <f t="shared" si="119"/>
        <v>0</v>
      </c>
      <c r="I1371" s="30"/>
      <c r="J1371" s="1008">
        <v>0</v>
      </c>
      <c r="K1371" s="32">
        <v>16869</v>
      </c>
      <c r="L1371" s="1007">
        <f t="shared" si="120"/>
        <v>0</v>
      </c>
      <c r="M1371" s="30"/>
      <c r="N1371" s="34">
        <f t="shared" si="121"/>
        <v>0</v>
      </c>
      <c r="O1371" s="202" t="str">
        <f t="shared" si="122"/>
        <v/>
      </c>
      <c r="P1371" s="7"/>
    </row>
    <row r="1372" spans="1:16" x14ac:dyDescent="0.2">
      <c r="A1372" s="7"/>
      <c r="B1372" s="26" t="s">
        <v>1134</v>
      </c>
      <c r="C1372" s="26"/>
      <c r="D1372" s="1005" t="s">
        <v>80</v>
      </c>
      <c r="E1372" s="27"/>
      <c r="F1372" s="1006">
        <v>0</v>
      </c>
      <c r="G1372" s="32">
        <v>16869</v>
      </c>
      <c r="H1372" s="1007">
        <f t="shared" si="119"/>
        <v>0</v>
      </c>
      <c r="I1372" s="30"/>
      <c r="J1372" s="1008">
        <v>0</v>
      </c>
      <c r="K1372" s="32">
        <v>16869</v>
      </c>
      <c r="L1372" s="1007">
        <f t="shared" si="120"/>
        <v>0</v>
      </c>
      <c r="M1372" s="30"/>
      <c r="N1372" s="34">
        <f t="shared" si="121"/>
        <v>0</v>
      </c>
      <c r="O1372" s="202" t="str">
        <f t="shared" si="122"/>
        <v/>
      </c>
      <c r="P1372" s="7"/>
    </row>
    <row r="1373" spans="1:16" x14ac:dyDescent="0.2">
      <c r="A1373" s="7"/>
      <c r="B1373" s="1010" t="s">
        <v>1135</v>
      </c>
      <c r="C1373" s="26"/>
      <c r="D1373" s="1005" t="s">
        <v>1130</v>
      </c>
      <c r="E1373" s="27"/>
      <c r="F1373" s="1006">
        <v>0</v>
      </c>
      <c r="G1373" s="32">
        <v>1</v>
      </c>
      <c r="H1373" s="1007">
        <f t="shared" si="119"/>
        <v>0</v>
      </c>
      <c r="I1373" s="30"/>
      <c r="J1373" s="1008">
        <v>0</v>
      </c>
      <c r="K1373" s="32">
        <v>1</v>
      </c>
      <c r="L1373" s="1007">
        <f t="shared" si="120"/>
        <v>0</v>
      </c>
      <c r="M1373" s="30"/>
      <c r="N1373" s="34">
        <f t="shared" si="121"/>
        <v>0</v>
      </c>
      <c r="O1373" s="202" t="str">
        <f t="shared" si="122"/>
        <v/>
      </c>
      <c r="P1373" s="7"/>
    </row>
    <row r="1374" spans="1:16" x14ac:dyDescent="0.2">
      <c r="A1374" s="29"/>
      <c r="B1374" s="1011" t="s">
        <v>698</v>
      </c>
      <c r="C1374" s="1012"/>
      <c r="D1374" s="1013"/>
      <c r="E1374" s="1012"/>
      <c r="F1374" s="1014"/>
      <c r="G1374" s="1015"/>
      <c r="H1374" s="1016">
        <f>SUM(H1364:H1373)</f>
        <v>48280.615999999995</v>
      </c>
      <c r="I1374" s="1017"/>
      <c r="J1374" s="1018"/>
      <c r="K1374" s="1019"/>
      <c r="L1374" s="1016">
        <f>SUM(L1364:L1373)</f>
        <v>58860.852799999993</v>
      </c>
      <c r="M1374" s="1017"/>
      <c r="N1374" s="1020">
        <f t="shared" si="121"/>
        <v>10580.236799999999</v>
      </c>
      <c r="O1374" s="1021">
        <f t="shared" si="122"/>
        <v>0.21914046829891318</v>
      </c>
      <c r="P1374" s="29"/>
    </row>
    <row r="1375" spans="1:16" ht="38.25" x14ac:dyDescent="0.2">
      <c r="A1375" s="7"/>
      <c r="B1375" s="1022" t="s">
        <v>1136</v>
      </c>
      <c r="C1375" s="26"/>
      <c r="D1375" s="1005" t="s">
        <v>80</v>
      </c>
      <c r="E1375" s="27"/>
      <c r="F1375" s="1006">
        <v>0.65790000000000004</v>
      </c>
      <c r="G1375" s="32">
        <v>16869</v>
      </c>
      <c r="H1375" s="1007">
        <f>G1375*F1375</f>
        <v>11098.115100000001</v>
      </c>
      <c r="I1375" s="30"/>
      <c r="J1375" s="1008">
        <v>0</v>
      </c>
      <c r="K1375" s="32">
        <v>16869</v>
      </c>
      <c r="L1375" s="1007">
        <f>K1375*J1375</f>
        <v>0</v>
      </c>
      <c r="M1375" s="30"/>
      <c r="N1375" s="34">
        <f t="shared" si="121"/>
        <v>-11098.115100000001</v>
      </c>
      <c r="O1375" s="202">
        <f>IF((H1375)=0,"",(N1375/H1375))</f>
        <v>-1</v>
      </c>
      <c r="P1375" s="7"/>
    </row>
    <row r="1376" spans="1:16" ht="38.25" x14ac:dyDescent="0.2">
      <c r="A1376" s="7"/>
      <c r="B1376" s="1022" t="s">
        <v>1137</v>
      </c>
      <c r="C1376" s="26"/>
      <c r="D1376" s="1005" t="s">
        <v>80</v>
      </c>
      <c r="E1376" s="27"/>
      <c r="F1376" s="1006">
        <v>-0.7177</v>
      </c>
      <c r="G1376" s="32">
        <v>16869</v>
      </c>
      <c r="H1376" s="1007">
        <f>G1376*F1376</f>
        <v>-12106.881300000001</v>
      </c>
      <c r="I1376" s="30"/>
      <c r="J1376" s="1008">
        <v>-0.7177</v>
      </c>
      <c r="K1376" s="32">
        <v>16869</v>
      </c>
      <c r="L1376" s="1007">
        <f>K1376*J1376</f>
        <v>-12106.881300000001</v>
      </c>
      <c r="M1376" s="30"/>
      <c r="N1376" s="34">
        <f t="shared" si="121"/>
        <v>0</v>
      </c>
      <c r="O1376" s="202">
        <f>IF((H1376)=0,"",(N1376/H1376))</f>
        <v>0</v>
      </c>
      <c r="P1376" s="7"/>
    </row>
    <row r="1377" spans="1:16" ht="51" x14ac:dyDescent="0.2">
      <c r="A1377" s="7"/>
      <c r="B1377" s="1022" t="s">
        <v>1138</v>
      </c>
      <c r="C1377" s="26"/>
      <c r="D1377" s="1005" t="s">
        <v>80</v>
      </c>
      <c r="E1377" s="27"/>
      <c r="F1377" s="1006">
        <v>0</v>
      </c>
      <c r="G1377" s="32">
        <v>16869</v>
      </c>
      <c r="H1377" s="1007">
        <f>G1377*F1377</f>
        <v>0</v>
      </c>
      <c r="I1377" s="30"/>
      <c r="J1377" s="1008">
        <v>-0.83279999999999998</v>
      </c>
      <c r="K1377" s="32">
        <v>16869</v>
      </c>
      <c r="L1377" s="1007">
        <f>K1377*J1377</f>
        <v>-14048.503199999999</v>
      </c>
      <c r="M1377" s="30"/>
      <c r="N1377" s="34">
        <f t="shared" si="121"/>
        <v>-14048.503199999999</v>
      </c>
      <c r="O1377" s="202" t="str">
        <f>IF((H1377)=0,"",(N1377/H1377))</f>
        <v/>
      </c>
      <c r="P1377" s="7"/>
    </row>
    <row r="1378" spans="1:16" x14ac:dyDescent="0.2">
      <c r="A1378" s="7"/>
      <c r="B1378" s="564" t="s">
        <v>808</v>
      </c>
      <c r="C1378" s="26"/>
      <c r="D1378" s="1005" t="s">
        <v>80</v>
      </c>
      <c r="E1378" s="27"/>
      <c r="F1378" s="1006">
        <v>9.0499999999999997E-2</v>
      </c>
      <c r="G1378" s="32">
        <v>16869</v>
      </c>
      <c r="H1378" s="1007">
        <f>G1378*F1378</f>
        <v>1526.6444999999999</v>
      </c>
      <c r="I1378" s="30"/>
      <c r="J1378" s="1008">
        <v>9.3700000000000006E-2</v>
      </c>
      <c r="K1378" s="32">
        <v>16869</v>
      </c>
      <c r="L1378" s="1007">
        <f>K1378*J1378</f>
        <v>1580.6253000000002</v>
      </c>
      <c r="M1378" s="30"/>
      <c r="N1378" s="34">
        <f t="shared" si="121"/>
        <v>53.980800000000272</v>
      </c>
      <c r="O1378" s="202">
        <f>IF((H1378)=0,"",(N1378/H1378))</f>
        <v>3.5359116022099631E-2</v>
      </c>
      <c r="P1378" s="7"/>
    </row>
    <row r="1379" spans="1:16" x14ac:dyDescent="0.2">
      <c r="A1379" s="7"/>
      <c r="B1379" s="564" t="s">
        <v>701</v>
      </c>
      <c r="C1379" s="26"/>
      <c r="D1379" s="1005"/>
      <c r="E1379" s="27"/>
      <c r="F1379" s="1023"/>
      <c r="G1379" s="1024"/>
      <c r="H1379" s="1025"/>
      <c r="I1379" s="30"/>
      <c r="J1379" s="1008"/>
      <c r="K1379" s="32">
        <f>F1359</f>
        <v>11523872</v>
      </c>
      <c r="L1379" s="1007">
        <f>K1379*J1379</f>
        <v>0</v>
      </c>
      <c r="M1379" s="30"/>
      <c r="N1379" s="34">
        <f t="shared" si="121"/>
        <v>0</v>
      </c>
      <c r="O1379" s="202"/>
      <c r="P1379" s="7"/>
    </row>
    <row r="1380" spans="1:16" ht="25.5" x14ac:dyDescent="0.2">
      <c r="A1380" s="7"/>
      <c r="B1380" s="1026" t="s">
        <v>699</v>
      </c>
      <c r="C1380" s="1027"/>
      <c r="D1380" s="1027"/>
      <c r="E1380" s="1027"/>
      <c r="F1380" s="1028"/>
      <c r="G1380" s="1029"/>
      <c r="H1380" s="1030">
        <f>SUM(H1374:H1379)</f>
        <v>48798.494299999998</v>
      </c>
      <c r="I1380" s="1017"/>
      <c r="J1380" s="1029"/>
      <c r="K1380" s="1031"/>
      <c r="L1380" s="1030">
        <f>SUM(L1374:L1379)</f>
        <v>34286.093599999993</v>
      </c>
      <c r="M1380" s="1017"/>
      <c r="N1380" s="1020">
        <f t="shared" si="121"/>
        <v>-14512.400700000006</v>
      </c>
      <c r="O1380" s="1021">
        <f t="shared" ref="O1380:O1404" si="123">IF((H1380)=0,"",(N1380/H1380))</f>
        <v>-0.2973944362049713</v>
      </c>
      <c r="P1380" s="7"/>
    </row>
    <row r="1381" spans="1:16" x14ac:dyDescent="0.2">
      <c r="A1381" s="7"/>
      <c r="B1381" s="30" t="s">
        <v>32</v>
      </c>
      <c r="C1381" s="30"/>
      <c r="D1381" s="1032" t="s">
        <v>80</v>
      </c>
      <c r="E1381" s="31"/>
      <c r="F1381" s="1008">
        <v>3.0162</v>
      </c>
      <c r="G1381" s="667">
        <f>16869</f>
        <v>16869</v>
      </c>
      <c r="H1381" s="1007">
        <f>G1381*F1381</f>
        <v>50880.277800000003</v>
      </c>
      <c r="I1381" s="30"/>
      <c r="J1381" s="1008">
        <v>2.774</v>
      </c>
      <c r="K1381" s="668">
        <f>16869</f>
        <v>16869</v>
      </c>
      <c r="L1381" s="1007">
        <f>K1381*J1381</f>
        <v>46794.606</v>
      </c>
      <c r="M1381" s="30"/>
      <c r="N1381" s="34">
        <f t="shared" si="121"/>
        <v>-4085.6718000000037</v>
      </c>
      <c r="O1381" s="202">
        <f t="shared" si="123"/>
        <v>-8.0299714873019096E-2</v>
      </c>
      <c r="P1381" s="7"/>
    </row>
    <row r="1382" spans="1:16" ht="25.5" x14ac:dyDescent="0.2">
      <c r="A1382" s="7"/>
      <c r="B1382" s="35" t="s">
        <v>33</v>
      </c>
      <c r="C1382" s="30"/>
      <c r="D1382" s="1032" t="s">
        <v>80</v>
      </c>
      <c r="E1382" s="31"/>
      <c r="F1382" s="1008">
        <v>2.5070000000000001</v>
      </c>
      <c r="G1382" s="667">
        <f>G1381</f>
        <v>16869</v>
      </c>
      <c r="H1382" s="1007">
        <f>G1382*F1382</f>
        <v>42290.582999999999</v>
      </c>
      <c r="I1382" s="30"/>
      <c r="J1382" s="1008">
        <v>2.4148000000000001</v>
      </c>
      <c r="K1382" s="668">
        <f>K1381</f>
        <v>16869</v>
      </c>
      <c r="L1382" s="1007">
        <f>K1382*J1382</f>
        <v>40735.261200000001</v>
      </c>
      <c r="M1382" s="30"/>
      <c r="N1382" s="34">
        <f t="shared" si="121"/>
        <v>-1555.3217999999979</v>
      </c>
      <c r="O1382" s="202">
        <f t="shared" si="123"/>
        <v>-3.677702433187071E-2</v>
      </c>
      <c r="P1382" s="7"/>
    </row>
    <row r="1383" spans="1:16" ht="25.5" x14ac:dyDescent="0.2">
      <c r="A1383" s="7"/>
      <c r="B1383" s="1026" t="s">
        <v>700</v>
      </c>
      <c r="C1383" s="1012"/>
      <c r="D1383" s="1012"/>
      <c r="E1383" s="1012"/>
      <c r="F1383" s="1033"/>
      <c r="G1383" s="1029"/>
      <c r="H1383" s="1030">
        <f>SUM(H1380:H1382)</f>
        <v>141969.35509999999</v>
      </c>
      <c r="I1383" s="1034"/>
      <c r="J1383" s="1035"/>
      <c r="K1383" s="1036"/>
      <c r="L1383" s="1030">
        <f>SUM(L1380:L1382)</f>
        <v>121815.9608</v>
      </c>
      <c r="M1383" s="1034"/>
      <c r="N1383" s="1020">
        <f t="shared" si="121"/>
        <v>-20153.394299999985</v>
      </c>
      <c r="O1383" s="1021">
        <f t="shared" si="123"/>
        <v>-0.14195594736486894</v>
      </c>
      <c r="P1383" s="7"/>
    </row>
    <row r="1384" spans="1:16" ht="25.5" x14ac:dyDescent="0.2">
      <c r="A1384" s="7"/>
      <c r="B1384" s="28" t="s">
        <v>34</v>
      </c>
      <c r="C1384" s="26"/>
      <c r="D1384" s="1005" t="s">
        <v>79</v>
      </c>
      <c r="E1384" s="27"/>
      <c r="F1384" s="1037">
        <v>5.1999999999999998E-3</v>
      </c>
      <c r="G1384" s="667">
        <f>F1359*(1+F1407)</f>
        <v>11575729.423999999</v>
      </c>
      <c r="H1384" s="1038">
        <f t="shared" ref="H1384:H1392" si="124">G1384*F1384</f>
        <v>60193.793004799991</v>
      </c>
      <c r="I1384" s="30"/>
      <c r="J1384" s="1039">
        <v>5.1999999999999998E-3</v>
      </c>
      <c r="K1384" s="668">
        <f>F1359*(1+J1407)</f>
        <v>11603386.716799999</v>
      </c>
      <c r="L1384" s="1038">
        <f t="shared" ref="L1384:L1392" si="125">K1384*J1384</f>
        <v>60337.610927359987</v>
      </c>
      <c r="M1384" s="30"/>
      <c r="N1384" s="34">
        <f t="shared" si="121"/>
        <v>143.81792255999608</v>
      </c>
      <c r="O1384" s="565">
        <f t="shared" si="123"/>
        <v>2.3892483822796763E-3</v>
      </c>
      <c r="P1384" s="7"/>
    </row>
    <row r="1385" spans="1:16" ht="25.5" x14ac:dyDescent="0.2">
      <c r="A1385" s="7"/>
      <c r="B1385" s="28" t="s">
        <v>35</v>
      </c>
      <c r="C1385" s="26"/>
      <c r="D1385" s="1005" t="s">
        <v>79</v>
      </c>
      <c r="E1385" s="27"/>
      <c r="F1385" s="1037">
        <v>1.1000000000000001E-3</v>
      </c>
      <c r="G1385" s="667">
        <f>F1359*(1+F1407)</f>
        <v>11575729.423999999</v>
      </c>
      <c r="H1385" s="1038">
        <f t="shared" si="124"/>
        <v>12733.302366399999</v>
      </c>
      <c r="I1385" s="30"/>
      <c r="J1385" s="1039">
        <v>1.1000000000000001E-3</v>
      </c>
      <c r="K1385" s="668">
        <f>F1359*(1+J1407)</f>
        <v>11603386.716799999</v>
      </c>
      <c r="L1385" s="1038">
        <f t="shared" si="125"/>
        <v>12763.725388479999</v>
      </c>
      <c r="M1385" s="30"/>
      <c r="N1385" s="34">
        <f t="shared" si="121"/>
        <v>30.42302208000001</v>
      </c>
      <c r="O1385" s="565">
        <f t="shared" si="123"/>
        <v>2.3892483822797422E-3</v>
      </c>
      <c r="P1385" s="7"/>
    </row>
    <row r="1386" spans="1:16" x14ac:dyDescent="0.2">
      <c r="A1386" s="7"/>
      <c r="B1386" s="26" t="s">
        <v>36</v>
      </c>
      <c r="C1386" s="26"/>
      <c r="D1386" s="1005"/>
      <c r="E1386" s="27"/>
      <c r="F1386" s="1037"/>
      <c r="G1386" s="32">
        <v>1</v>
      </c>
      <c r="H1386" s="1038">
        <f t="shared" si="124"/>
        <v>0</v>
      </c>
      <c r="I1386" s="30"/>
      <c r="J1386" s="1039"/>
      <c r="K1386" s="33">
        <v>1</v>
      </c>
      <c r="L1386" s="1038">
        <f t="shared" si="125"/>
        <v>0</v>
      </c>
      <c r="M1386" s="30"/>
      <c r="N1386" s="34">
        <f t="shared" si="121"/>
        <v>0</v>
      </c>
      <c r="O1386" s="565" t="str">
        <f t="shared" si="123"/>
        <v/>
      </c>
      <c r="P1386" s="7"/>
    </row>
    <row r="1387" spans="1:16" x14ac:dyDescent="0.2">
      <c r="A1387" s="7"/>
      <c r="B1387" s="26" t="s">
        <v>37</v>
      </c>
      <c r="C1387" s="26"/>
      <c r="D1387" s="1005" t="s">
        <v>79</v>
      </c>
      <c r="E1387" s="27"/>
      <c r="F1387" s="1037">
        <v>7.0000000000000001E-3</v>
      </c>
      <c r="G1387" s="667">
        <f>F1359</f>
        <v>11523872</v>
      </c>
      <c r="H1387" s="1038">
        <f t="shared" si="124"/>
        <v>80667.104000000007</v>
      </c>
      <c r="I1387" s="30"/>
      <c r="J1387" s="1039">
        <v>7.0000000000000001E-3</v>
      </c>
      <c r="K1387" s="668">
        <f>F1359</f>
        <v>11523872</v>
      </c>
      <c r="L1387" s="1038">
        <f t="shared" si="125"/>
        <v>80667.104000000007</v>
      </c>
      <c r="M1387" s="30"/>
      <c r="N1387" s="34">
        <f t="shared" si="121"/>
        <v>0</v>
      </c>
      <c r="O1387" s="565">
        <f t="shared" si="123"/>
        <v>0</v>
      </c>
      <c r="P1387" s="7"/>
    </row>
    <row r="1388" spans="1:16" x14ac:dyDescent="0.2">
      <c r="A1388" s="7"/>
      <c r="B1388" s="564" t="s">
        <v>777</v>
      </c>
      <c r="C1388" s="26"/>
      <c r="D1388" s="1005" t="s">
        <v>79</v>
      </c>
      <c r="E1388" s="27"/>
      <c r="F1388" s="1040">
        <v>7.4999999999999997E-2</v>
      </c>
      <c r="G1388" s="667">
        <f>IF($G$1384&gt;=750,750,$G$1384)</f>
        <v>750</v>
      </c>
      <c r="H1388" s="1038">
        <f>G1388*F1388</f>
        <v>56.25</v>
      </c>
      <c r="I1388" s="30"/>
      <c r="J1388" s="1037">
        <v>7.4999999999999997E-2</v>
      </c>
      <c r="K1388" s="667">
        <f>IF($K$1384&gt;=750,750,$K$1384)</f>
        <v>750</v>
      </c>
      <c r="L1388" s="1038">
        <f>K1388*J1388</f>
        <v>56.25</v>
      </c>
      <c r="M1388" s="30"/>
      <c r="N1388" s="34">
        <f t="shared" si="121"/>
        <v>0</v>
      </c>
      <c r="O1388" s="565">
        <f t="shared" si="123"/>
        <v>0</v>
      </c>
      <c r="P1388" s="7"/>
    </row>
    <row r="1389" spans="1:16" x14ac:dyDescent="0.2">
      <c r="A1389" s="7"/>
      <c r="B1389" s="564" t="s">
        <v>778</v>
      </c>
      <c r="C1389" s="26"/>
      <c r="D1389" s="1005" t="s">
        <v>79</v>
      </c>
      <c r="E1389" s="27"/>
      <c r="F1389" s="1040">
        <v>8.7999999999999995E-2</v>
      </c>
      <c r="G1389" s="667">
        <f>IF($G$1384&gt;=750,$G$1384-750,0)</f>
        <v>11574979.423999999</v>
      </c>
      <c r="H1389" s="1038">
        <f>G1389*F1389</f>
        <v>1018598.1893119998</v>
      </c>
      <c r="I1389" s="30"/>
      <c r="J1389" s="1037">
        <v>8.7999999999999995E-2</v>
      </c>
      <c r="K1389" s="667">
        <f>IF($K$1384&gt;=750,$K$1384-750,0)</f>
        <v>11602636.716799999</v>
      </c>
      <c r="L1389" s="1038">
        <f>K1389*J1389</f>
        <v>1021032.0310783999</v>
      </c>
      <c r="M1389" s="30"/>
      <c r="N1389" s="34">
        <f t="shared" si="121"/>
        <v>2433.8417664000299</v>
      </c>
      <c r="O1389" s="565">
        <f t="shared" si="123"/>
        <v>2.389403193465266E-3</v>
      </c>
      <c r="P1389" s="7"/>
    </row>
    <row r="1390" spans="1:16" x14ac:dyDescent="0.2">
      <c r="A1390" s="7"/>
      <c r="B1390" s="564" t="s">
        <v>779</v>
      </c>
      <c r="C1390" s="26"/>
      <c r="D1390" s="1005" t="s">
        <v>79</v>
      </c>
      <c r="E1390" s="27"/>
      <c r="F1390" s="1040">
        <v>6.5000000000000002E-2</v>
      </c>
      <c r="G1390" s="669">
        <f>0.64*$G$1384</f>
        <v>7408466.8313599993</v>
      </c>
      <c r="H1390" s="1038">
        <f t="shared" si="124"/>
        <v>481550.34403839998</v>
      </c>
      <c r="I1390" s="30"/>
      <c r="J1390" s="1037">
        <v>6.5000000000000002E-2</v>
      </c>
      <c r="K1390" s="1041">
        <f>0.64*$K$1384</f>
        <v>7426167.4987519989</v>
      </c>
      <c r="L1390" s="1038">
        <f t="shared" si="125"/>
        <v>482700.88741887995</v>
      </c>
      <c r="M1390" s="30"/>
      <c r="N1390" s="34">
        <f t="shared" si="121"/>
        <v>1150.5433804799686</v>
      </c>
      <c r="O1390" s="565">
        <f t="shared" si="123"/>
        <v>2.3892483822796759E-3</v>
      </c>
      <c r="P1390" s="7"/>
    </row>
    <row r="1391" spans="1:16" x14ac:dyDescent="0.2">
      <c r="A1391" s="7"/>
      <c r="B1391" s="564" t="s">
        <v>780</v>
      </c>
      <c r="C1391" s="26"/>
      <c r="D1391" s="1005" t="s">
        <v>79</v>
      </c>
      <c r="E1391" s="27"/>
      <c r="F1391" s="1040">
        <v>0.1</v>
      </c>
      <c r="G1391" s="669">
        <f>0.18*$G$1384</f>
        <v>2083631.2963199997</v>
      </c>
      <c r="H1391" s="1038">
        <f t="shared" si="124"/>
        <v>208363.129632</v>
      </c>
      <c r="I1391" s="30"/>
      <c r="J1391" s="1037">
        <v>0.1</v>
      </c>
      <c r="K1391" s="1041">
        <f>0.18*$K$1384</f>
        <v>2088609.6090239997</v>
      </c>
      <c r="L1391" s="1038">
        <f t="shared" si="125"/>
        <v>208860.96090239997</v>
      </c>
      <c r="M1391" s="30"/>
      <c r="N1391" s="34">
        <f t="shared" si="121"/>
        <v>497.83127039996907</v>
      </c>
      <c r="O1391" s="565">
        <f t="shared" si="123"/>
        <v>2.3892483822795926E-3</v>
      </c>
      <c r="P1391" s="7"/>
    </row>
    <row r="1392" spans="1:16" ht="13.5" thickBot="1" x14ac:dyDescent="0.25">
      <c r="A1392" s="7"/>
      <c r="B1392" s="647" t="s">
        <v>781</v>
      </c>
      <c r="C1392" s="26"/>
      <c r="D1392" s="1005" t="s">
        <v>79</v>
      </c>
      <c r="E1392" s="27"/>
      <c r="F1392" s="1040">
        <v>0.11700000000000001</v>
      </c>
      <c r="G1392" s="669">
        <f>0.18*$G$1384</f>
        <v>2083631.2963199997</v>
      </c>
      <c r="H1392" s="1038">
        <f t="shared" si="124"/>
        <v>243784.86166944</v>
      </c>
      <c r="I1392" s="30"/>
      <c r="J1392" s="1037">
        <v>0.11700000000000001</v>
      </c>
      <c r="K1392" s="1041">
        <f>0.18*$K$1384</f>
        <v>2088609.6090239997</v>
      </c>
      <c r="L1392" s="1038">
        <f t="shared" si="125"/>
        <v>244367.32425580797</v>
      </c>
      <c r="M1392" s="30"/>
      <c r="N1392" s="34">
        <f t="shared" si="121"/>
        <v>582.46258636796847</v>
      </c>
      <c r="O1392" s="565">
        <f t="shared" si="123"/>
        <v>2.3892483822796117E-3</v>
      </c>
      <c r="P1392" s="7"/>
    </row>
    <row r="1393" spans="1:16" ht="13.5" thickBot="1" x14ac:dyDescent="0.25">
      <c r="A1393" s="7"/>
      <c r="B1393" s="1042"/>
      <c r="C1393" s="1043"/>
      <c r="D1393" s="1044"/>
      <c r="E1393" s="1043"/>
      <c r="F1393" s="1045"/>
      <c r="G1393" s="1046"/>
      <c r="H1393" s="1047"/>
      <c r="I1393" s="1048"/>
      <c r="J1393" s="1045"/>
      <c r="K1393" s="1049"/>
      <c r="L1393" s="1047"/>
      <c r="M1393" s="1048"/>
      <c r="N1393" s="1050"/>
      <c r="O1393" s="1051"/>
      <c r="P1393" s="7"/>
    </row>
    <row r="1394" spans="1:16" x14ac:dyDescent="0.2">
      <c r="A1394" s="7"/>
      <c r="B1394" s="36" t="s">
        <v>782</v>
      </c>
      <c r="C1394" s="26"/>
      <c r="D1394" s="26"/>
      <c r="E1394" s="26"/>
      <c r="F1394" s="662"/>
      <c r="G1394" s="652"/>
      <c r="H1394" s="656">
        <f>SUM(H1383:H1389)</f>
        <v>1314217.9937831997</v>
      </c>
      <c r="I1394" s="660"/>
      <c r="J1394" s="661"/>
      <c r="K1394" s="661"/>
      <c r="L1394" s="655">
        <f>SUM(L1383:L1389)</f>
        <v>1296672.6821942399</v>
      </c>
      <c r="M1394" s="654"/>
      <c r="N1394" s="659">
        <f t="shared" si="121"/>
        <v>-17545.311588959768</v>
      </c>
      <c r="O1394" s="657">
        <f t="shared" si="123"/>
        <v>-1.3350381498317954E-2</v>
      </c>
      <c r="P1394" s="7"/>
    </row>
    <row r="1395" spans="1:16" x14ac:dyDescent="0.2">
      <c r="A1395" s="7"/>
      <c r="B1395" s="650" t="s">
        <v>38</v>
      </c>
      <c r="C1395" s="26"/>
      <c r="D1395" s="26"/>
      <c r="E1395" s="26"/>
      <c r="F1395" s="649">
        <v>0.13</v>
      </c>
      <c r="G1395" s="652"/>
      <c r="H1395" s="670">
        <f>H1394*F1395</f>
        <v>170848.33919181596</v>
      </c>
      <c r="I1395" s="648"/>
      <c r="J1395" s="676">
        <v>0.13</v>
      </c>
      <c r="K1395" s="677"/>
      <c r="L1395" s="672">
        <f>L1394*J1395</f>
        <v>168567.44868525121</v>
      </c>
      <c r="M1395" s="673"/>
      <c r="N1395" s="674">
        <f t="shared" si="121"/>
        <v>-2280.8905065647559</v>
      </c>
      <c r="O1395" s="675">
        <f t="shared" si="123"/>
        <v>-1.3350381498317871E-2</v>
      </c>
      <c r="P1395" s="7"/>
    </row>
    <row r="1396" spans="1:16" x14ac:dyDescent="0.2">
      <c r="A1396" s="7"/>
      <c r="B1396" s="651" t="s">
        <v>1139</v>
      </c>
      <c r="C1396" s="26"/>
      <c r="D1396" s="26"/>
      <c r="E1396" s="26"/>
      <c r="F1396" s="658"/>
      <c r="G1396" s="653"/>
      <c r="H1396" s="670">
        <f>H1394+H1395</f>
        <v>1485066.3329750157</v>
      </c>
      <c r="I1396" s="648"/>
      <c r="J1396" s="648"/>
      <c r="K1396" s="648"/>
      <c r="L1396" s="672">
        <f>L1394+L1395</f>
        <v>1465240.1308794911</v>
      </c>
      <c r="M1396" s="673"/>
      <c r="N1396" s="674">
        <f t="shared" si="121"/>
        <v>-19826.202095524641</v>
      </c>
      <c r="O1396" s="675">
        <f t="shared" si="123"/>
        <v>-1.3350381498318022E-2</v>
      </c>
      <c r="P1396" s="7"/>
    </row>
    <row r="1397" spans="1:16" ht="12.75" customHeight="1" x14ac:dyDescent="0.2">
      <c r="A1397" s="7"/>
      <c r="B1397" s="1626" t="s">
        <v>1140</v>
      </c>
      <c r="C1397" s="1626"/>
      <c r="D1397" s="1626"/>
      <c r="E1397" s="26"/>
      <c r="F1397" s="658"/>
      <c r="G1397" s="653"/>
      <c r="H1397" s="1052">
        <f>ROUND(-H1396*10%,2)</f>
        <v>-148506.63</v>
      </c>
      <c r="I1397" s="648"/>
      <c r="J1397" s="648"/>
      <c r="K1397" s="648"/>
      <c r="L1397" s="1053">
        <f>ROUND(-L1396*10%,2)</f>
        <v>-146524.01</v>
      </c>
      <c r="M1397" s="673"/>
      <c r="N1397" s="1054">
        <f t="shared" si="121"/>
        <v>1982.6199999999953</v>
      </c>
      <c r="O1397" s="1055">
        <f t="shared" si="123"/>
        <v>-1.3350380383690581E-2</v>
      </c>
      <c r="P1397" s="7"/>
    </row>
    <row r="1398" spans="1:16" ht="13.5" customHeight="1" thickBot="1" x14ac:dyDescent="0.25">
      <c r="A1398" s="7"/>
      <c r="B1398" s="1626" t="s">
        <v>785</v>
      </c>
      <c r="C1398" s="1626"/>
      <c r="D1398" s="1626"/>
      <c r="E1398" s="1056"/>
      <c r="F1398" s="1057"/>
      <c r="G1398" s="1058"/>
      <c r="H1398" s="1059">
        <f>SUM(H1396:H1397)</f>
        <v>1336559.7029750156</v>
      </c>
      <c r="I1398" s="1060"/>
      <c r="J1398" s="1060"/>
      <c r="K1398" s="1060"/>
      <c r="L1398" s="1061">
        <f>SUM(L1396:L1397)</f>
        <v>1318716.1208794911</v>
      </c>
      <c r="M1398" s="1062"/>
      <c r="N1398" s="1063">
        <f t="shared" si="121"/>
        <v>-17843.582095524529</v>
      </c>
      <c r="O1398" s="1064">
        <f t="shared" si="123"/>
        <v>-1.3350381622165427E-2</v>
      </c>
      <c r="P1398" s="7"/>
    </row>
    <row r="1399" spans="1:16" ht="13.5" thickBot="1" x14ac:dyDescent="0.25">
      <c r="A1399" s="7"/>
      <c r="B1399" s="1042"/>
      <c r="C1399" s="1043"/>
      <c r="D1399" s="1044"/>
      <c r="E1399" s="1043"/>
      <c r="F1399" s="1065"/>
      <c r="G1399" s="1066"/>
      <c r="H1399" s="1067"/>
      <c r="I1399" s="1068"/>
      <c r="J1399" s="1065"/>
      <c r="K1399" s="1046"/>
      <c r="L1399" s="1069"/>
      <c r="M1399" s="1048"/>
      <c r="N1399" s="1070"/>
      <c r="O1399" s="1051"/>
      <c r="P1399" s="7"/>
    </row>
    <row r="1400" spans="1:16" x14ac:dyDescent="0.2">
      <c r="A1400" s="7"/>
      <c r="B1400" s="36" t="s">
        <v>783</v>
      </c>
      <c r="C1400" s="26"/>
      <c r="D1400" s="26"/>
      <c r="E1400" s="26"/>
      <c r="F1400" s="662"/>
      <c r="G1400" s="652"/>
      <c r="H1400" s="656">
        <f>SUM(H1383:H1387,H1390:H1392)</f>
        <v>1229261.8898110399</v>
      </c>
      <c r="I1400" s="660"/>
      <c r="J1400" s="661"/>
      <c r="K1400" s="661"/>
      <c r="L1400" s="666">
        <f>SUM(L1383:L1387,L1390:L1392)</f>
        <v>1211513.5736929278</v>
      </c>
      <c r="M1400" s="654"/>
      <c r="N1400" s="659">
        <f>L1400-H1400</f>
        <v>-17748.316118112067</v>
      </c>
      <c r="O1400" s="657">
        <f>IF((H1400)=0,"",(N1400/H1400))</f>
        <v>-1.4438189506420238E-2</v>
      </c>
      <c r="P1400" s="7"/>
    </row>
    <row r="1401" spans="1:16" x14ac:dyDescent="0.2">
      <c r="A1401" s="7"/>
      <c r="B1401" s="650" t="s">
        <v>38</v>
      </c>
      <c r="C1401" s="26"/>
      <c r="D1401" s="26"/>
      <c r="E1401" s="26"/>
      <c r="F1401" s="649">
        <v>0.13</v>
      </c>
      <c r="G1401" s="653"/>
      <c r="H1401" s="670">
        <f>H1400*F1401</f>
        <v>159804.04567543519</v>
      </c>
      <c r="I1401" s="648"/>
      <c r="J1401" s="671">
        <v>0.13</v>
      </c>
      <c r="K1401" s="648"/>
      <c r="L1401" s="672">
        <f>L1400*J1401</f>
        <v>157496.76458008063</v>
      </c>
      <c r="M1401" s="673"/>
      <c r="N1401" s="674">
        <f t="shared" si="121"/>
        <v>-2307.2810953545559</v>
      </c>
      <c r="O1401" s="675">
        <f t="shared" si="123"/>
        <v>-1.4438189506420156E-2</v>
      </c>
      <c r="P1401" s="7"/>
    </row>
    <row r="1402" spans="1:16" x14ac:dyDescent="0.2">
      <c r="A1402" s="7"/>
      <c r="B1402" s="651" t="s">
        <v>1139</v>
      </c>
      <c r="C1402" s="26"/>
      <c r="D1402" s="26"/>
      <c r="E1402" s="26"/>
      <c r="F1402" s="658"/>
      <c r="G1402" s="653"/>
      <c r="H1402" s="670">
        <f>H1400+H1401</f>
        <v>1389065.935486475</v>
      </c>
      <c r="I1402" s="648"/>
      <c r="J1402" s="648"/>
      <c r="K1402" s="648"/>
      <c r="L1402" s="672">
        <f>L1400+L1401</f>
        <v>1369010.3382730084</v>
      </c>
      <c r="M1402" s="673"/>
      <c r="N1402" s="674">
        <f t="shared" si="121"/>
        <v>-20055.597213466652</v>
      </c>
      <c r="O1402" s="675">
        <f t="shared" si="123"/>
        <v>-1.443818950642025E-2</v>
      </c>
      <c r="P1402" s="7"/>
    </row>
    <row r="1403" spans="1:16" ht="12.75" customHeight="1" x14ac:dyDescent="0.2">
      <c r="A1403" s="7"/>
      <c r="B1403" s="1626" t="s">
        <v>1140</v>
      </c>
      <c r="C1403" s="1626"/>
      <c r="D1403" s="1626"/>
      <c r="E1403" s="26"/>
      <c r="F1403" s="658"/>
      <c r="G1403" s="653"/>
      <c r="H1403" s="1052">
        <f>ROUND(-H1402*10%,2)</f>
        <v>-138906.59</v>
      </c>
      <c r="I1403" s="648"/>
      <c r="J1403" s="648"/>
      <c r="K1403" s="648"/>
      <c r="L1403" s="1053">
        <f>ROUND(-L1402*10%,2)</f>
        <v>-136901.03</v>
      </c>
      <c r="M1403" s="673"/>
      <c r="N1403" s="1054">
        <f t="shared" si="121"/>
        <v>2005.5599999999977</v>
      </c>
      <c r="O1403" s="1055">
        <f t="shared" si="123"/>
        <v>-1.4438191881321094E-2</v>
      </c>
      <c r="P1403" s="7"/>
    </row>
    <row r="1404" spans="1:16" ht="13.5" customHeight="1" thickBot="1" x14ac:dyDescent="0.25">
      <c r="A1404" s="7"/>
      <c r="B1404" s="1626" t="s">
        <v>784</v>
      </c>
      <c r="C1404" s="1626"/>
      <c r="D1404" s="1626"/>
      <c r="E1404" s="1056"/>
      <c r="F1404" s="1071"/>
      <c r="G1404" s="1072"/>
      <c r="H1404" s="1073">
        <f>H1402+H1403</f>
        <v>1250159.3454864749</v>
      </c>
      <c r="I1404" s="1074"/>
      <c r="J1404" s="1074"/>
      <c r="K1404" s="1074"/>
      <c r="L1404" s="1075">
        <f>L1402+L1403</f>
        <v>1232109.3082730083</v>
      </c>
      <c r="M1404" s="1076"/>
      <c r="N1404" s="1077">
        <f t="shared" si="121"/>
        <v>-18050.037213466596</v>
      </c>
      <c r="O1404" s="1078">
        <f t="shared" si="123"/>
        <v>-1.4438189242542341E-2</v>
      </c>
      <c r="P1404" s="7"/>
    </row>
    <row r="1405" spans="1:16" ht="13.5" thickBot="1" x14ac:dyDescent="0.25">
      <c r="A1405" s="7"/>
      <c r="B1405" s="1042"/>
      <c r="C1405" s="1043"/>
      <c r="D1405" s="1044"/>
      <c r="E1405" s="1043"/>
      <c r="F1405" s="1065"/>
      <c r="G1405" s="1066"/>
      <c r="H1405" s="1067"/>
      <c r="I1405" s="1068"/>
      <c r="J1405" s="1065"/>
      <c r="K1405" s="1046"/>
      <c r="L1405" s="1069"/>
      <c r="M1405" s="1048"/>
      <c r="N1405" s="1070"/>
      <c r="O1405" s="1051"/>
      <c r="P1405" s="7"/>
    </row>
    <row r="1406" spans="1:16" x14ac:dyDescent="0.2">
      <c r="A1406" s="7"/>
      <c r="B1406" s="7"/>
      <c r="C1406" s="7"/>
      <c r="D1406" s="7"/>
      <c r="E1406" s="7"/>
      <c r="F1406" s="7"/>
      <c r="G1406" s="7"/>
      <c r="H1406" s="7"/>
      <c r="I1406" s="7"/>
      <c r="J1406" s="7"/>
      <c r="K1406" s="7"/>
      <c r="L1406" s="678"/>
      <c r="M1406" s="7"/>
      <c r="N1406" s="7"/>
      <c r="O1406" s="7"/>
      <c r="P1406" s="7"/>
    </row>
    <row r="1407" spans="1:16" x14ac:dyDescent="0.2">
      <c r="A1407" s="7"/>
      <c r="B1407" s="8" t="s">
        <v>39</v>
      </c>
      <c r="C1407" s="7"/>
      <c r="D1407" s="7"/>
      <c r="E1407" s="7"/>
      <c r="F1407" s="1080">
        <v>4.4999999999999997E-3</v>
      </c>
      <c r="G1407" s="7"/>
      <c r="H1407" s="7"/>
      <c r="I1407" s="7"/>
      <c r="J1407" s="1080">
        <v>6.8999999999999999E-3</v>
      </c>
      <c r="K1407" s="7"/>
      <c r="L1407" s="7"/>
      <c r="M1407" s="7"/>
      <c r="N1407" s="7"/>
      <c r="O1407" s="7"/>
      <c r="P1407" s="7"/>
    </row>
    <row r="1408" spans="1:16" x14ac:dyDescent="0.2">
      <c r="A1408" s="7"/>
      <c r="B1408" s="7"/>
      <c r="C1408" s="7"/>
      <c r="D1408" s="7"/>
      <c r="E1408" s="7"/>
      <c r="F1408" s="7"/>
      <c r="G1408" s="7"/>
      <c r="H1408" s="7"/>
      <c r="I1408" s="7"/>
      <c r="J1408" s="7"/>
      <c r="K1408" s="7"/>
      <c r="L1408" s="7"/>
      <c r="M1408" s="7"/>
      <c r="N1408" s="7"/>
      <c r="O1408" s="7"/>
      <c r="P1408" s="7"/>
    </row>
    <row r="1409" spans="1:16" ht="14.25" x14ac:dyDescent="0.2">
      <c r="A1409" s="214" t="s">
        <v>1141</v>
      </c>
      <c r="B1409" s="7"/>
      <c r="C1409" s="7"/>
      <c r="D1409" s="7"/>
      <c r="E1409" s="7"/>
      <c r="F1409" s="7"/>
      <c r="G1409" s="7"/>
      <c r="H1409" s="7"/>
      <c r="I1409" s="7"/>
      <c r="J1409" s="7"/>
      <c r="K1409" s="7"/>
      <c r="L1409" s="7"/>
      <c r="M1409" s="7"/>
      <c r="N1409" s="7"/>
      <c r="O1409" s="7"/>
      <c r="P1409" s="7"/>
    </row>
    <row r="1410" spans="1:16" x14ac:dyDescent="0.2">
      <c r="A1410" s="7"/>
      <c r="B1410" s="7"/>
      <c r="C1410" s="7"/>
      <c r="D1410" s="7"/>
      <c r="E1410" s="7"/>
      <c r="F1410" s="7"/>
      <c r="G1410" s="7"/>
      <c r="H1410" s="7"/>
      <c r="I1410" s="7"/>
      <c r="J1410" s="7"/>
      <c r="K1410" s="7"/>
      <c r="L1410" s="7"/>
      <c r="M1410" s="7"/>
      <c r="N1410" s="7"/>
      <c r="O1410" s="7"/>
      <c r="P1410" s="7"/>
    </row>
    <row r="1411" spans="1:16" x14ac:dyDescent="0.2">
      <c r="A1411" s="7" t="s">
        <v>107</v>
      </c>
      <c r="B1411" s="7"/>
      <c r="C1411" s="7"/>
      <c r="D1411" s="7"/>
      <c r="E1411" s="7"/>
      <c r="F1411" s="7"/>
      <c r="G1411" s="7"/>
      <c r="H1411" s="7"/>
      <c r="I1411" s="7"/>
      <c r="J1411" s="7"/>
      <c r="K1411" s="7"/>
      <c r="L1411" s="7"/>
      <c r="M1411" s="7"/>
      <c r="N1411" s="7"/>
      <c r="O1411" s="7"/>
      <c r="P1411" s="7"/>
    </row>
    <row r="1412" spans="1:16" x14ac:dyDescent="0.2">
      <c r="A1412" s="7" t="s">
        <v>108</v>
      </c>
      <c r="B1412" s="7"/>
      <c r="C1412" s="7"/>
      <c r="D1412" s="7"/>
      <c r="E1412" s="7"/>
      <c r="F1412" s="7"/>
      <c r="G1412" s="7"/>
      <c r="H1412" s="7"/>
      <c r="I1412" s="7"/>
      <c r="J1412" s="7"/>
      <c r="K1412" s="7"/>
      <c r="L1412" s="7"/>
      <c r="M1412" s="7"/>
      <c r="N1412" s="7"/>
      <c r="O1412" s="7"/>
      <c r="P1412" s="7"/>
    </row>
    <row r="1413" spans="1:16" x14ac:dyDescent="0.2">
      <c r="A1413" s="7"/>
      <c r="B1413" s="7"/>
      <c r="C1413" s="7"/>
      <c r="D1413" s="7"/>
      <c r="E1413" s="7"/>
      <c r="F1413" s="7"/>
      <c r="G1413" s="7"/>
      <c r="H1413" s="7"/>
      <c r="I1413" s="7"/>
      <c r="J1413" s="7"/>
      <c r="K1413" s="7"/>
      <c r="L1413" s="7"/>
      <c r="M1413" s="7"/>
      <c r="N1413" s="7"/>
      <c r="O1413" s="7"/>
      <c r="P1413" s="7"/>
    </row>
    <row r="1414" spans="1:16" x14ac:dyDescent="0.2">
      <c r="A1414" s="7" t="s">
        <v>331</v>
      </c>
      <c r="B1414" s="7"/>
      <c r="C1414" s="7"/>
      <c r="D1414" s="7"/>
      <c r="E1414" s="7"/>
      <c r="F1414" s="7"/>
      <c r="G1414" s="7"/>
      <c r="H1414" s="7"/>
      <c r="I1414" s="7"/>
      <c r="J1414" s="7"/>
      <c r="K1414" s="7"/>
      <c r="L1414" s="7"/>
      <c r="M1414" s="7"/>
      <c r="N1414" s="7"/>
      <c r="O1414" s="7"/>
      <c r="P1414" s="7"/>
    </row>
    <row r="1415" spans="1:16" x14ac:dyDescent="0.2">
      <c r="A1415" s="7" t="s">
        <v>109</v>
      </c>
      <c r="B1415" s="7"/>
      <c r="C1415" s="7"/>
      <c r="D1415" s="7"/>
      <c r="E1415" s="7"/>
      <c r="F1415" s="7"/>
      <c r="G1415" s="7"/>
      <c r="H1415" s="7"/>
      <c r="I1415" s="7"/>
      <c r="J1415" s="7"/>
      <c r="K1415" s="7"/>
      <c r="L1415" s="7"/>
      <c r="M1415" s="7"/>
      <c r="N1415" s="7"/>
      <c r="O1415" s="7"/>
      <c r="P1415" s="7"/>
    </row>
    <row r="1416" spans="1:16" x14ac:dyDescent="0.2">
      <c r="A1416" s="7"/>
      <c r="B1416" s="7"/>
      <c r="C1416" s="7"/>
      <c r="D1416" s="7"/>
      <c r="E1416" s="7"/>
      <c r="F1416" s="7"/>
      <c r="G1416" s="7"/>
      <c r="H1416" s="7"/>
      <c r="I1416" s="7"/>
      <c r="J1416" s="7"/>
      <c r="K1416" s="7"/>
      <c r="L1416" s="7"/>
      <c r="M1416" s="7"/>
      <c r="N1416" s="7"/>
      <c r="O1416" s="7"/>
      <c r="P1416" s="7"/>
    </row>
    <row r="1417" spans="1:16" x14ac:dyDescent="0.2">
      <c r="A1417" s="7" t="s">
        <v>110</v>
      </c>
      <c r="B1417" s="7"/>
      <c r="C1417" s="7"/>
      <c r="D1417" s="7"/>
      <c r="E1417" s="7"/>
      <c r="F1417" s="7"/>
      <c r="G1417" s="7"/>
      <c r="H1417" s="7"/>
      <c r="I1417" s="7"/>
      <c r="J1417" s="7"/>
      <c r="K1417" s="7"/>
      <c r="L1417" s="7"/>
      <c r="M1417" s="7"/>
      <c r="N1417" s="7"/>
      <c r="O1417" s="7"/>
      <c r="P1417" s="7"/>
    </row>
    <row r="1418" spans="1:16" x14ac:dyDescent="0.2">
      <c r="A1418" s="7" t="s">
        <v>111</v>
      </c>
      <c r="B1418" s="7"/>
      <c r="C1418" s="7"/>
      <c r="D1418" s="7"/>
      <c r="E1418" s="7"/>
      <c r="F1418" s="7"/>
      <c r="G1418" s="7"/>
      <c r="H1418" s="7"/>
      <c r="I1418" s="7"/>
      <c r="J1418" s="7"/>
      <c r="K1418" s="7"/>
      <c r="L1418" s="7"/>
      <c r="M1418" s="7"/>
      <c r="N1418" s="7"/>
      <c r="O1418" s="7"/>
      <c r="P1418" s="7"/>
    </row>
    <row r="1419" spans="1:16" x14ac:dyDescent="0.2">
      <c r="A1419" s="7" t="s">
        <v>112</v>
      </c>
      <c r="B1419" s="7"/>
      <c r="C1419" s="7"/>
      <c r="D1419" s="7"/>
      <c r="E1419" s="7"/>
      <c r="F1419" s="7"/>
      <c r="G1419" s="7"/>
      <c r="H1419" s="7"/>
      <c r="I1419" s="7"/>
      <c r="J1419" s="7"/>
      <c r="K1419" s="7"/>
      <c r="L1419" s="7"/>
      <c r="M1419" s="7"/>
      <c r="N1419" s="7"/>
      <c r="O1419" s="7"/>
      <c r="P1419" s="7"/>
    </row>
    <row r="1420" spans="1:16" x14ac:dyDescent="0.2">
      <c r="A1420" s="7" t="s">
        <v>113</v>
      </c>
      <c r="B1420" s="7"/>
      <c r="C1420" s="7"/>
      <c r="D1420" s="7"/>
      <c r="E1420" s="7"/>
      <c r="F1420" s="7"/>
      <c r="G1420" s="7"/>
      <c r="H1420" s="7"/>
      <c r="I1420" s="7"/>
      <c r="J1420" s="7"/>
      <c r="K1420" s="7"/>
      <c r="L1420" s="7"/>
      <c r="M1420" s="7"/>
      <c r="N1420" s="7"/>
      <c r="O1420" s="7"/>
      <c r="P1420" s="7"/>
    </row>
    <row r="1421" spans="1:16" x14ac:dyDescent="0.2">
      <c r="A1421" s="7" t="s">
        <v>114</v>
      </c>
      <c r="B1421" s="7"/>
      <c r="C1421" s="7"/>
      <c r="D1421" s="7"/>
      <c r="E1421" s="7"/>
      <c r="F1421" s="7"/>
      <c r="G1421" s="7"/>
      <c r="H1421" s="7"/>
      <c r="I1421" s="7"/>
      <c r="J1421" s="7"/>
      <c r="K1421" s="7"/>
      <c r="L1421" s="7"/>
      <c r="M1421" s="7"/>
      <c r="N1421" s="7"/>
      <c r="O1421" s="7"/>
      <c r="P1421" s="7"/>
    </row>
    <row r="1423" spans="1:16" ht="21.75" x14ac:dyDescent="0.2">
      <c r="A1423" s="41"/>
      <c r="B1423" s="41"/>
      <c r="C1423" s="41"/>
      <c r="D1423" s="41"/>
      <c r="E1423" s="41"/>
      <c r="F1423" s="41"/>
      <c r="G1423" s="41"/>
      <c r="H1423" s="41"/>
      <c r="I1423" s="41"/>
      <c r="J1423" s="41"/>
      <c r="K1423" s="41"/>
      <c r="L1423" s="37"/>
      <c r="M1423" s="37"/>
      <c r="N1423" s="16" t="s">
        <v>444</v>
      </c>
      <c r="O1423" s="250" t="s">
        <v>866</v>
      </c>
    </row>
    <row r="1424" spans="1:16" ht="18" x14ac:dyDescent="0.25">
      <c r="A1424" s="40"/>
      <c r="B1424" s="40"/>
      <c r="C1424" s="40"/>
      <c r="D1424" s="40"/>
      <c r="E1424" s="40"/>
      <c r="F1424" s="40"/>
      <c r="G1424" s="40"/>
      <c r="H1424" s="40"/>
      <c r="I1424" s="40"/>
      <c r="J1424" s="40"/>
      <c r="K1424" s="40"/>
      <c r="L1424" s="37"/>
      <c r="M1424" s="37"/>
      <c r="N1424" s="16" t="s">
        <v>445</v>
      </c>
      <c r="O1424" s="1001"/>
    </row>
    <row r="1425" spans="1:16" x14ac:dyDescent="0.2">
      <c r="A1425" s="1626"/>
      <c r="B1425" s="1626"/>
      <c r="C1425" s="1626"/>
      <c r="D1425" s="1626"/>
      <c r="E1425" s="1626"/>
      <c r="F1425" s="1626"/>
      <c r="G1425" s="1626"/>
      <c r="H1425" s="1626"/>
      <c r="I1425" s="1626"/>
      <c r="J1425" s="1626"/>
      <c r="K1425" s="1626"/>
      <c r="L1425" s="37"/>
      <c r="M1425" s="37"/>
      <c r="N1425" s="16" t="s">
        <v>446</v>
      </c>
      <c r="O1425" s="1001"/>
    </row>
    <row r="1426" spans="1:16" ht="18" x14ac:dyDescent="0.25">
      <c r="A1426" s="40"/>
      <c r="B1426" s="40"/>
      <c r="C1426" s="40"/>
      <c r="D1426" s="40"/>
      <c r="E1426" s="40"/>
      <c r="F1426" s="40"/>
      <c r="G1426" s="40"/>
      <c r="H1426" s="40"/>
      <c r="I1426" s="38"/>
      <c r="J1426" s="38"/>
      <c r="K1426" s="38"/>
      <c r="L1426" s="37"/>
      <c r="M1426" s="37"/>
      <c r="N1426" s="16" t="s">
        <v>447</v>
      </c>
      <c r="O1426" s="1001"/>
    </row>
    <row r="1427" spans="1:16" ht="15.75" x14ac:dyDescent="0.25">
      <c r="A1427" s="37"/>
      <c r="B1427" s="37"/>
      <c r="C1427" s="39"/>
      <c r="D1427" s="39"/>
      <c r="E1427" s="39"/>
      <c r="F1427" s="37"/>
      <c r="G1427" s="37"/>
      <c r="H1427" s="37"/>
      <c r="I1427" s="37"/>
      <c r="J1427" s="37"/>
      <c r="K1427" s="37"/>
      <c r="L1427" s="37"/>
      <c r="M1427" s="37"/>
      <c r="N1427" s="16" t="s">
        <v>448</v>
      </c>
      <c r="O1427" s="1002" t="s">
        <v>1162</v>
      </c>
    </row>
    <row r="1428" spans="1:16" x14ac:dyDescent="0.2">
      <c r="A1428" s="37"/>
      <c r="B1428" s="37"/>
      <c r="C1428" s="37"/>
      <c r="D1428" s="37"/>
      <c r="E1428" s="37"/>
      <c r="F1428" s="37"/>
      <c r="G1428" s="37"/>
      <c r="H1428" s="37"/>
      <c r="I1428" s="37"/>
      <c r="J1428" s="37"/>
      <c r="K1428" s="37"/>
      <c r="L1428" s="37"/>
      <c r="M1428" s="37"/>
      <c r="N1428" s="16"/>
      <c r="O1428" s="250"/>
    </row>
    <row r="1429" spans="1:16" x14ac:dyDescent="0.2">
      <c r="A1429" s="37"/>
      <c r="B1429" s="37"/>
      <c r="C1429" s="37"/>
      <c r="D1429" s="37"/>
      <c r="E1429" s="37"/>
      <c r="F1429" s="37"/>
      <c r="G1429" s="37"/>
      <c r="H1429" s="37"/>
      <c r="I1429" s="37"/>
      <c r="J1429" s="37"/>
      <c r="K1429" s="37"/>
      <c r="L1429" s="37"/>
      <c r="M1429" s="37"/>
      <c r="N1429" s="16" t="s">
        <v>449</v>
      </c>
      <c r="O1429" s="1002"/>
    </row>
    <row r="1430" spans="1:16" x14ac:dyDescent="0.2">
      <c r="A1430" s="37"/>
      <c r="B1430" s="37"/>
      <c r="C1430" s="37"/>
      <c r="D1430" s="37"/>
      <c r="E1430" s="37"/>
      <c r="F1430" s="37"/>
      <c r="G1430" s="37"/>
      <c r="H1430" s="37"/>
      <c r="I1430" s="37"/>
      <c r="J1430" s="37"/>
      <c r="K1430" s="37"/>
      <c r="L1430" s="37"/>
      <c r="M1430" s="37"/>
      <c r="N1430" s="7"/>
    </row>
    <row r="1431" spans="1:16" x14ac:dyDescent="0.2">
      <c r="A1431" s="7"/>
      <c r="B1431" s="7"/>
      <c r="C1431" s="7"/>
      <c r="D1431" s="7"/>
      <c r="E1431" s="7"/>
      <c r="F1431" s="7"/>
      <c r="G1431" s="7"/>
      <c r="H1431" s="7"/>
      <c r="I1431" s="7"/>
      <c r="J1431" s="7"/>
      <c r="K1431" s="7"/>
    </row>
    <row r="1432" spans="1:16" x14ac:dyDescent="0.2">
      <c r="A1432" s="7"/>
      <c r="B1432" s="1626" t="s">
        <v>695</v>
      </c>
      <c r="C1432" s="1626"/>
      <c r="D1432" s="1626"/>
      <c r="E1432" s="1626"/>
      <c r="F1432" s="1626"/>
      <c r="G1432" s="1626"/>
      <c r="H1432" s="1626"/>
      <c r="I1432" s="1626"/>
      <c r="J1432" s="1626"/>
      <c r="K1432" s="1626"/>
      <c r="L1432" s="1626"/>
      <c r="M1432" s="1626"/>
      <c r="N1432" s="1626"/>
      <c r="O1432" s="1626"/>
    </row>
    <row r="1433" spans="1:16" x14ac:dyDescent="0.2">
      <c r="A1433" s="7"/>
      <c r="B1433" s="1626" t="s">
        <v>63</v>
      </c>
      <c r="C1433" s="1626"/>
      <c r="D1433" s="1626"/>
      <c r="E1433" s="1626"/>
      <c r="F1433" s="1626"/>
      <c r="G1433" s="1626"/>
      <c r="H1433" s="1626"/>
      <c r="I1433" s="1626"/>
      <c r="J1433" s="1626"/>
      <c r="K1433" s="1626"/>
      <c r="L1433" s="1626"/>
      <c r="M1433" s="1626"/>
      <c r="N1433" s="1626"/>
      <c r="O1433" s="1626"/>
    </row>
    <row r="1434" spans="1:16" x14ac:dyDescent="0.2">
      <c r="A1434" s="7"/>
      <c r="B1434" s="7"/>
      <c r="C1434" s="7"/>
      <c r="D1434" s="7"/>
      <c r="E1434" s="7"/>
      <c r="F1434" s="7"/>
      <c r="G1434" s="7"/>
      <c r="H1434" s="7"/>
      <c r="I1434" s="7"/>
      <c r="J1434" s="7"/>
      <c r="K1434" s="7"/>
    </row>
    <row r="1435" spans="1:16" x14ac:dyDescent="0.2">
      <c r="A1435" s="7"/>
      <c r="B1435" s="7"/>
      <c r="C1435" s="7"/>
      <c r="D1435" s="7"/>
      <c r="E1435" s="7"/>
      <c r="F1435" s="7"/>
      <c r="G1435" s="7"/>
      <c r="H1435" s="7"/>
      <c r="I1435" s="7"/>
      <c r="J1435" s="7"/>
      <c r="K1435" s="7"/>
    </row>
    <row r="1436" spans="1:16" x14ac:dyDescent="0.2">
      <c r="A1436" s="7"/>
      <c r="B1436" s="43" t="s">
        <v>40</v>
      </c>
      <c r="C1436" s="7"/>
      <c r="D1436" s="1626" t="s">
        <v>87</v>
      </c>
      <c r="E1436" s="1626"/>
      <c r="F1436" s="1626"/>
      <c r="G1436" s="1626"/>
      <c r="H1436" s="1626"/>
      <c r="I1436" s="1626"/>
      <c r="J1436" s="1626"/>
      <c r="K1436" s="1626"/>
      <c r="L1436" s="1626"/>
      <c r="M1436" s="1626"/>
      <c r="N1436" s="1626"/>
      <c r="O1436" s="1626"/>
      <c r="P1436" s="7"/>
    </row>
    <row r="1437" spans="1:16" ht="15.75" x14ac:dyDescent="0.25">
      <c r="A1437" s="7"/>
      <c r="B1437" s="1003"/>
      <c r="C1437" s="7"/>
      <c r="D1437" s="42"/>
      <c r="E1437" s="42"/>
      <c r="F1437" s="42"/>
      <c r="G1437" s="42"/>
      <c r="H1437" s="42"/>
      <c r="I1437" s="42"/>
      <c r="J1437" s="42"/>
      <c r="K1437" s="42"/>
      <c r="L1437" s="42"/>
      <c r="M1437" s="42"/>
      <c r="N1437" s="42"/>
      <c r="O1437" s="42"/>
      <c r="P1437" s="7"/>
    </row>
    <row r="1438" spans="1:16" x14ac:dyDescent="0.2">
      <c r="A1438" s="7"/>
      <c r="B1438" s="647"/>
      <c r="C1438" s="7"/>
      <c r="D1438" s="8" t="s">
        <v>17</v>
      </c>
      <c r="E1438" s="8"/>
      <c r="F1438" s="1004">
        <v>100</v>
      </c>
      <c r="G1438" s="8" t="s">
        <v>18</v>
      </c>
      <c r="H1438" s="7"/>
      <c r="I1438" s="7"/>
      <c r="J1438" s="7"/>
      <c r="K1438" s="7"/>
      <c r="L1438" s="7"/>
      <c r="M1438" s="7"/>
      <c r="N1438" s="7"/>
      <c r="O1438" s="7"/>
      <c r="P1438" s="7"/>
    </row>
    <row r="1439" spans="1:16" x14ac:dyDescent="0.2">
      <c r="A1439" s="7"/>
      <c r="B1439" s="647"/>
      <c r="C1439" s="7"/>
      <c r="D1439" s="7"/>
      <c r="E1439" s="7"/>
      <c r="F1439" s="7"/>
      <c r="G1439" s="7"/>
      <c r="H1439" s="7"/>
      <c r="I1439" s="7"/>
      <c r="J1439" s="7"/>
      <c r="K1439" s="7"/>
      <c r="L1439" s="7"/>
      <c r="M1439" s="7"/>
      <c r="N1439" s="7"/>
      <c r="O1439" s="7"/>
      <c r="P1439" s="7"/>
    </row>
    <row r="1440" spans="1:16" x14ac:dyDescent="0.2">
      <c r="A1440" s="7"/>
      <c r="B1440" s="647"/>
      <c r="C1440" s="7"/>
      <c r="D1440" s="19"/>
      <c r="E1440" s="19"/>
      <c r="F1440" s="1626" t="s">
        <v>19</v>
      </c>
      <c r="G1440" s="1626"/>
      <c r="H1440" s="1626"/>
      <c r="I1440" s="7"/>
      <c r="J1440" s="1626" t="s">
        <v>20</v>
      </c>
      <c r="K1440" s="1626"/>
      <c r="L1440" s="1626"/>
      <c r="M1440" s="7"/>
      <c r="N1440" s="1626" t="s">
        <v>21</v>
      </c>
      <c r="O1440" s="1626"/>
      <c r="P1440" s="7"/>
    </row>
    <row r="1441" spans="1:16" ht="12.75" customHeight="1" x14ac:dyDescent="0.2">
      <c r="A1441" s="7"/>
      <c r="B1441" s="647"/>
      <c r="C1441" s="7"/>
      <c r="D1441" s="1626" t="s">
        <v>22</v>
      </c>
      <c r="E1441" s="20"/>
      <c r="F1441" s="21" t="s">
        <v>23</v>
      </c>
      <c r="G1441" s="21" t="s">
        <v>24</v>
      </c>
      <c r="H1441" s="22" t="s">
        <v>25</v>
      </c>
      <c r="I1441" s="7"/>
      <c r="J1441" s="21" t="s">
        <v>23</v>
      </c>
      <c r="K1441" s="23" t="s">
        <v>24</v>
      </c>
      <c r="L1441" s="22" t="s">
        <v>25</v>
      </c>
      <c r="M1441" s="7"/>
      <c r="N1441" s="1626" t="s">
        <v>26</v>
      </c>
      <c r="O1441" s="1626" t="s">
        <v>27</v>
      </c>
      <c r="P1441" s="7"/>
    </row>
    <row r="1442" spans="1:16" x14ac:dyDescent="0.2">
      <c r="A1442" s="7"/>
      <c r="B1442" s="647"/>
      <c r="C1442" s="7"/>
      <c r="D1442" s="1626"/>
      <c r="E1442" s="20"/>
      <c r="F1442" s="24" t="s">
        <v>452</v>
      </c>
      <c r="G1442" s="24"/>
      <c r="H1442" s="25" t="s">
        <v>452</v>
      </c>
      <c r="I1442" s="7"/>
      <c r="J1442" s="24" t="s">
        <v>452</v>
      </c>
      <c r="K1442" s="25"/>
      <c r="L1442" s="25" t="s">
        <v>452</v>
      </c>
      <c r="M1442" s="7"/>
      <c r="N1442" s="1626"/>
      <c r="O1442" s="1626"/>
      <c r="P1442" s="7"/>
    </row>
    <row r="1443" spans="1:16" x14ac:dyDescent="0.2">
      <c r="A1443" s="7"/>
      <c r="B1443" s="26" t="s">
        <v>28</v>
      </c>
      <c r="C1443" s="26"/>
      <c r="D1443" s="1005" t="s">
        <v>1130</v>
      </c>
      <c r="E1443" s="27"/>
      <c r="F1443" s="1006">
        <v>15.68</v>
      </c>
      <c r="G1443" s="32">
        <v>1</v>
      </c>
      <c r="H1443" s="1007">
        <f>G1443*F1443</f>
        <v>15.68</v>
      </c>
      <c r="I1443" s="30"/>
      <c r="J1443" s="1008">
        <v>13.45</v>
      </c>
      <c r="K1443" s="33">
        <v>1</v>
      </c>
      <c r="L1443" s="1007">
        <f>K1443*J1443</f>
        <v>13.45</v>
      </c>
      <c r="M1443" s="30"/>
      <c r="N1443" s="34">
        <f>L1443-H1443</f>
        <v>-2.2300000000000004</v>
      </c>
      <c r="O1443" s="202">
        <f>IF((H1443)=0,"",(N1443/H1443))</f>
        <v>-0.14221938775510207</v>
      </c>
      <c r="P1443" s="7"/>
    </row>
    <row r="1444" spans="1:16" x14ac:dyDescent="0.2">
      <c r="A1444" s="7"/>
      <c r="B1444" s="26" t="s">
        <v>29</v>
      </c>
      <c r="C1444" s="26"/>
      <c r="D1444" s="1005" t="s">
        <v>1130</v>
      </c>
      <c r="E1444" s="27"/>
      <c r="F1444" s="1006">
        <v>0</v>
      </c>
      <c r="G1444" s="32">
        <v>1</v>
      </c>
      <c r="H1444" s="1007">
        <f t="shared" ref="H1444:H1452" si="126">G1444*F1444</f>
        <v>0</v>
      </c>
      <c r="I1444" s="30"/>
      <c r="J1444" s="1008">
        <v>0</v>
      </c>
      <c r="K1444" s="33">
        <v>1</v>
      </c>
      <c r="L1444" s="1007">
        <f>K1444*J1444</f>
        <v>0</v>
      </c>
      <c r="M1444" s="30"/>
      <c r="N1444" s="34">
        <f>L1444-H1444</f>
        <v>0</v>
      </c>
      <c r="O1444" s="202" t="str">
        <f>IF((H1444)=0,"",(N1444/H1444))</f>
        <v/>
      </c>
      <c r="P1444" s="7"/>
    </row>
    <row r="1445" spans="1:16" x14ac:dyDescent="0.2">
      <c r="A1445" s="7"/>
      <c r="B1445" s="1009" t="s">
        <v>1131</v>
      </c>
      <c r="C1445" s="26"/>
      <c r="D1445" s="1005" t="s">
        <v>80</v>
      </c>
      <c r="E1445" s="27"/>
      <c r="F1445" s="1006">
        <v>-8.0000000000000004E-4</v>
      </c>
      <c r="G1445" s="32">
        <f>F1438</f>
        <v>100</v>
      </c>
      <c r="H1445" s="1007">
        <f t="shared" si="126"/>
        <v>-0.08</v>
      </c>
      <c r="I1445" s="30"/>
      <c r="J1445" s="1008">
        <v>0</v>
      </c>
      <c r="K1445" s="33"/>
      <c r="L1445" s="1007">
        <f t="shared" ref="L1445:L1452" si="127">K1445*J1445</f>
        <v>0</v>
      </c>
      <c r="M1445" s="30"/>
      <c r="N1445" s="34">
        <f t="shared" ref="N1445:N1483" si="128">L1445-H1445</f>
        <v>0.08</v>
      </c>
      <c r="O1445" s="202">
        <f t="shared" ref="O1445:O1453" si="129">IF((H1445)=0,"",(N1445/H1445))</f>
        <v>-1</v>
      </c>
      <c r="P1445" s="7"/>
    </row>
    <row r="1446" spans="1:16" x14ac:dyDescent="0.2">
      <c r="A1446" s="7"/>
      <c r="B1446" s="1009" t="s">
        <v>36</v>
      </c>
      <c r="C1446" s="26"/>
      <c r="D1446" s="1005" t="s">
        <v>1130</v>
      </c>
      <c r="E1446" s="27"/>
      <c r="F1446" s="1006">
        <v>0.25</v>
      </c>
      <c r="G1446" s="32">
        <v>1</v>
      </c>
      <c r="H1446" s="1007">
        <f t="shared" si="126"/>
        <v>0.25</v>
      </c>
      <c r="I1446" s="30"/>
      <c r="J1446" s="1008">
        <v>0.25</v>
      </c>
      <c r="K1446" s="33">
        <v>1</v>
      </c>
      <c r="L1446" s="1007">
        <f t="shared" si="127"/>
        <v>0.25</v>
      </c>
      <c r="M1446" s="30"/>
      <c r="N1446" s="34">
        <f t="shared" si="128"/>
        <v>0</v>
      </c>
      <c r="O1446" s="202">
        <f t="shared" si="129"/>
        <v>0</v>
      </c>
      <c r="P1446" s="7"/>
    </row>
    <row r="1447" spans="1:16" x14ac:dyDescent="0.2">
      <c r="A1447" s="7"/>
      <c r="B1447" s="26" t="s">
        <v>30</v>
      </c>
      <c r="C1447" s="26"/>
      <c r="D1447" s="1005" t="s">
        <v>79</v>
      </c>
      <c r="E1447" s="27"/>
      <c r="F1447" s="1006">
        <v>4.2599999999999999E-2</v>
      </c>
      <c r="G1447" s="32">
        <f>F1438</f>
        <v>100</v>
      </c>
      <c r="H1447" s="1007">
        <f t="shared" si="126"/>
        <v>4.26</v>
      </c>
      <c r="I1447" s="30"/>
      <c r="J1447" s="1008">
        <v>3.6499999999999998E-2</v>
      </c>
      <c r="K1447" s="32">
        <f>F1438</f>
        <v>100</v>
      </c>
      <c r="L1447" s="1007">
        <f t="shared" si="127"/>
        <v>3.65</v>
      </c>
      <c r="M1447" s="30"/>
      <c r="N1447" s="34">
        <f t="shared" si="128"/>
        <v>-0.60999999999999988</v>
      </c>
      <c r="O1447" s="202">
        <f t="shared" si="129"/>
        <v>-0.14319248826291078</v>
      </c>
      <c r="P1447" s="7"/>
    </row>
    <row r="1448" spans="1:16" x14ac:dyDescent="0.2">
      <c r="A1448" s="7"/>
      <c r="B1448" s="26" t="s">
        <v>31</v>
      </c>
      <c r="C1448" s="26"/>
      <c r="D1448" s="1005"/>
      <c r="E1448" s="27"/>
      <c r="F1448" s="1006"/>
      <c r="G1448" s="32"/>
      <c r="H1448" s="1007">
        <f t="shared" si="126"/>
        <v>0</v>
      </c>
      <c r="I1448" s="30"/>
      <c r="J1448" s="1008"/>
      <c r="K1448" s="32"/>
      <c r="L1448" s="1007">
        <f t="shared" si="127"/>
        <v>0</v>
      </c>
      <c r="M1448" s="30"/>
      <c r="N1448" s="34">
        <f t="shared" si="128"/>
        <v>0</v>
      </c>
      <c r="O1448" s="202" t="str">
        <f t="shared" si="129"/>
        <v/>
      </c>
      <c r="P1448" s="7"/>
    </row>
    <row r="1449" spans="1:16" x14ac:dyDescent="0.2">
      <c r="A1449" s="7"/>
      <c r="B1449" s="26" t="s">
        <v>1132</v>
      </c>
      <c r="C1449" s="26"/>
      <c r="D1449" s="1005" t="s">
        <v>80</v>
      </c>
      <c r="E1449" s="27"/>
      <c r="F1449" s="1006">
        <v>0</v>
      </c>
      <c r="G1449" s="32">
        <f>F1438</f>
        <v>100</v>
      </c>
      <c r="H1449" s="1007">
        <f t="shared" si="126"/>
        <v>0</v>
      </c>
      <c r="I1449" s="30"/>
      <c r="J1449" s="1008">
        <v>0</v>
      </c>
      <c r="K1449" s="32">
        <f>F1438</f>
        <v>100</v>
      </c>
      <c r="L1449" s="1007">
        <f t="shared" si="127"/>
        <v>0</v>
      </c>
      <c r="M1449" s="30"/>
      <c r="N1449" s="34">
        <f t="shared" si="128"/>
        <v>0</v>
      </c>
      <c r="O1449" s="202" t="str">
        <f t="shared" si="129"/>
        <v/>
      </c>
      <c r="P1449" s="7"/>
    </row>
    <row r="1450" spans="1:16" x14ac:dyDescent="0.2">
      <c r="A1450" s="7"/>
      <c r="B1450" s="26" t="s">
        <v>1133</v>
      </c>
      <c r="C1450" s="26"/>
      <c r="D1450" s="1005" t="s">
        <v>80</v>
      </c>
      <c r="E1450" s="27"/>
      <c r="F1450" s="1006">
        <v>0</v>
      </c>
      <c r="G1450" s="32">
        <f>F1438</f>
        <v>100</v>
      </c>
      <c r="H1450" s="1007">
        <f t="shared" si="126"/>
        <v>0</v>
      </c>
      <c r="I1450" s="30"/>
      <c r="J1450" s="1008">
        <v>0</v>
      </c>
      <c r="K1450" s="32">
        <f>F1438</f>
        <v>100</v>
      </c>
      <c r="L1450" s="1007">
        <f t="shared" si="127"/>
        <v>0</v>
      </c>
      <c r="M1450" s="30"/>
      <c r="N1450" s="34">
        <f t="shared" si="128"/>
        <v>0</v>
      </c>
      <c r="O1450" s="202" t="str">
        <f t="shared" si="129"/>
        <v/>
      </c>
      <c r="P1450" s="7"/>
    </row>
    <row r="1451" spans="1:16" x14ac:dyDescent="0.2">
      <c r="A1451" s="7"/>
      <c r="B1451" s="26" t="s">
        <v>1134</v>
      </c>
      <c r="C1451" s="26"/>
      <c r="D1451" s="1005" t="s">
        <v>80</v>
      </c>
      <c r="E1451" s="27"/>
      <c r="F1451" s="1006">
        <v>0</v>
      </c>
      <c r="G1451" s="32">
        <f>F1438</f>
        <v>100</v>
      </c>
      <c r="H1451" s="1007">
        <f t="shared" si="126"/>
        <v>0</v>
      </c>
      <c r="I1451" s="30"/>
      <c r="J1451" s="1008">
        <v>0</v>
      </c>
      <c r="K1451" s="32">
        <f>F1438</f>
        <v>100</v>
      </c>
      <c r="L1451" s="1007">
        <f t="shared" si="127"/>
        <v>0</v>
      </c>
      <c r="M1451" s="30"/>
      <c r="N1451" s="34">
        <f t="shared" si="128"/>
        <v>0</v>
      </c>
      <c r="O1451" s="202" t="str">
        <f t="shared" si="129"/>
        <v/>
      </c>
      <c r="P1451" s="7"/>
    </row>
    <row r="1452" spans="1:16" x14ac:dyDescent="0.2">
      <c r="A1452" s="7"/>
      <c r="B1452" s="1010" t="s">
        <v>1135</v>
      </c>
      <c r="C1452" s="26"/>
      <c r="D1452" s="1005" t="s">
        <v>1130</v>
      </c>
      <c r="E1452" s="27"/>
      <c r="F1452" s="1006">
        <v>0</v>
      </c>
      <c r="G1452" s="32">
        <v>1</v>
      </c>
      <c r="H1452" s="1007">
        <f t="shared" si="126"/>
        <v>0</v>
      </c>
      <c r="I1452" s="30"/>
      <c r="J1452" s="1008">
        <v>0</v>
      </c>
      <c r="K1452" s="32">
        <v>1</v>
      </c>
      <c r="L1452" s="1007">
        <f t="shared" si="127"/>
        <v>0</v>
      </c>
      <c r="M1452" s="30"/>
      <c r="N1452" s="34">
        <f t="shared" si="128"/>
        <v>0</v>
      </c>
      <c r="O1452" s="202" t="str">
        <f t="shared" si="129"/>
        <v/>
      </c>
      <c r="P1452" s="7"/>
    </row>
    <row r="1453" spans="1:16" x14ac:dyDescent="0.2">
      <c r="A1453" s="29"/>
      <c r="B1453" s="1011" t="s">
        <v>698</v>
      </c>
      <c r="C1453" s="1012"/>
      <c r="D1453" s="1013"/>
      <c r="E1453" s="1012"/>
      <c r="F1453" s="1014"/>
      <c r="G1453" s="1015"/>
      <c r="H1453" s="1016">
        <f>SUM(H1443:H1452)</f>
        <v>20.11</v>
      </c>
      <c r="I1453" s="1017"/>
      <c r="J1453" s="1018"/>
      <c r="K1453" s="1019"/>
      <c r="L1453" s="1016">
        <f>SUM(L1443:L1452)</f>
        <v>17.349999999999998</v>
      </c>
      <c r="M1453" s="1017"/>
      <c r="N1453" s="1020">
        <f t="shared" si="128"/>
        <v>-2.7600000000000016</v>
      </c>
      <c r="O1453" s="1021">
        <f t="shared" si="129"/>
        <v>-0.13724515166583798</v>
      </c>
      <c r="P1453" s="29"/>
    </row>
    <row r="1454" spans="1:16" ht="38.25" x14ac:dyDescent="0.2">
      <c r="A1454" s="7"/>
      <c r="B1454" s="1022" t="s">
        <v>1136</v>
      </c>
      <c r="C1454" s="26"/>
      <c r="D1454" s="1005" t="s">
        <v>79</v>
      </c>
      <c r="E1454" s="27"/>
      <c r="F1454" s="1006">
        <v>1.1999999999999999E-3</v>
      </c>
      <c r="G1454" s="32">
        <f>F1438</f>
        <v>100</v>
      </c>
      <c r="H1454" s="1007">
        <f>G1454*F1454</f>
        <v>0.12</v>
      </c>
      <c r="I1454" s="30"/>
      <c r="J1454" s="1008">
        <v>0</v>
      </c>
      <c r="K1454" s="32">
        <f>F1438</f>
        <v>100</v>
      </c>
      <c r="L1454" s="1007">
        <f>K1454*J1454</f>
        <v>0</v>
      </c>
      <c r="M1454" s="30"/>
      <c r="N1454" s="34">
        <f t="shared" si="128"/>
        <v>-0.12</v>
      </c>
      <c r="O1454" s="202">
        <f>IF((H1454)=0,"",(N1454/H1454))</f>
        <v>-1</v>
      </c>
      <c r="P1454" s="7"/>
    </row>
    <row r="1455" spans="1:16" ht="38.25" x14ac:dyDescent="0.2">
      <c r="A1455" s="7"/>
      <c r="B1455" s="1022" t="s">
        <v>1137</v>
      </c>
      <c r="C1455" s="26"/>
      <c r="D1455" s="1005" t="s">
        <v>79</v>
      </c>
      <c r="E1455" s="27"/>
      <c r="F1455" s="1006">
        <v>-2E-3</v>
      </c>
      <c r="G1455" s="32">
        <f>F1438</f>
        <v>100</v>
      </c>
      <c r="H1455" s="1007">
        <f>G1455*F1455</f>
        <v>-0.2</v>
      </c>
      <c r="I1455" s="30"/>
      <c r="J1455" s="1008">
        <v>-2E-3</v>
      </c>
      <c r="K1455" s="32">
        <f>F1438</f>
        <v>100</v>
      </c>
      <c r="L1455" s="1007">
        <f>K1455*J1455</f>
        <v>-0.2</v>
      </c>
      <c r="M1455" s="30"/>
      <c r="N1455" s="34">
        <f t="shared" si="128"/>
        <v>0</v>
      </c>
      <c r="O1455" s="202">
        <f>IF((H1455)=0,"",(N1455/H1455))</f>
        <v>0</v>
      </c>
      <c r="P1455" s="7"/>
    </row>
    <row r="1456" spans="1:16" ht="51" x14ac:dyDescent="0.2">
      <c r="A1456" s="7"/>
      <c r="B1456" s="1022" t="s">
        <v>1138</v>
      </c>
      <c r="C1456" s="26"/>
      <c r="D1456" s="1005" t="s">
        <v>79</v>
      </c>
      <c r="E1456" s="27"/>
      <c r="F1456" s="1006">
        <v>0</v>
      </c>
      <c r="G1456" s="32">
        <f>F1438</f>
        <v>100</v>
      </c>
      <c r="H1456" s="1007">
        <f>G1456*F1456</f>
        <v>0</v>
      </c>
      <c r="I1456" s="30"/>
      <c r="J1456" s="1008">
        <v>-1.1999999999999999E-3</v>
      </c>
      <c r="K1456" s="32">
        <f>F1438</f>
        <v>100</v>
      </c>
      <c r="L1456" s="1007">
        <f>K1456*J1456</f>
        <v>-0.12</v>
      </c>
      <c r="M1456" s="30"/>
      <c r="N1456" s="34">
        <f t="shared" si="128"/>
        <v>-0.12</v>
      </c>
      <c r="O1456" s="202" t="str">
        <f>IF((H1456)=0,"",(N1456/H1456))</f>
        <v/>
      </c>
      <c r="P1456" s="7"/>
    </row>
    <row r="1457" spans="1:16" x14ac:dyDescent="0.2">
      <c r="A1457" s="7"/>
      <c r="B1457" s="564" t="s">
        <v>808</v>
      </c>
      <c r="C1457" s="26"/>
      <c r="D1457" s="1005" t="s">
        <v>79</v>
      </c>
      <c r="E1457" s="27"/>
      <c r="F1457" s="1006">
        <v>2.0000000000000001E-4</v>
      </c>
      <c r="G1457" s="32">
        <f>F1438</f>
        <v>100</v>
      </c>
      <c r="H1457" s="1007">
        <f>G1457*F1457</f>
        <v>0.02</v>
      </c>
      <c r="I1457" s="30"/>
      <c r="J1457" s="1008">
        <v>2.0000000000000001E-4</v>
      </c>
      <c r="K1457" s="32">
        <f>F1438</f>
        <v>100</v>
      </c>
      <c r="L1457" s="1007">
        <f>K1457*J1457</f>
        <v>0.02</v>
      </c>
      <c r="M1457" s="30"/>
      <c r="N1457" s="34">
        <f t="shared" si="128"/>
        <v>0</v>
      </c>
      <c r="O1457" s="202">
        <f>IF((H1457)=0,"",(N1457/H1457))</f>
        <v>0</v>
      </c>
      <c r="P1457" s="7"/>
    </row>
    <row r="1458" spans="1:16" x14ac:dyDescent="0.2">
      <c r="A1458" s="7"/>
      <c r="B1458" s="564" t="s">
        <v>701</v>
      </c>
      <c r="C1458" s="26"/>
      <c r="D1458" s="1005"/>
      <c r="E1458" s="27"/>
      <c r="F1458" s="1023"/>
      <c r="G1458" s="1024"/>
      <c r="H1458" s="1025"/>
      <c r="I1458" s="30"/>
      <c r="J1458" s="1008"/>
      <c r="K1458" s="32">
        <f>F1438</f>
        <v>100</v>
      </c>
      <c r="L1458" s="1007">
        <f>K1458*J1458</f>
        <v>0</v>
      </c>
      <c r="M1458" s="30"/>
      <c r="N1458" s="34">
        <f t="shared" si="128"/>
        <v>0</v>
      </c>
      <c r="O1458" s="202"/>
      <c r="P1458" s="7"/>
    </row>
    <row r="1459" spans="1:16" ht="25.5" x14ac:dyDescent="0.2">
      <c r="A1459" s="7"/>
      <c r="B1459" s="1026" t="s">
        <v>699</v>
      </c>
      <c r="C1459" s="1027"/>
      <c r="D1459" s="1027"/>
      <c r="E1459" s="1027"/>
      <c r="F1459" s="1028"/>
      <c r="G1459" s="1029"/>
      <c r="H1459" s="1030">
        <f>SUM(H1453:H1458)</f>
        <v>20.05</v>
      </c>
      <c r="I1459" s="1017"/>
      <c r="J1459" s="1029"/>
      <c r="K1459" s="1031"/>
      <c r="L1459" s="1030">
        <f>SUM(L1453:L1458)</f>
        <v>17.049999999999997</v>
      </c>
      <c r="M1459" s="1017"/>
      <c r="N1459" s="1020">
        <f t="shared" si="128"/>
        <v>-3.0000000000000036</v>
      </c>
      <c r="O1459" s="1021">
        <f t="shared" ref="O1459:O1483" si="130">IF((H1459)=0,"",(N1459/H1459))</f>
        <v>-0.14962593516209494</v>
      </c>
      <c r="P1459" s="7"/>
    </row>
    <row r="1460" spans="1:16" x14ac:dyDescent="0.2">
      <c r="A1460" s="7"/>
      <c r="B1460" s="30" t="s">
        <v>32</v>
      </c>
      <c r="C1460" s="30"/>
      <c r="D1460" s="1032" t="s">
        <v>79</v>
      </c>
      <c r="E1460" s="31"/>
      <c r="F1460" s="1008">
        <v>6.3E-3</v>
      </c>
      <c r="G1460" s="667">
        <f>F1438*(1+F1486)</f>
        <v>103.56</v>
      </c>
      <c r="H1460" s="1007">
        <f>G1460*F1460</f>
        <v>0.65242800000000001</v>
      </c>
      <c r="I1460" s="30"/>
      <c r="J1460" s="1008">
        <v>5.7999999999999996E-3</v>
      </c>
      <c r="K1460" s="668">
        <f>F1438*(1+J1486)</f>
        <v>104.20540642790152</v>
      </c>
      <c r="L1460" s="1007">
        <f>K1460*J1460</f>
        <v>0.6043913572818288</v>
      </c>
      <c r="M1460" s="30"/>
      <c r="N1460" s="34">
        <f t="shared" si="128"/>
        <v>-4.8036642718171207E-2</v>
      </c>
      <c r="O1460" s="202">
        <f t="shared" si="130"/>
        <v>-7.3627500227107373E-2</v>
      </c>
      <c r="P1460" s="7"/>
    </row>
    <row r="1461" spans="1:16" ht="25.5" x14ac:dyDescent="0.2">
      <c r="A1461" s="7"/>
      <c r="B1461" s="35" t="s">
        <v>33</v>
      </c>
      <c r="C1461" s="30"/>
      <c r="D1461" s="1032" t="s">
        <v>79</v>
      </c>
      <c r="E1461" s="31"/>
      <c r="F1461" s="1008">
        <v>5.0000000000000001E-3</v>
      </c>
      <c r="G1461" s="667">
        <f>G1460</f>
        <v>103.56</v>
      </c>
      <c r="H1461" s="1007">
        <f>G1461*F1461</f>
        <v>0.51780000000000004</v>
      </c>
      <c r="I1461" s="30"/>
      <c r="J1461" s="1008">
        <v>4.7999999999999996E-3</v>
      </c>
      <c r="K1461" s="668">
        <f>K1460</f>
        <v>104.20540642790152</v>
      </c>
      <c r="L1461" s="1007">
        <f>K1461*J1461</f>
        <v>0.50018595085392725</v>
      </c>
      <c r="M1461" s="30"/>
      <c r="N1461" s="34">
        <f t="shared" si="128"/>
        <v>-1.7614049146072785E-2</v>
      </c>
      <c r="O1461" s="202">
        <f t="shared" si="130"/>
        <v>-3.4017089891990697E-2</v>
      </c>
      <c r="P1461" s="7"/>
    </row>
    <row r="1462" spans="1:16" ht="25.5" x14ac:dyDescent="0.2">
      <c r="A1462" s="7"/>
      <c r="B1462" s="1026" t="s">
        <v>700</v>
      </c>
      <c r="C1462" s="1012"/>
      <c r="D1462" s="1012"/>
      <c r="E1462" s="1012"/>
      <c r="F1462" s="1033"/>
      <c r="G1462" s="1029"/>
      <c r="H1462" s="1030">
        <f>SUM(H1459:H1461)</f>
        <v>21.220228000000002</v>
      </c>
      <c r="I1462" s="1034"/>
      <c r="J1462" s="1035"/>
      <c r="K1462" s="1036"/>
      <c r="L1462" s="1030">
        <f>SUM(L1459:L1461)</f>
        <v>18.154577308135757</v>
      </c>
      <c r="M1462" s="1034"/>
      <c r="N1462" s="1020">
        <f t="shared" si="128"/>
        <v>-3.0656506918642457</v>
      </c>
      <c r="O1462" s="1021">
        <f t="shared" si="130"/>
        <v>-0.14446832012663791</v>
      </c>
      <c r="P1462" s="7"/>
    </row>
    <row r="1463" spans="1:16" ht="25.5" x14ac:dyDescent="0.2">
      <c r="A1463" s="7"/>
      <c r="B1463" s="28" t="s">
        <v>34</v>
      </c>
      <c r="C1463" s="26"/>
      <c r="D1463" s="1005" t="s">
        <v>79</v>
      </c>
      <c r="E1463" s="27"/>
      <c r="F1463" s="1037">
        <v>5.1999999999999998E-3</v>
      </c>
      <c r="G1463" s="667">
        <f>F1438*(1+F1486)</f>
        <v>103.56</v>
      </c>
      <c r="H1463" s="1038">
        <f t="shared" ref="H1463:H1471" si="131">G1463*F1463</f>
        <v>0.53851199999999999</v>
      </c>
      <c r="I1463" s="30"/>
      <c r="J1463" s="1039">
        <v>5.1999999999999998E-3</v>
      </c>
      <c r="K1463" s="668">
        <f>F1438*(1+J1486)</f>
        <v>104.20540642790152</v>
      </c>
      <c r="L1463" s="1038">
        <f t="shared" ref="L1463:L1471" si="132">K1463*J1463</f>
        <v>0.54186811342508789</v>
      </c>
      <c r="M1463" s="30"/>
      <c r="N1463" s="34">
        <f t="shared" si="128"/>
        <v>3.3561134250879032E-3</v>
      </c>
      <c r="O1463" s="565">
        <f t="shared" si="130"/>
        <v>6.2321980291765149E-3</v>
      </c>
      <c r="P1463" s="7"/>
    </row>
    <row r="1464" spans="1:16" ht="25.5" x14ac:dyDescent="0.2">
      <c r="A1464" s="7"/>
      <c r="B1464" s="28" t="s">
        <v>35</v>
      </c>
      <c r="C1464" s="26"/>
      <c r="D1464" s="1005" t="s">
        <v>79</v>
      </c>
      <c r="E1464" s="27"/>
      <c r="F1464" s="1037">
        <v>1.1000000000000001E-3</v>
      </c>
      <c r="G1464" s="667">
        <f>F1438*(1+F1486)</f>
        <v>103.56</v>
      </c>
      <c r="H1464" s="1038">
        <f t="shared" si="131"/>
        <v>0.113916</v>
      </c>
      <c r="I1464" s="30"/>
      <c r="J1464" s="1039">
        <v>1.1000000000000001E-3</v>
      </c>
      <c r="K1464" s="668">
        <f>F1438*(1+J1486)</f>
        <v>104.20540642790152</v>
      </c>
      <c r="L1464" s="1038">
        <f t="shared" si="132"/>
        <v>0.11462594707069168</v>
      </c>
      <c r="M1464" s="30"/>
      <c r="N1464" s="34">
        <f t="shared" si="128"/>
        <v>7.0994707069167717E-4</v>
      </c>
      <c r="O1464" s="565">
        <f t="shared" si="130"/>
        <v>6.2321980291765609E-3</v>
      </c>
      <c r="P1464" s="7"/>
    </row>
    <row r="1465" spans="1:16" x14ac:dyDescent="0.2">
      <c r="A1465" s="7"/>
      <c r="B1465" s="26" t="s">
        <v>36</v>
      </c>
      <c r="C1465" s="26"/>
      <c r="D1465" s="1005"/>
      <c r="E1465" s="27"/>
      <c r="F1465" s="1037"/>
      <c r="G1465" s="32">
        <v>1</v>
      </c>
      <c r="H1465" s="1038">
        <f t="shared" si="131"/>
        <v>0</v>
      </c>
      <c r="I1465" s="30"/>
      <c r="J1465" s="1039"/>
      <c r="K1465" s="33">
        <v>1</v>
      </c>
      <c r="L1465" s="1038">
        <f t="shared" si="132"/>
        <v>0</v>
      </c>
      <c r="M1465" s="30"/>
      <c r="N1465" s="34">
        <f t="shared" si="128"/>
        <v>0</v>
      </c>
      <c r="O1465" s="565" t="str">
        <f t="shared" si="130"/>
        <v/>
      </c>
      <c r="P1465" s="7"/>
    </row>
    <row r="1466" spans="1:16" x14ac:dyDescent="0.2">
      <c r="A1466" s="7"/>
      <c r="B1466" s="26" t="s">
        <v>37</v>
      </c>
      <c r="C1466" s="26"/>
      <c r="D1466" s="1005" t="s">
        <v>79</v>
      </c>
      <c r="E1466" s="27"/>
      <c r="F1466" s="1037">
        <v>7.0000000000000001E-3</v>
      </c>
      <c r="G1466" s="667">
        <f>F1438</f>
        <v>100</v>
      </c>
      <c r="H1466" s="1038">
        <f t="shared" si="131"/>
        <v>0.70000000000000007</v>
      </c>
      <c r="I1466" s="30"/>
      <c r="J1466" s="1039">
        <v>7.0000000000000001E-3</v>
      </c>
      <c r="K1466" s="668">
        <f>F1438</f>
        <v>100</v>
      </c>
      <c r="L1466" s="1038">
        <f t="shared" si="132"/>
        <v>0.70000000000000007</v>
      </c>
      <c r="M1466" s="30"/>
      <c r="N1466" s="34">
        <f t="shared" si="128"/>
        <v>0</v>
      </c>
      <c r="O1466" s="565">
        <f t="shared" si="130"/>
        <v>0</v>
      </c>
      <c r="P1466" s="7"/>
    </row>
    <row r="1467" spans="1:16" x14ac:dyDescent="0.2">
      <c r="A1467" s="7"/>
      <c r="B1467" s="564" t="s">
        <v>777</v>
      </c>
      <c r="C1467" s="26"/>
      <c r="D1467" s="1005" t="s">
        <v>79</v>
      </c>
      <c r="E1467" s="27"/>
      <c r="F1467" s="1040">
        <v>7.4999999999999997E-2</v>
      </c>
      <c r="G1467" s="667">
        <f>IF($G$1463&gt;=750,750,$G$1463)</f>
        <v>103.56</v>
      </c>
      <c r="H1467" s="1038">
        <f>G1467*F1467</f>
        <v>7.7669999999999995</v>
      </c>
      <c r="I1467" s="30"/>
      <c r="J1467" s="1037">
        <v>7.4999999999999997E-2</v>
      </c>
      <c r="K1467" s="667">
        <f>IF($K$1463&gt;=750,750,$K$1463)</f>
        <v>104.20540642790152</v>
      </c>
      <c r="L1467" s="1038">
        <f>K1467*J1467</f>
        <v>7.815405482092614</v>
      </c>
      <c r="M1467" s="30"/>
      <c r="N1467" s="34">
        <f t="shared" si="128"/>
        <v>4.8405482092614527E-2</v>
      </c>
      <c r="O1467" s="565">
        <f t="shared" si="130"/>
        <v>6.2321980291765843E-3</v>
      </c>
      <c r="P1467" s="7"/>
    </row>
    <row r="1468" spans="1:16" x14ac:dyDescent="0.2">
      <c r="A1468" s="7"/>
      <c r="B1468" s="564" t="s">
        <v>778</v>
      </c>
      <c r="C1468" s="26"/>
      <c r="D1468" s="1005" t="s">
        <v>79</v>
      </c>
      <c r="E1468" s="27"/>
      <c r="F1468" s="1040">
        <v>8.7999999999999995E-2</v>
      </c>
      <c r="G1468" s="667">
        <f>IF($G$1463&gt;=750,$G$1463-750,0)</f>
        <v>0</v>
      </c>
      <c r="H1468" s="1038">
        <f>G1468*F1468</f>
        <v>0</v>
      </c>
      <c r="I1468" s="30"/>
      <c r="J1468" s="1037">
        <v>8.7999999999999995E-2</v>
      </c>
      <c r="K1468" s="667">
        <f>IF($K$1463&gt;=750,$K$1463-750,0)</f>
        <v>0</v>
      </c>
      <c r="L1468" s="1038">
        <f>K1468*J1468</f>
        <v>0</v>
      </c>
      <c r="M1468" s="30"/>
      <c r="N1468" s="34">
        <f t="shared" si="128"/>
        <v>0</v>
      </c>
      <c r="O1468" s="565" t="str">
        <f t="shared" si="130"/>
        <v/>
      </c>
      <c r="P1468" s="7"/>
    </row>
    <row r="1469" spans="1:16" x14ac:dyDescent="0.2">
      <c r="A1469" s="7"/>
      <c r="B1469" s="564" t="s">
        <v>779</v>
      </c>
      <c r="C1469" s="26"/>
      <c r="D1469" s="1005" t="s">
        <v>79</v>
      </c>
      <c r="E1469" s="27"/>
      <c r="F1469" s="1040">
        <v>6.5000000000000002E-2</v>
      </c>
      <c r="G1469" s="669">
        <f>0.64*$G$1463</f>
        <v>66.278400000000005</v>
      </c>
      <c r="H1469" s="1038">
        <f t="shared" si="131"/>
        <v>4.3080960000000008</v>
      </c>
      <c r="I1469" s="30"/>
      <c r="J1469" s="1037">
        <v>6.5000000000000002E-2</v>
      </c>
      <c r="K1469" s="1041">
        <f>0.64*$K$1463</f>
        <v>66.691460113856976</v>
      </c>
      <c r="L1469" s="1038">
        <f t="shared" si="132"/>
        <v>4.334944907400704</v>
      </c>
      <c r="M1469" s="30"/>
      <c r="N1469" s="34">
        <f t="shared" si="128"/>
        <v>2.6848907400703226E-2</v>
      </c>
      <c r="O1469" s="565">
        <f t="shared" si="130"/>
        <v>6.2321980291765132E-3</v>
      </c>
      <c r="P1469" s="7"/>
    </row>
    <row r="1470" spans="1:16" x14ac:dyDescent="0.2">
      <c r="A1470" s="7"/>
      <c r="B1470" s="564" t="s">
        <v>780</v>
      </c>
      <c r="C1470" s="26"/>
      <c r="D1470" s="1005" t="s">
        <v>79</v>
      </c>
      <c r="E1470" s="27"/>
      <c r="F1470" s="1040">
        <v>0.1</v>
      </c>
      <c r="G1470" s="669">
        <f>0.18*$G$1463</f>
        <v>18.640799999999999</v>
      </c>
      <c r="H1470" s="1038">
        <f t="shared" si="131"/>
        <v>1.86408</v>
      </c>
      <c r="I1470" s="30"/>
      <c r="J1470" s="1037">
        <v>0.1</v>
      </c>
      <c r="K1470" s="1041">
        <f>0.18*$K$1463</f>
        <v>18.756973157022273</v>
      </c>
      <c r="L1470" s="1038">
        <f t="shared" si="132"/>
        <v>1.8756973157022274</v>
      </c>
      <c r="M1470" s="30"/>
      <c r="N1470" s="34">
        <f t="shared" si="128"/>
        <v>1.161731570222746E-2</v>
      </c>
      <c r="O1470" s="565">
        <f t="shared" si="130"/>
        <v>6.2321980291765696E-3</v>
      </c>
      <c r="P1470" s="7"/>
    </row>
    <row r="1471" spans="1:16" ht="13.5" thickBot="1" x14ac:dyDescent="0.25">
      <c r="A1471" s="7"/>
      <c r="B1471" s="647" t="s">
        <v>781</v>
      </c>
      <c r="C1471" s="26"/>
      <c r="D1471" s="1005" t="s">
        <v>79</v>
      </c>
      <c r="E1471" s="27"/>
      <c r="F1471" s="1040">
        <v>0.11700000000000001</v>
      </c>
      <c r="G1471" s="669">
        <f>0.18*$G$1463</f>
        <v>18.640799999999999</v>
      </c>
      <c r="H1471" s="1038">
        <f t="shared" si="131"/>
        <v>2.1809736000000002</v>
      </c>
      <c r="I1471" s="30"/>
      <c r="J1471" s="1037">
        <v>0.11700000000000001</v>
      </c>
      <c r="K1471" s="1041">
        <f>0.18*$K$1463</f>
        <v>18.756973157022273</v>
      </c>
      <c r="L1471" s="1038">
        <f t="shared" si="132"/>
        <v>2.1945658593716062</v>
      </c>
      <c r="M1471" s="30"/>
      <c r="N1471" s="34">
        <f t="shared" si="128"/>
        <v>1.3592259371606019E-2</v>
      </c>
      <c r="O1471" s="565">
        <f t="shared" si="130"/>
        <v>6.2321980291765193E-3</v>
      </c>
      <c r="P1471" s="7"/>
    </row>
    <row r="1472" spans="1:16" ht="13.5" thickBot="1" x14ac:dyDescent="0.25">
      <c r="A1472" s="7"/>
      <c r="B1472" s="1042"/>
      <c r="C1472" s="1043"/>
      <c r="D1472" s="1044"/>
      <c r="E1472" s="1043"/>
      <c r="F1472" s="1045"/>
      <c r="G1472" s="1046"/>
      <c r="H1472" s="1047"/>
      <c r="I1472" s="1048"/>
      <c r="J1472" s="1045"/>
      <c r="K1472" s="1049"/>
      <c r="L1472" s="1047"/>
      <c r="M1472" s="1048"/>
      <c r="N1472" s="1050"/>
      <c r="O1472" s="1051"/>
      <c r="P1472" s="7"/>
    </row>
    <row r="1473" spans="1:16" x14ac:dyDescent="0.2">
      <c r="A1473" s="7"/>
      <c r="B1473" s="36" t="s">
        <v>782</v>
      </c>
      <c r="C1473" s="26"/>
      <c r="D1473" s="26"/>
      <c r="E1473" s="26"/>
      <c r="F1473" s="662"/>
      <c r="G1473" s="652"/>
      <c r="H1473" s="656">
        <f>SUM(H1462:H1468)</f>
        <v>30.339656000000002</v>
      </c>
      <c r="I1473" s="660"/>
      <c r="J1473" s="661"/>
      <c r="K1473" s="661"/>
      <c r="L1473" s="655">
        <f>SUM(L1462:L1468)</f>
        <v>27.326476850724152</v>
      </c>
      <c r="M1473" s="654"/>
      <c r="N1473" s="659">
        <f t="shared" si="128"/>
        <v>-3.0131791492758495</v>
      </c>
      <c r="O1473" s="657">
        <f t="shared" si="130"/>
        <v>-9.9314875200821301E-2</v>
      </c>
      <c r="P1473" s="7"/>
    </row>
    <row r="1474" spans="1:16" ht="12.75" customHeight="1" x14ac:dyDescent="0.2">
      <c r="A1474" s="7"/>
      <c r="B1474" s="650" t="s">
        <v>38</v>
      </c>
      <c r="C1474" s="26"/>
      <c r="D1474" s="26"/>
      <c r="E1474" s="26"/>
      <c r="F1474" s="649">
        <v>0.13</v>
      </c>
      <c r="G1474" s="652"/>
      <c r="H1474" s="670">
        <f>H1473*F1474</f>
        <v>3.9441552800000004</v>
      </c>
      <c r="I1474" s="648"/>
      <c r="J1474" s="676">
        <v>0.13</v>
      </c>
      <c r="K1474" s="677"/>
      <c r="L1474" s="672">
        <f>L1473*J1474</f>
        <v>3.55244199059414</v>
      </c>
      <c r="M1474" s="673"/>
      <c r="N1474" s="674">
        <f t="shared" si="128"/>
        <v>-0.39171328940586037</v>
      </c>
      <c r="O1474" s="675">
        <f t="shared" si="130"/>
        <v>-9.9314875200821287E-2</v>
      </c>
      <c r="P1474" s="7"/>
    </row>
    <row r="1475" spans="1:16" ht="13.5" customHeight="1" x14ac:dyDescent="0.2">
      <c r="A1475" s="7"/>
      <c r="B1475" s="651" t="s">
        <v>1139</v>
      </c>
      <c r="C1475" s="26"/>
      <c r="D1475" s="26"/>
      <c r="E1475" s="26"/>
      <c r="F1475" s="658"/>
      <c r="G1475" s="653"/>
      <c r="H1475" s="670">
        <f>H1473+H1474</f>
        <v>34.283811280000002</v>
      </c>
      <c r="I1475" s="648"/>
      <c r="J1475" s="648"/>
      <c r="K1475" s="648"/>
      <c r="L1475" s="672">
        <f>L1473+L1474</f>
        <v>30.878918841318292</v>
      </c>
      <c r="M1475" s="673"/>
      <c r="N1475" s="674">
        <f t="shared" si="128"/>
        <v>-3.4048924386817099</v>
      </c>
      <c r="O1475" s="675">
        <f t="shared" si="130"/>
        <v>-9.9314875200821301E-2</v>
      </c>
      <c r="P1475" s="7"/>
    </row>
    <row r="1476" spans="1:16" ht="12.75" customHeight="1" x14ac:dyDescent="0.2">
      <c r="A1476" s="7"/>
      <c r="B1476" s="1626" t="s">
        <v>1140</v>
      </c>
      <c r="C1476" s="1626"/>
      <c r="D1476" s="1626"/>
      <c r="E1476" s="26"/>
      <c r="F1476" s="658"/>
      <c r="G1476" s="653"/>
      <c r="H1476" s="1052">
        <f>ROUND(-H1475*10%,2)</f>
        <v>-3.43</v>
      </c>
      <c r="I1476" s="648"/>
      <c r="J1476" s="648"/>
      <c r="K1476" s="648"/>
      <c r="L1476" s="1053">
        <f>ROUND(-L1475*10%,2)</f>
        <v>-3.09</v>
      </c>
      <c r="M1476" s="673"/>
      <c r="N1476" s="1054">
        <f t="shared" si="128"/>
        <v>0.3400000000000003</v>
      </c>
      <c r="O1476" s="1055">
        <f t="shared" si="130"/>
        <v>-9.9125364431486965E-2</v>
      </c>
      <c r="P1476" s="7"/>
    </row>
    <row r="1477" spans="1:16" ht="13.5" customHeight="1" thickBot="1" x14ac:dyDescent="0.25">
      <c r="A1477" s="7"/>
      <c r="B1477" s="1626" t="s">
        <v>785</v>
      </c>
      <c r="C1477" s="1626"/>
      <c r="D1477" s="1626"/>
      <c r="E1477" s="1056"/>
      <c r="F1477" s="1057"/>
      <c r="G1477" s="1058"/>
      <c r="H1477" s="1059">
        <f>SUM(H1475:H1476)</f>
        <v>30.853811280000002</v>
      </c>
      <c r="I1477" s="1060"/>
      <c r="J1477" s="1060"/>
      <c r="K1477" s="1060"/>
      <c r="L1477" s="1061">
        <f>SUM(L1475:L1476)</f>
        <v>27.788918841318292</v>
      </c>
      <c r="M1477" s="1062"/>
      <c r="N1477" s="1063">
        <f t="shared" si="128"/>
        <v>-3.06489243868171</v>
      </c>
      <c r="O1477" s="1064">
        <f t="shared" si="130"/>
        <v>-9.9335943001259905E-2</v>
      </c>
      <c r="P1477" s="7"/>
    </row>
    <row r="1478" spans="1:16" ht="13.5" thickBot="1" x14ac:dyDescent="0.25">
      <c r="A1478" s="7"/>
      <c r="B1478" s="1042"/>
      <c r="C1478" s="1043"/>
      <c r="D1478" s="1044"/>
      <c r="E1478" s="1043"/>
      <c r="F1478" s="1065"/>
      <c r="G1478" s="1066"/>
      <c r="H1478" s="1067"/>
      <c r="I1478" s="1068"/>
      <c r="J1478" s="1065"/>
      <c r="K1478" s="1046"/>
      <c r="L1478" s="1069"/>
      <c r="M1478" s="1048"/>
      <c r="N1478" s="1070"/>
      <c r="O1478" s="1051"/>
      <c r="P1478" s="7"/>
    </row>
    <row r="1479" spans="1:16" x14ac:dyDescent="0.2">
      <c r="A1479" s="7"/>
      <c r="B1479" s="36" t="s">
        <v>783</v>
      </c>
      <c r="C1479" s="26"/>
      <c r="D1479" s="26"/>
      <c r="E1479" s="26"/>
      <c r="F1479" s="662"/>
      <c r="G1479" s="652"/>
      <c r="H1479" s="656">
        <f>SUM(H1462:H1466,H1469:H1471)</f>
        <v>30.925805600000004</v>
      </c>
      <c r="I1479" s="660"/>
      <c r="J1479" s="661"/>
      <c r="K1479" s="661"/>
      <c r="L1479" s="666">
        <f>SUM(L1462:L1466,L1469:L1471)</f>
        <v>27.916279451106075</v>
      </c>
      <c r="M1479" s="654"/>
      <c r="N1479" s="659">
        <f>L1479-H1479</f>
        <v>-3.0095261488939293</v>
      </c>
      <c r="O1479" s="657">
        <f>IF((H1479)=0,"",(N1479/H1479))</f>
        <v>-9.7314397814552936E-2</v>
      </c>
      <c r="P1479" s="7"/>
    </row>
    <row r="1480" spans="1:16" ht="12.75" customHeight="1" x14ac:dyDescent="0.2">
      <c r="A1480" s="7"/>
      <c r="B1480" s="650" t="s">
        <v>38</v>
      </c>
      <c r="C1480" s="26"/>
      <c r="D1480" s="26"/>
      <c r="E1480" s="26"/>
      <c r="F1480" s="649">
        <v>0.13</v>
      </c>
      <c r="G1480" s="653"/>
      <c r="H1480" s="670">
        <f>H1479*F1480</f>
        <v>4.0203547280000009</v>
      </c>
      <c r="I1480" s="648"/>
      <c r="J1480" s="671">
        <v>0.13</v>
      </c>
      <c r="K1480" s="648"/>
      <c r="L1480" s="672">
        <f>L1479*J1480</f>
        <v>3.6291163286437897</v>
      </c>
      <c r="M1480" s="673"/>
      <c r="N1480" s="674">
        <f t="shared" si="128"/>
        <v>-0.39123839935621119</v>
      </c>
      <c r="O1480" s="675">
        <f t="shared" si="130"/>
        <v>-9.7314397814553019E-2</v>
      </c>
      <c r="P1480" s="7"/>
    </row>
    <row r="1481" spans="1:16" ht="13.5" customHeight="1" x14ac:dyDescent="0.2">
      <c r="A1481" s="7"/>
      <c r="B1481" s="651" t="s">
        <v>1139</v>
      </c>
      <c r="C1481" s="26"/>
      <c r="D1481" s="26"/>
      <c r="E1481" s="26"/>
      <c r="F1481" s="658"/>
      <c r="G1481" s="653"/>
      <c r="H1481" s="670">
        <f>H1479+H1480</f>
        <v>34.946160328000005</v>
      </c>
      <c r="I1481" s="648"/>
      <c r="J1481" s="648"/>
      <c r="K1481" s="648"/>
      <c r="L1481" s="672">
        <f>L1479+L1480</f>
        <v>31.545395779749864</v>
      </c>
      <c r="M1481" s="673"/>
      <c r="N1481" s="674">
        <f t="shared" si="128"/>
        <v>-3.400764548250141</v>
      </c>
      <c r="O1481" s="675">
        <f t="shared" si="130"/>
        <v>-9.7314397814552964E-2</v>
      </c>
      <c r="P1481" s="7"/>
    </row>
    <row r="1482" spans="1:16" ht="12.75" customHeight="1" x14ac:dyDescent="0.2">
      <c r="A1482" s="7"/>
      <c r="B1482" s="1626" t="s">
        <v>1140</v>
      </c>
      <c r="C1482" s="1626"/>
      <c r="D1482" s="1626"/>
      <c r="E1482" s="26"/>
      <c r="F1482" s="658"/>
      <c r="G1482" s="653"/>
      <c r="H1482" s="1052">
        <f>ROUND(-H1481*10%,2)</f>
        <v>-3.49</v>
      </c>
      <c r="I1482" s="648"/>
      <c r="J1482" s="648"/>
      <c r="K1482" s="648"/>
      <c r="L1482" s="1053">
        <f>ROUND(-L1481*10%,2)</f>
        <v>-3.15</v>
      </c>
      <c r="M1482" s="673"/>
      <c r="N1482" s="1054">
        <f t="shared" si="128"/>
        <v>0.3400000000000003</v>
      </c>
      <c r="O1482" s="1055">
        <f t="shared" si="130"/>
        <v>-9.7421203438395498E-2</v>
      </c>
      <c r="P1482" s="7"/>
    </row>
    <row r="1483" spans="1:16" ht="13.5" customHeight="1" thickBot="1" x14ac:dyDescent="0.25">
      <c r="A1483" s="7"/>
      <c r="B1483" s="1626" t="s">
        <v>784</v>
      </c>
      <c r="C1483" s="1626"/>
      <c r="D1483" s="1626"/>
      <c r="E1483" s="1056"/>
      <c r="F1483" s="1071"/>
      <c r="G1483" s="1072"/>
      <c r="H1483" s="1073">
        <f>H1481+H1482</f>
        <v>31.456160328000003</v>
      </c>
      <c r="I1483" s="1074"/>
      <c r="J1483" s="1074"/>
      <c r="K1483" s="1074"/>
      <c r="L1483" s="1075">
        <f>L1481+L1482</f>
        <v>28.395395779749865</v>
      </c>
      <c r="M1483" s="1076"/>
      <c r="N1483" s="1077">
        <f t="shared" si="128"/>
        <v>-3.0607645482501376</v>
      </c>
      <c r="O1483" s="1078">
        <f t="shared" si="130"/>
        <v>-9.7302547937666309E-2</v>
      </c>
      <c r="P1483" s="7"/>
    </row>
    <row r="1484" spans="1:16" ht="13.5" thickBot="1" x14ac:dyDescent="0.25">
      <c r="A1484" s="7"/>
      <c r="B1484" s="1042"/>
      <c r="C1484" s="1043"/>
      <c r="D1484" s="1044"/>
      <c r="E1484" s="1043"/>
      <c r="F1484" s="1065"/>
      <c r="G1484" s="1066"/>
      <c r="H1484" s="1067"/>
      <c r="I1484" s="1068"/>
      <c r="J1484" s="1065"/>
      <c r="K1484" s="1046"/>
      <c r="L1484" s="1069"/>
      <c r="M1484" s="1048"/>
      <c r="N1484" s="1070"/>
      <c r="O1484" s="1051"/>
      <c r="P1484" s="7"/>
    </row>
    <row r="1485" spans="1:16" x14ac:dyDescent="0.2">
      <c r="A1485" s="7"/>
      <c r="B1485" s="7"/>
      <c r="C1485" s="7"/>
      <c r="D1485" s="7"/>
      <c r="E1485" s="7"/>
      <c r="F1485" s="7"/>
      <c r="G1485" s="7"/>
      <c r="H1485" s="7"/>
      <c r="I1485" s="7"/>
      <c r="J1485" s="7"/>
      <c r="K1485" s="7"/>
      <c r="L1485" s="678"/>
      <c r="M1485" s="7"/>
      <c r="N1485" s="7"/>
      <c r="O1485" s="7"/>
      <c r="P1485" s="7"/>
    </row>
    <row r="1486" spans="1:16" x14ac:dyDescent="0.2">
      <c r="A1486" s="7"/>
      <c r="B1486" s="8" t="s">
        <v>39</v>
      </c>
      <c r="C1486" s="7"/>
      <c r="D1486" s="7"/>
      <c r="E1486" s="7"/>
      <c r="F1486" s="1079">
        <v>3.5600000000000076E-2</v>
      </c>
      <c r="G1486" s="7"/>
      <c r="H1486" s="7"/>
      <c r="I1486" s="7"/>
      <c r="J1486" s="1079">
        <v>4.2054064279015257E-2</v>
      </c>
      <c r="K1486" s="7"/>
      <c r="L1486" s="7"/>
      <c r="M1486" s="7"/>
      <c r="N1486" s="7"/>
      <c r="O1486" s="7"/>
      <c r="P1486" s="7"/>
    </row>
    <row r="1487" spans="1:16" x14ac:dyDescent="0.2">
      <c r="A1487" s="7"/>
      <c r="B1487" s="7"/>
      <c r="C1487" s="7"/>
      <c r="D1487" s="7"/>
      <c r="E1487" s="7"/>
      <c r="F1487" s="7"/>
      <c r="G1487" s="7"/>
      <c r="H1487" s="7"/>
      <c r="I1487" s="7"/>
      <c r="J1487" s="7"/>
      <c r="K1487" s="7"/>
      <c r="L1487" s="7"/>
      <c r="M1487" s="7"/>
      <c r="N1487" s="7"/>
      <c r="O1487" s="7"/>
      <c r="P1487" s="7"/>
    </row>
    <row r="1488" spans="1:16" ht="14.25" x14ac:dyDescent="0.2">
      <c r="A1488" s="214" t="s">
        <v>1141</v>
      </c>
      <c r="B1488" s="7"/>
      <c r="C1488" s="7"/>
      <c r="D1488" s="7"/>
      <c r="E1488" s="7"/>
      <c r="F1488" s="7"/>
      <c r="G1488" s="7"/>
      <c r="H1488" s="7"/>
      <c r="I1488" s="7"/>
      <c r="J1488" s="7"/>
      <c r="K1488" s="7"/>
      <c r="L1488" s="7"/>
      <c r="M1488" s="7"/>
      <c r="N1488" s="7"/>
      <c r="O1488" s="7"/>
      <c r="P1488" s="7"/>
    </row>
    <row r="1489" spans="1:16" x14ac:dyDescent="0.2">
      <c r="A1489" s="7"/>
      <c r="B1489" s="7"/>
      <c r="C1489" s="7"/>
      <c r="D1489" s="7"/>
      <c r="E1489" s="7"/>
      <c r="F1489" s="7"/>
      <c r="G1489" s="7"/>
      <c r="H1489" s="7"/>
      <c r="I1489" s="7"/>
      <c r="J1489" s="7"/>
      <c r="K1489" s="7"/>
      <c r="L1489" s="7"/>
      <c r="M1489" s="7"/>
      <c r="N1489" s="7"/>
      <c r="O1489" s="7"/>
      <c r="P1489" s="7"/>
    </row>
    <row r="1490" spans="1:16" x14ac:dyDescent="0.2">
      <c r="A1490" s="7" t="s">
        <v>107</v>
      </c>
      <c r="B1490" s="7"/>
      <c r="C1490" s="7"/>
      <c r="D1490" s="7"/>
      <c r="E1490" s="7"/>
      <c r="F1490" s="7"/>
      <c r="G1490" s="7"/>
      <c r="H1490" s="7"/>
      <c r="I1490" s="7"/>
      <c r="J1490" s="7"/>
      <c r="K1490" s="7"/>
      <c r="L1490" s="7"/>
      <c r="M1490" s="7"/>
      <c r="N1490" s="7"/>
      <c r="O1490" s="7"/>
      <c r="P1490" s="7"/>
    </row>
    <row r="1491" spans="1:16" x14ac:dyDescent="0.2">
      <c r="A1491" s="7" t="s">
        <v>108</v>
      </c>
      <c r="B1491" s="7"/>
      <c r="C1491" s="7"/>
      <c r="D1491" s="7"/>
      <c r="E1491" s="7"/>
      <c r="F1491" s="7"/>
      <c r="G1491" s="7"/>
      <c r="H1491" s="7"/>
      <c r="I1491" s="7"/>
      <c r="J1491" s="7"/>
      <c r="K1491" s="7"/>
      <c r="L1491" s="7"/>
      <c r="M1491" s="7"/>
      <c r="N1491" s="7"/>
      <c r="O1491" s="7"/>
      <c r="P1491" s="7"/>
    </row>
    <row r="1492" spans="1:16" x14ac:dyDescent="0.2">
      <c r="A1492" s="7"/>
      <c r="B1492" s="7"/>
      <c r="C1492" s="7"/>
      <c r="D1492" s="7"/>
      <c r="E1492" s="7"/>
      <c r="F1492" s="7"/>
      <c r="G1492" s="7"/>
      <c r="H1492" s="7"/>
      <c r="I1492" s="7"/>
      <c r="J1492" s="7"/>
      <c r="K1492" s="7"/>
      <c r="L1492" s="7"/>
      <c r="M1492" s="7"/>
      <c r="N1492" s="7"/>
      <c r="O1492" s="7"/>
      <c r="P1492" s="7"/>
    </row>
    <row r="1493" spans="1:16" x14ac:dyDescent="0.2">
      <c r="A1493" s="7" t="s">
        <v>331</v>
      </c>
      <c r="B1493" s="7"/>
      <c r="C1493" s="7"/>
      <c r="D1493" s="7"/>
      <c r="E1493" s="7"/>
      <c r="F1493" s="7"/>
      <c r="G1493" s="7"/>
      <c r="H1493" s="7"/>
      <c r="I1493" s="7"/>
      <c r="J1493" s="7"/>
      <c r="K1493" s="7"/>
      <c r="L1493" s="7"/>
      <c r="M1493" s="7"/>
      <c r="N1493" s="7"/>
      <c r="O1493" s="7"/>
      <c r="P1493" s="7"/>
    </row>
    <row r="1494" spans="1:16" x14ac:dyDescent="0.2">
      <c r="A1494" s="7" t="s">
        <v>109</v>
      </c>
      <c r="B1494" s="7"/>
      <c r="C1494" s="7"/>
      <c r="D1494" s="7"/>
      <c r="E1494" s="7"/>
      <c r="F1494" s="7"/>
      <c r="G1494" s="7"/>
      <c r="H1494" s="7"/>
      <c r="I1494" s="7"/>
      <c r="J1494" s="7"/>
      <c r="K1494" s="7"/>
      <c r="L1494" s="7"/>
      <c r="M1494" s="7"/>
      <c r="N1494" s="7"/>
      <c r="O1494" s="7"/>
      <c r="P1494" s="7"/>
    </row>
    <row r="1495" spans="1:16" x14ac:dyDescent="0.2">
      <c r="A1495" s="7"/>
      <c r="B1495" s="7"/>
      <c r="C1495" s="7"/>
      <c r="D1495" s="7"/>
      <c r="E1495" s="7"/>
      <c r="F1495" s="7"/>
      <c r="G1495" s="7"/>
      <c r="H1495" s="7"/>
      <c r="I1495" s="7"/>
      <c r="J1495" s="7"/>
      <c r="K1495" s="7"/>
      <c r="L1495" s="7"/>
      <c r="M1495" s="7"/>
      <c r="N1495" s="7"/>
      <c r="O1495" s="7"/>
      <c r="P1495" s="7"/>
    </row>
    <row r="1496" spans="1:16" x14ac:dyDescent="0.2">
      <c r="A1496" s="7" t="s">
        <v>110</v>
      </c>
      <c r="B1496" s="7"/>
      <c r="C1496" s="7"/>
      <c r="D1496" s="7"/>
      <c r="E1496" s="7"/>
      <c r="F1496" s="7"/>
      <c r="G1496" s="7"/>
      <c r="H1496" s="7"/>
      <c r="I1496" s="7"/>
      <c r="J1496" s="7"/>
      <c r="K1496" s="7"/>
      <c r="L1496" s="7"/>
      <c r="M1496" s="7"/>
      <c r="N1496" s="7"/>
      <c r="O1496" s="7"/>
      <c r="P1496" s="7"/>
    </row>
    <row r="1497" spans="1:16" x14ac:dyDescent="0.2">
      <c r="A1497" s="7" t="s">
        <v>111</v>
      </c>
      <c r="B1497" s="7"/>
      <c r="C1497" s="7"/>
      <c r="D1497" s="7"/>
      <c r="E1497" s="7"/>
      <c r="F1497" s="7"/>
      <c r="G1497" s="7"/>
      <c r="H1497" s="7"/>
      <c r="I1497" s="7"/>
      <c r="J1497" s="7"/>
      <c r="K1497" s="7"/>
      <c r="L1497" s="7"/>
      <c r="M1497" s="7"/>
      <c r="N1497" s="7"/>
      <c r="O1497" s="7"/>
      <c r="P1497" s="7"/>
    </row>
    <row r="1498" spans="1:16" x14ac:dyDescent="0.2">
      <c r="A1498" s="7" t="s">
        <v>112</v>
      </c>
      <c r="B1498" s="7"/>
      <c r="C1498" s="7"/>
      <c r="D1498" s="7"/>
      <c r="E1498" s="7"/>
      <c r="F1498" s="7"/>
      <c r="G1498" s="7"/>
      <c r="H1498" s="7"/>
      <c r="I1498" s="7"/>
      <c r="J1498" s="7"/>
      <c r="K1498" s="7"/>
      <c r="L1498" s="7"/>
      <c r="M1498" s="7"/>
      <c r="N1498" s="7"/>
      <c r="O1498" s="7"/>
      <c r="P1498" s="7"/>
    </row>
    <row r="1499" spans="1:16" x14ac:dyDescent="0.2">
      <c r="A1499" s="7" t="s">
        <v>113</v>
      </c>
      <c r="B1499" s="7"/>
      <c r="C1499" s="7"/>
      <c r="D1499" s="7"/>
      <c r="E1499" s="7"/>
      <c r="F1499" s="7"/>
      <c r="G1499" s="7"/>
      <c r="H1499" s="7"/>
      <c r="I1499" s="7"/>
      <c r="J1499" s="7"/>
      <c r="K1499" s="7"/>
      <c r="L1499" s="7"/>
      <c r="M1499" s="7"/>
      <c r="N1499" s="7"/>
      <c r="O1499" s="7"/>
      <c r="P1499" s="7"/>
    </row>
    <row r="1500" spans="1:16" x14ac:dyDescent="0.2">
      <c r="A1500" s="7" t="s">
        <v>114</v>
      </c>
      <c r="B1500" s="7"/>
      <c r="C1500" s="7"/>
      <c r="D1500" s="7"/>
      <c r="E1500" s="7"/>
      <c r="F1500" s="7"/>
      <c r="G1500" s="7"/>
      <c r="H1500" s="7"/>
      <c r="I1500" s="7"/>
      <c r="J1500" s="7"/>
      <c r="K1500" s="7"/>
      <c r="L1500" s="7"/>
      <c r="M1500" s="7"/>
      <c r="N1500" s="7"/>
      <c r="O1500" s="7"/>
      <c r="P1500" s="7"/>
    </row>
    <row r="1502" spans="1:16" ht="21.75" x14ac:dyDescent="0.2">
      <c r="A1502" s="41"/>
      <c r="B1502" s="41"/>
      <c r="C1502" s="41"/>
      <c r="D1502" s="41"/>
      <c r="E1502" s="41"/>
      <c r="F1502" s="41"/>
      <c r="G1502" s="41"/>
      <c r="H1502" s="41"/>
      <c r="I1502" s="41"/>
      <c r="J1502" s="41"/>
      <c r="K1502" s="41"/>
      <c r="L1502" s="37"/>
      <c r="M1502" s="37"/>
      <c r="N1502" s="16" t="s">
        <v>444</v>
      </c>
      <c r="O1502" s="250" t="s">
        <v>866</v>
      </c>
    </row>
    <row r="1503" spans="1:16" ht="18" x14ac:dyDescent="0.25">
      <c r="A1503" s="40"/>
      <c r="B1503" s="40"/>
      <c r="C1503" s="40"/>
      <c r="D1503" s="40"/>
      <c r="E1503" s="40"/>
      <c r="F1503" s="40"/>
      <c r="G1503" s="40"/>
      <c r="H1503" s="40"/>
      <c r="I1503" s="40"/>
      <c r="J1503" s="40"/>
      <c r="K1503" s="40"/>
      <c r="L1503" s="37"/>
      <c r="M1503" s="37"/>
      <c r="N1503" s="16" t="s">
        <v>445</v>
      </c>
      <c r="O1503" s="1001"/>
    </row>
    <row r="1504" spans="1:16" x14ac:dyDescent="0.2">
      <c r="A1504" s="1626"/>
      <c r="B1504" s="1626"/>
      <c r="C1504" s="1626"/>
      <c r="D1504" s="1626"/>
      <c r="E1504" s="1626"/>
      <c r="F1504" s="1626"/>
      <c r="G1504" s="1626"/>
      <c r="H1504" s="1626"/>
      <c r="I1504" s="1626"/>
      <c r="J1504" s="1626"/>
      <c r="K1504" s="1626"/>
      <c r="L1504" s="37"/>
      <c r="M1504" s="37"/>
      <c r="N1504" s="16" t="s">
        <v>446</v>
      </c>
      <c r="O1504" s="1001"/>
    </row>
    <row r="1505" spans="1:16" ht="18" x14ac:dyDescent="0.25">
      <c r="A1505" s="40"/>
      <c r="B1505" s="40"/>
      <c r="C1505" s="40"/>
      <c r="D1505" s="40"/>
      <c r="E1505" s="40"/>
      <c r="F1505" s="40"/>
      <c r="G1505" s="40"/>
      <c r="H1505" s="40"/>
      <c r="I1505" s="38"/>
      <c r="J1505" s="38"/>
      <c r="K1505" s="38"/>
      <c r="L1505" s="37"/>
      <c r="M1505" s="37"/>
      <c r="N1505" s="16" t="s">
        <v>447</v>
      </c>
      <c r="O1505" s="1001"/>
    </row>
    <row r="1506" spans="1:16" ht="15.75" x14ac:dyDescent="0.25">
      <c r="A1506" s="37"/>
      <c r="B1506" s="37"/>
      <c r="C1506" s="39"/>
      <c r="D1506" s="39"/>
      <c r="E1506" s="39"/>
      <c r="F1506" s="37"/>
      <c r="G1506" s="37"/>
      <c r="H1506" s="37"/>
      <c r="I1506" s="37"/>
      <c r="J1506" s="37"/>
      <c r="K1506" s="37"/>
      <c r="L1506" s="37"/>
      <c r="M1506" s="37"/>
      <c r="N1506" s="16" t="s">
        <v>448</v>
      </c>
      <c r="O1506" s="1002" t="s">
        <v>1163</v>
      </c>
    </row>
    <row r="1507" spans="1:16" x14ac:dyDescent="0.2">
      <c r="A1507" s="37"/>
      <c r="B1507" s="37"/>
      <c r="C1507" s="37"/>
      <c r="D1507" s="37"/>
      <c r="E1507" s="37"/>
      <c r="F1507" s="37"/>
      <c r="G1507" s="37"/>
      <c r="H1507" s="37"/>
      <c r="I1507" s="37"/>
      <c r="J1507" s="37"/>
      <c r="K1507" s="37"/>
      <c r="L1507" s="37"/>
      <c r="M1507" s="37"/>
      <c r="N1507" s="16"/>
      <c r="O1507" s="250"/>
    </row>
    <row r="1508" spans="1:16" x14ac:dyDescent="0.2">
      <c r="A1508" s="37"/>
      <c r="B1508" s="37"/>
      <c r="C1508" s="37"/>
      <c r="D1508" s="37"/>
      <c r="E1508" s="37"/>
      <c r="F1508" s="37"/>
      <c r="G1508" s="37"/>
      <c r="H1508" s="37"/>
      <c r="I1508" s="37"/>
      <c r="J1508" s="37"/>
      <c r="K1508" s="37"/>
      <c r="L1508" s="37"/>
      <c r="M1508" s="37"/>
      <c r="N1508" s="16" t="s">
        <v>449</v>
      </c>
      <c r="O1508" s="1002"/>
    </row>
    <row r="1509" spans="1:16" x14ac:dyDescent="0.2">
      <c r="A1509" s="37"/>
      <c r="B1509" s="37"/>
      <c r="C1509" s="37"/>
      <c r="D1509" s="37"/>
      <c r="E1509" s="37"/>
      <c r="F1509" s="37"/>
      <c r="G1509" s="37"/>
      <c r="H1509" s="37"/>
      <c r="I1509" s="37"/>
      <c r="J1509" s="37"/>
      <c r="K1509" s="37"/>
      <c r="L1509" s="37"/>
      <c r="M1509" s="37"/>
      <c r="N1509" s="7"/>
    </row>
    <row r="1510" spans="1:16" x14ac:dyDescent="0.2">
      <c r="A1510" s="7"/>
      <c r="B1510" s="7"/>
      <c r="C1510" s="7"/>
      <c r="D1510" s="7"/>
      <c r="E1510" s="7"/>
      <c r="F1510" s="7"/>
      <c r="G1510" s="7"/>
      <c r="H1510" s="7"/>
      <c r="I1510" s="7"/>
      <c r="J1510" s="7"/>
      <c r="K1510" s="7"/>
    </row>
    <row r="1511" spans="1:16" x14ac:dyDescent="0.2">
      <c r="A1511" s="7"/>
      <c r="B1511" s="1626" t="s">
        <v>695</v>
      </c>
      <c r="C1511" s="1626"/>
      <c r="D1511" s="1626"/>
      <c r="E1511" s="1626"/>
      <c r="F1511" s="1626"/>
      <c r="G1511" s="1626"/>
      <c r="H1511" s="1626"/>
      <c r="I1511" s="1626"/>
      <c r="J1511" s="1626"/>
      <c r="K1511" s="1626"/>
      <c r="L1511" s="1626"/>
      <c r="M1511" s="1626"/>
      <c r="N1511" s="1626"/>
      <c r="O1511" s="1626"/>
    </row>
    <row r="1512" spans="1:16" x14ac:dyDescent="0.2">
      <c r="A1512" s="7"/>
      <c r="B1512" s="1626" t="s">
        <v>63</v>
      </c>
      <c r="C1512" s="1626"/>
      <c r="D1512" s="1626"/>
      <c r="E1512" s="1626"/>
      <c r="F1512" s="1626"/>
      <c r="G1512" s="1626"/>
      <c r="H1512" s="1626"/>
      <c r="I1512" s="1626"/>
      <c r="J1512" s="1626"/>
      <c r="K1512" s="1626"/>
      <c r="L1512" s="1626"/>
      <c r="M1512" s="1626"/>
      <c r="N1512" s="1626"/>
      <c r="O1512" s="1626"/>
    </row>
    <row r="1513" spans="1:16" x14ac:dyDescent="0.2">
      <c r="A1513" s="7"/>
      <c r="B1513" s="7"/>
      <c r="C1513" s="7"/>
      <c r="D1513" s="7"/>
      <c r="E1513" s="7"/>
      <c r="F1513" s="7"/>
      <c r="G1513" s="7"/>
      <c r="H1513" s="7"/>
      <c r="I1513" s="7"/>
      <c r="J1513" s="7"/>
      <c r="K1513" s="7"/>
    </row>
    <row r="1514" spans="1:16" x14ac:dyDescent="0.2">
      <c r="A1514" s="7"/>
      <c r="B1514" s="7"/>
      <c r="C1514" s="7"/>
      <c r="D1514" s="7"/>
      <c r="E1514" s="7"/>
      <c r="F1514" s="7"/>
      <c r="G1514" s="7"/>
      <c r="H1514" s="7"/>
      <c r="I1514" s="7"/>
      <c r="J1514" s="7"/>
      <c r="K1514" s="7"/>
    </row>
    <row r="1515" spans="1:16" x14ac:dyDescent="0.2">
      <c r="A1515" s="7"/>
      <c r="B1515" s="43" t="s">
        <v>40</v>
      </c>
      <c r="C1515" s="7"/>
      <c r="D1515" s="1626" t="s">
        <v>87</v>
      </c>
      <c r="E1515" s="1626"/>
      <c r="F1515" s="1626"/>
      <c r="G1515" s="1626"/>
      <c r="H1515" s="1626"/>
      <c r="I1515" s="1626"/>
      <c r="J1515" s="1626"/>
      <c r="K1515" s="1626"/>
      <c r="L1515" s="1626"/>
      <c r="M1515" s="1626"/>
      <c r="N1515" s="1626"/>
      <c r="O1515" s="1626"/>
      <c r="P1515" s="7"/>
    </row>
    <row r="1516" spans="1:16" ht="15.75" x14ac:dyDescent="0.25">
      <c r="A1516" s="7"/>
      <c r="B1516" s="1003"/>
      <c r="C1516" s="7"/>
      <c r="D1516" s="42"/>
      <c r="E1516" s="42"/>
      <c r="F1516" s="42"/>
      <c r="G1516" s="42"/>
      <c r="H1516" s="42"/>
      <c r="I1516" s="42"/>
      <c r="J1516" s="42"/>
      <c r="K1516" s="42"/>
      <c r="L1516" s="42"/>
      <c r="M1516" s="42"/>
      <c r="N1516" s="42"/>
      <c r="O1516" s="42"/>
      <c r="P1516" s="7"/>
    </row>
    <row r="1517" spans="1:16" x14ac:dyDescent="0.2">
      <c r="A1517" s="7"/>
      <c r="B1517" s="647"/>
      <c r="C1517" s="7"/>
      <c r="D1517" s="8" t="s">
        <v>17</v>
      </c>
      <c r="E1517" s="8"/>
      <c r="F1517" s="1004">
        <v>1200</v>
      </c>
      <c r="G1517" s="8" t="s">
        <v>18</v>
      </c>
      <c r="H1517" s="7"/>
      <c r="I1517" s="7"/>
      <c r="J1517" s="7"/>
      <c r="K1517" s="7"/>
      <c r="L1517" s="7"/>
      <c r="M1517" s="7"/>
      <c r="N1517" s="7"/>
      <c r="O1517" s="7"/>
      <c r="P1517" s="7"/>
    </row>
    <row r="1518" spans="1:16" ht="12.75" customHeight="1" x14ac:dyDescent="0.2">
      <c r="A1518" s="7"/>
      <c r="B1518" s="647"/>
      <c r="C1518" s="7"/>
      <c r="D1518" s="7"/>
      <c r="E1518" s="7"/>
      <c r="F1518" s="7"/>
      <c r="G1518" s="7"/>
      <c r="H1518" s="7"/>
      <c r="I1518" s="7"/>
      <c r="J1518" s="7"/>
      <c r="K1518" s="7"/>
      <c r="L1518" s="7"/>
      <c r="M1518" s="7"/>
      <c r="N1518" s="7"/>
      <c r="O1518" s="7"/>
      <c r="P1518" s="7"/>
    </row>
    <row r="1519" spans="1:16" x14ac:dyDescent="0.2">
      <c r="A1519" s="7"/>
      <c r="B1519" s="647"/>
      <c r="C1519" s="7"/>
      <c r="D1519" s="19"/>
      <c r="E1519" s="19"/>
      <c r="F1519" s="1626" t="s">
        <v>19</v>
      </c>
      <c r="G1519" s="1626"/>
      <c r="H1519" s="1626"/>
      <c r="I1519" s="7"/>
      <c r="J1519" s="1626" t="s">
        <v>20</v>
      </c>
      <c r="K1519" s="1626"/>
      <c r="L1519" s="1626"/>
      <c r="M1519" s="7"/>
      <c r="N1519" s="1626" t="s">
        <v>21</v>
      </c>
      <c r="O1519" s="1626"/>
      <c r="P1519" s="7"/>
    </row>
    <row r="1520" spans="1:16" ht="12.75" customHeight="1" x14ac:dyDescent="0.2">
      <c r="A1520" s="7"/>
      <c r="B1520" s="647"/>
      <c r="C1520" s="7"/>
      <c r="D1520" s="1626" t="s">
        <v>22</v>
      </c>
      <c r="E1520" s="20"/>
      <c r="F1520" s="21" t="s">
        <v>23</v>
      </c>
      <c r="G1520" s="21" t="s">
        <v>24</v>
      </c>
      <c r="H1520" s="22" t="s">
        <v>25</v>
      </c>
      <c r="I1520" s="7"/>
      <c r="J1520" s="21" t="s">
        <v>23</v>
      </c>
      <c r="K1520" s="23" t="s">
        <v>24</v>
      </c>
      <c r="L1520" s="22" t="s">
        <v>25</v>
      </c>
      <c r="M1520" s="7"/>
      <c r="N1520" s="1626" t="s">
        <v>26</v>
      </c>
      <c r="O1520" s="1626" t="s">
        <v>27</v>
      </c>
      <c r="P1520" s="7"/>
    </row>
    <row r="1521" spans="1:16" x14ac:dyDescent="0.2">
      <c r="A1521" s="7"/>
      <c r="B1521" s="647"/>
      <c r="C1521" s="7"/>
      <c r="D1521" s="1626"/>
      <c r="E1521" s="20"/>
      <c r="F1521" s="24" t="s">
        <v>452</v>
      </c>
      <c r="G1521" s="24"/>
      <c r="H1521" s="25" t="s">
        <v>452</v>
      </c>
      <c r="I1521" s="7"/>
      <c r="J1521" s="24" t="s">
        <v>452</v>
      </c>
      <c r="K1521" s="25"/>
      <c r="L1521" s="25" t="s">
        <v>452</v>
      </c>
      <c r="M1521" s="7"/>
      <c r="N1521" s="1626"/>
      <c r="O1521" s="1626"/>
      <c r="P1521" s="7"/>
    </row>
    <row r="1522" spans="1:16" x14ac:dyDescent="0.2">
      <c r="A1522" s="7"/>
      <c r="B1522" s="26" t="s">
        <v>28</v>
      </c>
      <c r="C1522" s="26"/>
      <c r="D1522" s="1005" t="s">
        <v>1130</v>
      </c>
      <c r="E1522" s="27"/>
      <c r="F1522" s="1006">
        <v>15.68</v>
      </c>
      <c r="G1522" s="32">
        <v>1</v>
      </c>
      <c r="H1522" s="1007">
        <f>G1522*F1522</f>
        <v>15.68</v>
      </c>
      <c r="I1522" s="30"/>
      <c r="J1522" s="1008">
        <v>13.45</v>
      </c>
      <c r="K1522" s="33">
        <v>1</v>
      </c>
      <c r="L1522" s="1007">
        <f>K1522*J1522</f>
        <v>13.45</v>
      </c>
      <c r="M1522" s="30"/>
      <c r="N1522" s="34">
        <f>L1522-H1522</f>
        <v>-2.2300000000000004</v>
      </c>
      <c r="O1522" s="202">
        <f>IF((H1522)=0,"",(N1522/H1522))</f>
        <v>-0.14221938775510207</v>
      </c>
      <c r="P1522" s="7"/>
    </row>
    <row r="1523" spans="1:16" x14ac:dyDescent="0.2">
      <c r="A1523" s="7"/>
      <c r="B1523" s="26" t="s">
        <v>29</v>
      </c>
      <c r="C1523" s="26"/>
      <c r="D1523" s="1005" t="s">
        <v>1130</v>
      </c>
      <c r="E1523" s="27"/>
      <c r="F1523" s="1006">
        <v>0</v>
      </c>
      <c r="G1523" s="32">
        <v>1</v>
      </c>
      <c r="H1523" s="1007">
        <f t="shared" ref="H1523:H1531" si="133">G1523*F1523</f>
        <v>0</v>
      </c>
      <c r="I1523" s="30"/>
      <c r="J1523" s="1008">
        <v>0</v>
      </c>
      <c r="K1523" s="33">
        <v>1</v>
      </c>
      <c r="L1523" s="1007">
        <f>K1523*J1523</f>
        <v>0</v>
      </c>
      <c r="M1523" s="30"/>
      <c r="N1523" s="34">
        <f>L1523-H1523</f>
        <v>0</v>
      </c>
      <c r="O1523" s="202" t="str">
        <f>IF((H1523)=0,"",(N1523/H1523))</f>
        <v/>
      </c>
      <c r="P1523" s="7"/>
    </row>
    <row r="1524" spans="1:16" x14ac:dyDescent="0.2">
      <c r="A1524" s="7"/>
      <c r="B1524" s="1009" t="s">
        <v>1131</v>
      </c>
      <c r="C1524" s="26"/>
      <c r="D1524" s="1005" t="s">
        <v>79</v>
      </c>
      <c r="E1524" s="27"/>
      <c r="F1524" s="1006">
        <v>-8.0000000000000004E-4</v>
      </c>
      <c r="G1524" s="32">
        <f>F1517</f>
        <v>1200</v>
      </c>
      <c r="H1524" s="1007">
        <f t="shared" si="133"/>
        <v>-0.96000000000000008</v>
      </c>
      <c r="I1524" s="30"/>
      <c r="J1524" s="1008">
        <v>0</v>
      </c>
      <c r="K1524" s="33">
        <f>F1517</f>
        <v>1200</v>
      </c>
      <c r="L1524" s="1007">
        <f t="shared" ref="L1524:L1531" si="134">K1524*J1524</f>
        <v>0</v>
      </c>
      <c r="M1524" s="30"/>
      <c r="N1524" s="34">
        <f t="shared" ref="N1524:N1562" si="135">L1524-H1524</f>
        <v>0.96000000000000008</v>
      </c>
      <c r="O1524" s="202">
        <f t="shared" ref="O1524:O1532" si="136">IF((H1524)=0,"",(N1524/H1524))</f>
        <v>-1</v>
      </c>
      <c r="P1524" s="7"/>
    </row>
    <row r="1525" spans="1:16" x14ac:dyDescent="0.2">
      <c r="A1525" s="7"/>
      <c r="B1525" s="1009" t="s">
        <v>36</v>
      </c>
      <c r="C1525" s="26"/>
      <c r="D1525" s="1005" t="s">
        <v>1130</v>
      </c>
      <c r="E1525" s="27"/>
      <c r="F1525" s="1006">
        <v>0.25</v>
      </c>
      <c r="G1525" s="32">
        <v>1</v>
      </c>
      <c r="H1525" s="1007">
        <f t="shared" si="133"/>
        <v>0.25</v>
      </c>
      <c r="I1525" s="30"/>
      <c r="J1525" s="1008">
        <v>0.25</v>
      </c>
      <c r="K1525" s="33">
        <v>1</v>
      </c>
      <c r="L1525" s="1007">
        <f t="shared" si="134"/>
        <v>0.25</v>
      </c>
      <c r="M1525" s="30"/>
      <c r="N1525" s="34">
        <f t="shared" si="135"/>
        <v>0</v>
      </c>
      <c r="O1525" s="202">
        <f t="shared" si="136"/>
        <v>0</v>
      </c>
      <c r="P1525" s="7"/>
    </row>
    <row r="1526" spans="1:16" x14ac:dyDescent="0.2">
      <c r="A1526" s="7"/>
      <c r="B1526" s="26" t="s">
        <v>30</v>
      </c>
      <c r="C1526" s="26"/>
      <c r="D1526" s="1005" t="s">
        <v>79</v>
      </c>
      <c r="E1526" s="27"/>
      <c r="F1526" s="1006">
        <v>4.2599999999999999E-2</v>
      </c>
      <c r="G1526" s="32">
        <f>F1517</f>
        <v>1200</v>
      </c>
      <c r="H1526" s="1007">
        <f t="shared" si="133"/>
        <v>51.12</v>
      </c>
      <c r="I1526" s="30"/>
      <c r="J1526" s="1008">
        <v>3.6499999999999998E-2</v>
      </c>
      <c r="K1526" s="32">
        <f>F1517</f>
        <v>1200</v>
      </c>
      <c r="L1526" s="1007">
        <f t="shared" si="134"/>
        <v>43.8</v>
      </c>
      <c r="M1526" s="30"/>
      <c r="N1526" s="34">
        <f t="shared" si="135"/>
        <v>-7.32</v>
      </c>
      <c r="O1526" s="202">
        <f t="shared" si="136"/>
        <v>-0.14319248826291081</v>
      </c>
      <c r="P1526" s="7"/>
    </row>
    <row r="1527" spans="1:16" x14ac:dyDescent="0.2">
      <c r="A1527" s="7"/>
      <c r="B1527" s="26" t="s">
        <v>31</v>
      </c>
      <c r="C1527" s="26"/>
      <c r="D1527" s="1005"/>
      <c r="E1527" s="27"/>
      <c r="F1527" s="1006"/>
      <c r="G1527" s="32"/>
      <c r="H1527" s="1007">
        <f t="shared" si="133"/>
        <v>0</v>
      </c>
      <c r="I1527" s="30"/>
      <c r="J1527" s="1008"/>
      <c r="K1527" s="32"/>
      <c r="L1527" s="1007">
        <f t="shared" si="134"/>
        <v>0</v>
      </c>
      <c r="M1527" s="30"/>
      <c r="N1527" s="34">
        <f t="shared" si="135"/>
        <v>0</v>
      </c>
      <c r="O1527" s="202" t="str">
        <f t="shared" si="136"/>
        <v/>
      </c>
      <c r="P1527" s="7"/>
    </row>
    <row r="1528" spans="1:16" x14ac:dyDescent="0.2">
      <c r="A1528" s="7"/>
      <c r="B1528" s="26" t="s">
        <v>1132</v>
      </c>
      <c r="C1528" s="26"/>
      <c r="D1528" s="1005" t="s">
        <v>80</v>
      </c>
      <c r="E1528" s="27"/>
      <c r="F1528" s="1006">
        <v>0</v>
      </c>
      <c r="G1528" s="32">
        <f>F1517</f>
        <v>1200</v>
      </c>
      <c r="H1528" s="1007">
        <f t="shared" si="133"/>
        <v>0</v>
      </c>
      <c r="I1528" s="30"/>
      <c r="J1528" s="1008">
        <v>0</v>
      </c>
      <c r="K1528" s="32">
        <f>F1517</f>
        <v>1200</v>
      </c>
      <c r="L1528" s="1007">
        <f t="shared" si="134"/>
        <v>0</v>
      </c>
      <c r="M1528" s="30"/>
      <c r="N1528" s="34">
        <f t="shared" si="135"/>
        <v>0</v>
      </c>
      <c r="O1528" s="202" t="str">
        <f t="shared" si="136"/>
        <v/>
      </c>
      <c r="P1528" s="7"/>
    </row>
    <row r="1529" spans="1:16" x14ac:dyDescent="0.2">
      <c r="A1529" s="7"/>
      <c r="B1529" s="26" t="s">
        <v>1133</v>
      </c>
      <c r="C1529" s="26"/>
      <c r="D1529" s="1005" t="s">
        <v>80</v>
      </c>
      <c r="E1529" s="27"/>
      <c r="F1529" s="1006">
        <v>0</v>
      </c>
      <c r="G1529" s="32">
        <f>F1517</f>
        <v>1200</v>
      </c>
      <c r="H1529" s="1007">
        <f t="shared" si="133"/>
        <v>0</v>
      </c>
      <c r="I1529" s="30"/>
      <c r="J1529" s="1008">
        <v>0</v>
      </c>
      <c r="K1529" s="32">
        <f>F1517</f>
        <v>1200</v>
      </c>
      <c r="L1529" s="1007">
        <f t="shared" si="134"/>
        <v>0</v>
      </c>
      <c r="M1529" s="30"/>
      <c r="N1529" s="34">
        <f t="shared" si="135"/>
        <v>0</v>
      </c>
      <c r="O1529" s="202" t="str">
        <f t="shared" si="136"/>
        <v/>
      </c>
      <c r="P1529" s="7"/>
    </row>
    <row r="1530" spans="1:16" x14ac:dyDescent="0.2">
      <c r="A1530" s="7"/>
      <c r="B1530" s="26" t="s">
        <v>1134</v>
      </c>
      <c r="C1530" s="26"/>
      <c r="D1530" s="1005" t="s">
        <v>80</v>
      </c>
      <c r="E1530" s="27"/>
      <c r="F1530" s="1006">
        <v>0</v>
      </c>
      <c r="G1530" s="32">
        <f>F1517</f>
        <v>1200</v>
      </c>
      <c r="H1530" s="1007">
        <f t="shared" si="133"/>
        <v>0</v>
      </c>
      <c r="I1530" s="30"/>
      <c r="J1530" s="1008">
        <v>0</v>
      </c>
      <c r="K1530" s="32">
        <f>F1517</f>
        <v>1200</v>
      </c>
      <c r="L1530" s="1007">
        <f t="shared" si="134"/>
        <v>0</v>
      </c>
      <c r="M1530" s="30"/>
      <c r="N1530" s="34">
        <f t="shared" si="135"/>
        <v>0</v>
      </c>
      <c r="O1530" s="202" t="str">
        <f t="shared" si="136"/>
        <v/>
      </c>
      <c r="P1530" s="7"/>
    </row>
    <row r="1531" spans="1:16" x14ac:dyDescent="0.2">
      <c r="A1531" s="7"/>
      <c r="B1531" s="1010" t="s">
        <v>1135</v>
      </c>
      <c r="C1531" s="26"/>
      <c r="D1531" s="1005" t="s">
        <v>1130</v>
      </c>
      <c r="E1531" s="27"/>
      <c r="F1531" s="1006">
        <v>0</v>
      </c>
      <c r="G1531" s="32">
        <v>1</v>
      </c>
      <c r="H1531" s="1007">
        <f t="shared" si="133"/>
        <v>0</v>
      </c>
      <c r="I1531" s="30"/>
      <c r="J1531" s="1008">
        <v>0</v>
      </c>
      <c r="K1531" s="32">
        <v>1</v>
      </c>
      <c r="L1531" s="1007">
        <f t="shared" si="134"/>
        <v>0</v>
      </c>
      <c r="M1531" s="30"/>
      <c r="N1531" s="34">
        <f t="shared" si="135"/>
        <v>0</v>
      </c>
      <c r="O1531" s="202" t="str">
        <f t="shared" si="136"/>
        <v/>
      </c>
      <c r="P1531" s="7"/>
    </row>
    <row r="1532" spans="1:16" x14ac:dyDescent="0.2">
      <c r="A1532" s="29"/>
      <c r="B1532" s="1011" t="s">
        <v>698</v>
      </c>
      <c r="C1532" s="1012"/>
      <c r="D1532" s="1013"/>
      <c r="E1532" s="1012"/>
      <c r="F1532" s="1014"/>
      <c r="G1532" s="1015"/>
      <c r="H1532" s="1016">
        <f>SUM(H1522:H1531)</f>
        <v>66.09</v>
      </c>
      <c r="I1532" s="1017"/>
      <c r="J1532" s="1018"/>
      <c r="K1532" s="1019"/>
      <c r="L1532" s="1016">
        <f>SUM(L1522:L1531)</f>
        <v>57.5</v>
      </c>
      <c r="M1532" s="1017"/>
      <c r="N1532" s="1020">
        <f t="shared" si="135"/>
        <v>-8.5900000000000034</v>
      </c>
      <c r="O1532" s="1021">
        <f t="shared" si="136"/>
        <v>-0.12997427750037832</v>
      </c>
      <c r="P1532" s="29"/>
    </row>
    <row r="1533" spans="1:16" ht="38.25" x14ac:dyDescent="0.2">
      <c r="A1533" s="7"/>
      <c r="B1533" s="1022" t="s">
        <v>1136</v>
      </c>
      <c r="C1533" s="26"/>
      <c r="D1533" s="1005" t="s">
        <v>79</v>
      </c>
      <c r="E1533" s="27"/>
      <c r="F1533" s="1006">
        <v>1.1999999999999999E-3</v>
      </c>
      <c r="G1533" s="32">
        <f>F1517</f>
        <v>1200</v>
      </c>
      <c r="H1533" s="1007">
        <f>G1533*F1533</f>
        <v>1.44</v>
      </c>
      <c r="I1533" s="30"/>
      <c r="J1533" s="1008">
        <v>0</v>
      </c>
      <c r="K1533" s="32">
        <f>F1517</f>
        <v>1200</v>
      </c>
      <c r="L1533" s="1007">
        <f>K1533*J1533</f>
        <v>0</v>
      </c>
      <c r="M1533" s="30"/>
      <c r="N1533" s="34">
        <f t="shared" si="135"/>
        <v>-1.44</v>
      </c>
      <c r="O1533" s="202">
        <f>IF((H1533)=0,"",(N1533/H1533))</f>
        <v>-1</v>
      </c>
      <c r="P1533" s="7"/>
    </row>
    <row r="1534" spans="1:16" ht="38.25" x14ac:dyDescent="0.2">
      <c r="A1534" s="7"/>
      <c r="B1534" s="1022" t="s">
        <v>1137</v>
      </c>
      <c r="C1534" s="26"/>
      <c r="D1534" s="1005" t="s">
        <v>79</v>
      </c>
      <c r="E1534" s="27"/>
      <c r="F1534" s="1006">
        <v>-2E-3</v>
      </c>
      <c r="G1534" s="32">
        <f>F1517</f>
        <v>1200</v>
      </c>
      <c r="H1534" s="1007">
        <f>G1534*F1534</f>
        <v>-2.4</v>
      </c>
      <c r="I1534" s="30"/>
      <c r="J1534" s="1008">
        <v>-2E-3</v>
      </c>
      <c r="K1534" s="32">
        <f>F1517</f>
        <v>1200</v>
      </c>
      <c r="L1534" s="1007">
        <f>K1534*J1534</f>
        <v>-2.4</v>
      </c>
      <c r="M1534" s="30"/>
      <c r="N1534" s="34">
        <f t="shared" si="135"/>
        <v>0</v>
      </c>
      <c r="O1534" s="202">
        <f>IF((H1534)=0,"",(N1534/H1534))</f>
        <v>0</v>
      </c>
      <c r="P1534" s="7"/>
    </row>
    <row r="1535" spans="1:16" ht="51" x14ac:dyDescent="0.2">
      <c r="A1535" s="7"/>
      <c r="B1535" s="1022" t="s">
        <v>1138</v>
      </c>
      <c r="C1535" s="26"/>
      <c r="D1535" s="1005" t="s">
        <v>79</v>
      </c>
      <c r="E1535" s="27"/>
      <c r="F1535" s="1006">
        <v>0</v>
      </c>
      <c r="G1535" s="32">
        <f>F1517</f>
        <v>1200</v>
      </c>
      <c r="H1535" s="1007">
        <f>G1535*F1535</f>
        <v>0</v>
      </c>
      <c r="I1535" s="30"/>
      <c r="J1535" s="1008">
        <v>-1.1999999999999999E-3</v>
      </c>
      <c r="K1535" s="32">
        <f>F1517</f>
        <v>1200</v>
      </c>
      <c r="L1535" s="1007">
        <f>K1535*J1535</f>
        <v>-1.44</v>
      </c>
      <c r="M1535" s="30"/>
      <c r="N1535" s="34">
        <f t="shared" si="135"/>
        <v>-1.44</v>
      </c>
      <c r="O1535" s="202" t="str">
        <f>IF((H1535)=0,"",(N1535/H1535))</f>
        <v/>
      </c>
      <c r="P1535" s="7"/>
    </row>
    <row r="1536" spans="1:16" x14ac:dyDescent="0.2">
      <c r="A1536" s="7"/>
      <c r="B1536" s="564" t="s">
        <v>808</v>
      </c>
      <c r="C1536" s="26"/>
      <c r="D1536" s="1005" t="s">
        <v>79</v>
      </c>
      <c r="E1536" s="27"/>
      <c r="F1536" s="1006">
        <v>2.0000000000000001E-4</v>
      </c>
      <c r="G1536" s="32">
        <f>F1517</f>
        <v>1200</v>
      </c>
      <c r="H1536" s="1007">
        <f>G1536*F1536</f>
        <v>0.24000000000000002</v>
      </c>
      <c r="I1536" s="30"/>
      <c r="J1536" s="1008">
        <v>2.0000000000000001E-4</v>
      </c>
      <c r="K1536" s="32">
        <f>F1517</f>
        <v>1200</v>
      </c>
      <c r="L1536" s="1007">
        <f>K1536*J1536</f>
        <v>0.24000000000000002</v>
      </c>
      <c r="M1536" s="30"/>
      <c r="N1536" s="34">
        <f t="shared" si="135"/>
        <v>0</v>
      </c>
      <c r="O1536" s="202">
        <f>IF((H1536)=0,"",(N1536/H1536))</f>
        <v>0</v>
      </c>
      <c r="P1536" s="7"/>
    </row>
    <row r="1537" spans="1:16" x14ac:dyDescent="0.2">
      <c r="A1537" s="7"/>
      <c r="B1537" s="564" t="s">
        <v>701</v>
      </c>
      <c r="C1537" s="26"/>
      <c r="D1537" s="1005"/>
      <c r="E1537" s="27"/>
      <c r="F1537" s="1023"/>
      <c r="G1537" s="1024"/>
      <c r="H1537" s="1025"/>
      <c r="I1537" s="30"/>
      <c r="J1537" s="1008"/>
      <c r="K1537" s="32">
        <f>F1517</f>
        <v>1200</v>
      </c>
      <c r="L1537" s="1007">
        <f>K1537*J1537</f>
        <v>0</v>
      </c>
      <c r="M1537" s="30"/>
      <c r="N1537" s="34">
        <f t="shared" si="135"/>
        <v>0</v>
      </c>
      <c r="O1537" s="202"/>
      <c r="P1537" s="7"/>
    </row>
    <row r="1538" spans="1:16" ht="25.5" x14ac:dyDescent="0.2">
      <c r="A1538" s="7"/>
      <c r="B1538" s="1026" t="s">
        <v>699</v>
      </c>
      <c r="C1538" s="1027"/>
      <c r="D1538" s="1027"/>
      <c r="E1538" s="1027"/>
      <c r="F1538" s="1028"/>
      <c r="G1538" s="1029"/>
      <c r="H1538" s="1030">
        <f>SUM(H1532:H1537)</f>
        <v>65.36999999999999</v>
      </c>
      <c r="I1538" s="1017"/>
      <c r="J1538" s="1029"/>
      <c r="K1538" s="1031"/>
      <c r="L1538" s="1030">
        <f>SUM(L1532:L1537)</f>
        <v>53.900000000000006</v>
      </c>
      <c r="M1538" s="1017"/>
      <c r="N1538" s="1020">
        <f t="shared" si="135"/>
        <v>-11.469999999999985</v>
      </c>
      <c r="O1538" s="1021">
        <f t="shared" ref="O1538:O1562" si="137">IF((H1538)=0,"",(N1538/H1538))</f>
        <v>-0.17546275049716975</v>
      </c>
      <c r="P1538" s="7"/>
    </row>
    <row r="1539" spans="1:16" x14ac:dyDescent="0.2">
      <c r="A1539" s="7"/>
      <c r="B1539" s="30" t="s">
        <v>32</v>
      </c>
      <c r="C1539" s="30"/>
      <c r="D1539" s="1032" t="s">
        <v>79</v>
      </c>
      <c r="E1539" s="31"/>
      <c r="F1539" s="1008">
        <v>6.3E-3</v>
      </c>
      <c r="G1539" s="667">
        <f>F1517*(1+F1565)</f>
        <v>1242.72</v>
      </c>
      <c r="H1539" s="1007">
        <f>G1539*F1539</f>
        <v>7.8291360000000001</v>
      </c>
      <c r="I1539" s="30"/>
      <c r="J1539" s="1008">
        <v>5.7999999999999996E-3</v>
      </c>
      <c r="K1539" s="668">
        <f>F1517*(1+J1565)</f>
        <v>1250.4648771348184</v>
      </c>
      <c r="L1539" s="1007">
        <f>K1539*J1539</f>
        <v>7.252696287381946</v>
      </c>
      <c r="M1539" s="30"/>
      <c r="N1539" s="34">
        <f t="shared" si="135"/>
        <v>-0.57643971261805405</v>
      </c>
      <c r="O1539" s="202">
        <f t="shared" si="137"/>
        <v>-7.3627500227107318E-2</v>
      </c>
      <c r="P1539" s="7"/>
    </row>
    <row r="1540" spans="1:16" ht="25.5" x14ac:dyDescent="0.2">
      <c r="A1540" s="7"/>
      <c r="B1540" s="35" t="s">
        <v>33</v>
      </c>
      <c r="C1540" s="30"/>
      <c r="D1540" s="1032" t="s">
        <v>79</v>
      </c>
      <c r="E1540" s="31"/>
      <c r="F1540" s="1008">
        <v>5.0000000000000001E-3</v>
      </c>
      <c r="G1540" s="667">
        <f>G1539</f>
        <v>1242.72</v>
      </c>
      <c r="H1540" s="1007">
        <f>G1540*F1540</f>
        <v>6.2136000000000005</v>
      </c>
      <c r="I1540" s="30"/>
      <c r="J1540" s="1008">
        <v>4.7999999999999996E-3</v>
      </c>
      <c r="K1540" s="668">
        <f>K1539</f>
        <v>1250.4648771348184</v>
      </c>
      <c r="L1540" s="1007">
        <f>K1540*J1540</f>
        <v>6.0022314102471279</v>
      </c>
      <c r="M1540" s="30"/>
      <c r="N1540" s="34">
        <f t="shared" si="135"/>
        <v>-0.21136858975287254</v>
      </c>
      <c r="O1540" s="202">
        <f t="shared" si="137"/>
        <v>-3.4017089891990558E-2</v>
      </c>
      <c r="P1540" s="7"/>
    </row>
    <row r="1541" spans="1:16" ht="25.5" x14ac:dyDescent="0.2">
      <c r="A1541" s="7"/>
      <c r="B1541" s="1026" t="s">
        <v>700</v>
      </c>
      <c r="C1541" s="1012"/>
      <c r="D1541" s="1012"/>
      <c r="E1541" s="1012"/>
      <c r="F1541" s="1033"/>
      <c r="G1541" s="1029"/>
      <c r="H1541" s="1030">
        <f>SUM(H1538:H1540)</f>
        <v>79.412735999999995</v>
      </c>
      <c r="I1541" s="1034"/>
      <c r="J1541" s="1035"/>
      <c r="K1541" s="1036"/>
      <c r="L1541" s="1030">
        <f>SUM(L1538:L1540)</f>
        <v>67.154927697629077</v>
      </c>
      <c r="M1541" s="1034"/>
      <c r="N1541" s="1020">
        <f t="shared" si="135"/>
        <v>-12.257808302370918</v>
      </c>
      <c r="O1541" s="1021">
        <f t="shared" si="137"/>
        <v>-0.15435569808816207</v>
      </c>
      <c r="P1541" s="7"/>
    </row>
    <row r="1542" spans="1:16" ht="25.5" x14ac:dyDescent="0.2">
      <c r="A1542" s="7"/>
      <c r="B1542" s="28" t="s">
        <v>34</v>
      </c>
      <c r="C1542" s="26"/>
      <c r="D1542" s="1005" t="s">
        <v>79</v>
      </c>
      <c r="E1542" s="27"/>
      <c r="F1542" s="1037">
        <v>5.1999999999999998E-3</v>
      </c>
      <c r="G1542" s="667">
        <f>F1517*(1+F1565)</f>
        <v>1242.72</v>
      </c>
      <c r="H1542" s="1038">
        <f t="shared" ref="H1542:H1550" si="138">G1542*F1542</f>
        <v>6.4621439999999994</v>
      </c>
      <c r="I1542" s="30"/>
      <c r="J1542" s="1039">
        <v>5.1999999999999998E-3</v>
      </c>
      <c r="K1542" s="668">
        <f>F1517*(1+J1565)</f>
        <v>1250.4648771348184</v>
      </c>
      <c r="L1542" s="1038">
        <f t="shared" ref="L1542:L1550" si="139">K1542*J1542</f>
        <v>6.5024173611010552</v>
      </c>
      <c r="M1542" s="30"/>
      <c r="N1542" s="34">
        <f t="shared" si="135"/>
        <v>4.0273361101055727E-2</v>
      </c>
      <c r="O1542" s="565">
        <f t="shared" si="137"/>
        <v>6.2321980291766528E-3</v>
      </c>
      <c r="P1542" s="7"/>
    </row>
    <row r="1543" spans="1:16" ht="25.5" x14ac:dyDescent="0.2">
      <c r="A1543" s="7"/>
      <c r="B1543" s="28" t="s">
        <v>35</v>
      </c>
      <c r="C1543" s="26"/>
      <c r="D1543" s="1005" t="s">
        <v>79</v>
      </c>
      <c r="E1543" s="27"/>
      <c r="F1543" s="1037">
        <v>1.1000000000000001E-3</v>
      </c>
      <c r="G1543" s="667">
        <f>F1517*(1+F1565)</f>
        <v>1242.72</v>
      </c>
      <c r="H1543" s="1038">
        <f t="shared" si="138"/>
        <v>1.3669920000000002</v>
      </c>
      <c r="I1543" s="30"/>
      <c r="J1543" s="1039">
        <v>1.1000000000000001E-3</v>
      </c>
      <c r="K1543" s="668">
        <f>F1517*(1+J1565)</f>
        <v>1250.4648771348184</v>
      </c>
      <c r="L1543" s="1038">
        <f t="shared" si="139"/>
        <v>1.3755113648483004</v>
      </c>
      <c r="M1543" s="30"/>
      <c r="N1543" s="34">
        <f t="shared" si="135"/>
        <v>8.5193648483001816E-3</v>
      </c>
      <c r="O1543" s="565">
        <f t="shared" si="137"/>
        <v>6.2321980291766008E-3</v>
      </c>
      <c r="P1543" s="7"/>
    </row>
    <row r="1544" spans="1:16" x14ac:dyDescent="0.2">
      <c r="A1544" s="7"/>
      <c r="B1544" s="26" t="s">
        <v>36</v>
      </c>
      <c r="C1544" s="26"/>
      <c r="D1544" s="1005"/>
      <c r="E1544" s="27"/>
      <c r="F1544" s="1037"/>
      <c r="G1544" s="32">
        <v>1</v>
      </c>
      <c r="H1544" s="1038">
        <f t="shared" si="138"/>
        <v>0</v>
      </c>
      <c r="I1544" s="30"/>
      <c r="J1544" s="1039"/>
      <c r="K1544" s="33">
        <v>1</v>
      </c>
      <c r="L1544" s="1038">
        <f t="shared" si="139"/>
        <v>0</v>
      </c>
      <c r="M1544" s="30"/>
      <c r="N1544" s="34">
        <f t="shared" si="135"/>
        <v>0</v>
      </c>
      <c r="O1544" s="565" t="str">
        <f t="shared" si="137"/>
        <v/>
      </c>
      <c r="P1544" s="7"/>
    </row>
    <row r="1545" spans="1:16" x14ac:dyDescent="0.2">
      <c r="A1545" s="7"/>
      <c r="B1545" s="26" t="s">
        <v>37</v>
      </c>
      <c r="C1545" s="26"/>
      <c r="D1545" s="1005" t="s">
        <v>79</v>
      </c>
      <c r="E1545" s="27"/>
      <c r="F1545" s="1037">
        <v>7.0000000000000001E-3</v>
      </c>
      <c r="G1545" s="667">
        <f>F1517</f>
        <v>1200</v>
      </c>
      <c r="H1545" s="1038">
        <f t="shared" si="138"/>
        <v>8.4</v>
      </c>
      <c r="I1545" s="30"/>
      <c r="J1545" s="1039">
        <v>7.0000000000000001E-3</v>
      </c>
      <c r="K1545" s="668">
        <f>F1517</f>
        <v>1200</v>
      </c>
      <c r="L1545" s="1038">
        <f t="shared" si="139"/>
        <v>8.4</v>
      </c>
      <c r="M1545" s="30"/>
      <c r="N1545" s="34">
        <f t="shared" si="135"/>
        <v>0</v>
      </c>
      <c r="O1545" s="565">
        <f t="shared" si="137"/>
        <v>0</v>
      </c>
      <c r="P1545" s="7"/>
    </row>
    <row r="1546" spans="1:16" x14ac:dyDescent="0.2">
      <c r="A1546" s="7"/>
      <c r="B1546" s="564" t="s">
        <v>777</v>
      </c>
      <c r="C1546" s="26"/>
      <c r="D1546" s="1005" t="s">
        <v>79</v>
      </c>
      <c r="E1546" s="27"/>
      <c r="F1546" s="1040">
        <v>7.4999999999999997E-2</v>
      </c>
      <c r="G1546" s="667">
        <f>IF($G$1542&gt;=750,750,$G$1542)</f>
        <v>750</v>
      </c>
      <c r="H1546" s="1038">
        <f>G1546*F1546</f>
        <v>56.25</v>
      </c>
      <c r="I1546" s="30"/>
      <c r="J1546" s="1037">
        <v>7.4999999999999997E-2</v>
      </c>
      <c r="K1546" s="667">
        <f>IF($K$1542&gt;=750,750,$K$1542)</f>
        <v>750</v>
      </c>
      <c r="L1546" s="1038">
        <f>K1546*J1546</f>
        <v>56.25</v>
      </c>
      <c r="M1546" s="30"/>
      <c r="N1546" s="34">
        <f t="shared" si="135"/>
        <v>0</v>
      </c>
      <c r="O1546" s="565">
        <f t="shared" si="137"/>
        <v>0</v>
      </c>
      <c r="P1546" s="7"/>
    </row>
    <row r="1547" spans="1:16" x14ac:dyDescent="0.2">
      <c r="A1547" s="7"/>
      <c r="B1547" s="564" t="s">
        <v>778</v>
      </c>
      <c r="C1547" s="26"/>
      <c r="D1547" s="1005" t="s">
        <v>79</v>
      </c>
      <c r="E1547" s="27"/>
      <c r="F1547" s="1040">
        <v>8.7999999999999995E-2</v>
      </c>
      <c r="G1547" s="667">
        <f>IF($G$1542&gt;=750,$G$1542-750,0)</f>
        <v>492.72</v>
      </c>
      <c r="H1547" s="1038">
        <f>G1547*F1547</f>
        <v>43.359360000000002</v>
      </c>
      <c r="I1547" s="30"/>
      <c r="J1547" s="1037">
        <v>8.7999999999999995E-2</v>
      </c>
      <c r="K1547" s="667">
        <f>IF($K$1542&gt;=750,$K$1542-750,0)</f>
        <v>500.46487713481838</v>
      </c>
      <c r="L1547" s="1038">
        <f>K1547*J1547</f>
        <v>44.040909187864017</v>
      </c>
      <c r="M1547" s="30"/>
      <c r="N1547" s="34">
        <f t="shared" si="135"/>
        <v>0.68154918786401453</v>
      </c>
      <c r="O1547" s="565">
        <f t="shared" si="137"/>
        <v>1.5718617338079124E-2</v>
      </c>
      <c r="P1547" s="7"/>
    </row>
    <row r="1548" spans="1:16" x14ac:dyDescent="0.2">
      <c r="A1548" s="7"/>
      <c r="B1548" s="564" t="s">
        <v>779</v>
      </c>
      <c r="C1548" s="26"/>
      <c r="D1548" s="1005" t="s">
        <v>79</v>
      </c>
      <c r="E1548" s="27"/>
      <c r="F1548" s="1040">
        <v>6.5000000000000002E-2</v>
      </c>
      <c r="G1548" s="669">
        <f>0.64*$G$1542</f>
        <v>795.34080000000006</v>
      </c>
      <c r="H1548" s="1038">
        <f t="shared" si="138"/>
        <v>51.697152000000003</v>
      </c>
      <c r="I1548" s="30"/>
      <c r="J1548" s="1037">
        <v>6.5000000000000002E-2</v>
      </c>
      <c r="K1548" s="1041">
        <f>0.64*$K$1542</f>
        <v>800.29752136628383</v>
      </c>
      <c r="L1548" s="1038">
        <f t="shared" si="139"/>
        <v>52.019338888808448</v>
      </c>
      <c r="M1548" s="30"/>
      <c r="N1548" s="34">
        <f t="shared" si="135"/>
        <v>0.32218688880844581</v>
      </c>
      <c r="O1548" s="565">
        <f t="shared" si="137"/>
        <v>6.232198029176652E-3</v>
      </c>
      <c r="P1548" s="7"/>
    </row>
    <row r="1549" spans="1:16" x14ac:dyDescent="0.2">
      <c r="A1549" s="7"/>
      <c r="B1549" s="564" t="s">
        <v>780</v>
      </c>
      <c r="C1549" s="26"/>
      <c r="D1549" s="1005" t="s">
        <v>79</v>
      </c>
      <c r="E1549" s="27"/>
      <c r="F1549" s="1040">
        <v>0.1</v>
      </c>
      <c r="G1549" s="669">
        <f>0.18*$G$1542</f>
        <v>223.68959999999998</v>
      </c>
      <c r="H1549" s="1038">
        <f t="shared" si="138"/>
        <v>22.368960000000001</v>
      </c>
      <c r="I1549" s="30"/>
      <c r="J1549" s="1037">
        <v>0.1</v>
      </c>
      <c r="K1549" s="1041">
        <f>0.18*$K$1542</f>
        <v>225.0836778842673</v>
      </c>
      <c r="L1549" s="1038">
        <f t="shared" si="139"/>
        <v>22.508367788426732</v>
      </c>
      <c r="M1549" s="30"/>
      <c r="N1549" s="34">
        <f t="shared" si="135"/>
        <v>0.13940778842673041</v>
      </c>
      <c r="O1549" s="565">
        <f t="shared" si="137"/>
        <v>6.2321980291766086E-3</v>
      </c>
      <c r="P1549" s="7"/>
    </row>
    <row r="1550" spans="1:16" ht="13.5" thickBot="1" x14ac:dyDescent="0.25">
      <c r="A1550" s="7"/>
      <c r="B1550" s="647" t="s">
        <v>781</v>
      </c>
      <c r="C1550" s="26"/>
      <c r="D1550" s="1005" t="s">
        <v>79</v>
      </c>
      <c r="E1550" s="27"/>
      <c r="F1550" s="1040">
        <v>0.11700000000000001</v>
      </c>
      <c r="G1550" s="669">
        <f>0.18*$G$1542</f>
        <v>223.68959999999998</v>
      </c>
      <c r="H1550" s="1038">
        <f t="shared" si="138"/>
        <v>26.1716832</v>
      </c>
      <c r="I1550" s="30"/>
      <c r="J1550" s="1037">
        <v>0.11700000000000001</v>
      </c>
      <c r="K1550" s="1041">
        <f>0.18*$K$1542</f>
        <v>225.0836778842673</v>
      </c>
      <c r="L1550" s="1038">
        <f t="shared" si="139"/>
        <v>26.334790312459276</v>
      </c>
      <c r="M1550" s="30"/>
      <c r="N1550" s="34">
        <f t="shared" si="135"/>
        <v>0.16310711245927578</v>
      </c>
      <c r="O1550" s="565">
        <f t="shared" si="137"/>
        <v>6.2321980291766554E-3</v>
      </c>
      <c r="P1550" s="7"/>
    </row>
    <row r="1551" spans="1:16" ht="13.5" thickBot="1" x14ac:dyDescent="0.25">
      <c r="A1551" s="7"/>
      <c r="B1551" s="1042"/>
      <c r="C1551" s="1043"/>
      <c r="D1551" s="1044"/>
      <c r="E1551" s="1043"/>
      <c r="F1551" s="1045"/>
      <c r="G1551" s="1046"/>
      <c r="H1551" s="1047"/>
      <c r="I1551" s="1048"/>
      <c r="J1551" s="1045"/>
      <c r="K1551" s="1049"/>
      <c r="L1551" s="1047"/>
      <c r="M1551" s="1048"/>
      <c r="N1551" s="1050"/>
      <c r="O1551" s="1051"/>
      <c r="P1551" s="7"/>
    </row>
    <row r="1552" spans="1:16" x14ac:dyDescent="0.2">
      <c r="A1552" s="7"/>
      <c r="B1552" s="36" t="s">
        <v>782</v>
      </c>
      <c r="C1552" s="26"/>
      <c r="D1552" s="26"/>
      <c r="E1552" s="26"/>
      <c r="F1552" s="662"/>
      <c r="G1552" s="652"/>
      <c r="H1552" s="656">
        <f>SUM(H1541:H1547)</f>
        <v>195.25123199999999</v>
      </c>
      <c r="I1552" s="660"/>
      <c r="J1552" s="661"/>
      <c r="K1552" s="661"/>
      <c r="L1552" s="655">
        <f>SUM(L1541:L1547)</f>
        <v>183.72376561144245</v>
      </c>
      <c r="M1552" s="654"/>
      <c r="N1552" s="659">
        <f t="shared" si="135"/>
        <v>-11.527466388557542</v>
      </c>
      <c r="O1552" s="657">
        <f t="shared" si="137"/>
        <v>-5.9039148027283855E-2</v>
      </c>
      <c r="P1552" s="7"/>
    </row>
    <row r="1553" spans="1:16" ht="12.75" customHeight="1" x14ac:dyDescent="0.2">
      <c r="A1553" s="7"/>
      <c r="B1553" s="650" t="s">
        <v>38</v>
      </c>
      <c r="C1553" s="26"/>
      <c r="D1553" s="26"/>
      <c r="E1553" s="26"/>
      <c r="F1553" s="649">
        <v>0.13</v>
      </c>
      <c r="G1553" s="652"/>
      <c r="H1553" s="670">
        <f>H1552*F1553</f>
        <v>25.38266016</v>
      </c>
      <c r="I1553" s="648"/>
      <c r="J1553" s="676">
        <v>0.13</v>
      </c>
      <c r="K1553" s="677"/>
      <c r="L1553" s="672">
        <f>L1552*J1553</f>
        <v>23.884089529487518</v>
      </c>
      <c r="M1553" s="673"/>
      <c r="N1553" s="674">
        <f t="shared" si="135"/>
        <v>-1.4985706305124822</v>
      </c>
      <c r="O1553" s="675">
        <f t="shared" si="137"/>
        <v>-5.9039148027283918E-2</v>
      </c>
      <c r="P1553" s="7"/>
    </row>
    <row r="1554" spans="1:16" ht="13.5" customHeight="1" x14ac:dyDescent="0.2">
      <c r="A1554" s="7"/>
      <c r="B1554" s="651" t="s">
        <v>1139</v>
      </c>
      <c r="C1554" s="26"/>
      <c r="D1554" s="26"/>
      <c r="E1554" s="26"/>
      <c r="F1554" s="658"/>
      <c r="G1554" s="653"/>
      <c r="H1554" s="670">
        <f>H1552+H1553</f>
        <v>220.63389215999999</v>
      </c>
      <c r="I1554" s="648"/>
      <c r="J1554" s="648"/>
      <c r="K1554" s="648"/>
      <c r="L1554" s="672">
        <f>L1552+L1553</f>
        <v>207.60785514092996</v>
      </c>
      <c r="M1554" s="673"/>
      <c r="N1554" s="674">
        <f t="shared" si="135"/>
        <v>-13.026037019070031</v>
      </c>
      <c r="O1554" s="675">
        <f t="shared" si="137"/>
        <v>-5.9039148027283897E-2</v>
      </c>
      <c r="P1554" s="7"/>
    </row>
    <row r="1555" spans="1:16" ht="12.75" customHeight="1" x14ac:dyDescent="0.2">
      <c r="A1555" s="7"/>
      <c r="B1555" s="1626" t="s">
        <v>1140</v>
      </c>
      <c r="C1555" s="1626"/>
      <c r="D1555" s="1626"/>
      <c r="E1555" s="26"/>
      <c r="F1555" s="658"/>
      <c r="G1555" s="653"/>
      <c r="H1555" s="1052">
        <f>ROUND(-H1554*10%,2)</f>
        <v>-22.06</v>
      </c>
      <c r="I1555" s="648"/>
      <c r="J1555" s="648"/>
      <c r="K1555" s="648"/>
      <c r="L1555" s="1053">
        <f>ROUND(-L1554*10%,2)</f>
        <v>-20.76</v>
      </c>
      <c r="M1555" s="673"/>
      <c r="N1555" s="1054">
        <f t="shared" si="135"/>
        <v>1.2999999999999972</v>
      </c>
      <c r="O1555" s="1055">
        <f t="shared" si="137"/>
        <v>-5.8930190389845746E-2</v>
      </c>
      <c r="P1555" s="7"/>
    </row>
    <row r="1556" spans="1:16" ht="13.5" customHeight="1" thickBot="1" x14ac:dyDescent="0.25">
      <c r="A1556" s="7"/>
      <c r="B1556" s="1626" t="s">
        <v>785</v>
      </c>
      <c r="C1556" s="1626"/>
      <c r="D1556" s="1626"/>
      <c r="E1556" s="1056"/>
      <c r="F1556" s="1057"/>
      <c r="G1556" s="1058"/>
      <c r="H1556" s="1059">
        <f>SUM(H1554:H1555)</f>
        <v>198.57389215999999</v>
      </c>
      <c r="I1556" s="1060"/>
      <c r="J1556" s="1060"/>
      <c r="K1556" s="1060"/>
      <c r="L1556" s="1061">
        <f>SUM(L1554:L1555)</f>
        <v>186.84785514092997</v>
      </c>
      <c r="M1556" s="1062"/>
      <c r="N1556" s="1063">
        <f t="shared" si="135"/>
        <v>-11.72603701907002</v>
      </c>
      <c r="O1556" s="1064">
        <f t="shared" si="137"/>
        <v>-5.9051252365148889E-2</v>
      </c>
      <c r="P1556" s="7"/>
    </row>
    <row r="1557" spans="1:16" ht="13.5" thickBot="1" x14ac:dyDescent="0.25">
      <c r="A1557" s="7"/>
      <c r="B1557" s="1042"/>
      <c r="C1557" s="1043"/>
      <c r="D1557" s="1044"/>
      <c r="E1557" s="1043"/>
      <c r="F1557" s="1065"/>
      <c r="G1557" s="1066"/>
      <c r="H1557" s="1067"/>
      <c r="I1557" s="1068"/>
      <c r="J1557" s="1065"/>
      <c r="K1557" s="1046"/>
      <c r="L1557" s="1069"/>
      <c r="M1557" s="1048"/>
      <c r="N1557" s="1070"/>
      <c r="O1557" s="1051"/>
      <c r="P1557" s="7"/>
    </row>
    <row r="1558" spans="1:16" x14ac:dyDescent="0.2">
      <c r="A1558" s="7"/>
      <c r="B1558" s="36" t="s">
        <v>783</v>
      </c>
      <c r="C1558" s="26"/>
      <c r="D1558" s="26"/>
      <c r="E1558" s="26"/>
      <c r="F1558" s="662"/>
      <c r="G1558" s="652"/>
      <c r="H1558" s="656">
        <f>SUM(H1541:H1545,H1548:H1550)</f>
        <v>195.8796672</v>
      </c>
      <c r="I1558" s="660"/>
      <c r="J1558" s="661"/>
      <c r="K1558" s="661"/>
      <c r="L1558" s="666">
        <f>SUM(L1541:L1545,L1548:L1550)</f>
        <v>184.29535341327289</v>
      </c>
      <c r="M1558" s="654"/>
      <c r="N1558" s="659">
        <f>L1558-H1558</f>
        <v>-11.584313786727108</v>
      </c>
      <c r="O1558" s="657">
        <f>IF((H1558)=0,"",(N1558/H1558))</f>
        <v>-5.9139950319086046E-2</v>
      </c>
      <c r="P1558" s="7"/>
    </row>
    <row r="1559" spans="1:16" ht="12.75" customHeight="1" x14ac:dyDescent="0.2">
      <c r="A1559" s="7"/>
      <c r="B1559" s="650" t="s">
        <v>38</v>
      </c>
      <c r="C1559" s="26"/>
      <c r="D1559" s="26"/>
      <c r="E1559" s="26"/>
      <c r="F1559" s="649">
        <v>0.13</v>
      </c>
      <c r="G1559" s="653"/>
      <c r="H1559" s="670">
        <f>H1558*F1559</f>
        <v>25.464356735999999</v>
      </c>
      <c r="I1559" s="648"/>
      <c r="J1559" s="671">
        <v>0.13</v>
      </c>
      <c r="K1559" s="648"/>
      <c r="L1559" s="672">
        <f>L1558*J1559</f>
        <v>23.958395943725478</v>
      </c>
      <c r="M1559" s="673"/>
      <c r="N1559" s="674">
        <f t="shared" si="135"/>
        <v>-1.5059607922745215</v>
      </c>
      <c r="O1559" s="675">
        <f t="shared" si="137"/>
        <v>-5.9139950319085949E-2</v>
      </c>
      <c r="P1559" s="7"/>
    </row>
    <row r="1560" spans="1:16" ht="13.5" customHeight="1" x14ac:dyDescent="0.2">
      <c r="A1560" s="7"/>
      <c r="B1560" s="651" t="s">
        <v>1139</v>
      </c>
      <c r="C1560" s="26"/>
      <c r="D1560" s="26"/>
      <c r="E1560" s="26"/>
      <c r="F1560" s="658"/>
      <c r="G1560" s="653"/>
      <c r="H1560" s="670">
        <f>H1558+H1559</f>
        <v>221.34402393599999</v>
      </c>
      <c r="I1560" s="648"/>
      <c r="J1560" s="648"/>
      <c r="K1560" s="648"/>
      <c r="L1560" s="672">
        <f>L1558+L1559</f>
        <v>208.25374935699836</v>
      </c>
      <c r="M1560" s="673"/>
      <c r="N1560" s="674">
        <f t="shared" si="135"/>
        <v>-13.09027457900163</v>
      </c>
      <c r="O1560" s="675">
        <f t="shared" si="137"/>
        <v>-5.9139950319086039E-2</v>
      </c>
      <c r="P1560" s="7"/>
    </row>
    <row r="1561" spans="1:16" ht="12.75" customHeight="1" x14ac:dyDescent="0.2">
      <c r="A1561" s="7"/>
      <c r="B1561" s="1626" t="s">
        <v>1140</v>
      </c>
      <c r="C1561" s="1626"/>
      <c r="D1561" s="1626"/>
      <c r="E1561" s="26"/>
      <c r="F1561" s="658"/>
      <c r="G1561" s="653"/>
      <c r="H1561" s="1052">
        <f>ROUND(-H1560*10%,2)</f>
        <v>-22.13</v>
      </c>
      <c r="I1561" s="648"/>
      <c r="J1561" s="648"/>
      <c r="K1561" s="648"/>
      <c r="L1561" s="1053">
        <f>ROUND(-L1560*10%,2)</f>
        <v>-20.83</v>
      </c>
      <c r="M1561" s="673"/>
      <c r="N1561" s="1054">
        <f t="shared" si="135"/>
        <v>1.3000000000000007</v>
      </c>
      <c r="O1561" s="1055">
        <f t="shared" si="137"/>
        <v>-5.8743786714866734E-2</v>
      </c>
      <c r="P1561" s="7"/>
    </row>
    <row r="1562" spans="1:16" ht="13.5" customHeight="1" thickBot="1" x14ac:dyDescent="0.25">
      <c r="A1562" s="7"/>
      <c r="B1562" s="1626" t="s">
        <v>784</v>
      </c>
      <c r="C1562" s="1626"/>
      <c r="D1562" s="1626"/>
      <c r="E1562" s="1056"/>
      <c r="F1562" s="1071"/>
      <c r="G1562" s="1072"/>
      <c r="H1562" s="1073">
        <f>H1560+H1561</f>
        <v>199.21402393599999</v>
      </c>
      <c r="I1562" s="1074"/>
      <c r="J1562" s="1074"/>
      <c r="K1562" s="1074"/>
      <c r="L1562" s="1075">
        <f>L1560+L1561</f>
        <v>187.42374935699837</v>
      </c>
      <c r="M1562" s="1076"/>
      <c r="N1562" s="1077">
        <f t="shared" si="135"/>
        <v>-11.790274579001618</v>
      </c>
      <c r="O1562" s="1078">
        <f t="shared" si="137"/>
        <v>-5.9183958769837369E-2</v>
      </c>
      <c r="P1562" s="7"/>
    </row>
    <row r="1563" spans="1:16" ht="13.5" thickBot="1" x14ac:dyDescent="0.25">
      <c r="A1563" s="7"/>
      <c r="B1563" s="1042"/>
      <c r="C1563" s="1043"/>
      <c r="D1563" s="1044"/>
      <c r="E1563" s="1043"/>
      <c r="F1563" s="1065"/>
      <c r="G1563" s="1066"/>
      <c r="H1563" s="1067"/>
      <c r="I1563" s="1068"/>
      <c r="J1563" s="1065"/>
      <c r="K1563" s="1046"/>
      <c r="L1563" s="1069"/>
      <c r="M1563" s="1048"/>
      <c r="N1563" s="1070"/>
      <c r="O1563" s="1051"/>
      <c r="P1563" s="7"/>
    </row>
    <row r="1564" spans="1:16" x14ac:dyDescent="0.2">
      <c r="A1564" s="7"/>
      <c r="B1564" s="7"/>
      <c r="C1564" s="7"/>
      <c r="D1564" s="7"/>
      <c r="E1564" s="7"/>
      <c r="F1564" s="7"/>
      <c r="G1564" s="7"/>
      <c r="H1564" s="7"/>
      <c r="I1564" s="7"/>
      <c r="J1564" s="7"/>
      <c r="K1564" s="7"/>
      <c r="L1564" s="678"/>
      <c r="M1564" s="7"/>
      <c r="N1564" s="7"/>
      <c r="O1564" s="7"/>
      <c r="P1564" s="7"/>
    </row>
    <row r="1565" spans="1:16" x14ac:dyDescent="0.2">
      <c r="A1565" s="7"/>
      <c r="B1565" s="8" t="s">
        <v>39</v>
      </c>
      <c r="C1565" s="7"/>
      <c r="D1565" s="7"/>
      <c r="E1565" s="7"/>
      <c r="F1565" s="1079">
        <v>3.5600000000000076E-2</v>
      </c>
      <c r="G1565" s="7"/>
      <c r="H1565" s="7"/>
      <c r="I1565" s="7"/>
      <c r="J1565" s="1079">
        <v>4.2054064279015257E-2</v>
      </c>
      <c r="K1565" s="7"/>
      <c r="L1565" s="7"/>
      <c r="M1565" s="7"/>
      <c r="N1565" s="7"/>
      <c r="O1565" s="7"/>
      <c r="P1565" s="7"/>
    </row>
    <row r="1566" spans="1:16" x14ac:dyDescent="0.2">
      <c r="A1566" s="7"/>
      <c r="B1566" s="7"/>
      <c r="C1566" s="7"/>
      <c r="D1566" s="7"/>
      <c r="E1566" s="7"/>
      <c r="F1566" s="7"/>
      <c r="G1566" s="7"/>
      <c r="H1566" s="7"/>
      <c r="I1566" s="7"/>
      <c r="J1566" s="7"/>
      <c r="K1566" s="7"/>
      <c r="L1566" s="7"/>
      <c r="M1566" s="7"/>
      <c r="N1566" s="7"/>
      <c r="O1566" s="7"/>
      <c r="P1566" s="7"/>
    </row>
    <row r="1567" spans="1:16" ht="14.25" x14ac:dyDescent="0.2">
      <c r="A1567" s="214" t="s">
        <v>1141</v>
      </c>
      <c r="B1567" s="7"/>
      <c r="C1567" s="7"/>
      <c r="D1567" s="7"/>
      <c r="E1567" s="7"/>
      <c r="F1567" s="7"/>
      <c r="G1567" s="7"/>
      <c r="H1567" s="7"/>
      <c r="I1567" s="7"/>
      <c r="J1567" s="7"/>
      <c r="K1567" s="7"/>
      <c r="L1567" s="7"/>
      <c r="M1567" s="7"/>
      <c r="N1567" s="7"/>
      <c r="O1567" s="7"/>
      <c r="P1567" s="7"/>
    </row>
    <row r="1568" spans="1:16" x14ac:dyDescent="0.2">
      <c r="A1568" s="7"/>
      <c r="B1568" s="7"/>
      <c r="C1568" s="7"/>
      <c r="D1568" s="7"/>
      <c r="E1568" s="7"/>
      <c r="F1568" s="7"/>
      <c r="G1568" s="7"/>
      <c r="H1568" s="7"/>
      <c r="I1568" s="7"/>
      <c r="J1568" s="7"/>
      <c r="K1568" s="7"/>
      <c r="L1568" s="7"/>
      <c r="M1568" s="7"/>
      <c r="N1568" s="7"/>
      <c r="O1568" s="7"/>
      <c r="P1568" s="7"/>
    </row>
    <row r="1569" spans="1:16" x14ac:dyDescent="0.2">
      <c r="A1569" s="7" t="s">
        <v>107</v>
      </c>
      <c r="B1569" s="7"/>
      <c r="C1569" s="7"/>
      <c r="D1569" s="7"/>
      <c r="E1569" s="7"/>
      <c r="F1569" s="7"/>
      <c r="G1569" s="7"/>
      <c r="H1569" s="7"/>
      <c r="I1569" s="7"/>
      <c r="J1569" s="7"/>
      <c r="K1569" s="7"/>
      <c r="L1569" s="7"/>
      <c r="M1569" s="7"/>
      <c r="N1569" s="7"/>
      <c r="O1569" s="7"/>
      <c r="P1569" s="7"/>
    </row>
    <row r="1570" spans="1:16" x14ac:dyDescent="0.2">
      <c r="A1570" s="7" t="s">
        <v>108</v>
      </c>
      <c r="B1570" s="7"/>
      <c r="C1570" s="7"/>
      <c r="D1570" s="7"/>
      <c r="E1570" s="7"/>
      <c r="F1570" s="7"/>
      <c r="G1570" s="7"/>
      <c r="H1570" s="7"/>
      <c r="I1570" s="7"/>
      <c r="J1570" s="7"/>
      <c r="K1570" s="7"/>
      <c r="L1570" s="7"/>
      <c r="M1570" s="7"/>
      <c r="N1570" s="7"/>
      <c r="O1570" s="7"/>
      <c r="P1570" s="7"/>
    </row>
    <row r="1571" spans="1:16" x14ac:dyDescent="0.2">
      <c r="A1571" s="7"/>
      <c r="B1571" s="7"/>
      <c r="C1571" s="7"/>
      <c r="D1571" s="7"/>
      <c r="E1571" s="7"/>
      <c r="F1571" s="7"/>
      <c r="G1571" s="7"/>
      <c r="H1571" s="7"/>
      <c r="I1571" s="7"/>
      <c r="J1571" s="7"/>
      <c r="K1571" s="7"/>
      <c r="L1571" s="7"/>
      <c r="M1571" s="7"/>
      <c r="N1571" s="7"/>
      <c r="O1571" s="7"/>
      <c r="P1571" s="7"/>
    </row>
    <row r="1572" spans="1:16" x14ac:dyDescent="0.2">
      <c r="A1572" s="7" t="s">
        <v>331</v>
      </c>
      <c r="B1572" s="7"/>
      <c r="C1572" s="7"/>
      <c r="D1572" s="7"/>
      <c r="E1572" s="7"/>
      <c r="F1572" s="7"/>
      <c r="G1572" s="7"/>
      <c r="H1572" s="7"/>
      <c r="I1572" s="7"/>
      <c r="J1572" s="7"/>
      <c r="K1572" s="7"/>
      <c r="L1572" s="7"/>
      <c r="M1572" s="7"/>
      <c r="N1572" s="7"/>
      <c r="O1572" s="7"/>
      <c r="P1572" s="7"/>
    </row>
    <row r="1573" spans="1:16" x14ac:dyDescent="0.2">
      <c r="A1573" s="7" t="s">
        <v>109</v>
      </c>
      <c r="B1573" s="7"/>
      <c r="C1573" s="7"/>
      <c r="D1573" s="7"/>
      <c r="E1573" s="7"/>
      <c r="F1573" s="7"/>
      <c r="G1573" s="7"/>
      <c r="H1573" s="7"/>
      <c r="I1573" s="7"/>
      <c r="J1573" s="7"/>
      <c r="K1573" s="7"/>
      <c r="L1573" s="7"/>
      <c r="M1573" s="7"/>
      <c r="N1573" s="7"/>
      <c r="O1573" s="7"/>
      <c r="P1573" s="7"/>
    </row>
    <row r="1574" spans="1:16" x14ac:dyDescent="0.2">
      <c r="A1574" s="7"/>
      <c r="B1574" s="7"/>
      <c r="C1574" s="7"/>
      <c r="D1574" s="7"/>
      <c r="E1574" s="7"/>
      <c r="F1574" s="7"/>
      <c r="G1574" s="7"/>
      <c r="H1574" s="7"/>
      <c r="I1574" s="7"/>
      <c r="J1574" s="7"/>
      <c r="K1574" s="7"/>
      <c r="L1574" s="7"/>
      <c r="M1574" s="7"/>
      <c r="N1574" s="7"/>
      <c r="O1574" s="7"/>
      <c r="P1574" s="7"/>
    </row>
    <row r="1575" spans="1:16" x14ac:dyDescent="0.2">
      <c r="A1575" s="7" t="s">
        <v>110</v>
      </c>
      <c r="B1575" s="7"/>
      <c r="C1575" s="7"/>
      <c r="D1575" s="7"/>
      <c r="E1575" s="7"/>
      <c r="F1575" s="7"/>
      <c r="G1575" s="7"/>
      <c r="H1575" s="7"/>
      <c r="I1575" s="7"/>
      <c r="J1575" s="7"/>
      <c r="K1575" s="7"/>
      <c r="L1575" s="7"/>
      <c r="M1575" s="7"/>
      <c r="N1575" s="7"/>
      <c r="O1575" s="7"/>
      <c r="P1575" s="7"/>
    </row>
    <row r="1576" spans="1:16" x14ac:dyDescent="0.2">
      <c r="A1576" s="7" t="s">
        <v>111</v>
      </c>
      <c r="B1576" s="7"/>
      <c r="C1576" s="7"/>
      <c r="D1576" s="7"/>
      <c r="E1576" s="7"/>
      <c r="F1576" s="7"/>
      <c r="G1576" s="7"/>
      <c r="H1576" s="7"/>
      <c r="I1576" s="7"/>
      <c r="J1576" s="7"/>
      <c r="K1576" s="7"/>
      <c r="L1576" s="7"/>
      <c r="M1576" s="7"/>
      <c r="N1576" s="7"/>
      <c r="O1576" s="7"/>
      <c r="P1576" s="7"/>
    </row>
    <row r="1577" spans="1:16" x14ac:dyDescent="0.2">
      <c r="A1577" s="7" t="s">
        <v>112</v>
      </c>
      <c r="B1577" s="7"/>
      <c r="C1577" s="7"/>
      <c r="D1577" s="7"/>
      <c r="E1577" s="7"/>
      <c r="F1577" s="7"/>
      <c r="G1577" s="7"/>
      <c r="H1577" s="7"/>
      <c r="I1577" s="7"/>
      <c r="J1577" s="7"/>
      <c r="K1577" s="7"/>
      <c r="L1577" s="7"/>
      <c r="M1577" s="7"/>
      <c r="N1577" s="7"/>
      <c r="O1577" s="7"/>
      <c r="P1577" s="7"/>
    </row>
    <row r="1578" spans="1:16" x14ac:dyDescent="0.2">
      <c r="A1578" s="7" t="s">
        <v>113</v>
      </c>
      <c r="B1578" s="7"/>
      <c r="C1578" s="7"/>
      <c r="D1578" s="7"/>
      <c r="E1578" s="7"/>
      <c r="F1578" s="7"/>
      <c r="G1578" s="7"/>
      <c r="H1578" s="7"/>
      <c r="I1578" s="7"/>
      <c r="J1578" s="7"/>
      <c r="K1578" s="7"/>
      <c r="L1578" s="7"/>
      <c r="M1578" s="7"/>
      <c r="N1578" s="7"/>
      <c r="O1578" s="7"/>
      <c r="P1578" s="7"/>
    </row>
    <row r="1579" spans="1:16" x14ac:dyDescent="0.2">
      <c r="A1579" s="7" t="s">
        <v>114</v>
      </c>
      <c r="B1579" s="7"/>
      <c r="C1579" s="7"/>
      <c r="D1579" s="7"/>
      <c r="E1579" s="7"/>
      <c r="F1579" s="7"/>
      <c r="G1579" s="7"/>
      <c r="H1579" s="7"/>
      <c r="I1579" s="7"/>
      <c r="J1579" s="7"/>
      <c r="K1579" s="7"/>
      <c r="L1579" s="7"/>
      <c r="M1579" s="7"/>
      <c r="N1579" s="7"/>
      <c r="O1579" s="7"/>
      <c r="P1579" s="7"/>
    </row>
    <row r="1581" spans="1:16" ht="21.75" x14ac:dyDescent="0.2">
      <c r="A1581" s="41"/>
      <c r="B1581" s="41"/>
      <c r="C1581" s="41"/>
      <c r="D1581" s="41"/>
      <c r="E1581" s="41"/>
      <c r="F1581" s="41"/>
      <c r="G1581" s="41"/>
      <c r="H1581" s="41"/>
      <c r="I1581" s="41"/>
      <c r="J1581" s="41"/>
      <c r="K1581" s="41"/>
      <c r="L1581" s="37"/>
      <c r="M1581" s="37"/>
      <c r="N1581" s="16" t="s">
        <v>444</v>
      </c>
      <c r="O1581" s="250" t="s">
        <v>866</v>
      </c>
    </row>
    <row r="1582" spans="1:16" ht="18" x14ac:dyDescent="0.25">
      <c r="A1582" s="40"/>
      <c r="B1582" s="40"/>
      <c r="C1582" s="40"/>
      <c r="D1582" s="40"/>
      <c r="E1582" s="40"/>
      <c r="F1582" s="40"/>
      <c r="G1582" s="40"/>
      <c r="H1582" s="40"/>
      <c r="I1582" s="40"/>
      <c r="J1582" s="40"/>
      <c r="K1582" s="40"/>
      <c r="L1582" s="37"/>
      <c r="M1582" s="37"/>
      <c r="N1582" s="16" t="s">
        <v>445</v>
      </c>
      <c r="O1582" s="1001"/>
    </row>
    <row r="1583" spans="1:16" x14ac:dyDescent="0.2">
      <c r="A1583" s="1626"/>
      <c r="B1583" s="1626"/>
      <c r="C1583" s="1626"/>
      <c r="D1583" s="1626"/>
      <c r="E1583" s="1626"/>
      <c r="F1583" s="1626"/>
      <c r="G1583" s="1626"/>
      <c r="H1583" s="1626"/>
      <c r="I1583" s="1626"/>
      <c r="J1583" s="1626"/>
      <c r="K1583" s="1626"/>
      <c r="L1583" s="37"/>
      <c r="M1583" s="37"/>
      <c r="N1583" s="16" t="s">
        <v>446</v>
      </c>
      <c r="O1583" s="1001"/>
    </row>
    <row r="1584" spans="1:16" ht="18" x14ac:dyDescent="0.25">
      <c r="A1584" s="40"/>
      <c r="B1584" s="40"/>
      <c r="C1584" s="40"/>
      <c r="D1584" s="40"/>
      <c r="E1584" s="40"/>
      <c r="F1584" s="40"/>
      <c r="G1584" s="40"/>
      <c r="H1584" s="40"/>
      <c r="I1584" s="38"/>
      <c r="J1584" s="38"/>
      <c r="K1584" s="38"/>
      <c r="L1584" s="37"/>
      <c r="M1584" s="37"/>
      <c r="N1584" s="16" t="s">
        <v>447</v>
      </c>
      <c r="O1584" s="1001"/>
    </row>
    <row r="1585" spans="1:16" ht="15.75" x14ac:dyDescent="0.25">
      <c r="A1585" s="37"/>
      <c r="B1585" s="37"/>
      <c r="C1585" s="39"/>
      <c r="D1585" s="39"/>
      <c r="E1585" s="39"/>
      <c r="F1585" s="37"/>
      <c r="G1585" s="37"/>
      <c r="H1585" s="37"/>
      <c r="I1585" s="37"/>
      <c r="J1585" s="37"/>
      <c r="K1585" s="37"/>
      <c r="L1585" s="37"/>
      <c r="M1585" s="37"/>
      <c r="N1585" s="16" t="s">
        <v>448</v>
      </c>
      <c r="O1585" s="1002" t="s">
        <v>1164</v>
      </c>
    </row>
    <row r="1586" spans="1:16" x14ac:dyDescent="0.2">
      <c r="A1586" s="37"/>
      <c r="B1586" s="37"/>
      <c r="C1586" s="37"/>
      <c r="D1586" s="37"/>
      <c r="E1586" s="37"/>
      <c r="F1586" s="37"/>
      <c r="G1586" s="37"/>
      <c r="H1586" s="37"/>
      <c r="I1586" s="37"/>
      <c r="J1586" s="37"/>
      <c r="K1586" s="37"/>
      <c r="L1586" s="37"/>
      <c r="M1586" s="37"/>
      <c r="N1586" s="16"/>
      <c r="O1586" s="250"/>
    </row>
    <row r="1587" spans="1:16" x14ac:dyDescent="0.2">
      <c r="A1587" s="37"/>
      <c r="B1587" s="37"/>
      <c r="C1587" s="37"/>
      <c r="D1587" s="37"/>
      <c r="E1587" s="37"/>
      <c r="F1587" s="37"/>
      <c r="G1587" s="37"/>
      <c r="H1587" s="37"/>
      <c r="I1587" s="37"/>
      <c r="J1587" s="37"/>
      <c r="K1587" s="37"/>
      <c r="L1587" s="37"/>
      <c r="M1587" s="37"/>
      <c r="N1587" s="16" t="s">
        <v>449</v>
      </c>
      <c r="O1587" s="1002"/>
    </row>
    <row r="1588" spans="1:16" x14ac:dyDescent="0.2">
      <c r="A1588" s="37"/>
      <c r="B1588" s="37"/>
      <c r="C1588" s="37"/>
      <c r="D1588" s="37"/>
      <c r="E1588" s="37"/>
      <c r="F1588" s="37"/>
      <c r="G1588" s="37"/>
      <c r="H1588" s="37"/>
      <c r="I1588" s="37"/>
      <c r="J1588" s="37"/>
      <c r="K1588" s="37"/>
      <c r="L1588" s="37"/>
      <c r="M1588" s="37"/>
      <c r="N1588" s="7"/>
    </row>
    <row r="1589" spans="1:16" x14ac:dyDescent="0.2">
      <c r="A1589" s="7"/>
      <c r="B1589" s="7"/>
      <c r="C1589" s="7"/>
      <c r="D1589" s="7"/>
      <c r="E1589" s="7"/>
      <c r="F1589" s="7"/>
      <c r="G1589" s="7"/>
      <c r="H1589" s="7"/>
      <c r="I1589" s="7"/>
      <c r="J1589" s="7"/>
      <c r="K1589" s="7"/>
    </row>
    <row r="1590" spans="1:16" x14ac:dyDescent="0.2">
      <c r="A1590" s="7"/>
      <c r="B1590" s="1626" t="s">
        <v>695</v>
      </c>
      <c r="C1590" s="1626"/>
      <c r="D1590" s="1626"/>
      <c r="E1590" s="1626"/>
      <c r="F1590" s="1626"/>
      <c r="G1590" s="1626"/>
      <c r="H1590" s="1626"/>
      <c r="I1590" s="1626"/>
      <c r="J1590" s="1626"/>
      <c r="K1590" s="1626"/>
      <c r="L1590" s="1626"/>
      <c r="M1590" s="1626"/>
      <c r="N1590" s="1626"/>
      <c r="O1590" s="1626"/>
    </row>
    <row r="1591" spans="1:16" x14ac:dyDescent="0.2">
      <c r="A1591" s="7"/>
      <c r="B1591" s="1626" t="s">
        <v>63</v>
      </c>
      <c r="C1591" s="1626"/>
      <c r="D1591" s="1626"/>
      <c r="E1591" s="1626"/>
      <c r="F1591" s="1626"/>
      <c r="G1591" s="1626"/>
      <c r="H1591" s="1626"/>
      <c r="I1591" s="1626"/>
      <c r="J1591" s="1626"/>
      <c r="K1591" s="1626"/>
      <c r="L1591" s="1626"/>
      <c r="M1591" s="1626"/>
      <c r="N1591" s="1626"/>
      <c r="O1591" s="1626"/>
    </row>
    <row r="1592" spans="1:16" x14ac:dyDescent="0.2">
      <c r="A1592" s="7"/>
      <c r="B1592" s="7"/>
      <c r="C1592" s="7"/>
      <c r="D1592" s="7"/>
      <c r="E1592" s="7"/>
      <c r="F1592" s="7"/>
      <c r="G1592" s="7"/>
      <c r="H1592" s="7"/>
      <c r="I1592" s="7"/>
      <c r="J1592" s="7"/>
      <c r="K1592" s="7"/>
    </row>
    <row r="1593" spans="1:16" x14ac:dyDescent="0.2">
      <c r="A1593" s="7"/>
      <c r="B1593" s="7"/>
      <c r="C1593" s="7"/>
      <c r="D1593" s="7"/>
      <c r="E1593" s="7"/>
      <c r="F1593" s="7"/>
      <c r="G1593" s="7"/>
      <c r="H1593" s="7"/>
      <c r="I1593" s="7"/>
      <c r="J1593" s="7"/>
      <c r="K1593" s="7"/>
    </row>
    <row r="1594" spans="1:16" x14ac:dyDescent="0.2">
      <c r="A1594" s="7"/>
      <c r="B1594" s="43" t="s">
        <v>40</v>
      </c>
      <c r="C1594" s="7"/>
      <c r="D1594" s="1626" t="s">
        <v>87</v>
      </c>
      <c r="E1594" s="1626"/>
      <c r="F1594" s="1626"/>
      <c r="G1594" s="1626"/>
      <c r="H1594" s="1626"/>
      <c r="I1594" s="1626"/>
      <c r="J1594" s="1626"/>
      <c r="K1594" s="1626"/>
      <c r="L1594" s="1626"/>
      <c r="M1594" s="1626"/>
      <c r="N1594" s="1626"/>
      <c r="O1594" s="1626"/>
      <c r="P1594" s="7"/>
    </row>
    <row r="1595" spans="1:16" ht="15.75" x14ac:dyDescent="0.25">
      <c r="A1595" s="7"/>
      <c r="B1595" s="1003"/>
      <c r="C1595" s="7"/>
      <c r="D1595" s="42"/>
      <c r="E1595" s="42"/>
      <c r="F1595" s="42"/>
      <c r="G1595" s="42"/>
      <c r="H1595" s="42"/>
      <c r="I1595" s="42"/>
      <c r="J1595" s="42"/>
      <c r="K1595" s="42"/>
      <c r="L1595" s="42"/>
      <c r="M1595" s="42"/>
      <c r="N1595" s="42"/>
      <c r="O1595" s="42"/>
      <c r="P1595" s="7"/>
    </row>
    <row r="1596" spans="1:16" x14ac:dyDescent="0.2">
      <c r="A1596" s="7"/>
      <c r="B1596" s="647"/>
      <c r="C1596" s="7"/>
      <c r="D1596" s="8" t="s">
        <v>17</v>
      </c>
      <c r="E1596" s="8"/>
      <c r="F1596" s="1004">
        <v>7000</v>
      </c>
      <c r="G1596" s="8" t="s">
        <v>18</v>
      </c>
      <c r="H1596" s="7"/>
      <c r="I1596" s="7"/>
      <c r="J1596" s="7"/>
      <c r="K1596" s="7"/>
      <c r="L1596" s="7"/>
      <c r="M1596" s="7"/>
      <c r="N1596" s="7"/>
      <c r="O1596" s="7"/>
      <c r="P1596" s="7"/>
    </row>
    <row r="1597" spans="1:16" ht="12.75" customHeight="1" x14ac:dyDescent="0.2">
      <c r="A1597" s="7"/>
      <c r="B1597" s="647"/>
      <c r="C1597" s="7"/>
      <c r="D1597" s="7"/>
      <c r="E1597" s="7"/>
      <c r="F1597" s="7"/>
      <c r="G1597" s="7"/>
      <c r="H1597" s="7"/>
      <c r="I1597" s="7"/>
      <c r="J1597" s="7"/>
      <c r="K1597" s="7"/>
      <c r="L1597" s="7"/>
      <c r="M1597" s="7"/>
      <c r="N1597" s="7"/>
      <c r="O1597" s="7"/>
      <c r="P1597" s="7"/>
    </row>
    <row r="1598" spans="1:16" x14ac:dyDescent="0.2">
      <c r="A1598" s="7"/>
      <c r="B1598" s="647"/>
      <c r="C1598" s="7"/>
      <c r="D1598" s="19"/>
      <c r="E1598" s="19"/>
      <c r="F1598" s="1626" t="s">
        <v>19</v>
      </c>
      <c r="G1598" s="1626"/>
      <c r="H1598" s="1626"/>
      <c r="I1598" s="7"/>
      <c r="J1598" s="1626" t="s">
        <v>20</v>
      </c>
      <c r="K1598" s="1626"/>
      <c r="L1598" s="1626"/>
      <c r="M1598" s="7"/>
      <c r="N1598" s="1626" t="s">
        <v>21</v>
      </c>
      <c r="O1598" s="1626"/>
      <c r="P1598" s="7"/>
    </row>
    <row r="1599" spans="1:16" ht="12.75" customHeight="1" x14ac:dyDescent="0.2">
      <c r="A1599" s="7"/>
      <c r="B1599" s="647"/>
      <c r="C1599" s="7"/>
      <c r="D1599" s="1626" t="s">
        <v>22</v>
      </c>
      <c r="E1599" s="20"/>
      <c r="F1599" s="21" t="s">
        <v>23</v>
      </c>
      <c r="G1599" s="21" t="s">
        <v>24</v>
      </c>
      <c r="H1599" s="22" t="s">
        <v>25</v>
      </c>
      <c r="I1599" s="7"/>
      <c r="J1599" s="21" t="s">
        <v>23</v>
      </c>
      <c r="K1599" s="23" t="s">
        <v>24</v>
      </c>
      <c r="L1599" s="22" t="s">
        <v>25</v>
      </c>
      <c r="M1599" s="7"/>
      <c r="N1599" s="1626" t="s">
        <v>26</v>
      </c>
      <c r="O1599" s="1626" t="s">
        <v>27</v>
      </c>
      <c r="P1599" s="7"/>
    </row>
    <row r="1600" spans="1:16" x14ac:dyDescent="0.2">
      <c r="A1600" s="7"/>
      <c r="B1600" s="647"/>
      <c r="C1600" s="7"/>
      <c r="D1600" s="1626"/>
      <c r="E1600" s="20"/>
      <c r="F1600" s="24" t="s">
        <v>452</v>
      </c>
      <c r="G1600" s="24"/>
      <c r="H1600" s="25" t="s">
        <v>452</v>
      </c>
      <c r="I1600" s="7"/>
      <c r="J1600" s="24" t="s">
        <v>452</v>
      </c>
      <c r="K1600" s="25"/>
      <c r="L1600" s="25" t="s">
        <v>452</v>
      </c>
      <c r="M1600" s="7"/>
      <c r="N1600" s="1626"/>
      <c r="O1600" s="1626"/>
      <c r="P1600" s="7"/>
    </row>
    <row r="1601" spans="1:16" x14ac:dyDescent="0.2">
      <c r="A1601" s="7"/>
      <c r="B1601" s="26" t="s">
        <v>28</v>
      </c>
      <c r="C1601" s="26"/>
      <c r="D1601" s="1005" t="s">
        <v>1130</v>
      </c>
      <c r="E1601" s="27"/>
      <c r="F1601" s="1006">
        <v>15.68</v>
      </c>
      <c r="G1601" s="32">
        <v>1</v>
      </c>
      <c r="H1601" s="1007">
        <f>G1601*F1601</f>
        <v>15.68</v>
      </c>
      <c r="I1601" s="30"/>
      <c r="J1601" s="1008">
        <v>13.45</v>
      </c>
      <c r="K1601" s="33">
        <v>1</v>
      </c>
      <c r="L1601" s="1007">
        <f>K1601*J1601</f>
        <v>13.45</v>
      </c>
      <c r="M1601" s="30"/>
      <c r="N1601" s="34">
        <f>L1601-H1601</f>
        <v>-2.2300000000000004</v>
      </c>
      <c r="O1601" s="202">
        <f>IF((H1601)=0,"",(N1601/H1601))</f>
        <v>-0.14221938775510207</v>
      </c>
      <c r="P1601" s="7"/>
    </row>
    <row r="1602" spans="1:16" x14ac:dyDescent="0.2">
      <c r="A1602" s="7"/>
      <c r="B1602" s="26" t="s">
        <v>29</v>
      </c>
      <c r="C1602" s="26"/>
      <c r="D1602" s="1005" t="s">
        <v>1130</v>
      </c>
      <c r="E1602" s="27"/>
      <c r="F1602" s="1006">
        <v>0</v>
      </c>
      <c r="G1602" s="32">
        <v>1</v>
      </c>
      <c r="H1602" s="1007">
        <f t="shared" ref="H1602:H1610" si="140">G1602*F1602</f>
        <v>0</v>
      </c>
      <c r="I1602" s="30"/>
      <c r="J1602" s="1008">
        <v>0</v>
      </c>
      <c r="K1602" s="33">
        <v>1</v>
      </c>
      <c r="L1602" s="1007">
        <f>K1602*J1602</f>
        <v>0</v>
      </c>
      <c r="M1602" s="30"/>
      <c r="N1602" s="34">
        <f>L1602-H1602</f>
        <v>0</v>
      </c>
      <c r="O1602" s="202" t="str">
        <f>IF((H1602)=0,"",(N1602/H1602))</f>
        <v/>
      </c>
      <c r="P1602" s="7"/>
    </row>
    <row r="1603" spans="1:16" x14ac:dyDescent="0.2">
      <c r="A1603" s="7"/>
      <c r="B1603" s="1009" t="s">
        <v>1131</v>
      </c>
      <c r="C1603" s="26"/>
      <c r="D1603" s="1005" t="s">
        <v>79</v>
      </c>
      <c r="E1603" s="27"/>
      <c r="F1603" s="1006">
        <v>-8.0000000000000004E-4</v>
      </c>
      <c r="G1603" s="32">
        <f>F1596</f>
        <v>7000</v>
      </c>
      <c r="H1603" s="1007">
        <f t="shared" si="140"/>
        <v>-5.6000000000000005</v>
      </c>
      <c r="I1603" s="30"/>
      <c r="J1603" s="1008">
        <v>0</v>
      </c>
      <c r="K1603" s="33">
        <f>F1596</f>
        <v>7000</v>
      </c>
      <c r="L1603" s="1007">
        <f t="shared" ref="L1603:L1610" si="141">K1603*J1603</f>
        <v>0</v>
      </c>
      <c r="M1603" s="30"/>
      <c r="N1603" s="34">
        <f t="shared" ref="N1603:N1641" si="142">L1603-H1603</f>
        <v>5.6000000000000005</v>
      </c>
      <c r="O1603" s="202">
        <f t="shared" ref="O1603:O1611" si="143">IF((H1603)=0,"",(N1603/H1603))</f>
        <v>-1</v>
      </c>
      <c r="P1603" s="7"/>
    </row>
    <row r="1604" spans="1:16" x14ac:dyDescent="0.2">
      <c r="A1604" s="7"/>
      <c r="B1604" s="1009" t="s">
        <v>36</v>
      </c>
      <c r="C1604" s="26"/>
      <c r="D1604" s="1005" t="s">
        <v>1130</v>
      </c>
      <c r="E1604" s="27"/>
      <c r="F1604" s="1006">
        <v>0.25</v>
      </c>
      <c r="G1604" s="32">
        <v>1</v>
      </c>
      <c r="H1604" s="1007">
        <f t="shared" si="140"/>
        <v>0.25</v>
      </c>
      <c r="I1604" s="30"/>
      <c r="J1604" s="1008">
        <v>0.25</v>
      </c>
      <c r="K1604" s="33">
        <v>1</v>
      </c>
      <c r="L1604" s="1007">
        <f t="shared" si="141"/>
        <v>0.25</v>
      </c>
      <c r="M1604" s="30"/>
      <c r="N1604" s="34">
        <f t="shared" si="142"/>
        <v>0</v>
      </c>
      <c r="O1604" s="202">
        <f t="shared" si="143"/>
        <v>0</v>
      </c>
      <c r="P1604" s="7"/>
    </row>
    <row r="1605" spans="1:16" x14ac:dyDescent="0.2">
      <c r="A1605" s="7"/>
      <c r="B1605" s="26" t="s">
        <v>30</v>
      </c>
      <c r="C1605" s="26"/>
      <c r="D1605" s="1005" t="s">
        <v>79</v>
      </c>
      <c r="E1605" s="27"/>
      <c r="F1605" s="1006">
        <v>4.2599999999999999E-2</v>
      </c>
      <c r="G1605" s="32">
        <f>F1596</f>
        <v>7000</v>
      </c>
      <c r="H1605" s="1007">
        <f t="shared" si="140"/>
        <v>298.2</v>
      </c>
      <c r="I1605" s="30"/>
      <c r="J1605" s="1008">
        <v>3.6499999999999998E-2</v>
      </c>
      <c r="K1605" s="32">
        <f>F1596</f>
        <v>7000</v>
      </c>
      <c r="L1605" s="1007">
        <f t="shared" si="141"/>
        <v>255.49999999999997</v>
      </c>
      <c r="M1605" s="30"/>
      <c r="N1605" s="34">
        <f t="shared" si="142"/>
        <v>-42.700000000000017</v>
      </c>
      <c r="O1605" s="202">
        <f t="shared" si="143"/>
        <v>-0.14319248826291087</v>
      </c>
      <c r="P1605" s="7"/>
    </row>
    <row r="1606" spans="1:16" x14ac:dyDescent="0.2">
      <c r="A1606" s="7"/>
      <c r="B1606" s="26" t="s">
        <v>31</v>
      </c>
      <c r="C1606" s="26"/>
      <c r="D1606" s="1005"/>
      <c r="E1606" s="27"/>
      <c r="F1606" s="1006"/>
      <c r="G1606" s="32"/>
      <c r="H1606" s="1007">
        <f t="shared" si="140"/>
        <v>0</v>
      </c>
      <c r="I1606" s="30"/>
      <c r="J1606" s="1008"/>
      <c r="K1606" s="32"/>
      <c r="L1606" s="1007">
        <f t="shared" si="141"/>
        <v>0</v>
      </c>
      <c r="M1606" s="30"/>
      <c r="N1606" s="34">
        <f t="shared" si="142"/>
        <v>0</v>
      </c>
      <c r="O1606" s="202" t="str">
        <f t="shared" si="143"/>
        <v/>
      </c>
      <c r="P1606" s="7"/>
    </row>
    <row r="1607" spans="1:16" x14ac:dyDescent="0.2">
      <c r="A1607" s="7"/>
      <c r="B1607" s="26" t="s">
        <v>1132</v>
      </c>
      <c r="C1607" s="26"/>
      <c r="D1607" s="1005" t="s">
        <v>80</v>
      </c>
      <c r="E1607" s="27"/>
      <c r="F1607" s="1006">
        <v>0</v>
      </c>
      <c r="G1607" s="32">
        <f>F1596</f>
        <v>7000</v>
      </c>
      <c r="H1607" s="1007">
        <f t="shared" si="140"/>
        <v>0</v>
      </c>
      <c r="I1607" s="30"/>
      <c r="J1607" s="1008">
        <v>0</v>
      </c>
      <c r="K1607" s="32">
        <f>F1596</f>
        <v>7000</v>
      </c>
      <c r="L1607" s="1007">
        <f t="shared" si="141"/>
        <v>0</v>
      </c>
      <c r="M1607" s="30"/>
      <c r="N1607" s="34">
        <f t="shared" si="142"/>
        <v>0</v>
      </c>
      <c r="O1607" s="202" t="str">
        <f t="shared" si="143"/>
        <v/>
      </c>
      <c r="P1607" s="7"/>
    </row>
    <row r="1608" spans="1:16" x14ac:dyDescent="0.2">
      <c r="A1608" s="7"/>
      <c r="B1608" s="26" t="s">
        <v>1133</v>
      </c>
      <c r="C1608" s="26"/>
      <c r="D1608" s="1005" t="s">
        <v>80</v>
      </c>
      <c r="E1608" s="27"/>
      <c r="F1608" s="1006">
        <v>0</v>
      </c>
      <c r="G1608" s="32">
        <f>F1596</f>
        <v>7000</v>
      </c>
      <c r="H1608" s="1007">
        <f t="shared" si="140"/>
        <v>0</v>
      </c>
      <c r="I1608" s="30"/>
      <c r="J1608" s="1008">
        <v>0</v>
      </c>
      <c r="K1608" s="32">
        <f>F1596</f>
        <v>7000</v>
      </c>
      <c r="L1608" s="1007">
        <f t="shared" si="141"/>
        <v>0</v>
      </c>
      <c r="M1608" s="30"/>
      <c r="N1608" s="34">
        <f t="shared" si="142"/>
        <v>0</v>
      </c>
      <c r="O1608" s="202" t="str">
        <f t="shared" si="143"/>
        <v/>
      </c>
      <c r="P1608" s="7"/>
    </row>
    <row r="1609" spans="1:16" x14ac:dyDescent="0.2">
      <c r="A1609" s="7"/>
      <c r="B1609" s="26" t="s">
        <v>1134</v>
      </c>
      <c r="C1609" s="26"/>
      <c r="D1609" s="1005" t="s">
        <v>80</v>
      </c>
      <c r="E1609" s="27"/>
      <c r="F1609" s="1006">
        <v>0</v>
      </c>
      <c r="G1609" s="32">
        <f>F1596</f>
        <v>7000</v>
      </c>
      <c r="H1609" s="1007">
        <f t="shared" si="140"/>
        <v>0</v>
      </c>
      <c r="I1609" s="30"/>
      <c r="J1609" s="1008">
        <v>0</v>
      </c>
      <c r="K1609" s="32">
        <f>F1596</f>
        <v>7000</v>
      </c>
      <c r="L1609" s="1007">
        <f t="shared" si="141"/>
        <v>0</v>
      </c>
      <c r="M1609" s="30"/>
      <c r="N1609" s="34">
        <f t="shared" si="142"/>
        <v>0</v>
      </c>
      <c r="O1609" s="202" t="str">
        <f t="shared" si="143"/>
        <v/>
      </c>
      <c r="P1609" s="7"/>
    </row>
    <row r="1610" spans="1:16" x14ac:dyDescent="0.2">
      <c r="A1610" s="7"/>
      <c r="B1610" s="1010" t="s">
        <v>1135</v>
      </c>
      <c r="C1610" s="26"/>
      <c r="D1610" s="1005" t="s">
        <v>1130</v>
      </c>
      <c r="E1610" s="27"/>
      <c r="F1610" s="1006">
        <v>0</v>
      </c>
      <c r="G1610" s="32">
        <v>1</v>
      </c>
      <c r="H1610" s="1007">
        <f t="shared" si="140"/>
        <v>0</v>
      </c>
      <c r="I1610" s="30"/>
      <c r="J1610" s="1008">
        <v>0</v>
      </c>
      <c r="K1610" s="32">
        <v>1</v>
      </c>
      <c r="L1610" s="1007">
        <f t="shared" si="141"/>
        <v>0</v>
      </c>
      <c r="M1610" s="30"/>
      <c r="N1610" s="34">
        <f t="shared" si="142"/>
        <v>0</v>
      </c>
      <c r="O1610" s="202" t="str">
        <f t="shared" si="143"/>
        <v/>
      </c>
      <c r="P1610" s="7"/>
    </row>
    <row r="1611" spans="1:16" x14ac:dyDescent="0.2">
      <c r="A1611" s="29"/>
      <c r="B1611" s="1011" t="s">
        <v>698</v>
      </c>
      <c r="C1611" s="1012"/>
      <c r="D1611" s="1013"/>
      <c r="E1611" s="1012"/>
      <c r="F1611" s="1014"/>
      <c r="G1611" s="1015"/>
      <c r="H1611" s="1016">
        <f>SUM(H1601:H1610)</f>
        <v>308.52999999999997</v>
      </c>
      <c r="I1611" s="1017"/>
      <c r="J1611" s="1018"/>
      <c r="K1611" s="1019"/>
      <c r="L1611" s="1016">
        <f>SUM(L1601:L1610)</f>
        <v>269.2</v>
      </c>
      <c r="M1611" s="1017"/>
      <c r="N1611" s="1020">
        <f t="shared" si="142"/>
        <v>-39.329999999999984</v>
      </c>
      <c r="O1611" s="1021">
        <f t="shared" si="143"/>
        <v>-0.12747544809256794</v>
      </c>
      <c r="P1611" s="29"/>
    </row>
    <row r="1612" spans="1:16" ht="38.25" x14ac:dyDescent="0.2">
      <c r="A1612" s="7"/>
      <c r="B1612" s="1022" t="s">
        <v>1136</v>
      </c>
      <c r="C1612" s="26"/>
      <c r="D1612" s="1005" t="s">
        <v>79</v>
      </c>
      <c r="E1612" s="27"/>
      <c r="F1612" s="1006">
        <v>1.1999999999999999E-3</v>
      </c>
      <c r="G1612" s="32">
        <f>F1596</f>
        <v>7000</v>
      </c>
      <c r="H1612" s="1007">
        <f>G1612*F1612</f>
        <v>8.3999999999999986</v>
      </c>
      <c r="I1612" s="30"/>
      <c r="J1612" s="1008">
        <v>0</v>
      </c>
      <c r="K1612" s="32">
        <f>F1596</f>
        <v>7000</v>
      </c>
      <c r="L1612" s="1007">
        <f>K1612*J1612</f>
        <v>0</v>
      </c>
      <c r="M1612" s="30"/>
      <c r="N1612" s="34">
        <f t="shared" si="142"/>
        <v>-8.3999999999999986</v>
      </c>
      <c r="O1612" s="202">
        <f>IF((H1612)=0,"",(N1612/H1612))</f>
        <v>-1</v>
      </c>
      <c r="P1612" s="7"/>
    </row>
    <row r="1613" spans="1:16" ht="38.25" x14ac:dyDescent="0.2">
      <c r="A1613" s="7"/>
      <c r="B1613" s="1022" t="s">
        <v>1137</v>
      </c>
      <c r="C1613" s="26"/>
      <c r="D1613" s="1005" t="s">
        <v>79</v>
      </c>
      <c r="E1613" s="27"/>
      <c r="F1613" s="1006">
        <v>-2E-3</v>
      </c>
      <c r="G1613" s="32">
        <f>F1596</f>
        <v>7000</v>
      </c>
      <c r="H1613" s="1007">
        <f>G1613*F1613</f>
        <v>-14</v>
      </c>
      <c r="I1613" s="30"/>
      <c r="J1613" s="1008">
        <v>-2E-3</v>
      </c>
      <c r="K1613" s="32">
        <f>F1596</f>
        <v>7000</v>
      </c>
      <c r="L1613" s="1007">
        <f>K1613*J1613</f>
        <v>-14</v>
      </c>
      <c r="M1613" s="30"/>
      <c r="N1613" s="34">
        <f t="shared" si="142"/>
        <v>0</v>
      </c>
      <c r="O1613" s="202">
        <f>IF((H1613)=0,"",(N1613/H1613))</f>
        <v>0</v>
      </c>
      <c r="P1613" s="7"/>
    </row>
    <row r="1614" spans="1:16" ht="51" x14ac:dyDescent="0.2">
      <c r="A1614" s="7"/>
      <c r="B1614" s="1022" t="s">
        <v>1138</v>
      </c>
      <c r="C1614" s="26"/>
      <c r="D1614" s="1005" t="s">
        <v>79</v>
      </c>
      <c r="E1614" s="27"/>
      <c r="F1614" s="1006">
        <v>0</v>
      </c>
      <c r="G1614" s="32">
        <f>F1596</f>
        <v>7000</v>
      </c>
      <c r="H1614" s="1007">
        <f>G1614*F1614</f>
        <v>0</v>
      </c>
      <c r="I1614" s="30"/>
      <c r="J1614" s="1008">
        <v>-1.1999999999999999E-3</v>
      </c>
      <c r="K1614" s="32">
        <f>F1596</f>
        <v>7000</v>
      </c>
      <c r="L1614" s="1007">
        <f>K1614*J1614</f>
        <v>-8.3999999999999986</v>
      </c>
      <c r="M1614" s="30"/>
      <c r="N1614" s="34">
        <f t="shared" si="142"/>
        <v>-8.3999999999999986</v>
      </c>
      <c r="O1614" s="202" t="str">
        <f>IF((H1614)=0,"",(N1614/H1614))</f>
        <v/>
      </c>
      <c r="P1614" s="7"/>
    </row>
    <row r="1615" spans="1:16" x14ac:dyDescent="0.2">
      <c r="A1615" s="7"/>
      <c r="B1615" s="564" t="s">
        <v>808</v>
      </c>
      <c r="C1615" s="26"/>
      <c r="D1615" s="1005" t="s">
        <v>79</v>
      </c>
      <c r="E1615" s="27"/>
      <c r="F1615" s="1006">
        <v>2.0000000000000001E-4</v>
      </c>
      <c r="G1615" s="32">
        <f>F1596</f>
        <v>7000</v>
      </c>
      <c r="H1615" s="1007">
        <f>G1615*F1615</f>
        <v>1.4000000000000001</v>
      </c>
      <c r="I1615" s="30"/>
      <c r="J1615" s="1008">
        <v>2.0000000000000001E-4</v>
      </c>
      <c r="K1615" s="32">
        <f>F1596</f>
        <v>7000</v>
      </c>
      <c r="L1615" s="1007">
        <f>K1615*J1615</f>
        <v>1.4000000000000001</v>
      </c>
      <c r="M1615" s="30"/>
      <c r="N1615" s="34">
        <f t="shared" si="142"/>
        <v>0</v>
      </c>
      <c r="O1615" s="202">
        <f>IF((H1615)=0,"",(N1615/H1615))</f>
        <v>0</v>
      </c>
      <c r="P1615" s="7"/>
    </row>
    <row r="1616" spans="1:16" x14ac:dyDescent="0.2">
      <c r="A1616" s="7"/>
      <c r="B1616" s="564" t="s">
        <v>701</v>
      </c>
      <c r="C1616" s="26"/>
      <c r="D1616" s="1005"/>
      <c r="E1616" s="27"/>
      <c r="F1616" s="1023"/>
      <c r="G1616" s="1024"/>
      <c r="H1616" s="1025"/>
      <c r="I1616" s="30"/>
      <c r="J1616" s="1008"/>
      <c r="K1616" s="32">
        <f>F1596</f>
        <v>7000</v>
      </c>
      <c r="L1616" s="1007">
        <f>K1616*J1616</f>
        <v>0</v>
      </c>
      <c r="M1616" s="30"/>
      <c r="N1616" s="34">
        <f t="shared" si="142"/>
        <v>0</v>
      </c>
      <c r="O1616" s="202"/>
      <c r="P1616" s="7"/>
    </row>
    <row r="1617" spans="1:16" ht="25.5" x14ac:dyDescent="0.2">
      <c r="A1617" s="7"/>
      <c r="B1617" s="1026" t="s">
        <v>699</v>
      </c>
      <c r="C1617" s="1027"/>
      <c r="D1617" s="1027"/>
      <c r="E1617" s="1027"/>
      <c r="F1617" s="1028"/>
      <c r="G1617" s="1029"/>
      <c r="H1617" s="1030">
        <f>SUM(H1611:H1616)</f>
        <v>304.32999999999993</v>
      </c>
      <c r="I1617" s="1017"/>
      <c r="J1617" s="1029"/>
      <c r="K1617" s="1031"/>
      <c r="L1617" s="1030">
        <f>SUM(L1611:L1616)</f>
        <v>248.2</v>
      </c>
      <c r="M1617" s="1017"/>
      <c r="N1617" s="1020">
        <f t="shared" si="142"/>
        <v>-56.129999999999939</v>
      </c>
      <c r="O1617" s="1021">
        <f t="shared" ref="O1617:O1641" si="144">IF((H1617)=0,"",(N1617/H1617))</f>
        <v>-0.18443794565110228</v>
      </c>
      <c r="P1617" s="7"/>
    </row>
    <row r="1618" spans="1:16" x14ac:dyDescent="0.2">
      <c r="A1618" s="7"/>
      <c r="B1618" s="30" t="s">
        <v>32</v>
      </c>
      <c r="C1618" s="30"/>
      <c r="D1618" s="1032" t="s">
        <v>79</v>
      </c>
      <c r="E1618" s="31"/>
      <c r="F1618" s="1008">
        <v>6.3E-3</v>
      </c>
      <c r="G1618" s="667">
        <f>F1596*(1+F1644)</f>
        <v>7249.2000000000007</v>
      </c>
      <c r="H1618" s="1007">
        <f>G1618*F1618</f>
        <v>45.669960000000003</v>
      </c>
      <c r="I1618" s="30"/>
      <c r="J1618" s="1008">
        <v>5.7999999999999996E-3</v>
      </c>
      <c r="K1618" s="668">
        <f>F1596*(1+J1644)</f>
        <v>7294.3784499531066</v>
      </c>
      <c r="L1618" s="1007">
        <f>K1618*J1618</f>
        <v>42.307395009728019</v>
      </c>
      <c r="M1618" s="30"/>
      <c r="N1618" s="34">
        <f t="shared" si="142"/>
        <v>-3.3625649902719843</v>
      </c>
      <c r="O1618" s="202">
        <f t="shared" si="144"/>
        <v>-7.3627500227107359E-2</v>
      </c>
      <c r="P1618" s="7"/>
    </row>
    <row r="1619" spans="1:16" ht="25.5" x14ac:dyDescent="0.2">
      <c r="A1619" s="7"/>
      <c r="B1619" s="35" t="s">
        <v>33</v>
      </c>
      <c r="C1619" s="30"/>
      <c r="D1619" s="1032" t="s">
        <v>79</v>
      </c>
      <c r="E1619" s="31"/>
      <c r="F1619" s="1008">
        <v>5.0000000000000001E-3</v>
      </c>
      <c r="G1619" s="667">
        <f>G1618</f>
        <v>7249.2000000000007</v>
      </c>
      <c r="H1619" s="1007">
        <f>G1619*F1619</f>
        <v>36.246000000000002</v>
      </c>
      <c r="I1619" s="30"/>
      <c r="J1619" s="1008">
        <v>4.7999999999999996E-3</v>
      </c>
      <c r="K1619" s="668">
        <f>K1618</f>
        <v>7294.3784499531066</v>
      </c>
      <c r="L1619" s="1007">
        <f>K1619*J1619</f>
        <v>35.013016559774911</v>
      </c>
      <c r="M1619" s="30"/>
      <c r="N1619" s="34">
        <f t="shared" si="142"/>
        <v>-1.232983440225091</v>
      </c>
      <c r="O1619" s="202">
        <f t="shared" si="144"/>
        <v>-3.4017089891990593E-2</v>
      </c>
      <c r="P1619" s="7"/>
    </row>
    <row r="1620" spans="1:16" ht="25.5" x14ac:dyDescent="0.2">
      <c r="A1620" s="7"/>
      <c r="B1620" s="1026" t="s">
        <v>700</v>
      </c>
      <c r="C1620" s="1012"/>
      <c r="D1620" s="1012"/>
      <c r="E1620" s="1012"/>
      <c r="F1620" s="1033"/>
      <c r="G1620" s="1029"/>
      <c r="H1620" s="1030">
        <f>SUM(H1617:H1619)</f>
        <v>386.24595999999991</v>
      </c>
      <c r="I1620" s="1034"/>
      <c r="J1620" s="1035"/>
      <c r="K1620" s="1036"/>
      <c r="L1620" s="1030">
        <f>SUM(L1617:L1619)</f>
        <v>325.52041156950293</v>
      </c>
      <c r="M1620" s="1034"/>
      <c r="N1620" s="1020">
        <f t="shared" si="142"/>
        <v>-60.725548430496985</v>
      </c>
      <c r="O1620" s="1021">
        <f t="shared" si="144"/>
        <v>-0.15721989281259277</v>
      </c>
      <c r="P1620" s="7"/>
    </row>
    <row r="1621" spans="1:16" ht="25.5" x14ac:dyDescent="0.2">
      <c r="A1621" s="7"/>
      <c r="B1621" s="28" t="s">
        <v>34</v>
      </c>
      <c r="C1621" s="26"/>
      <c r="D1621" s="1005" t="s">
        <v>79</v>
      </c>
      <c r="E1621" s="27"/>
      <c r="F1621" s="1037">
        <v>5.1999999999999998E-3</v>
      </c>
      <c r="G1621" s="667">
        <f>F1596*(1+F1644)</f>
        <v>7249.2000000000007</v>
      </c>
      <c r="H1621" s="1038">
        <f t="shared" ref="H1621:H1629" si="145">G1621*F1621</f>
        <v>37.695840000000004</v>
      </c>
      <c r="I1621" s="30"/>
      <c r="J1621" s="1039">
        <v>5.1999999999999998E-3</v>
      </c>
      <c r="K1621" s="668">
        <f>F1596*(1+J1644)</f>
        <v>7294.3784499531066</v>
      </c>
      <c r="L1621" s="1038">
        <f t="shared" ref="L1621:L1629" si="146">K1621*J1621</f>
        <v>37.930767939756151</v>
      </c>
      <c r="M1621" s="30"/>
      <c r="N1621" s="34">
        <f t="shared" si="142"/>
        <v>0.23492793975614745</v>
      </c>
      <c r="O1621" s="565">
        <f t="shared" si="144"/>
        <v>6.2321980291763605E-3</v>
      </c>
      <c r="P1621" s="7"/>
    </row>
    <row r="1622" spans="1:16" ht="25.5" x14ac:dyDescent="0.2">
      <c r="A1622" s="7"/>
      <c r="B1622" s="28" t="s">
        <v>35</v>
      </c>
      <c r="C1622" s="26"/>
      <c r="D1622" s="1005" t="s">
        <v>79</v>
      </c>
      <c r="E1622" s="27"/>
      <c r="F1622" s="1037">
        <v>1.1000000000000001E-3</v>
      </c>
      <c r="G1622" s="667">
        <f>F1596*(1+F1644)</f>
        <v>7249.2000000000007</v>
      </c>
      <c r="H1622" s="1038">
        <f t="shared" si="145"/>
        <v>7.974120000000001</v>
      </c>
      <c r="I1622" s="30"/>
      <c r="J1622" s="1039">
        <v>1.1000000000000001E-3</v>
      </c>
      <c r="K1622" s="668">
        <f>F1596*(1+J1644)</f>
        <v>7294.3784499531066</v>
      </c>
      <c r="L1622" s="1038">
        <f t="shared" si="146"/>
        <v>8.0238162949484177</v>
      </c>
      <c r="M1622" s="30"/>
      <c r="N1622" s="34">
        <f t="shared" si="142"/>
        <v>4.9696294948416764E-2</v>
      </c>
      <c r="O1622" s="565">
        <f t="shared" si="144"/>
        <v>6.2321980291764802E-3</v>
      </c>
      <c r="P1622" s="7"/>
    </row>
    <row r="1623" spans="1:16" x14ac:dyDescent="0.2">
      <c r="A1623" s="7"/>
      <c r="B1623" s="26" t="s">
        <v>36</v>
      </c>
      <c r="C1623" s="26"/>
      <c r="D1623" s="1005"/>
      <c r="E1623" s="27"/>
      <c r="F1623" s="1037"/>
      <c r="G1623" s="32">
        <v>1</v>
      </c>
      <c r="H1623" s="1038">
        <f t="shared" si="145"/>
        <v>0</v>
      </c>
      <c r="I1623" s="30"/>
      <c r="J1623" s="1039"/>
      <c r="K1623" s="33">
        <v>1</v>
      </c>
      <c r="L1623" s="1038">
        <f t="shared" si="146"/>
        <v>0</v>
      </c>
      <c r="M1623" s="30"/>
      <c r="N1623" s="34">
        <f t="shared" si="142"/>
        <v>0</v>
      </c>
      <c r="O1623" s="565" t="str">
        <f t="shared" si="144"/>
        <v/>
      </c>
      <c r="P1623" s="7"/>
    </row>
    <row r="1624" spans="1:16" x14ac:dyDescent="0.2">
      <c r="A1624" s="7"/>
      <c r="B1624" s="26" t="s">
        <v>37</v>
      </c>
      <c r="C1624" s="26"/>
      <c r="D1624" s="1005" t="s">
        <v>79</v>
      </c>
      <c r="E1624" s="27"/>
      <c r="F1624" s="1037">
        <v>7.0000000000000001E-3</v>
      </c>
      <c r="G1624" s="667">
        <f>F1596</f>
        <v>7000</v>
      </c>
      <c r="H1624" s="1038">
        <f t="shared" si="145"/>
        <v>49</v>
      </c>
      <c r="I1624" s="30"/>
      <c r="J1624" s="1039">
        <v>7.0000000000000001E-3</v>
      </c>
      <c r="K1624" s="668">
        <f>F1596</f>
        <v>7000</v>
      </c>
      <c r="L1624" s="1038">
        <f t="shared" si="146"/>
        <v>49</v>
      </c>
      <c r="M1624" s="30"/>
      <c r="N1624" s="34">
        <f t="shared" si="142"/>
        <v>0</v>
      </c>
      <c r="O1624" s="565">
        <f t="shared" si="144"/>
        <v>0</v>
      </c>
      <c r="P1624" s="7"/>
    </row>
    <row r="1625" spans="1:16" x14ac:dyDescent="0.2">
      <c r="A1625" s="7"/>
      <c r="B1625" s="564" t="s">
        <v>777</v>
      </c>
      <c r="C1625" s="26"/>
      <c r="D1625" s="1005" t="s">
        <v>79</v>
      </c>
      <c r="E1625" s="27"/>
      <c r="F1625" s="1040">
        <v>7.4999999999999997E-2</v>
      </c>
      <c r="G1625" s="667">
        <f>IF($G$1621&gt;=750,750,$G$1621)</f>
        <v>750</v>
      </c>
      <c r="H1625" s="1038">
        <f>G1625*F1625</f>
        <v>56.25</v>
      </c>
      <c r="I1625" s="30"/>
      <c r="J1625" s="1037">
        <v>7.4999999999999997E-2</v>
      </c>
      <c r="K1625" s="667">
        <f>IF($K$1621&gt;=750,750,$K$1621)</f>
        <v>750</v>
      </c>
      <c r="L1625" s="1038">
        <f>K1625*J1625</f>
        <v>56.25</v>
      </c>
      <c r="M1625" s="30"/>
      <c r="N1625" s="34">
        <f t="shared" si="142"/>
        <v>0</v>
      </c>
      <c r="O1625" s="565">
        <f t="shared" si="144"/>
        <v>0</v>
      </c>
      <c r="P1625" s="7"/>
    </row>
    <row r="1626" spans="1:16" x14ac:dyDescent="0.2">
      <c r="A1626" s="7"/>
      <c r="B1626" s="564" t="s">
        <v>778</v>
      </c>
      <c r="C1626" s="26"/>
      <c r="D1626" s="1005" t="s">
        <v>79</v>
      </c>
      <c r="E1626" s="27"/>
      <c r="F1626" s="1040">
        <v>8.7999999999999995E-2</v>
      </c>
      <c r="G1626" s="667">
        <f>IF($G$1621&gt;=750,$G$1621-750,0)</f>
        <v>6499.2000000000007</v>
      </c>
      <c r="H1626" s="1038">
        <f>G1626*F1626</f>
        <v>571.92960000000005</v>
      </c>
      <c r="I1626" s="30"/>
      <c r="J1626" s="1037">
        <v>8.7999999999999995E-2</v>
      </c>
      <c r="K1626" s="667">
        <f>IF($K$1621&gt;=750,$K$1621-750,0)</f>
        <v>6544.3784499531066</v>
      </c>
      <c r="L1626" s="1038">
        <f>K1626*J1626</f>
        <v>575.90530359587331</v>
      </c>
      <c r="M1626" s="30"/>
      <c r="N1626" s="34">
        <f t="shared" si="142"/>
        <v>3.9757035958732558</v>
      </c>
      <c r="O1626" s="565">
        <f t="shared" si="144"/>
        <v>6.9513863172552277E-3</v>
      </c>
      <c r="P1626" s="7"/>
    </row>
    <row r="1627" spans="1:16" x14ac:dyDescent="0.2">
      <c r="A1627" s="7"/>
      <c r="B1627" s="564" t="s">
        <v>779</v>
      </c>
      <c r="C1627" s="26"/>
      <c r="D1627" s="1005" t="s">
        <v>79</v>
      </c>
      <c r="E1627" s="27"/>
      <c r="F1627" s="1040">
        <v>6.5000000000000002E-2</v>
      </c>
      <c r="G1627" s="669">
        <f>0.64*$G$1621</f>
        <v>4639.4880000000003</v>
      </c>
      <c r="H1627" s="1038">
        <f t="shared" si="145"/>
        <v>301.56672000000003</v>
      </c>
      <c r="I1627" s="30"/>
      <c r="J1627" s="1037">
        <v>6.5000000000000002E-2</v>
      </c>
      <c r="K1627" s="1041">
        <f>0.64*$K$1621</f>
        <v>4668.402207969988</v>
      </c>
      <c r="L1627" s="1038">
        <f t="shared" si="146"/>
        <v>303.44614351804921</v>
      </c>
      <c r="M1627" s="30"/>
      <c r="N1627" s="34">
        <f t="shared" si="142"/>
        <v>1.8794235180491796</v>
      </c>
      <c r="O1627" s="565">
        <f t="shared" si="144"/>
        <v>6.2321980291763605E-3</v>
      </c>
      <c r="P1627" s="7"/>
    </row>
    <row r="1628" spans="1:16" x14ac:dyDescent="0.2">
      <c r="A1628" s="7"/>
      <c r="B1628" s="564" t="s">
        <v>780</v>
      </c>
      <c r="C1628" s="26"/>
      <c r="D1628" s="1005" t="s">
        <v>79</v>
      </c>
      <c r="E1628" s="27"/>
      <c r="F1628" s="1040">
        <v>0.1</v>
      </c>
      <c r="G1628" s="669">
        <f>0.18*$G$1621</f>
        <v>1304.856</v>
      </c>
      <c r="H1628" s="1038">
        <f t="shared" si="145"/>
        <v>130.48560000000001</v>
      </c>
      <c r="I1628" s="30"/>
      <c r="J1628" s="1037">
        <v>0.1</v>
      </c>
      <c r="K1628" s="1041">
        <f>0.18*$K$1621</f>
        <v>1312.9881209915591</v>
      </c>
      <c r="L1628" s="1038">
        <f t="shared" si="146"/>
        <v>131.29881209915592</v>
      </c>
      <c r="M1628" s="30"/>
      <c r="N1628" s="34">
        <f t="shared" si="142"/>
        <v>0.81321209915591908</v>
      </c>
      <c r="O1628" s="565">
        <f t="shared" si="144"/>
        <v>6.2321980291765453E-3</v>
      </c>
      <c r="P1628" s="7"/>
    </row>
    <row r="1629" spans="1:16" ht="13.5" thickBot="1" x14ac:dyDescent="0.25">
      <c r="A1629" s="7"/>
      <c r="B1629" s="647" t="s">
        <v>781</v>
      </c>
      <c r="C1629" s="26"/>
      <c r="D1629" s="1005" t="s">
        <v>79</v>
      </c>
      <c r="E1629" s="27"/>
      <c r="F1629" s="1040">
        <v>0.11700000000000001</v>
      </c>
      <c r="G1629" s="669">
        <f>0.18*$G$1621</f>
        <v>1304.856</v>
      </c>
      <c r="H1629" s="1038">
        <f t="shared" si="145"/>
        <v>152.66815200000002</v>
      </c>
      <c r="I1629" s="30"/>
      <c r="J1629" s="1037">
        <v>0.11700000000000001</v>
      </c>
      <c r="K1629" s="1041">
        <f>0.18*$K$1621</f>
        <v>1312.9881209915591</v>
      </c>
      <c r="L1629" s="1038">
        <f t="shared" si="146"/>
        <v>153.61961015601241</v>
      </c>
      <c r="M1629" s="30"/>
      <c r="N1629" s="34">
        <f t="shared" si="142"/>
        <v>0.95145815601239292</v>
      </c>
      <c r="O1629" s="565">
        <f t="shared" si="144"/>
        <v>6.2321980291763328E-3</v>
      </c>
      <c r="P1629" s="7"/>
    </row>
    <row r="1630" spans="1:16" ht="13.5" thickBot="1" x14ac:dyDescent="0.25">
      <c r="A1630" s="7"/>
      <c r="B1630" s="1042"/>
      <c r="C1630" s="1043"/>
      <c r="D1630" s="1044"/>
      <c r="E1630" s="1043"/>
      <c r="F1630" s="1045"/>
      <c r="G1630" s="1046"/>
      <c r="H1630" s="1047"/>
      <c r="I1630" s="1048"/>
      <c r="J1630" s="1045"/>
      <c r="K1630" s="1049"/>
      <c r="L1630" s="1047"/>
      <c r="M1630" s="1048"/>
      <c r="N1630" s="1050"/>
      <c r="O1630" s="1051"/>
      <c r="P1630" s="7"/>
    </row>
    <row r="1631" spans="1:16" x14ac:dyDescent="0.2">
      <c r="A1631" s="7"/>
      <c r="B1631" s="36" t="s">
        <v>782</v>
      </c>
      <c r="C1631" s="26"/>
      <c r="D1631" s="26"/>
      <c r="E1631" s="26"/>
      <c r="F1631" s="662"/>
      <c r="G1631" s="652"/>
      <c r="H1631" s="656">
        <f>SUM(H1620:H1626)</f>
        <v>1109.0955199999999</v>
      </c>
      <c r="I1631" s="660"/>
      <c r="J1631" s="661"/>
      <c r="K1631" s="661"/>
      <c r="L1631" s="655">
        <f>SUM(L1620:L1626)</f>
        <v>1052.6302994000807</v>
      </c>
      <c r="M1631" s="654"/>
      <c r="N1631" s="659">
        <f t="shared" si="142"/>
        <v>-56.465220599919121</v>
      </c>
      <c r="O1631" s="657">
        <f t="shared" si="144"/>
        <v>-5.0911052818894381E-2</v>
      </c>
      <c r="P1631" s="7"/>
    </row>
    <row r="1632" spans="1:16" ht="12.75" customHeight="1" x14ac:dyDescent="0.2">
      <c r="A1632" s="7"/>
      <c r="B1632" s="650" t="s">
        <v>38</v>
      </c>
      <c r="C1632" s="26"/>
      <c r="D1632" s="26"/>
      <c r="E1632" s="26"/>
      <c r="F1632" s="649">
        <v>0.13</v>
      </c>
      <c r="G1632" s="652"/>
      <c r="H1632" s="670">
        <f>H1631*F1632</f>
        <v>144.18241759999998</v>
      </c>
      <c r="I1632" s="648"/>
      <c r="J1632" s="676">
        <v>0.13</v>
      </c>
      <c r="K1632" s="677"/>
      <c r="L1632" s="672">
        <f>L1631*J1632</f>
        <v>136.84193892201051</v>
      </c>
      <c r="M1632" s="673"/>
      <c r="N1632" s="674">
        <f t="shared" si="142"/>
        <v>-7.3404786779894664</v>
      </c>
      <c r="O1632" s="675">
        <f t="shared" si="144"/>
        <v>-5.0911052818894249E-2</v>
      </c>
      <c r="P1632" s="7"/>
    </row>
    <row r="1633" spans="1:16" ht="13.5" customHeight="1" x14ac:dyDescent="0.2">
      <c r="A1633" s="7"/>
      <c r="B1633" s="651" t="s">
        <v>1139</v>
      </c>
      <c r="C1633" s="26"/>
      <c r="D1633" s="26"/>
      <c r="E1633" s="26"/>
      <c r="F1633" s="658"/>
      <c r="G1633" s="653"/>
      <c r="H1633" s="670">
        <f>H1631+H1632</f>
        <v>1253.2779375999999</v>
      </c>
      <c r="I1633" s="648"/>
      <c r="J1633" s="648"/>
      <c r="K1633" s="648"/>
      <c r="L1633" s="672">
        <f>L1631+L1632</f>
        <v>1189.4722383220912</v>
      </c>
      <c r="M1633" s="673"/>
      <c r="N1633" s="674">
        <f t="shared" si="142"/>
        <v>-63.805699277908616</v>
      </c>
      <c r="O1633" s="675">
        <f t="shared" si="144"/>
        <v>-5.0911052818894388E-2</v>
      </c>
      <c r="P1633" s="7"/>
    </row>
    <row r="1634" spans="1:16" ht="12.75" customHeight="1" x14ac:dyDescent="0.2">
      <c r="A1634" s="7"/>
      <c r="B1634" s="1626" t="s">
        <v>1140</v>
      </c>
      <c r="C1634" s="1626"/>
      <c r="D1634" s="1626"/>
      <c r="E1634" s="26"/>
      <c r="F1634" s="658"/>
      <c r="G1634" s="653"/>
      <c r="H1634" s="1052">
        <f>ROUND(-H1633*10%,2)</f>
        <v>-125.33</v>
      </c>
      <c r="I1634" s="648"/>
      <c r="J1634" s="648"/>
      <c r="K1634" s="648"/>
      <c r="L1634" s="1053">
        <f>ROUND(-L1633*10%,2)</f>
        <v>-118.95</v>
      </c>
      <c r="M1634" s="673"/>
      <c r="N1634" s="1054">
        <f t="shared" si="142"/>
        <v>6.3799999999999955</v>
      </c>
      <c r="O1634" s="1055">
        <f t="shared" si="144"/>
        <v>-5.0905609191733786E-2</v>
      </c>
      <c r="P1634" s="7"/>
    </row>
    <row r="1635" spans="1:16" ht="13.5" customHeight="1" thickBot="1" x14ac:dyDescent="0.25">
      <c r="A1635" s="7"/>
      <c r="B1635" s="1626" t="s">
        <v>785</v>
      </c>
      <c r="C1635" s="1626"/>
      <c r="D1635" s="1626"/>
      <c r="E1635" s="1056"/>
      <c r="F1635" s="1057"/>
      <c r="G1635" s="1058"/>
      <c r="H1635" s="1059">
        <f>SUM(H1633:H1634)</f>
        <v>1127.9479375999999</v>
      </c>
      <c r="I1635" s="1060"/>
      <c r="J1635" s="1060"/>
      <c r="K1635" s="1060"/>
      <c r="L1635" s="1061">
        <f>SUM(L1633:L1634)</f>
        <v>1070.5222383220912</v>
      </c>
      <c r="M1635" s="1062"/>
      <c r="N1635" s="1063">
        <f t="shared" si="142"/>
        <v>-57.425699277908734</v>
      </c>
      <c r="O1635" s="1064">
        <f t="shared" si="144"/>
        <v>-5.091165767818745E-2</v>
      </c>
      <c r="P1635" s="7"/>
    </row>
    <row r="1636" spans="1:16" ht="13.5" thickBot="1" x14ac:dyDescent="0.25">
      <c r="A1636" s="7"/>
      <c r="B1636" s="1042"/>
      <c r="C1636" s="1043"/>
      <c r="D1636" s="1044"/>
      <c r="E1636" s="1043"/>
      <c r="F1636" s="1065"/>
      <c r="G1636" s="1066"/>
      <c r="H1636" s="1067"/>
      <c r="I1636" s="1068"/>
      <c r="J1636" s="1065"/>
      <c r="K1636" s="1046"/>
      <c r="L1636" s="1069"/>
      <c r="M1636" s="1048"/>
      <c r="N1636" s="1070"/>
      <c r="O1636" s="1051"/>
      <c r="P1636" s="7"/>
    </row>
    <row r="1637" spans="1:16" x14ac:dyDescent="0.2">
      <c r="A1637" s="7"/>
      <c r="B1637" s="36" t="s">
        <v>783</v>
      </c>
      <c r="C1637" s="26"/>
      <c r="D1637" s="26"/>
      <c r="E1637" s="26"/>
      <c r="F1637" s="662"/>
      <c r="G1637" s="652"/>
      <c r="H1637" s="656">
        <f>SUM(H1620:H1624,H1627:H1629)</f>
        <v>1065.6363919999999</v>
      </c>
      <c r="I1637" s="660"/>
      <c r="J1637" s="661"/>
      <c r="K1637" s="661"/>
      <c r="L1637" s="666">
        <f>SUM(L1620:L1624,L1627:L1629)</f>
        <v>1008.8395615774251</v>
      </c>
      <c r="M1637" s="654"/>
      <c r="N1637" s="659">
        <f>L1637-H1637</f>
        <v>-56.796830422574772</v>
      </c>
      <c r="O1637" s="657">
        <f>IF((H1637)=0,"",(N1637/H1637))</f>
        <v>-5.3298508617913999E-2</v>
      </c>
      <c r="P1637" s="7"/>
    </row>
    <row r="1638" spans="1:16" ht="12.75" customHeight="1" x14ac:dyDescent="0.2">
      <c r="A1638" s="7"/>
      <c r="B1638" s="650" t="s">
        <v>38</v>
      </c>
      <c r="C1638" s="26"/>
      <c r="D1638" s="26"/>
      <c r="E1638" s="26"/>
      <c r="F1638" s="649">
        <v>0.13</v>
      </c>
      <c r="G1638" s="653"/>
      <c r="H1638" s="670">
        <f>H1637*F1638</f>
        <v>138.53273095999998</v>
      </c>
      <c r="I1638" s="648"/>
      <c r="J1638" s="671">
        <v>0.13</v>
      </c>
      <c r="K1638" s="648"/>
      <c r="L1638" s="672">
        <f>L1637*J1638</f>
        <v>131.14914300506527</v>
      </c>
      <c r="M1638" s="673"/>
      <c r="N1638" s="674">
        <f t="shared" si="142"/>
        <v>-7.3835879549347112</v>
      </c>
      <c r="O1638" s="675">
        <f t="shared" si="144"/>
        <v>-5.329850861791393E-2</v>
      </c>
      <c r="P1638" s="7"/>
    </row>
    <row r="1639" spans="1:16" ht="13.5" customHeight="1" x14ac:dyDescent="0.2">
      <c r="A1639" s="7"/>
      <c r="B1639" s="651" t="s">
        <v>1139</v>
      </c>
      <c r="C1639" s="26"/>
      <c r="D1639" s="26"/>
      <c r="E1639" s="26"/>
      <c r="F1639" s="658"/>
      <c r="G1639" s="653"/>
      <c r="H1639" s="670">
        <f>H1637+H1638</f>
        <v>1204.1691229599999</v>
      </c>
      <c r="I1639" s="648"/>
      <c r="J1639" s="648"/>
      <c r="K1639" s="648"/>
      <c r="L1639" s="672">
        <f>L1637+L1638</f>
        <v>1139.9887045824903</v>
      </c>
      <c r="M1639" s="673"/>
      <c r="N1639" s="674">
        <f t="shared" si="142"/>
        <v>-64.180418377509568</v>
      </c>
      <c r="O1639" s="675">
        <f t="shared" si="144"/>
        <v>-5.3298508617914062E-2</v>
      </c>
      <c r="P1639" s="7"/>
    </row>
    <row r="1640" spans="1:16" ht="12.75" customHeight="1" x14ac:dyDescent="0.2">
      <c r="A1640" s="7"/>
      <c r="B1640" s="1626" t="s">
        <v>1140</v>
      </c>
      <c r="C1640" s="1626"/>
      <c r="D1640" s="1626"/>
      <c r="E1640" s="26"/>
      <c r="F1640" s="658"/>
      <c r="G1640" s="653"/>
      <c r="H1640" s="1052">
        <f>ROUND(-H1639*10%,2)</f>
        <v>-120.42</v>
      </c>
      <c r="I1640" s="648"/>
      <c r="J1640" s="648"/>
      <c r="K1640" s="648"/>
      <c r="L1640" s="1053">
        <f>ROUND(-L1639*10%,2)</f>
        <v>-114</v>
      </c>
      <c r="M1640" s="673"/>
      <c r="N1640" s="1054">
        <f t="shared" si="142"/>
        <v>6.4200000000000017</v>
      </c>
      <c r="O1640" s="1055">
        <f t="shared" si="144"/>
        <v>-5.3313403089187854E-2</v>
      </c>
      <c r="P1640" s="7"/>
    </row>
    <row r="1641" spans="1:16" ht="13.5" customHeight="1" thickBot="1" x14ac:dyDescent="0.25">
      <c r="A1641" s="7"/>
      <c r="B1641" s="1626" t="s">
        <v>784</v>
      </c>
      <c r="C1641" s="1626"/>
      <c r="D1641" s="1626"/>
      <c r="E1641" s="1056"/>
      <c r="F1641" s="1071"/>
      <c r="G1641" s="1072"/>
      <c r="H1641" s="1073">
        <f>H1639+H1640</f>
        <v>1083.7491229599998</v>
      </c>
      <c r="I1641" s="1074"/>
      <c r="J1641" s="1074"/>
      <c r="K1641" s="1074"/>
      <c r="L1641" s="1075">
        <f>L1639+L1640</f>
        <v>1025.9887045824903</v>
      </c>
      <c r="M1641" s="1076"/>
      <c r="N1641" s="1077">
        <f t="shared" si="142"/>
        <v>-57.760418377509495</v>
      </c>
      <c r="O1641" s="1078">
        <f t="shared" si="144"/>
        <v>-5.3296853629510511E-2</v>
      </c>
      <c r="P1641" s="7"/>
    </row>
    <row r="1642" spans="1:16" ht="13.5" thickBot="1" x14ac:dyDescent="0.25">
      <c r="A1642" s="7"/>
      <c r="B1642" s="1042"/>
      <c r="C1642" s="1043"/>
      <c r="D1642" s="1044"/>
      <c r="E1642" s="1043"/>
      <c r="F1642" s="1065"/>
      <c r="G1642" s="1066"/>
      <c r="H1642" s="1067"/>
      <c r="I1642" s="1068"/>
      <c r="J1642" s="1065"/>
      <c r="K1642" s="1046"/>
      <c r="L1642" s="1069"/>
      <c r="M1642" s="1048"/>
      <c r="N1642" s="1070"/>
      <c r="O1642" s="1051"/>
      <c r="P1642" s="7"/>
    </row>
    <row r="1643" spans="1:16" x14ac:dyDescent="0.2">
      <c r="A1643" s="7"/>
      <c r="B1643" s="7"/>
      <c r="C1643" s="7"/>
      <c r="D1643" s="7"/>
      <c r="E1643" s="7"/>
      <c r="F1643" s="7"/>
      <c r="G1643" s="7"/>
      <c r="H1643" s="7"/>
      <c r="I1643" s="7"/>
      <c r="J1643" s="7"/>
      <c r="K1643" s="7"/>
      <c r="L1643" s="678"/>
      <c r="M1643" s="7"/>
      <c r="N1643" s="7"/>
      <c r="O1643" s="7"/>
      <c r="P1643" s="7"/>
    </row>
    <row r="1644" spans="1:16" x14ac:dyDescent="0.2">
      <c r="A1644" s="7"/>
      <c r="B1644" s="8" t="s">
        <v>39</v>
      </c>
      <c r="C1644" s="7"/>
      <c r="D1644" s="7"/>
      <c r="E1644" s="7"/>
      <c r="F1644" s="1079">
        <v>3.5600000000000076E-2</v>
      </c>
      <c r="G1644" s="7"/>
      <c r="H1644" s="7"/>
      <c r="I1644" s="7"/>
      <c r="J1644" s="1079">
        <v>4.2054064279015257E-2</v>
      </c>
      <c r="K1644" s="7"/>
      <c r="L1644" s="7"/>
      <c r="M1644" s="7"/>
      <c r="N1644" s="7"/>
      <c r="O1644" s="7"/>
      <c r="P1644" s="7"/>
    </row>
    <row r="1645" spans="1:16" x14ac:dyDescent="0.2">
      <c r="A1645" s="7"/>
      <c r="B1645" s="7"/>
      <c r="C1645" s="7"/>
      <c r="D1645" s="7"/>
      <c r="E1645" s="7"/>
      <c r="F1645" s="7"/>
      <c r="G1645" s="7"/>
      <c r="H1645" s="7"/>
      <c r="I1645" s="7"/>
      <c r="J1645" s="7"/>
      <c r="K1645" s="7"/>
      <c r="L1645" s="7"/>
      <c r="M1645" s="7"/>
      <c r="N1645" s="7"/>
      <c r="O1645" s="7"/>
      <c r="P1645" s="7"/>
    </row>
    <row r="1646" spans="1:16" ht="14.25" x14ac:dyDescent="0.2">
      <c r="A1646" s="214" t="s">
        <v>1141</v>
      </c>
      <c r="B1646" s="7"/>
      <c r="C1646" s="7"/>
      <c r="D1646" s="7"/>
      <c r="E1646" s="7"/>
      <c r="F1646" s="7"/>
      <c r="G1646" s="7"/>
      <c r="H1646" s="7"/>
      <c r="I1646" s="7"/>
      <c r="J1646" s="7"/>
      <c r="K1646" s="7"/>
      <c r="L1646" s="7"/>
      <c r="M1646" s="7"/>
      <c r="N1646" s="7"/>
      <c r="O1646" s="7"/>
      <c r="P1646" s="7"/>
    </row>
    <row r="1647" spans="1:16" x14ac:dyDescent="0.2">
      <c r="A1647" s="7"/>
      <c r="B1647" s="7"/>
      <c r="C1647" s="7"/>
      <c r="D1647" s="7"/>
      <c r="E1647" s="7"/>
      <c r="F1647" s="7"/>
      <c r="G1647" s="7"/>
      <c r="H1647" s="7"/>
      <c r="I1647" s="7"/>
      <c r="J1647" s="7"/>
      <c r="K1647" s="7"/>
      <c r="L1647" s="7"/>
      <c r="M1647" s="7"/>
      <c r="N1647" s="7"/>
      <c r="O1647" s="7"/>
      <c r="P1647" s="7"/>
    </row>
    <row r="1648" spans="1:16" x14ac:dyDescent="0.2">
      <c r="A1648" s="7" t="s">
        <v>107</v>
      </c>
      <c r="B1648" s="7"/>
      <c r="C1648" s="7"/>
      <c r="D1648" s="7"/>
      <c r="E1648" s="7"/>
      <c r="F1648" s="7"/>
      <c r="G1648" s="7"/>
      <c r="H1648" s="7"/>
      <c r="I1648" s="7"/>
      <c r="J1648" s="7"/>
      <c r="K1648" s="7"/>
      <c r="L1648" s="7"/>
      <c r="M1648" s="7"/>
      <c r="N1648" s="7"/>
      <c r="O1648" s="7"/>
      <c r="P1648" s="7"/>
    </row>
    <row r="1649" spans="1:16" x14ac:dyDescent="0.2">
      <c r="A1649" s="7" t="s">
        <v>108</v>
      </c>
      <c r="B1649" s="7"/>
      <c r="C1649" s="7"/>
      <c r="D1649" s="7"/>
      <c r="E1649" s="7"/>
      <c r="F1649" s="7"/>
      <c r="G1649" s="7"/>
      <c r="H1649" s="7"/>
      <c r="I1649" s="7"/>
      <c r="J1649" s="7"/>
      <c r="K1649" s="7"/>
      <c r="L1649" s="7"/>
      <c r="M1649" s="7"/>
      <c r="N1649" s="7"/>
      <c r="O1649" s="7"/>
      <c r="P1649" s="7"/>
    </row>
    <row r="1650" spans="1:16" x14ac:dyDescent="0.2">
      <c r="A1650" s="7"/>
      <c r="B1650" s="7"/>
      <c r="C1650" s="7"/>
      <c r="D1650" s="7"/>
      <c r="E1650" s="7"/>
      <c r="F1650" s="7"/>
      <c r="G1650" s="7"/>
      <c r="H1650" s="7"/>
      <c r="I1650" s="7"/>
      <c r="J1650" s="7"/>
      <c r="K1650" s="7"/>
      <c r="L1650" s="7"/>
      <c r="M1650" s="7"/>
      <c r="N1650" s="7"/>
      <c r="O1650" s="7"/>
      <c r="P1650" s="7"/>
    </row>
    <row r="1651" spans="1:16" x14ac:dyDescent="0.2">
      <c r="A1651" s="7" t="s">
        <v>331</v>
      </c>
      <c r="B1651" s="7"/>
      <c r="C1651" s="7"/>
      <c r="D1651" s="7"/>
      <c r="E1651" s="7"/>
      <c r="F1651" s="7"/>
      <c r="G1651" s="7"/>
      <c r="H1651" s="7"/>
      <c r="I1651" s="7"/>
      <c r="J1651" s="7"/>
      <c r="K1651" s="7"/>
      <c r="L1651" s="7"/>
      <c r="M1651" s="7"/>
      <c r="N1651" s="7"/>
      <c r="O1651" s="7"/>
      <c r="P1651" s="7"/>
    </row>
    <row r="1652" spans="1:16" x14ac:dyDescent="0.2">
      <c r="A1652" s="7" t="s">
        <v>109</v>
      </c>
      <c r="B1652" s="7"/>
      <c r="C1652" s="7"/>
      <c r="D1652" s="7"/>
      <c r="E1652" s="7"/>
      <c r="F1652" s="7"/>
      <c r="G1652" s="7"/>
      <c r="H1652" s="7"/>
      <c r="I1652" s="7"/>
      <c r="J1652" s="7"/>
      <c r="K1652" s="7"/>
      <c r="L1652" s="7"/>
      <c r="M1652" s="7"/>
      <c r="N1652" s="7"/>
      <c r="O1652" s="7"/>
      <c r="P1652" s="7"/>
    </row>
    <row r="1653" spans="1:16" x14ac:dyDescent="0.2">
      <c r="A1653" s="7"/>
      <c r="B1653" s="7"/>
      <c r="C1653" s="7"/>
      <c r="D1653" s="7"/>
      <c r="E1653" s="7"/>
      <c r="F1653" s="7"/>
      <c r="G1653" s="7"/>
      <c r="H1653" s="7"/>
      <c r="I1653" s="7"/>
      <c r="J1653" s="7"/>
      <c r="K1653" s="7"/>
      <c r="L1653" s="7"/>
      <c r="M1653" s="7"/>
      <c r="N1653" s="7"/>
      <c r="O1653" s="7"/>
      <c r="P1653" s="7"/>
    </row>
    <row r="1654" spans="1:16" x14ac:dyDescent="0.2">
      <c r="A1654" s="7" t="s">
        <v>110</v>
      </c>
      <c r="B1654" s="7"/>
      <c r="C1654" s="7"/>
      <c r="D1654" s="7"/>
      <c r="E1654" s="7"/>
      <c r="F1654" s="7"/>
      <c r="G1654" s="7"/>
      <c r="H1654" s="7"/>
      <c r="I1654" s="7"/>
      <c r="J1654" s="7"/>
      <c r="K1654" s="7"/>
      <c r="L1654" s="7"/>
      <c r="M1654" s="7"/>
      <c r="N1654" s="7"/>
      <c r="O1654" s="7"/>
      <c r="P1654" s="7"/>
    </row>
    <row r="1655" spans="1:16" x14ac:dyDescent="0.2">
      <c r="A1655" s="7" t="s">
        <v>111</v>
      </c>
      <c r="B1655" s="7"/>
      <c r="C1655" s="7"/>
      <c r="D1655" s="7"/>
      <c r="E1655" s="7"/>
      <c r="F1655" s="7"/>
      <c r="G1655" s="7"/>
      <c r="H1655" s="7"/>
      <c r="I1655" s="7"/>
      <c r="J1655" s="7"/>
      <c r="K1655" s="7"/>
      <c r="L1655" s="7"/>
      <c r="M1655" s="7"/>
      <c r="N1655" s="7"/>
      <c r="O1655" s="7"/>
      <c r="P1655" s="7"/>
    </row>
    <row r="1656" spans="1:16" x14ac:dyDescent="0.2">
      <c r="A1656" s="7" t="s">
        <v>112</v>
      </c>
      <c r="B1656" s="7"/>
      <c r="C1656" s="7"/>
      <c r="D1656" s="7"/>
      <c r="E1656" s="7"/>
      <c r="F1656" s="7"/>
      <c r="G1656" s="7"/>
      <c r="H1656" s="7"/>
      <c r="I1656" s="7"/>
      <c r="J1656" s="7"/>
      <c r="K1656" s="7"/>
      <c r="L1656" s="7"/>
      <c r="M1656" s="7"/>
      <c r="N1656" s="7"/>
      <c r="O1656" s="7"/>
      <c r="P1656" s="7"/>
    </row>
    <row r="1657" spans="1:16" x14ac:dyDescent="0.2">
      <c r="A1657" s="7" t="s">
        <v>113</v>
      </c>
      <c r="B1657" s="7"/>
      <c r="C1657" s="7"/>
      <c r="D1657" s="7"/>
      <c r="E1657" s="7"/>
      <c r="F1657" s="7"/>
      <c r="G1657" s="7"/>
      <c r="H1657" s="7"/>
      <c r="I1657" s="7"/>
      <c r="J1657" s="7"/>
      <c r="K1657" s="7"/>
      <c r="L1657" s="7"/>
      <c r="M1657" s="7"/>
      <c r="N1657" s="7"/>
      <c r="O1657" s="7"/>
      <c r="P1657" s="7"/>
    </row>
    <row r="1658" spans="1:16" x14ac:dyDescent="0.2">
      <c r="A1658" s="7" t="s">
        <v>114</v>
      </c>
      <c r="B1658" s="7"/>
      <c r="C1658" s="7"/>
      <c r="D1658" s="7"/>
      <c r="E1658" s="7"/>
      <c r="F1658" s="7"/>
      <c r="G1658" s="7"/>
      <c r="H1658" s="7"/>
      <c r="I1658" s="7"/>
      <c r="J1658" s="7"/>
      <c r="K1658" s="7"/>
      <c r="L1658" s="7"/>
      <c r="M1658" s="7"/>
      <c r="N1658" s="7"/>
      <c r="O1658" s="7"/>
      <c r="P1658" s="7"/>
    </row>
    <row r="1660" spans="1:16" ht="21.75" x14ac:dyDescent="0.2">
      <c r="A1660" s="41"/>
      <c r="B1660" s="41"/>
      <c r="C1660" s="41"/>
      <c r="D1660" s="41"/>
      <c r="E1660" s="41"/>
      <c r="F1660" s="41"/>
      <c r="G1660" s="41"/>
      <c r="H1660" s="41"/>
      <c r="I1660" s="41"/>
      <c r="J1660" s="41"/>
      <c r="K1660" s="41"/>
      <c r="L1660" s="37"/>
      <c r="M1660" s="37"/>
      <c r="N1660" s="16" t="s">
        <v>444</v>
      </c>
      <c r="O1660" s="250" t="s">
        <v>866</v>
      </c>
    </row>
    <row r="1661" spans="1:16" ht="18" x14ac:dyDescent="0.25">
      <c r="A1661" s="40"/>
      <c r="B1661" s="40"/>
      <c r="C1661" s="40"/>
      <c r="D1661" s="40"/>
      <c r="E1661" s="40"/>
      <c r="F1661" s="40"/>
      <c r="G1661" s="40"/>
      <c r="H1661" s="40"/>
      <c r="I1661" s="40"/>
      <c r="J1661" s="40"/>
      <c r="K1661" s="40"/>
      <c r="L1661" s="37"/>
      <c r="M1661" s="37"/>
      <c r="N1661" s="16" t="s">
        <v>445</v>
      </c>
      <c r="O1661" s="1001"/>
    </row>
    <row r="1662" spans="1:16" x14ac:dyDescent="0.2">
      <c r="A1662" s="1626"/>
      <c r="B1662" s="1626"/>
      <c r="C1662" s="1626"/>
      <c r="D1662" s="1626"/>
      <c r="E1662" s="1626"/>
      <c r="F1662" s="1626"/>
      <c r="G1662" s="1626"/>
      <c r="H1662" s="1626"/>
      <c r="I1662" s="1626"/>
      <c r="J1662" s="1626"/>
      <c r="K1662" s="1626"/>
      <c r="L1662" s="37"/>
      <c r="M1662" s="37"/>
      <c r="N1662" s="16" t="s">
        <v>446</v>
      </c>
      <c r="O1662" s="1001"/>
    </row>
    <row r="1663" spans="1:16" ht="18" x14ac:dyDescent="0.25">
      <c r="A1663" s="40"/>
      <c r="B1663" s="40"/>
      <c r="C1663" s="40"/>
      <c r="D1663" s="40"/>
      <c r="E1663" s="40"/>
      <c r="F1663" s="40"/>
      <c r="G1663" s="40"/>
      <c r="H1663" s="40"/>
      <c r="I1663" s="38"/>
      <c r="J1663" s="38"/>
      <c r="K1663" s="38"/>
      <c r="L1663" s="37"/>
      <c r="M1663" s="37"/>
      <c r="N1663" s="16" t="s">
        <v>447</v>
      </c>
      <c r="O1663" s="1001"/>
    </row>
    <row r="1664" spans="1:16" ht="15.75" x14ac:dyDescent="0.25">
      <c r="A1664" s="37"/>
      <c r="B1664" s="37"/>
      <c r="C1664" s="39"/>
      <c r="D1664" s="39"/>
      <c r="E1664" s="39"/>
      <c r="F1664" s="37"/>
      <c r="G1664" s="37"/>
      <c r="H1664" s="37"/>
      <c r="I1664" s="37"/>
      <c r="J1664" s="37"/>
      <c r="K1664" s="37"/>
      <c r="L1664" s="37"/>
      <c r="M1664" s="37"/>
      <c r="N1664" s="16" t="s">
        <v>448</v>
      </c>
      <c r="O1664" s="1002" t="s">
        <v>1165</v>
      </c>
    </row>
    <row r="1665" spans="1:16" x14ac:dyDescent="0.2">
      <c r="A1665" s="37"/>
      <c r="B1665" s="37"/>
      <c r="C1665" s="37"/>
      <c r="D1665" s="37"/>
      <c r="E1665" s="37"/>
      <c r="F1665" s="37"/>
      <c r="G1665" s="37"/>
      <c r="H1665" s="37"/>
      <c r="I1665" s="37"/>
      <c r="J1665" s="37"/>
      <c r="K1665" s="37"/>
      <c r="L1665" s="37"/>
      <c r="M1665" s="37"/>
      <c r="N1665" s="16"/>
      <c r="O1665" s="250"/>
    </row>
    <row r="1666" spans="1:16" x14ac:dyDescent="0.2">
      <c r="A1666" s="37"/>
      <c r="B1666" s="37"/>
      <c r="C1666" s="37"/>
      <c r="D1666" s="37"/>
      <c r="E1666" s="37"/>
      <c r="F1666" s="37"/>
      <c r="G1666" s="37"/>
      <c r="H1666" s="37"/>
      <c r="I1666" s="37"/>
      <c r="J1666" s="37"/>
      <c r="K1666" s="37"/>
      <c r="L1666" s="37"/>
      <c r="M1666" s="37"/>
      <c r="N1666" s="16" t="s">
        <v>449</v>
      </c>
      <c r="O1666" s="1002"/>
    </row>
    <row r="1667" spans="1:16" x14ac:dyDescent="0.2">
      <c r="A1667" s="37"/>
      <c r="B1667" s="37"/>
      <c r="C1667" s="37"/>
      <c r="D1667" s="37"/>
      <c r="E1667" s="37"/>
      <c r="F1667" s="37"/>
      <c r="G1667" s="37"/>
      <c r="H1667" s="37"/>
      <c r="I1667" s="37"/>
      <c r="J1667" s="37"/>
      <c r="K1667" s="37"/>
      <c r="L1667" s="37"/>
      <c r="M1667" s="37"/>
      <c r="N1667" s="7"/>
    </row>
    <row r="1668" spans="1:16" x14ac:dyDescent="0.2">
      <c r="A1668" s="7"/>
      <c r="B1668" s="7"/>
      <c r="C1668" s="7"/>
      <c r="D1668" s="7"/>
      <c r="E1668" s="7"/>
      <c r="F1668" s="7"/>
      <c r="G1668" s="7"/>
      <c r="H1668" s="7"/>
      <c r="I1668" s="7"/>
      <c r="J1668" s="7"/>
      <c r="K1668" s="7"/>
    </row>
    <row r="1669" spans="1:16" x14ac:dyDescent="0.2">
      <c r="A1669" s="7"/>
      <c r="B1669" s="1626" t="s">
        <v>695</v>
      </c>
      <c r="C1669" s="1626"/>
      <c r="D1669" s="1626"/>
      <c r="E1669" s="1626"/>
      <c r="F1669" s="1626"/>
      <c r="G1669" s="1626"/>
      <c r="H1669" s="1626"/>
      <c r="I1669" s="1626"/>
      <c r="J1669" s="1626"/>
      <c r="K1669" s="1626"/>
      <c r="L1669" s="1626"/>
      <c r="M1669" s="1626"/>
      <c r="N1669" s="1626"/>
      <c r="O1669" s="1626"/>
    </row>
    <row r="1670" spans="1:16" x14ac:dyDescent="0.2">
      <c r="A1670" s="7"/>
      <c r="B1670" s="1626" t="s">
        <v>63</v>
      </c>
      <c r="C1670" s="1626"/>
      <c r="D1670" s="1626"/>
      <c r="E1670" s="1626"/>
      <c r="F1670" s="1626"/>
      <c r="G1670" s="1626"/>
      <c r="H1670" s="1626"/>
      <c r="I1670" s="1626"/>
      <c r="J1670" s="1626"/>
      <c r="K1670" s="1626"/>
      <c r="L1670" s="1626"/>
      <c r="M1670" s="1626"/>
      <c r="N1670" s="1626"/>
      <c r="O1670" s="1626"/>
    </row>
    <row r="1671" spans="1:16" x14ac:dyDescent="0.2">
      <c r="A1671" s="7"/>
      <c r="B1671" s="7"/>
      <c r="C1671" s="7"/>
      <c r="D1671" s="7"/>
      <c r="E1671" s="7"/>
      <c r="F1671" s="7"/>
      <c r="G1671" s="7"/>
      <c r="H1671" s="7"/>
      <c r="I1671" s="7"/>
      <c r="J1671" s="7"/>
      <c r="K1671" s="7"/>
    </row>
    <row r="1672" spans="1:16" x14ac:dyDescent="0.2">
      <c r="A1672" s="7"/>
      <c r="B1672" s="7"/>
      <c r="C1672" s="7"/>
      <c r="D1672" s="7"/>
      <c r="E1672" s="7"/>
      <c r="F1672" s="7"/>
      <c r="G1672" s="7"/>
      <c r="H1672" s="7"/>
      <c r="I1672" s="7"/>
      <c r="J1672" s="7"/>
      <c r="K1672" s="7"/>
    </row>
    <row r="1673" spans="1:16" x14ac:dyDescent="0.2">
      <c r="A1673" s="7"/>
      <c r="B1673" s="43" t="s">
        <v>40</v>
      </c>
      <c r="C1673" s="7"/>
      <c r="D1673" s="1626" t="s">
        <v>86</v>
      </c>
      <c r="E1673" s="1626"/>
      <c r="F1673" s="1626"/>
      <c r="G1673" s="1626"/>
      <c r="H1673" s="1626"/>
      <c r="I1673" s="1626"/>
      <c r="J1673" s="1626"/>
      <c r="K1673" s="1626"/>
      <c r="L1673" s="1626"/>
      <c r="M1673" s="1626"/>
      <c r="N1673" s="1626"/>
      <c r="O1673" s="1626"/>
      <c r="P1673" s="7"/>
    </row>
    <row r="1674" spans="1:16" ht="15.75" x14ac:dyDescent="0.25">
      <c r="A1674" s="7"/>
      <c r="B1674" s="1003"/>
      <c r="C1674" s="7"/>
      <c r="D1674" s="42"/>
      <c r="E1674" s="42"/>
      <c r="F1674" s="42"/>
      <c r="G1674" s="42"/>
      <c r="H1674" s="42"/>
      <c r="I1674" s="42"/>
      <c r="J1674" s="42"/>
      <c r="K1674" s="42"/>
      <c r="L1674" s="42"/>
      <c r="M1674" s="42"/>
      <c r="N1674" s="42"/>
      <c r="O1674" s="42"/>
      <c r="P1674" s="7"/>
    </row>
    <row r="1675" spans="1:16" x14ac:dyDescent="0.2">
      <c r="A1675" s="7"/>
      <c r="B1675" s="647"/>
      <c r="C1675" s="7"/>
      <c r="D1675" s="8" t="s">
        <v>17</v>
      </c>
      <c r="E1675" s="8"/>
      <c r="F1675" s="1004">
        <v>182</v>
      </c>
      <c r="G1675" s="8" t="s">
        <v>18</v>
      </c>
      <c r="H1675" s="7"/>
      <c r="I1675" s="7"/>
      <c r="J1675" s="7"/>
      <c r="K1675" s="7"/>
      <c r="L1675" s="7"/>
      <c r="M1675" s="7"/>
      <c r="N1675" s="7"/>
      <c r="O1675" s="7"/>
      <c r="P1675" s="7"/>
    </row>
    <row r="1676" spans="1:16" x14ac:dyDescent="0.2">
      <c r="A1676" s="7"/>
      <c r="B1676" s="647"/>
      <c r="C1676" s="7"/>
      <c r="D1676" s="7"/>
      <c r="E1676" s="7"/>
      <c r="F1676" s="7"/>
      <c r="G1676" s="7"/>
      <c r="H1676" s="7"/>
      <c r="I1676" s="7"/>
      <c r="J1676" s="7"/>
      <c r="K1676" s="7"/>
      <c r="L1676" s="7"/>
      <c r="M1676" s="7"/>
      <c r="N1676" s="7"/>
      <c r="O1676" s="7"/>
      <c r="P1676" s="7"/>
    </row>
    <row r="1677" spans="1:16" x14ac:dyDescent="0.2">
      <c r="A1677" s="7"/>
      <c r="B1677" s="647"/>
      <c r="C1677" s="7"/>
      <c r="D1677" s="19"/>
      <c r="E1677" s="19"/>
      <c r="F1677" s="1626" t="s">
        <v>19</v>
      </c>
      <c r="G1677" s="1626"/>
      <c r="H1677" s="1626"/>
      <c r="I1677" s="7"/>
      <c r="J1677" s="1626" t="s">
        <v>20</v>
      </c>
      <c r="K1677" s="1626"/>
      <c r="L1677" s="1626"/>
      <c r="M1677" s="7"/>
      <c r="N1677" s="1626" t="s">
        <v>21</v>
      </c>
      <c r="O1677" s="1626"/>
      <c r="P1677" s="7"/>
    </row>
    <row r="1678" spans="1:16" ht="12.75" customHeight="1" x14ac:dyDescent="0.2">
      <c r="A1678" s="7"/>
      <c r="B1678" s="647"/>
      <c r="C1678" s="7"/>
      <c r="D1678" s="1626" t="s">
        <v>22</v>
      </c>
      <c r="E1678" s="20"/>
      <c r="F1678" s="21" t="s">
        <v>23</v>
      </c>
      <c r="G1678" s="21" t="s">
        <v>24</v>
      </c>
      <c r="H1678" s="22" t="s">
        <v>25</v>
      </c>
      <c r="I1678" s="7"/>
      <c r="J1678" s="21" t="s">
        <v>23</v>
      </c>
      <c r="K1678" s="23" t="s">
        <v>24</v>
      </c>
      <c r="L1678" s="22" t="s">
        <v>25</v>
      </c>
      <c r="M1678" s="7"/>
      <c r="N1678" s="1626" t="s">
        <v>26</v>
      </c>
      <c r="O1678" s="1626" t="s">
        <v>27</v>
      </c>
      <c r="P1678" s="7"/>
    </row>
    <row r="1679" spans="1:16" x14ac:dyDescent="0.2">
      <c r="A1679" s="7"/>
      <c r="B1679" s="647"/>
      <c r="C1679" s="7"/>
      <c r="D1679" s="1626"/>
      <c r="E1679" s="20"/>
      <c r="F1679" s="24" t="s">
        <v>452</v>
      </c>
      <c r="G1679" s="24"/>
      <c r="H1679" s="25" t="s">
        <v>452</v>
      </c>
      <c r="I1679" s="7"/>
      <c r="J1679" s="24" t="s">
        <v>452</v>
      </c>
      <c r="K1679" s="25"/>
      <c r="L1679" s="25" t="s">
        <v>452</v>
      </c>
      <c r="M1679" s="7"/>
      <c r="N1679" s="1626"/>
      <c r="O1679" s="1626"/>
      <c r="P1679" s="7"/>
    </row>
    <row r="1680" spans="1:16" x14ac:dyDescent="0.2">
      <c r="A1680" s="7"/>
      <c r="B1680" s="26" t="s">
        <v>28</v>
      </c>
      <c r="C1680" s="26"/>
      <c r="D1680" s="1005" t="s">
        <v>1130</v>
      </c>
      <c r="E1680" s="27"/>
      <c r="F1680" s="1006">
        <v>3.43</v>
      </c>
      <c r="G1680" s="32">
        <v>1</v>
      </c>
      <c r="H1680" s="1007">
        <f>G1680*F1680</f>
        <v>3.43</v>
      </c>
      <c r="I1680" s="30"/>
      <c r="J1680" s="1008">
        <v>4.07</v>
      </c>
      <c r="K1680" s="33">
        <v>1</v>
      </c>
      <c r="L1680" s="1007">
        <f>K1680*J1680</f>
        <v>4.07</v>
      </c>
      <c r="M1680" s="30"/>
      <c r="N1680" s="34">
        <f>L1680-H1680</f>
        <v>0.64000000000000012</v>
      </c>
      <c r="O1680" s="202">
        <f>IF((H1680)=0,"",(N1680/H1680))</f>
        <v>0.18658892128279886</v>
      </c>
      <c r="P1680" s="7"/>
    </row>
    <row r="1681" spans="1:16" x14ac:dyDescent="0.2">
      <c r="A1681" s="7"/>
      <c r="B1681" s="26" t="s">
        <v>29</v>
      </c>
      <c r="C1681" s="26"/>
      <c r="D1681" s="1005" t="s">
        <v>1130</v>
      </c>
      <c r="E1681" s="27"/>
      <c r="F1681" s="1006">
        <v>0</v>
      </c>
      <c r="G1681" s="32">
        <v>1</v>
      </c>
      <c r="H1681" s="1007">
        <f t="shared" ref="H1681:H1689" si="147">G1681*F1681</f>
        <v>0</v>
      </c>
      <c r="I1681" s="30"/>
      <c r="J1681" s="1008">
        <v>0</v>
      </c>
      <c r="K1681" s="33">
        <v>1</v>
      </c>
      <c r="L1681" s="1007">
        <f>K1681*J1681</f>
        <v>0</v>
      </c>
      <c r="M1681" s="30"/>
      <c r="N1681" s="34">
        <f>L1681-H1681</f>
        <v>0</v>
      </c>
      <c r="O1681" s="202" t="str">
        <f>IF((H1681)=0,"",(N1681/H1681))</f>
        <v/>
      </c>
      <c r="P1681" s="7"/>
    </row>
    <row r="1682" spans="1:16" x14ac:dyDescent="0.2">
      <c r="A1682" s="7"/>
      <c r="B1682" s="1009" t="s">
        <v>1131</v>
      </c>
      <c r="C1682" s="26"/>
      <c r="D1682" s="1005" t="s">
        <v>80</v>
      </c>
      <c r="E1682" s="27"/>
      <c r="F1682" s="1006">
        <v>-0.39439999999999997</v>
      </c>
      <c r="G1682" s="32">
        <v>0.46</v>
      </c>
      <c r="H1682" s="1007">
        <f t="shared" si="147"/>
        <v>-0.181424</v>
      </c>
      <c r="I1682" s="30"/>
      <c r="J1682" s="1008">
        <v>0</v>
      </c>
      <c r="K1682" s="33">
        <v>0.46</v>
      </c>
      <c r="L1682" s="1007">
        <f t="shared" ref="L1682:L1689" si="148">K1682*J1682</f>
        <v>0</v>
      </c>
      <c r="M1682" s="30"/>
      <c r="N1682" s="34">
        <f t="shared" ref="N1682:N1720" si="149">L1682-H1682</f>
        <v>0.181424</v>
      </c>
      <c r="O1682" s="202">
        <f t="shared" ref="O1682:O1690" si="150">IF((H1682)=0,"",(N1682/H1682))</f>
        <v>-1</v>
      </c>
      <c r="P1682" s="7"/>
    </row>
    <row r="1683" spans="1:16" x14ac:dyDescent="0.2">
      <c r="A1683" s="7"/>
      <c r="B1683" s="1009" t="s">
        <v>36</v>
      </c>
      <c r="C1683" s="26"/>
      <c r="D1683" s="1005" t="s">
        <v>1130</v>
      </c>
      <c r="E1683" s="27"/>
      <c r="F1683" s="1006">
        <v>0.25</v>
      </c>
      <c r="G1683" s="32">
        <v>1</v>
      </c>
      <c r="H1683" s="1007">
        <f t="shared" si="147"/>
        <v>0.25</v>
      </c>
      <c r="I1683" s="30"/>
      <c r="J1683" s="1008">
        <v>0.25</v>
      </c>
      <c r="K1683" s="33">
        <v>1</v>
      </c>
      <c r="L1683" s="1007">
        <f t="shared" si="148"/>
        <v>0.25</v>
      </c>
      <c r="M1683" s="30"/>
      <c r="N1683" s="34">
        <f t="shared" si="149"/>
        <v>0</v>
      </c>
      <c r="O1683" s="202">
        <f t="shared" si="150"/>
        <v>0</v>
      </c>
      <c r="P1683" s="7"/>
    </row>
    <row r="1684" spans="1:16" x14ac:dyDescent="0.2">
      <c r="A1684" s="7"/>
      <c r="B1684" s="26" t="s">
        <v>30</v>
      </c>
      <c r="C1684" s="26"/>
      <c r="D1684" s="1005" t="s">
        <v>80</v>
      </c>
      <c r="E1684" s="27"/>
      <c r="F1684" s="1006">
        <v>22.629899999999999</v>
      </c>
      <c r="G1684" s="32">
        <v>0.46</v>
      </c>
      <c r="H1684" s="1007">
        <f t="shared" si="147"/>
        <v>10.409754</v>
      </c>
      <c r="I1684" s="30"/>
      <c r="J1684" s="1008">
        <v>26.875699999999998</v>
      </c>
      <c r="K1684" s="32">
        <v>0.46</v>
      </c>
      <c r="L1684" s="1007">
        <f t="shared" si="148"/>
        <v>12.362822</v>
      </c>
      <c r="M1684" s="30"/>
      <c r="N1684" s="34">
        <f t="shared" si="149"/>
        <v>1.953068</v>
      </c>
      <c r="O1684" s="202">
        <f t="shared" si="150"/>
        <v>0.18761903499352628</v>
      </c>
      <c r="P1684" s="7"/>
    </row>
    <row r="1685" spans="1:16" x14ac:dyDescent="0.2">
      <c r="A1685" s="7"/>
      <c r="B1685" s="26" t="s">
        <v>31</v>
      </c>
      <c r="C1685" s="26"/>
      <c r="D1685" s="1005"/>
      <c r="E1685" s="27"/>
      <c r="F1685" s="1006"/>
      <c r="G1685" s="32"/>
      <c r="H1685" s="1007">
        <f t="shared" si="147"/>
        <v>0</v>
      </c>
      <c r="I1685" s="30"/>
      <c r="J1685" s="1008"/>
      <c r="K1685" s="32"/>
      <c r="L1685" s="1007">
        <f t="shared" si="148"/>
        <v>0</v>
      </c>
      <c r="M1685" s="30"/>
      <c r="N1685" s="34">
        <f t="shared" si="149"/>
        <v>0</v>
      </c>
      <c r="O1685" s="202" t="str">
        <f t="shared" si="150"/>
        <v/>
      </c>
      <c r="P1685" s="7"/>
    </row>
    <row r="1686" spans="1:16" x14ac:dyDescent="0.2">
      <c r="A1686" s="7"/>
      <c r="B1686" s="26" t="s">
        <v>1132</v>
      </c>
      <c r="C1686" s="26"/>
      <c r="D1686" s="1005" t="s">
        <v>80</v>
      </c>
      <c r="E1686" s="27"/>
      <c r="F1686" s="1006">
        <v>0</v>
      </c>
      <c r="G1686" s="32">
        <v>0.46</v>
      </c>
      <c r="H1686" s="1007">
        <f t="shared" si="147"/>
        <v>0</v>
      </c>
      <c r="I1686" s="30"/>
      <c r="J1686" s="1008">
        <v>0</v>
      </c>
      <c r="K1686" s="32">
        <v>0.46</v>
      </c>
      <c r="L1686" s="1007">
        <f t="shared" si="148"/>
        <v>0</v>
      </c>
      <c r="M1686" s="30"/>
      <c r="N1686" s="34">
        <f t="shared" si="149"/>
        <v>0</v>
      </c>
      <c r="O1686" s="202" t="str">
        <f t="shared" si="150"/>
        <v/>
      </c>
      <c r="P1686" s="7"/>
    </row>
    <row r="1687" spans="1:16" x14ac:dyDescent="0.2">
      <c r="A1687" s="7"/>
      <c r="B1687" s="26" t="s">
        <v>1133</v>
      </c>
      <c r="C1687" s="26"/>
      <c r="D1687" s="1005" t="s">
        <v>80</v>
      </c>
      <c r="E1687" s="27"/>
      <c r="F1687" s="1006">
        <v>0</v>
      </c>
      <c r="G1687" s="32">
        <v>0.46</v>
      </c>
      <c r="H1687" s="1007">
        <f t="shared" si="147"/>
        <v>0</v>
      </c>
      <c r="I1687" s="30"/>
      <c r="J1687" s="1008">
        <v>0</v>
      </c>
      <c r="K1687" s="32">
        <v>0.46</v>
      </c>
      <c r="L1687" s="1007">
        <f t="shared" si="148"/>
        <v>0</v>
      </c>
      <c r="M1687" s="30"/>
      <c r="N1687" s="34">
        <f t="shared" si="149"/>
        <v>0</v>
      </c>
      <c r="O1687" s="202" t="str">
        <f t="shared" si="150"/>
        <v/>
      </c>
      <c r="P1687" s="7"/>
    </row>
    <row r="1688" spans="1:16" x14ac:dyDescent="0.2">
      <c r="A1688" s="7"/>
      <c r="B1688" s="26" t="s">
        <v>1134</v>
      </c>
      <c r="C1688" s="26"/>
      <c r="D1688" s="1005" t="s">
        <v>80</v>
      </c>
      <c r="E1688" s="27"/>
      <c r="F1688" s="1006">
        <v>0</v>
      </c>
      <c r="G1688" s="32">
        <v>0.46</v>
      </c>
      <c r="H1688" s="1007">
        <f t="shared" si="147"/>
        <v>0</v>
      </c>
      <c r="I1688" s="30"/>
      <c r="J1688" s="1008">
        <v>0</v>
      </c>
      <c r="K1688" s="32">
        <v>0.46</v>
      </c>
      <c r="L1688" s="1007">
        <f t="shared" si="148"/>
        <v>0</v>
      </c>
      <c r="M1688" s="30"/>
      <c r="N1688" s="34">
        <f t="shared" si="149"/>
        <v>0</v>
      </c>
      <c r="O1688" s="202" t="str">
        <f t="shared" si="150"/>
        <v/>
      </c>
      <c r="P1688" s="7"/>
    </row>
    <row r="1689" spans="1:16" x14ac:dyDescent="0.2">
      <c r="A1689" s="7"/>
      <c r="B1689" s="1010" t="s">
        <v>1135</v>
      </c>
      <c r="C1689" s="26"/>
      <c r="D1689" s="1005" t="s">
        <v>1130</v>
      </c>
      <c r="E1689" s="27"/>
      <c r="F1689" s="1006">
        <v>0</v>
      </c>
      <c r="G1689" s="32">
        <v>1</v>
      </c>
      <c r="H1689" s="1007">
        <f t="shared" si="147"/>
        <v>0</v>
      </c>
      <c r="I1689" s="30"/>
      <c r="J1689" s="1008">
        <v>0</v>
      </c>
      <c r="K1689" s="32">
        <v>1</v>
      </c>
      <c r="L1689" s="1007">
        <f t="shared" si="148"/>
        <v>0</v>
      </c>
      <c r="M1689" s="30"/>
      <c r="N1689" s="34">
        <f t="shared" si="149"/>
        <v>0</v>
      </c>
      <c r="O1689" s="202" t="str">
        <f t="shared" si="150"/>
        <v/>
      </c>
      <c r="P1689" s="7"/>
    </row>
    <row r="1690" spans="1:16" x14ac:dyDescent="0.2">
      <c r="A1690" s="29"/>
      <c r="B1690" s="1011" t="s">
        <v>698</v>
      </c>
      <c r="C1690" s="1012"/>
      <c r="D1690" s="1013"/>
      <c r="E1690" s="1012"/>
      <c r="F1690" s="1014"/>
      <c r="G1690" s="1015"/>
      <c r="H1690" s="1016">
        <f>SUM(H1680:H1689)</f>
        <v>13.908329999999999</v>
      </c>
      <c r="I1690" s="1017"/>
      <c r="J1690" s="1018"/>
      <c r="K1690" s="1019"/>
      <c r="L1690" s="1016">
        <f>SUM(L1680:L1689)</f>
        <v>16.682822000000002</v>
      </c>
      <c r="M1690" s="1017"/>
      <c r="N1690" s="1020">
        <f t="shared" si="149"/>
        <v>2.7744920000000022</v>
      </c>
      <c r="O1690" s="1021">
        <f t="shared" si="150"/>
        <v>0.1994841940046003</v>
      </c>
      <c r="P1690" s="29"/>
    </row>
    <row r="1691" spans="1:16" ht="38.25" x14ac:dyDescent="0.2">
      <c r="A1691" s="7"/>
      <c r="B1691" s="1022" t="s">
        <v>1136</v>
      </c>
      <c r="C1691" s="26"/>
      <c r="D1691" s="1005" t="s">
        <v>80</v>
      </c>
      <c r="E1691" s="27"/>
      <c r="F1691" s="1006">
        <v>0.49440000000000001</v>
      </c>
      <c r="G1691" s="32">
        <v>0.46</v>
      </c>
      <c r="H1691" s="1007">
        <f>G1691*F1691</f>
        <v>0.22742400000000002</v>
      </c>
      <c r="I1691" s="30"/>
      <c r="J1691" s="1008">
        <v>0</v>
      </c>
      <c r="K1691" s="32">
        <v>0.46</v>
      </c>
      <c r="L1691" s="1007">
        <f>K1691*J1691</f>
        <v>0</v>
      </c>
      <c r="M1691" s="30"/>
      <c r="N1691" s="34">
        <f t="shared" si="149"/>
        <v>-0.22742400000000002</v>
      </c>
      <c r="O1691" s="202">
        <f>IF((H1691)=0,"",(N1691/H1691))</f>
        <v>-1</v>
      </c>
      <c r="P1691" s="7"/>
    </row>
    <row r="1692" spans="1:16" ht="38.25" x14ac:dyDescent="0.2">
      <c r="A1692" s="7"/>
      <c r="B1692" s="1022" t="s">
        <v>1137</v>
      </c>
      <c r="C1692" s="26"/>
      <c r="D1692" s="1005" t="s">
        <v>80</v>
      </c>
      <c r="E1692" s="27"/>
      <c r="F1692" s="1006">
        <v>-0.80269999999999997</v>
      </c>
      <c r="G1692" s="32">
        <v>0.46</v>
      </c>
      <c r="H1692" s="1007">
        <f>G1692*F1692</f>
        <v>-0.36924200000000001</v>
      </c>
      <c r="I1692" s="30"/>
      <c r="J1692" s="1008">
        <v>-0.80269999999999997</v>
      </c>
      <c r="K1692" s="32">
        <v>0.46</v>
      </c>
      <c r="L1692" s="1007">
        <f>K1692*J1692</f>
        <v>-0.36924200000000001</v>
      </c>
      <c r="M1692" s="30"/>
      <c r="N1692" s="34">
        <f t="shared" si="149"/>
        <v>0</v>
      </c>
      <c r="O1692" s="202">
        <f>IF((H1692)=0,"",(N1692/H1692))</f>
        <v>0</v>
      </c>
      <c r="P1692" s="7"/>
    </row>
    <row r="1693" spans="1:16" ht="51" x14ac:dyDescent="0.2">
      <c r="A1693" s="7"/>
      <c r="B1693" s="1022" t="s">
        <v>1138</v>
      </c>
      <c r="C1693" s="26"/>
      <c r="D1693" s="1005" t="s">
        <v>80</v>
      </c>
      <c r="E1693" s="27"/>
      <c r="F1693" s="1006">
        <v>0</v>
      </c>
      <c r="G1693" s="32">
        <v>0.46</v>
      </c>
      <c r="H1693" s="1007">
        <f>G1693*F1693</f>
        <v>0</v>
      </c>
      <c r="I1693" s="30"/>
      <c r="J1693" s="1008">
        <v>-0.57210000000000005</v>
      </c>
      <c r="K1693" s="32">
        <v>0.46</v>
      </c>
      <c r="L1693" s="1007">
        <f>K1693*J1693</f>
        <v>-0.26316600000000001</v>
      </c>
      <c r="M1693" s="30"/>
      <c r="N1693" s="34">
        <f t="shared" si="149"/>
        <v>-0.26316600000000001</v>
      </c>
      <c r="O1693" s="202" t="str">
        <f>IF((H1693)=0,"",(N1693/H1693))</f>
        <v/>
      </c>
      <c r="P1693" s="7"/>
    </row>
    <row r="1694" spans="1:16" x14ac:dyDescent="0.2">
      <c r="A1694" s="7"/>
      <c r="B1694" s="564" t="s">
        <v>808</v>
      </c>
      <c r="C1694" s="26"/>
      <c r="D1694" s="1005" t="s">
        <v>80</v>
      </c>
      <c r="E1694" s="27"/>
      <c r="F1694" s="1006">
        <v>5.7000000000000002E-2</v>
      </c>
      <c r="G1694" s="32">
        <v>0.46</v>
      </c>
      <c r="H1694" s="1007">
        <f>G1694*F1694</f>
        <v>2.6220000000000004E-2</v>
      </c>
      <c r="I1694" s="30"/>
      <c r="J1694" s="1008">
        <v>5.8999999999999997E-2</v>
      </c>
      <c r="K1694" s="32">
        <v>0.46</v>
      </c>
      <c r="L1694" s="1007">
        <f>K1694*J1694</f>
        <v>2.7140000000000001E-2</v>
      </c>
      <c r="M1694" s="30"/>
      <c r="N1694" s="34">
        <f t="shared" si="149"/>
        <v>9.1999999999999721E-4</v>
      </c>
      <c r="O1694" s="202">
        <f>IF((H1694)=0,"",(N1694/H1694))</f>
        <v>3.5087719298245501E-2</v>
      </c>
      <c r="P1694" s="7"/>
    </row>
    <row r="1695" spans="1:16" x14ac:dyDescent="0.2">
      <c r="A1695" s="7"/>
      <c r="B1695" s="564" t="s">
        <v>701</v>
      </c>
      <c r="C1695" s="26"/>
      <c r="D1695" s="1005"/>
      <c r="E1695" s="27"/>
      <c r="F1695" s="1023"/>
      <c r="G1695" s="1024"/>
      <c r="H1695" s="1025"/>
      <c r="I1695" s="30"/>
      <c r="J1695" s="1008"/>
      <c r="K1695" s="32"/>
      <c r="L1695" s="1007">
        <f>K1695*J1695</f>
        <v>0</v>
      </c>
      <c r="M1695" s="30"/>
      <c r="N1695" s="34">
        <f t="shared" si="149"/>
        <v>0</v>
      </c>
      <c r="O1695" s="202"/>
      <c r="P1695" s="7"/>
    </row>
    <row r="1696" spans="1:16" ht="25.5" x14ac:dyDescent="0.2">
      <c r="A1696" s="7"/>
      <c r="B1696" s="1026" t="s">
        <v>699</v>
      </c>
      <c r="C1696" s="1027"/>
      <c r="D1696" s="1027"/>
      <c r="E1696" s="1027"/>
      <c r="F1696" s="1028"/>
      <c r="G1696" s="1029"/>
      <c r="H1696" s="1030">
        <f>SUM(H1690:H1695)</f>
        <v>13.792731999999999</v>
      </c>
      <c r="I1696" s="1017"/>
      <c r="J1696" s="1029"/>
      <c r="K1696" s="1031"/>
      <c r="L1696" s="1030">
        <f>SUM(L1690:L1695)</f>
        <v>16.077554000000003</v>
      </c>
      <c r="M1696" s="1017"/>
      <c r="N1696" s="1020">
        <f t="shared" si="149"/>
        <v>2.2848220000000037</v>
      </c>
      <c r="O1696" s="1021">
        <f t="shared" ref="O1696:O1720" si="151">IF((H1696)=0,"",(N1696/H1696))</f>
        <v>0.16565405606373007</v>
      </c>
      <c r="P1696" s="7"/>
    </row>
    <row r="1697" spans="1:16" x14ac:dyDescent="0.2">
      <c r="A1697" s="7"/>
      <c r="B1697" s="30" t="s">
        <v>32</v>
      </c>
      <c r="C1697" s="30"/>
      <c r="D1697" s="1032" t="s">
        <v>80</v>
      </c>
      <c r="E1697" s="31"/>
      <c r="F1697" s="1008">
        <v>1.9440999999999999</v>
      </c>
      <c r="G1697">
        <f>0.46</f>
        <v>0.46</v>
      </c>
      <c r="H1697" s="1007">
        <f>G1697*F1697</f>
        <v>0.89428600000000003</v>
      </c>
      <c r="I1697" s="30"/>
      <c r="J1697" s="1008">
        <v>1.788</v>
      </c>
      <c r="K1697">
        <f>0.46</f>
        <v>0.46</v>
      </c>
      <c r="L1697" s="1007">
        <f>K1697*J1697</f>
        <v>0.8224800000000001</v>
      </c>
      <c r="M1697" s="30"/>
      <c r="N1697" s="34">
        <f t="shared" si="149"/>
        <v>-7.1805999999999925E-2</v>
      </c>
      <c r="O1697" s="202">
        <f t="shared" si="151"/>
        <v>-8.0294223548171298E-2</v>
      </c>
      <c r="P1697" s="7"/>
    </row>
    <row r="1698" spans="1:16" ht="25.5" x14ac:dyDescent="0.2">
      <c r="A1698" s="7"/>
      <c r="B1698" s="35" t="s">
        <v>33</v>
      </c>
      <c r="C1698" s="30"/>
      <c r="D1698" s="1032" t="s">
        <v>80</v>
      </c>
      <c r="E1698" s="31"/>
      <c r="F1698" s="1008">
        <v>1.5783</v>
      </c>
      <c r="G1698">
        <f>G1697</f>
        <v>0.46</v>
      </c>
      <c r="H1698" s="1007">
        <f>G1698*F1698</f>
        <v>0.72601800000000005</v>
      </c>
      <c r="I1698" s="30"/>
      <c r="J1698" s="1008">
        <v>1.5202</v>
      </c>
      <c r="K1698">
        <f>K1697</f>
        <v>0.46</v>
      </c>
      <c r="L1698" s="1007">
        <f>K1698*J1698</f>
        <v>0.69929200000000002</v>
      </c>
      <c r="M1698" s="30"/>
      <c r="N1698" s="34">
        <f t="shared" si="149"/>
        <v>-2.6726000000000028E-2</v>
      </c>
      <c r="O1698" s="202">
        <f t="shared" si="151"/>
        <v>-3.6811759488056803E-2</v>
      </c>
      <c r="P1698" s="7"/>
    </row>
    <row r="1699" spans="1:16" ht="25.5" x14ac:dyDescent="0.2">
      <c r="A1699" s="7"/>
      <c r="B1699" s="1026" t="s">
        <v>700</v>
      </c>
      <c r="C1699" s="1012"/>
      <c r="D1699" s="1012"/>
      <c r="E1699" s="1012"/>
      <c r="F1699" s="1033"/>
      <c r="G1699" s="1029"/>
      <c r="H1699" s="1030">
        <f>SUM(H1696:H1698)</f>
        <v>15.413035999999998</v>
      </c>
      <c r="I1699" s="1034"/>
      <c r="J1699" s="1035"/>
      <c r="K1699" s="1036"/>
      <c r="L1699" s="1030">
        <f>SUM(L1696:L1698)</f>
        <v>17.599326000000001</v>
      </c>
      <c r="M1699" s="1034"/>
      <c r="N1699" s="1020">
        <f t="shared" si="149"/>
        <v>2.1862900000000032</v>
      </c>
      <c r="O1699" s="1021">
        <f t="shared" si="151"/>
        <v>0.14184681071269822</v>
      </c>
      <c r="P1699" s="7"/>
    </row>
    <row r="1700" spans="1:16" ht="25.5" x14ac:dyDescent="0.2">
      <c r="A1700" s="7"/>
      <c r="B1700" s="28" t="s">
        <v>34</v>
      </c>
      <c r="C1700" s="26"/>
      <c r="D1700" s="1005" t="s">
        <v>79</v>
      </c>
      <c r="E1700" s="27"/>
      <c r="F1700" s="1037">
        <v>5.1999999999999998E-3</v>
      </c>
      <c r="G1700" s="667">
        <f>F1675*(1+F1723)</f>
        <v>188.47920000000002</v>
      </c>
      <c r="H1700" s="1038">
        <f t="shared" ref="H1700:H1708" si="152">G1700*F1700</f>
        <v>0.98009184000000005</v>
      </c>
      <c r="I1700" s="30"/>
      <c r="J1700" s="1039">
        <v>5.1999999999999998E-3</v>
      </c>
      <c r="K1700" s="668">
        <f>F1675*(1+J1723)</f>
        <v>189.65383969878079</v>
      </c>
      <c r="L1700" s="1038">
        <f t="shared" ref="L1700:L1708" si="153">K1700*J1700</f>
        <v>0.98619996643366004</v>
      </c>
      <c r="M1700" s="30"/>
      <c r="N1700" s="34">
        <f t="shared" si="149"/>
        <v>6.1081264336599883E-3</v>
      </c>
      <c r="O1700" s="565">
        <f t="shared" si="151"/>
        <v>6.2321980291765184E-3</v>
      </c>
      <c r="P1700" s="7"/>
    </row>
    <row r="1701" spans="1:16" ht="25.5" x14ac:dyDescent="0.2">
      <c r="A1701" s="7"/>
      <c r="B1701" s="28" t="s">
        <v>35</v>
      </c>
      <c r="C1701" s="26"/>
      <c r="D1701" s="1005" t="s">
        <v>79</v>
      </c>
      <c r="E1701" s="27"/>
      <c r="F1701" s="1037">
        <v>1.1000000000000001E-3</v>
      </c>
      <c r="G1701" s="667">
        <f>F1675*(1+F1723)</f>
        <v>188.47920000000002</v>
      </c>
      <c r="H1701" s="1038">
        <f t="shared" si="152"/>
        <v>0.20732712000000003</v>
      </c>
      <c r="I1701" s="30"/>
      <c r="J1701" s="1039">
        <v>1.1000000000000001E-3</v>
      </c>
      <c r="K1701" s="668">
        <f>F1675*(1+J1723)</f>
        <v>189.65383969878079</v>
      </c>
      <c r="L1701" s="1038">
        <f t="shared" si="153"/>
        <v>0.20861922366865887</v>
      </c>
      <c r="M1701" s="30"/>
      <c r="N1701" s="34">
        <f t="shared" si="149"/>
        <v>1.2921036686588394E-3</v>
      </c>
      <c r="O1701" s="565">
        <f t="shared" si="151"/>
        <v>6.2321980291764976E-3</v>
      </c>
      <c r="P1701" s="7"/>
    </row>
    <row r="1702" spans="1:16" x14ac:dyDescent="0.2">
      <c r="A1702" s="7"/>
      <c r="B1702" s="26" t="s">
        <v>36</v>
      </c>
      <c r="C1702" s="26"/>
      <c r="D1702" s="1005"/>
      <c r="E1702" s="27"/>
      <c r="F1702" s="1037"/>
      <c r="G1702" s="32">
        <v>1</v>
      </c>
      <c r="H1702" s="1038">
        <f t="shared" si="152"/>
        <v>0</v>
      </c>
      <c r="I1702" s="30"/>
      <c r="J1702" s="1039"/>
      <c r="K1702" s="33">
        <v>1</v>
      </c>
      <c r="L1702" s="1038">
        <f t="shared" si="153"/>
        <v>0</v>
      </c>
      <c r="M1702" s="30"/>
      <c r="N1702" s="34">
        <f t="shared" si="149"/>
        <v>0</v>
      </c>
      <c r="O1702" s="565" t="str">
        <f t="shared" si="151"/>
        <v/>
      </c>
      <c r="P1702" s="7"/>
    </row>
    <row r="1703" spans="1:16" x14ac:dyDescent="0.2">
      <c r="A1703" s="7"/>
      <c r="B1703" s="26" t="s">
        <v>37</v>
      </c>
      <c r="C1703" s="26"/>
      <c r="D1703" s="1005" t="s">
        <v>79</v>
      </c>
      <c r="E1703" s="27"/>
      <c r="F1703" s="1037">
        <v>7.0000000000000001E-3</v>
      </c>
      <c r="G1703" s="667">
        <f>F1675</f>
        <v>182</v>
      </c>
      <c r="H1703" s="1038">
        <f t="shared" si="152"/>
        <v>1.274</v>
      </c>
      <c r="I1703" s="30"/>
      <c r="J1703" s="1039">
        <v>7.0000000000000001E-3</v>
      </c>
      <c r="K1703" s="668">
        <f>F1675</f>
        <v>182</v>
      </c>
      <c r="L1703" s="1038">
        <f t="shared" si="153"/>
        <v>1.274</v>
      </c>
      <c r="M1703" s="30"/>
      <c r="N1703" s="34">
        <f t="shared" si="149"/>
        <v>0</v>
      </c>
      <c r="O1703" s="565">
        <f t="shared" si="151"/>
        <v>0</v>
      </c>
      <c r="P1703" s="7"/>
    </row>
    <row r="1704" spans="1:16" x14ac:dyDescent="0.2">
      <c r="A1704" s="7"/>
      <c r="B1704" s="564" t="s">
        <v>777</v>
      </c>
      <c r="C1704" s="26"/>
      <c r="D1704" s="1005" t="s">
        <v>79</v>
      </c>
      <c r="E1704" s="27"/>
      <c r="F1704" s="1040">
        <v>7.4999999999999997E-2</v>
      </c>
      <c r="G1704" s="667">
        <f>IF($G$1700&gt;=750,750,$G$1700)</f>
        <v>188.47920000000002</v>
      </c>
      <c r="H1704" s="1038">
        <f>G1704*F1704</f>
        <v>14.135940000000002</v>
      </c>
      <c r="I1704" s="30"/>
      <c r="J1704" s="1037">
        <v>7.4999999999999997E-2</v>
      </c>
      <c r="K1704" s="667">
        <f>IF($K$1700&gt;=750,750,$K$1700)</f>
        <v>189.65383969878079</v>
      </c>
      <c r="L1704" s="1038">
        <f>K1704*J1704</f>
        <v>14.224037977408559</v>
      </c>
      <c r="M1704" s="30"/>
      <c r="N1704" s="34">
        <f t="shared" si="149"/>
        <v>8.8097977408557071E-2</v>
      </c>
      <c r="O1704" s="565">
        <f t="shared" si="151"/>
        <v>6.2321980291764863E-3</v>
      </c>
      <c r="P1704" s="7"/>
    </row>
    <row r="1705" spans="1:16" x14ac:dyDescent="0.2">
      <c r="A1705" s="7"/>
      <c r="B1705" s="564" t="s">
        <v>778</v>
      </c>
      <c r="C1705" s="26"/>
      <c r="D1705" s="1005" t="s">
        <v>79</v>
      </c>
      <c r="E1705" s="27"/>
      <c r="F1705" s="1040">
        <v>8.7999999999999995E-2</v>
      </c>
      <c r="G1705" s="667">
        <f>IF($G$1700&gt;=750,$G$1700-750,0)</f>
        <v>0</v>
      </c>
      <c r="H1705" s="1038">
        <f>G1705*F1705</f>
        <v>0</v>
      </c>
      <c r="I1705" s="30"/>
      <c r="J1705" s="1037">
        <v>8.7999999999999995E-2</v>
      </c>
      <c r="K1705" s="667">
        <f>IF($K$1700&gt;=750,$K$1700-750,0)</f>
        <v>0</v>
      </c>
      <c r="L1705" s="1038">
        <f>K1705*J1705</f>
        <v>0</v>
      </c>
      <c r="M1705" s="30"/>
      <c r="N1705" s="34">
        <f t="shared" si="149"/>
        <v>0</v>
      </c>
      <c r="O1705" s="565" t="str">
        <f t="shared" si="151"/>
        <v/>
      </c>
      <c r="P1705" s="7"/>
    </row>
    <row r="1706" spans="1:16" x14ac:dyDescent="0.2">
      <c r="A1706" s="7"/>
      <c r="B1706" s="564" t="s">
        <v>779</v>
      </c>
      <c r="C1706" s="26"/>
      <c r="D1706" s="1005" t="s">
        <v>79</v>
      </c>
      <c r="E1706" s="27"/>
      <c r="F1706" s="1040">
        <v>6.5000000000000002E-2</v>
      </c>
      <c r="G1706" s="669">
        <f>0.64*$G$1700</f>
        <v>120.62668800000002</v>
      </c>
      <c r="H1706" s="1038">
        <f t="shared" si="152"/>
        <v>7.8407347200000013</v>
      </c>
      <c r="I1706" s="30"/>
      <c r="J1706" s="1037">
        <v>6.5000000000000002E-2</v>
      </c>
      <c r="K1706" s="1041">
        <f>0.64*$K$1700</f>
        <v>121.3784574072197</v>
      </c>
      <c r="L1706" s="1038">
        <f t="shared" si="153"/>
        <v>7.8895997314692803</v>
      </c>
      <c r="M1706" s="30"/>
      <c r="N1706" s="34">
        <f t="shared" si="149"/>
        <v>4.8865011469279018E-2</v>
      </c>
      <c r="O1706" s="565">
        <f t="shared" si="151"/>
        <v>6.2321980291764048E-3</v>
      </c>
      <c r="P1706" s="7"/>
    </row>
    <row r="1707" spans="1:16" x14ac:dyDescent="0.2">
      <c r="A1707" s="7"/>
      <c r="B1707" s="564" t="s">
        <v>780</v>
      </c>
      <c r="C1707" s="26"/>
      <c r="D1707" s="1005" t="s">
        <v>79</v>
      </c>
      <c r="E1707" s="27"/>
      <c r="F1707" s="1040">
        <v>0.1</v>
      </c>
      <c r="G1707" s="669">
        <f>0.18*$G$1700</f>
        <v>33.926256000000002</v>
      </c>
      <c r="H1707" s="1038">
        <f t="shared" si="152"/>
        <v>3.3926256000000006</v>
      </c>
      <c r="I1707" s="30"/>
      <c r="J1707" s="1037">
        <v>0.1</v>
      </c>
      <c r="K1707" s="1041">
        <f>0.18*$K$1700</f>
        <v>34.137691145780543</v>
      </c>
      <c r="L1707" s="1038">
        <f t="shared" si="153"/>
        <v>3.4137691145780544</v>
      </c>
      <c r="M1707" s="30"/>
      <c r="N1707" s="34">
        <f t="shared" si="149"/>
        <v>2.1143514578053857E-2</v>
      </c>
      <c r="O1707" s="565">
        <f t="shared" si="151"/>
        <v>6.2321980291765331E-3</v>
      </c>
      <c r="P1707" s="7"/>
    </row>
    <row r="1708" spans="1:16" ht="13.5" thickBot="1" x14ac:dyDescent="0.25">
      <c r="A1708" s="7"/>
      <c r="B1708" s="647" t="s">
        <v>781</v>
      </c>
      <c r="C1708" s="26"/>
      <c r="D1708" s="1005" t="s">
        <v>79</v>
      </c>
      <c r="E1708" s="27"/>
      <c r="F1708" s="1040">
        <v>0.11700000000000001</v>
      </c>
      <c r="G1708" s="669">
        <f>0.18*$G$1700</f>
        <v>33.926256000000002</v>
      </c>
      <c r="H1708" s="1038">
        <f t="shared" si="152"/>
        <v>3.9693719520000004</v>
      </c>
      <c r="I1708" s="30"/>
      <c r="J1708" s="1037">
        <v>0.11700000000000001</v>
      </c>
      <c r="K1708" s="1041">
        <f>0.18*$K$1700</f>
        <v>34.137691145780543</v>
      </c>
      <c r="L1708" s="1038">
        <f t="shared" si="153"/>
        <v>3.9941098640563237</v>
      </c>
      <c r="M1708" s="30"/>
      <c r="N1708" s="34">
        <f t="shared" si="149"/>
        <v>2.4737912056323363E-2</v>
      </c>
      <c r="O1708" s="565">
        <f t="shared" si="151"/>
        <v>6.2321980291766216E-3</v>
      </c>
      <c r="P1708" s="7"/>
    </row>
    <row r="1709" spans="1:16" ht="13.5" thickBot="1" x14ac:dyDescent="0.25">
      <c r="A1709" s="7"/>
      <c r="B1709" s="1042"/>
      <c r="C1709" s="1043"/>
      <c r="D1709" s="1044"/>
      <c r="E1709" s="1043"/>
      <c r="F1709" s="1045"/>
      <c r="G1709" s="1046"/>
      <c r="H1709" s="1047"/>
      <c r="I1709" s="1048"/>
      <c r="J1709" s="1045"/>
      <c r="K1709" s="1049"/>
      <c r="L1709" s="1047"/>
      <c r="M1709" s="1048"/>
      <c r="N1709" s="1050"/>
      <c r="O1709" s="1051"/>
      <c r="P1709" s="7"/>
    </row>
    <row r="1710" spans="1:16" x14ac:dyDescent="0.2">
      <c r="A1710" s="7"/>
      <c r="B1710" s="36" t="s">
        <v>782</v>
      </c>
      <c r="C1710" s="26"/>
      <c r="D1710" s="26"/>
      <c r="E1710" s="26"/>
      <c r="F1710" s="662"/>
      <c r="G1710" s="652"/>
      <c r="H1710" s="656">
        <f>SUM(H1699:H1705)</f>
        <v>32.010394959999999</v>
      </c>
      <c r="I1710" s="660"/>
      <c r="J1710" s="661"/>
      <c r="K1710" s="661"/>
      <c r="L1710" s="655">
        <f>SUM(L1699:L1705)</f>
        <v>34.292183167510878</v>
      </c>
      <c r="M1710" s="654"/>
      <c r="N1710" s="659">
        <f t="shared" si="149"/>
        <v>2.2817882075108784</v>
      </c>
      <c r="O1710" s="657">
        <f t="shared" si="151"/>
        <v>7.1282725825850865E-2</v>
      </c>
      <c r="P1710" s="7"/>
    </row>
    <row r="1711" spans="1:16" x14ac:dyDescent="0.2">
      <c r="A1711" s="7"/>
      <c r="B1711" s="650" t="s">
        <v>38</v>
      </c>
      <c r="C1711" s="26"/>
      <c r="D1711" s="26"/>
      <c r="E1711" s="26"/>
      <c r="F1711" s="649">
        <v>0.13</v>
      </c>
      <c r="G1711" s="652"/>
      <c r="H1711" s="670">
        <f>H1710*F1711</f>
        <v>4.1613513447999999</v>
      </c>
      <c r="I1711" s="648"/>
      <c r="J1711" s="676">
        <v>0.13</v>
      </c>
      <c r="K1711" s="677"/>
      <c r="L1711" s="672">
        <f>L1710*J1711</f>
        <v>4.4579838117764146</v>
      </c>
      <c r="M1711" s="673"/>
      <c r="N1711" s="674">
        <f t="shared" si="149"/>
        <v>0.29663246697641465</v>
      </c>
      <c r="O1711" s="675">
        <f t="shared" si="151"/>
        <v>7.1282725825850976E-2</v>
      </c>
      <c r="P1711" s="7"/>
    </row>
    <row r="1712" spans="1:16" x14ac:dyDescent="0.2">
      <c r="A1712" s="7"/>
      <c r="B1712" s="651" t="s">
        <v>1139</v>
      </c>
      <c r="C1712" s="26"/>
      <c r="D1712" s="26"/>
      <c r="E1712" s="26"/>
      <c r="F1712" s="658"/>
      <c r="G1712" s="653"/>
      <c r="H1712" s="670">
        <f>H1710+H1711</f>
        <v>36.171746304799996</v>
      </c>
      <c r="I1712" s="648"/>
      <c r="J1712" s="648"/>
      <c r="K1712" s="648"/>
      <c r="L1712" s="672">
        <f>L1710+L1711</f>
        <v>38.750166979287293</v>
      </c>
      <c r="M1712" s="673"/>
      <c r="N1712" s="674">
        <f t="shared" si="149"/>
        <v>2.5784206744872975</v>
      </c>
      <c r="O1712" s="675">
        <f t="shared" si="151"/>
        <v>7.1282725825851004E-2</v>
      </c>
      <c r="P1712" s="7"/>
    </row>
    <row r="1713" spans="1:16" ht="12.75" customHeight="1" x14ac:dyDescent="0.2">
      <c r="A1713" s="7"/>
      <c r="B1713" s="1626" t="s">
        <v>1140</v>
      </c>
      <c r="C1713" s="1626"/>
      <c r="D1713" s="1626"/>
      <c r="E1713" s="26"/>
      <c r="F1713" s="658"/>
      <c r="G1713" s="653"/>
      <c r="H1713" s="1052">
        <f>ROUND(-H1712*10%,2)</f>
        <v>-3.62</v>
      </c>
      <c r="I1713" s="648"/>
      <c r="J1713" s="648"/>
      <c r="K1713" s="648"/>
      <c r="L1713" s="1053">
        <f>ROUND(-L1712*10%,2)</f>
        <v>-3.88</v>
      </c>
      <c r="M1713" s="673"/>
      <c r="N1713" s="1054">
        <f t="shared" si="149"/>
        <v>-0.25999999999999979</v>
      </c>
      <c r="O1713" s="1055">
        <f t="shared" si="151"/>
        <v>7.1823204419889444E-2</v>
      </c>
      <c r="P1713" s="7"/>
    </row>
    <row r="1714" spans="1:16" ht="13.5" customHeight="1" thickBot="1" x14ac:dyDescent="0.25">
      <c r="A1714" s="7"/>
      <c r="B1714" s="1626" t="s">
        <v>785</v>
      </c>
      <c r="C1714" s="1626"/>
      <c r="D1714" s="1626"/>
      <c r="E1714" s="1056"/>
      <c r="F1714" s="1057"/>
      <c r="G1714" s="1058"/>
      <c r="H1714" s="1059">
        <f>SUM(H1712:H1713)</f>
        <v>32.551746304799998</v>
      </c>
      <c r="I1714" s="1060"/>
      <c r="J1714" s="1060"/>
      <c r="K1714" s="1060"/>
      <c r="L1714" s="1061">
        <f>SUM(L1712:L1713)</f>
        <v>34.870166979287291</v>
      </c>
      <c r="M1714" s="1062"/>
      <c r="N1714" s="1063">
        <f t="shared" si="149"/>
        <v>2.3184206744872924</v>
      </c>
      <c r="O1714" s="1064">
        <f t="shared" si="151"/>
        <v>7.1222620524829541E-2</v>
      </c>
      <c r="P1714" s="7"/>
    </row>
    <row r="1715" spans="1:16" ht="13.5" thickBot="1" x14ac:dyDescent="0.25">
      <c r="A1715" s="7"/>
      <c r="B1715" s="1042"/>
      <c r="C1715" s="1043"/>
      <c r="D1715" s="1044"/>
      <c r="E1715" s="1043"/>
      <c r="F1715" s="1065"/>
      <c r="G1715" s="1066"/>
      <c r="H1715" s="1067"/>
      <c r="I1715" s="1068"/>
      <c r="J1715" s="1065"/>
      <c r="K1715" s="1046"/>
      <c r="L1715" s="1069"/>
      <c r="M1715" s="1048"/>
      <c r="N1715" s="1070"/>
      <c r="O1715" s="1051"/>
      <c r="P1715" s="7"/>
    </row>
    <row r="1716" spans="1:16" x14ac:dyDescent="0.2">
      <c r="A1716" s="7"/>
      <c r="B1716" s="36" t="s">
        <v>783</v>
      </c>
      <c r="C1716" s="26"/>
      <c r="D1716" s="26"/>
      <c r="E1716" s="26"/>
      <c r="F1716" s="662"/>
      <c r="G1716" s="652"/>
      <c r="H1716" s="656">
        <f>SUM(H1699:H1703,H1706:H1708)</f>
        <v>33.077187232</v>
      </c>
      <c r="I1716" s="660"/>
      <c r="J1716" s="661"/>
      <c r="K1716" s="661"/>
      <c r="L1716" s="666">
        <f>SUM(L1699:L1703,L1706:L1708)</f>
        <v>35.365623900205982</v>
      </c>
      <c r="M1716" s="654"/>
      <c r="N1716" s="659">
        <f>L1716-H1716</f>
        <v>2.288436668205982</v>
      </c>
      <c r="O1716" s="657">
        <f>IF((H1716)=0,"",(N1716/H1716))</f>
        <v>6.9184742105038194E-2</v>
      </c>
      <c r="P1716" s="7"/>
    </row>
    <row r="1717" spans="1:16" x14ac:dyDescent="0.2">
      <c r="A1717" s="7"/>
      <c r="B1717" s="650" t="s">
        <v>38</v>
      </c>
      <c r="C1717" s="26"/>
      <c r="D1717" s="26"/>
      <c r="E1717" s="26"/>
      <c r="F1717" s="649">
        <v>0.13</v>
      </c>
      <c r="G1717" s="653"/>
      <c r="H1717" s="670">
        <f>H1716*F1717</f>
        <v>4.3000343401599999</v>
      </c>
      <c r="I1717" s="648"/>
      <c r="J1717" s="671">
        <v>0.13</v>
      </c>
      <c r="K1717" s="648"/>
      <c r="L1717" s="672">
        <f>L1716*J1717</f>
        <v>4.5975311070267777</v>
      </c>
      <c r="M1717" s="673"/>
      <c r="N1717" s="674">
        <f t="shared" si="149"/>
        <v>0.29749676686677784</v>
      </c>
      <c r="O1717" s="675">
        <f t="shared" si="151"/>
        <v>6.9184742105038236E-2</v>
      </c>
      <c r="P1717" s="7"/>
    </row>
    <row r="1718" spans="1:16" x14ac:dyDescent="0.2">
      <c r="A1718" s="7"/>
      <c r="B1718" s="651" t="s">
        <v>1139</v>
      </c>
      <c r="C1718" s="26"/>
      <c r="D1718" s="26"/>
      <c r="E1718" s="26"/>
      <c r="F1718" s="658"/>
      <c r="G1718" s="653"/>
      <c r="H1718" s="670">
        <f>H1716+H1717</f>
        <v>37.377221572159996</v>
      </c>
      <c r="I1718" s="648"/>
      <c r="J1718" s="648"/>
      <c r="K1718" s="648"/>
      <c r="L1718" s="672">
        <f>L1716+L1717</f>
        <v>39.963155007232757</v>
      </c>
      <c r="M1718" s="673"/>
      <c r="N1718" s="674">
        <f t="shared" si="149"/>
        <v>2.5859334350727607</v>
      </c>
      <c r="O1718" s="675">
        <f t="shared" si="151"/>
        <v>6.9184742105038222E-2</v>
      </c>
      <c r="P1718" s="7"/>
    </row>
    <row r="1719" spans="1:16" ht="12.75" customHeight="1" x14ac:dyDescent="0.2">
      <c r="A1719" s="7"/>
      <c r="B1719" s="1626" t="s">
        <v>1140</v>
      </c>
      <c r="C1719" s="1626"/>
      <c r="D1719" s="1626"/>
      <c r="E1719" s="26"/>
      <c r="F1719" s="658"/>
      <c r="G1719" s="653"/>
      <c r="H1719" s="1052">
        <f>ROUND(-H1718*10%,2)</f>
        <v>-3.74</v>
      </c>
      <c r="I1719" s="648"/>
      <c r="J1719" s="648"/>
      <c r="K1719" s="648"/>
      <c r="L1719" s="1053">
        <f>ROUND(-L1718*10%,2)</f>
        <v>-4</v>
      </c>
      <c r="M1719" s="673"/>
      <c r="N1719" s="1054">
        <f t="shared" si="149"/>
        <v>-0.25999999999999979</v>
      </c>
      <c r="O1719" s="1055">
        <f t="shared" si="151"/>
        <v>6.9518716577540052E-2</v>
      </c>
      <c r="P1719" s="7"/>
    </row>
    <row r="1720" spans="1:16" ht="13.5" customHeight="1" thickBot="1" x14ac:dyDescent="0.25">
      <c r="A1720" s="7"/>
      <c r="B1720" s="1626" t="s">
        <v>784</v>
      </c>
      <c r="C1720" s="1626"/>
      <c r="D1720" s="1626"/>
      <c r="E1720" s="1056"/>
      <c r="F1720" s="1071"/>
      <c r="G1720" s="1072"/>
      <c r="H1720" s="1073">
        <f>H1718+H1719</f>
        <v>33.637221572159994</v>
      </c>
      <c r="I1720" s="1074"/>
      <c r="J1720" s="1074"/>
      <c r="K1720" s="1074"/>
      <c r="L1720" s="1075">
        <f>L1718+L1719</f>
        <v>35.963155007232757</v>
      </c>
      <c r="M1720" s="1076"/>
      <c r="N1720" s="1077">
        <f t="shared" si="149"/>
        <v>2.3259334350727627</v>
      </c>
      <c r="O1720" s="1078">
        <f t="shared" si="151"/>
        <v>6.9147608701362911E-2</v>
      </c>
      <c r="P1720" s="7"/>
    </row>
    <row r="1721" spans="1:16" ht="13.5" thickBot="1" x14ac:dyDescent="0.25">
      <c r="A1721" s="7"/>
      <c r="B1721" s="1042"/>
      <c r="C1721" s="1043"/>
      <c r="D1721" s="1044"/>
      <c r="E1721" s="1043"/>
      <c r="F1721" s="1065"/>
      <c r="G1721" s="1066"/>
      <c r="H1721" s="1067"/>
      <c r="I1721" s="1068"/>
      <c r="J1721" s="1065"/>
      <c r="K1721" s="1046"/>
      <c r="L1721" s="1069"/>
      <c r="M1721" s="1048"/>
      <c r="N1721" s="1070"/>
      <c r="O1721" s="1051"/>
      <c r="P1721" s="7"/>
    </row>
    <row r="1722" spans="1:16" x14ac:dyDescent="0.2">
      <c r="A1722" s="7"/>
      <c r="B1722" s="7"/>
      <c r="C1722" s="7"/>
      <c r="D1722" s="7"/>
      <c r="E1722" s="7"/>
      <c r="F1722" s="7"/>
      <c r="G1722" s="7"/>
      <c r="H1722" s="7"/>
      <c r="I1722" s="7"/>
      <c r="J1722" s="7"/>
      <c r="K1722" s="7"/>
      <c r="L1722" s="678"/>
      <c r="M1722" s="7"/>
      <c r="N1722" s="7"/>
      <c r="O1722" s="7"/>
      <c r="P1722" s="7"/>
    </row>
    <row r="1723" spans="1:16" x14ac:dyDescent="0.2">
      <c r="A1723" s="7"/>
      <c r="B1723" s="8" t="s">
        <v>39</v>
      </c>
      <c r="C1723" s="7"/>
      <c r="D1723" s="7"/>
      <c r="E1723" s="7"/>
      <c r="F1723" s="1079">
        <v>3.5600000000000076E-2</v>
      </c>
      <c r="G1723" s="7"/>
      <c r="H1723" s="7"/>
      <c r="I1723" s="7"/>
      <c r="J1723" s="1079">
        <v>4.2054064279015257E-2</v>
      </c>
      <c r="K1723" s="7"/>
      <c r="L1723" s="7"/>
      <c r="M1723" s="7"/>
      <c r="N1723" s="7"/>
      <c r="O1723" s="7"/>
      <c r="P1723" s="7"/>
    </row>
    <row r="1724" spans="1:16" x14ac:dyDescent="0.2">
      <c r="A1724" s="7"/>
      <c r="B1724" s="7"/>
      <c r="C1724" s="7"/>
      <c r="D1724" s="7"/>
      <c r="E1724" s="7"/>
      <c r="F1724" s="7"/>
      <c r="G1724" s="7"/>
      <c r="H1724" s="7"/>
      <c r="I1724" s="7"/>
      <c r="J1724" s="7"/>
      <c r="K1724" s="7"/>
      <c r="L1724" s="7"/>
      <c r="M1724" s="7"/>
      <c r="N1724" s="7"/>
      <c r="O1724" s="7"/>
      <c r="P1724" s="7"/>
    </row>
    <row r="1725" spans="1:16" ht="14.25" x14ac:dyDescent="0.2">
      <c r="A1725" s="214" t="s">
        <v>1141</v>
      </c>
      <c r="B1725" s="7"/>
      <c r="C1725" s="7"/>
      <c r="D1725" s="7"/>
      <c r="E1725" s="7"/>
      <c r="F1725" s="7"/>
      <c r="G1725" s="7"/>
      <c r="H1725" s="7"/>
      <c r="I1725" s="7"/>
      <c r="J1725" s="7"/>
      <c r="K1725" s="7"/>
      <c r="L1725" s="7"/>
      <c r="M1725" s="7"/>
      <c r="N1725" s="7"/>
      <c r="O1725" s="7"/>
      <c r="P1725" s="7"/>
    </row>
    <row r="1726" spans="1:16" x14ac:dyDescent="0.2">
      <c r="A1726" s="7"/>
      <c r="B1726" s="7"/>
      <c r="C1726" s="7"/>
      <c r="D1726" s="7"/>
      <c r="E1726" s="7"/>
      <c r="F1726" s="7"/>
      <c r="G1726" s="7"/>
      <c r="H1726" s="7"/>
      <c r="I1726" s="7"/>
      <c r="J1726" s="7"/>
      <c r="K1726" s="7"/>
      <c r="L1726" s="7"/>
      <c r="M1726" s="7"/>
      <c r="N1726" s="7"/>
      <c r="O1726" s="7"/>
      <c r="P1726" s="7"/>
    </row>
    <row r="1727" spans="1:16" x14ac:dyDescent="0.2">
      <c r="A1727" s="7" t="s">
        <v>107</v>
      </c>
      <c r="B1727" s="7"/>
      <c r="C1727" s="7"/>
      <c r="D1727" s="7"/>
      <c r="E1727" s="7"/>
      <c r="F1727" s="7"/>
      <c r="G1727" s="7"/>
      <c r="H1727" s="7"/>
      <c r="I1727" s="7"/>
      <c r="J1727" s="7"/>
      <c r="K1727" s="7"/>
      <c r="L1727" s="7"/>
      <c r="M1727" s="7"/>
      <c r="N1727" s="7"/>
      <c r="O1727" s="7"/>
      <c r="P1727" s="7"/>
    </row>
    <row r="1728" spans="1:16" x14ac:dyDescent="0.2">
      <c r="A1728" s="7" t="s">
        <v>108</v>
      </c>
      <c r="B1728" s="7"/>
      <c r="C1728" s="7"/>
      <c r="D1728" s="7"/>
      <c r="E1728" s="7"/>
      <c r="F1728" s="7"/>
      <c r="G1728" s="7"/>
      <c r="H1728" s="7"/>
      <c r="I1728" s="7"/>
      <c r="J1728" s="7"/>
      <c r="K1728" s="7"/>
      <c r="L1728" s="7"/>
      <c r="M1728" s="7"/>
      <c r="N1728" s="7"/>
      <c r="O1728" s="7"/>
      <c r="P1728" s="7"/>
    </row>
    <row r="1729" spans="1:16" x14ac:dyDescent="0.2">
      <c r="A1729" s="7"/>
      <c r="B1729" s="7"/>
      <c r="C1729" s="7"/>
      <c r="D1729" s="7"/>
      <c r="E1729" s="7"/>
      <c r="F1729" s="7"/>
      <c r="G1729" s="7"/>
      <c r="H1729" s="7"/>
      <c r="I1729" s="7"/>
      <c r="J1729" s="7"/>
      <c r="K1729" s="7"/>
      <c r="L1729" s="7"/>
      <c r="M1729" s="7"/>
      <c r="N1729" s="7"/>
      <c r="O1729" s="7"/>
      <c r="P1729" s="7"/>
    </row>
    <row r="1730" spans="1:16" x14ac:dyDescent="0.2">
      <c r="A1730" s="7" t="s">
        <v>331</v>
      </c>
      <c r="B1730" s="7"/>
      <c r="C1730" s="7"/>
      <c r="D1730" s="7"/>
      <c r="E1730" s="7"/>
      <c r="F1730" s="7"/>
      <c r="G1730" s="7"/>
      <c r="H1730" s="7"/>
      <c r="I1730" s="7"/>
      <c r="J1730" s="7"/>
      <c r="K1730" s="7"/>
      <c r="L1730" s="7"/>
      <c r="M1730" s="7"/>
      <c r="N1730" s="7"/>
      <c r="O1730" s="7"/>
      <c r="P1730" s="7"/>
    </row>
    <row r="1731" spans="1:16" x14ac:dyDescent="0.2">
      <c r="A1731" s="7" t="s">
        <v>109</v>
      </c>
      <c r="B1731" s="7"/>
      <c r="C1731" s="7"/>
      <c r="D1731" s="7"/>
      <c r="E1731" s="7"/>
      <c r="F1731" s="7"/>
      <c r="G1731" s="7"/>
      <c r="H1731" s="7"/>
      <c r="I1731" s="7"/>
      <c r="J1731" s="7"/>
      <c r="K1731" s="7"/>
      <c r="L1731" s="7"/>
      <c r="M1731" s="7"/>
      <c r="N1731" s="7"/>
      <c r="O1731" s="7"/>
      <c r="P1731" s="7"/>
    </row>
    <row r="1732" spans="1:16" x14ac:dyDescent="0.2">
      <c r="A1732" s="7"/>
      <c r="B1732" s="7"/>
      <c r="C1732" s="7"/>
      <c r="D1732" s="7"/>
      <c r="E1732" s="7"/>
      <c r="F1732" s="7"/>
      <c r="G1732" s="7"/>
      <c r="H1732" s="7"/>
      <c r="I1732" s="7"/>
      <c r="J1732" s="7"/>
      <c r="K1732" s="7"/>
      <c r="L1732" s="7"/>
      <c r="M1732" s="7"/>
      <c r="N1732" s="7"/>
      <c r="O1732" s="7"/>
      <c r="P1732" s="7"/>
    </row>
    <row r="1733" spans="1:16" x14ac:dyDescent="0.2">
      <c r="A1733" s="7" t="s">
        <v>110</v>
      </c>
      <c r="B1733" s="7"/>
      <c r="C1733" s="7"/>
      <c r="D1733" s="7"/>
      <c r="E1733" s="7"/>
      <c r="F1733" s="7"/>
      <c r="G1733" s="7"/>
      <c r="H1733" s="7"/>
      <c r="I1733" s="7"/>
      <c r="J1733" s="7"/>
      <c r="K1733" s="7"/>
      <c r="L1733" s="7"/>
      <c r="M1733" s="7"/>
      <c r="N1733" s="7"/>
      <c r="O1733" s="7"/>
      <c r="P1733" s="7"/>
    </row>
    <row r="1734" spans="1:16" x14ac:dyDescent="0.2">
      <c r="A1734" s="7" t="s">
        <v>111</v>
      </c>
      <c r="B1734" s="7"/>
      <c r="C1734" s="7"/>
      <c r="D1734" s="7"/>
      <c r="E1734" s="7"/>
      <c r="F1734" s="7"/>
      <c r="G1734" s="7"/>
      <c r="H1734" s="7"/>
      <c r="I1734" s="7"/>
      <c r="J1734" s="7"/>
      <c r="K1734" s="7"/>
      <c r="L1734" s="7"/>
      <c r="M1734" s="7"/>
      <c r="N1734" s="7"/>
      <c r="O1734" s="7"/>
      <c r="P1734" s="7"/>
    </row>
    <row r="1735" spans="1:16" x14ac:dyDescent="0.2">
      <c r="A1735" s="7" t="s">
        <v>112</v>
      </c>
      <c r="B1735" s="7"/>
      <c r="C1735" s="7"/>
      <c r="D1735" s="7"/>
      <c r="E1735" s="7"/>
      <c r="F1735" s="7"/>
      <c r="G1735" s="7"/>
      <c r="H1735" s="7"/>
      <c r="I1735" s="7"/>
      <c r="J1735" s="7"/>
      <c r="K1735" s="7"/>
      <c r="L1735" s="7"/>
      <c r="M1735" s="7"/>
      <c r="N1735" s="7"/>
      <c r="O1735" s="7"/>
      <c r="P1735" s="7"/>
    </row>
    <row r="1736" spans="1:16" x14ac:dyDescent="0.2">
      <c r="A1736" s="7" t="s">
        <v>113</v>
      </c>
      <c r="B1736" s="7"/>
      <c r="C1736" s="7"/>
      <c r="D1736" s="7"/>
      <c r="E1736" s="7"/>
      <c r="F1736" s="7"/>
      <c r="G1736" s="7"/>
      <c r="H1736" s="7"/>
      <c r="I1736" s="7"/>
      <c r="J1736" s="7"/>
      <c r="K1736" s="7"/>
      <c r="L1736" s="7"/>
      <c r="M1736" s="7"/>
      <c r="N1736" s="7"/>
      <c r="O1736" s="7"/>
      <c r="P1736" s="7"/>
    </row>
    <row r="1737" spans="1:16" x14ac:dyDescent="0.2">
      <c r="A1737" s="7" t="s">
        <v>114</v>
      </c>
      <c r="B1737" s="7"/>
      <c r="C1737" s="7"/>
      <c r="D1737" s="7"/>
      <c r="E1737" s="7"/>
      <c r="F1737" s="7"/>
      <c r="G1737" s="7"/>
      <c r="H1737" s="7"/>
      <c r="I1737" s="7"/>
      <c r="J1737" s="7"/>
      <c r="K1737" s="7"/>
      <c r="L1737" s="7"/>
      <c r="M1737" s="7"/>
      <c r="N1737" s="7"/>
      <c r="O1737" s="7"/>
      <c r="P1737" s="7"/>
    </row>
    <row r="1739" spans="1:16" ht="21.75" x14ac:dyDescent="0.2">
      <c r="A1739" s="41"/>
      <c r="B1739" s="41"/>
      <c r="C1739" s="41"/>
      <c r="D1739" s="41"/>
      <c r="E1739" s="41"/>
      <c r="F1739" s="41"/>
      <c r="G1739" s="41"/>
      <c r="H1739" s="41"/>
      <c r="I1739" s="41"/>
      <c r="J1739" s="41"/>
      <c r="K1739" s="41"/>
      <c r="L1739" s="37"/>
      <c r="M1739" s="37"/>
      <c r="N1739" s="16" t="s">
        <v>444</v>
      </c>
      <c r="O1739" s="250" t="s">
        <v>866</v>
      </c>
    </row>
    <row r="1740" spans="1:16" ht="18" x14ac:dyDescent="0.25">
      <c r="A1740" s="40"/>
      <c r="B1740" s="40"/>
      <c r="C1740" s="40"/>
      <c r="D1740" s="40"/>
      <c r="E1740" s="40"/>
      <c r="F1740" s="40"/>
      <c r="G1740" s="40"/>
      <c r="H1740" s="40"/>
      <c r="I1740" s="40"/>
      <c r="J1740" s="40"/>
      <c r="K1740" s="40"/>
      <c r="L1740" s="37"/>
      <c r="M1740" s="37"/>
      <c r="N1740" s="16" t="s">
        <v>445</v>
      </c>
      <c r="O1740" s="1001"/>
    </row>
    <row r="1741" spans="1:16" x14ac:dyDescent="0.2">
      <c r="A1741" s="1626"/>
      <c r="B1741" s="1626"/>
      <c r="C1741" s="1626"/>
      <c r="D1741" s="1626"/>
      <c r="E1741" s="1626"/>
      <c r="F1741" s="1626"/>
      <c r="G1741" s="1626"/>
      <c r="H1741" s="1626"/>
      <c r="I1741" s="1626"/>
      <c r="J1741" s="1626"/>
      <c r="K1741" s="1626"/>
      <c r="L1741" s="37"/>
      <c r="M1741" s="37"/>
      <c r="N1741" s="16" t="s">
        <v>446</v>
      </c>
      <c r="O1741" s="1001"/>
    </row>
    <row r="1742" spans="1:16" ht="18" x14ac:dyDescent="0.25">
      <c r="A1742" s="40"/>
      <c r="B1742" s="40"/>
      <c r="C1742" s="40"/>
      <c r="D1742" s="40"/>
      <c r="E1742" s="40"/>
      <c r="F1742" s="40"/>
      <c r="G1742" s="40"/>
      <c r="H1742" s="40"/>
      <c r="I1742" s="38"/>
      <c r="J1742" s="38"/>
      <c r="K1742" s="38"/>
      <c r="L1742" s="37"/>
      <c r="M1742" s="37"/>
      <c r="N1742" s="16" t="s">
        <v>447</v>
      </c>
      <c r="O1742" s="1001"/>
    </row>
    <row r="1743" spans="1:16" ht="15.75" x14ac:dyDescent="0.25">
      <c r="A1743" s="37"/>
      <c r="B1743" s="37"/>
      <c r="C1743" s="39"/>
      <c r="D1743" s="39"/>
      <c r="E1743" s="39"/>
      <c r="F1743" s="37"/>
      <c r="G1743" s="37"/>
      <c r="H1743" s="37"/>
      <c r="I1743" s="37"/>
      <c r="J1743" s="37"/>
      <c r="K1743" s="37"/>
      <c r="L1743" s="37"/>
      <c r="M1743" s="37"/>
      <c r="N1743" s="16" t="s">
        <v>448</v>
      </c>
      <c r="O1743" s="1002" t="s">
        <v>1166</v>
      </c>
    </row>
    <row r="1744" spans="1:16" x14ac:dyDescent="0.2">
      <c r="A1744" s="37"/>
      <c r="B1744" s="37"/>
      <c r="C1744" s="37"/>
      <c r="D1744" s="37"/>
      <c r="E1744" s="37"/>
      <c r="F1744" s="37"/>
      <c r="G1744" s="37"/>
      <c r="H1744" s="37"/>
      <c r="I1744" s="37"/>
      <c r="J1744" s="37"/>
      <c r="K1744" s="37"/>
      <c r="L1744" s="37"/>
      <c r="M1744" s="37"/>
      <c r="N1744" s="16"/>
      <c r="O1744" s="250"/>
    </row>
    <row r="1745" spans="1:16" x14ac:dyDescent="0.2">
      <c r="A1745" s="37"/>
      <c r="B1745" s="37"/>
      <c r="C1745" s="37"/>
      <c r="D1745" s="37"/>
      <c r="E1745" s="37"/>
      <c r="F1745" s="37"/>
      <c r="G1745" s="37"/>
      <c r="H1745" s="37"/>
      <c r="I1745" s="37"/>
      <c r="J1745" s="37"/>
      <c r="K1745" s="37"/>
      <c r="L1745" s="37"/>
      <c r="M1745" s="37"/>
      <c r="N1745" s="16" t="s">
        <v>449</v>
      </c>
      <c r="O1745" s="1002"/>
    </row>
    <row r="1746" spans="1:16" x14ac:dyDescent="0.2">
      <c r="A1746" s="37"/>
      <c r="B1746" s="37"/>
      <c r="C1746" s="37"/>
      <c r="D1746" s="37"/>
      <c r="E1746" s="37"/>
      <c r="F1746" s="37"/>
      <c r="G1746" s="37"/>
      <c r="H1746" s="37"/>
      <c r="I1746" s="37"/>
      <c r="J1746" s="37"/>
      <c r="K1746" s="37"/>
      <c r="L1746" s="37"/>
      <c r="M1746" s="37"/>
      <c r="N1746" s="7"/>
    </row>
    <row r="1747" spans="1:16" x14ac:dyDescent="0.2">
      <c r="A1747" s="7"/>
      <c r="B1747" s="7"/>
      <c r="C1747" s="7"/>
      <c r="D1747" s="7"/>
      <c r="E1747" s="7"/>
      <c r="F1747" s="7"/>
      <c r="G1747" s="7"/>
      <c r="H1747" s="7"/>
      <c r="I1747" s="7"/>
      <c r="J1747" s="7"/>
      <c r="K1747" s="7"/>
    </row>
    <row r="1748" spans="1:16" x14ac:dyDescent="0.2">
      <c r="A1748" s="7"/>
      <c r="B1748" s="1626" t="s">
        <v>695</v>
      </c>
      <c r="C1748" s="1626"/>
      <c r="D1748" s="1626"/>
      <c r="E1748" s="1626"/>
      <c r="F1748" s="1626"/>
      <c r="G1748" s="1626"/>
      <c r="H1748" s="1626"/>
      <c r="I1748" s="1626"/>
      <c r="J1748" s="1626"/>
      <c r="K1748" s="1626"/>
      <c r="L1748" s="1626"/>
      <c r="M1748" s="1626"/>
      <c r="N1748" s="1626"/>
      <c r="O1748" s="1626"/>
    </row>
    <row r="1749" spans="1:16" x14ac:dyDescent="0.2">
      <c r="A1749" s="7"/>
      <c r="B1749" s="1626" t="s">
        <v>63</v>
      </c>
      <c r="C1749" s="1626"/>
      <c r="D1749" s="1626"/>
      <c r="E1749" s="1626"/>
      <c r="F1749" s="1626"/>
      <c r="G1749" s="1626"/>
      <c r="H1749" s="1626"/>
      <c r="I1749" s="1626"/>
      <c r="J1749" s="1626"/>
      <c r="K1749" s="1626"/>
      <c r="L1749" s="1626"/>
      <c r="M1749" s="1626"/>
      <c r="N1749" s="1626"/>
      <c r="O1749" s="1626"/>
    </row>
    <row r="1750" spans="1:16" x14ac:dyDescent="0.2">
      <c r="A1750" s="7"/>
      <c r="B1750" s="7"/>
      <c r="C1750" s="7"/>
      <c r="D1750" s="7"/>
      <c r="E1750" s="7"/>
      <c r="F1750" s="7"/>
      <c r="G1750" s="7"/>
      <c r="H1750" s="7"/>
      <c r="I1750" s="7"/>
      <c r="J1750" s="7"/>
      <c r="K1750" s="7"/>
    </row>
    <row r="1751" spans="1:16" x14ac:dyDescent="0.2">
      <c r="A1751" s="7"/>
      <c r="B1751" s="7"/>
      <c r="C1751" s="7"/>
      <c r="D1751" s="7"/>
      <c r="E1751" s="7"/>
      <c r="F1751" s="7"/>
      <c r="G1751" s="7"/>
      <c r="H1751" s="7"/>
      <c r="I1751" s="7"/>
      <c r="J1751" s="7"/>
      <c r="K1751" s="7"/>
    </row>
    <row r="1752" spans="1:16" x14ac:dyDescent="0.2">
      <c r="A1752" s="7"/>
      <c r="B1752" s="43" t="s">
        <v>40</v>
      </c>
      <c r="C1752" s="7"/>
      <c r="D1752" s="1626" t="s">
        <v>86</v>
      </c>
      <c r="E1752" s="1626"/>
      <c r="F1752" s="1626"/>
      <c r="G1752" s="1626"/>
      <c r="H1752" s="1626"/>
      <c r="I1752" s="1626"/>
      <c r="J1752" s="1626"/>
      <c r="K1752" s="1626"/>
      <c r="L1752" s="1626"/>
      <c r="M1752" s="1626"/>
      <c r="N1752" s="1626"/>
      <c r="O1752" s="1626"/>
      <c r="P1752" s="7"/>
    </row>
    <row r="1753" spans="1:16" ht="15.75" x14ac:dyDescent="0.25">
      <c r="A1753" s="7"/>
      <c r="B1753" s="1003"/>
      <c r="C1753" s="7"/>
      <c r="D1753" s="42"/>
      <c r="E1753" s="42"/>
      <c r="F1753" s="42"/>
      <c r="G1753" s="42"/>
      <c r="H1753" s="42"/>
      <c r="I1753" s="42"/>
      <c r="J1753" s="42"/>
      <c r="K1753" s="42"/>
      <c r="L1753" s="42"/>
      <c r="M1753" s="42"/>
      <c r="N1753" s="42"/>
      <c r="O1753" s="42"/>
      <c r="P1753" s="7"/>
    </row>
    <row r="1754" spans="1:16" x14ac:dyDescent="0.2">
      <c r="A1754" s="7"/>
      <c r="B1754" s="647"/>
      <c r="C1754" s="7"/>
      <c r="D1754" s="8" t="s">
        <v>17</v>
      </c>
      <c r="E1754" s="8"/>
      <c r="F1754" s="1004">
        <v>63</v>
      </c>
      <c r="G1754" s="8" t="s">
        <v>18</v>
      </c>
      <c r="H1754" s="7"/>
      <c r="I1754" s="7"/>
      <c r="J1754" s="7"/>
      <c r="K1754" s="7"/>
      <c r="L1754" s="7"/>
      <c r="M1754" s="7"/>
      <c r="N1754" s="7"/>
      <c r="O1754" s="7"/>
      <c r="P1754" s="7"/>
    </row>
    <row r="1755" spans="1:16" x14ac:dyDescent="0.2">
      <c r="A1755" s="7"/>
      <c r="B1755" s="647"/>
      <c r="C1755" s="7"/>
      <c r="D1755" s="7"/>
      <c r="E1755" s="7"/>
      <c r="F1755" s="7"/>
      <c r="G1755" s="7"/>
      <c r="H1755" s="7"/>
      <c r="I1755" s="7"/>
      <c r="J1755" s="7"/>
      <c r="K1755" s="7"/>
      <c r="L1755" s="7"/>
      <c r="M1755" s="7"/>
      <c r="N1755" s="7"/>
      <c r="O1755" s="7"/>
      <c r="P1755" s="7"/>
    </row>
    <row r="1756" spans="1:16" x14ac:dyDescent="0.2">
      <c r="A1756" s="7"/>
      <c r="B1756" s="647"/>
      <c r="C1756" s="7"/>
      <c r="D1756" s="19"/>
      <c r="E1756" s="19"/>
      <c r="F1756" s="1626" t="s">
        <v>19</v>
      </c>
      <c r="G1756" s="1626"/>
      <c r="H1756" s="1626"/>
      <c r="I1756" s="7"/>
      <c r="J1756" s="1626" t="s">
        <v>20</v>
      </c>
      <c r="K1756" s="1626"/>
      <c r="L1756" s="1626"/>
      <c r="M1756" s="7"/>
      <c r="N1756" s="1626" t="s">
        <v>21</v>
      </c>
      <c r="O1756" s="1626"/>
      <c r="P1756" s="7"/>
    </row>
    <row r="1757" spans="1:16" ht="12.75" customHeight="1" x14ac:dyDescent="0.2">
      <c r="A1757" s="7"/>
      <c r="B1757" s="647"/>
      <c r="C1757" s="7"/>
      <c r="D1757" s="1626" t="s">
        <v>22</v>
      </c>
      <c r="E1757" s="20"/>
      <c r="F1757" s="21" t="s">
        <v>23</v>
      </c>
      <c r="G1757" s="21" t="s">
        <v>24</v>
      </c>
      <c r="H1757" s="22" t="s">
        <v>25</v>
      </c>
      <c r="I1757" s="7"/>
      <c r="J1757" s="21" t="s">
        <v>23</v>
      </c>
      <c r="K1757" s="23" t="s">
        <v>24</v>
      </c>
      <c r="L1757" s="22" t="s">
        <v>25</v>
      </c>
      <c r="M1757" s="7"/>
      <c r="N1757" s="1626" t="s">
        <v>26</v>
      </c>
      <c r="O1757" s="1626" t="s">
        <v>27</v>
      </c>
      <c r="P1757" s="7"/>
    </row>
    <row r="1758" spans="1:16" x14ac:dyDescent="0.2">
      <c r="A1758" s="7"/>
      <c r="B1758" s="647"/>
      <c r="C1758" s="7"/>
      <c r="D1758" s="1626"/>
      <c r="E1758" s="20"/>
      <c r="F1758" s="24" t="s">
        <v>452</v>
      </c>
      <c r="G1758" s="24"/>
      <c r="H1758" s="25" t="s">
        <v>452</v>
      </c>
      <c r="I1758" s="7"/>
      <c r="J1758" s="24" t="s">
        <v>452</v>
      </c>
      <c r="K1758" s="25"/>
      <c r="L1758" s="25" t="s">
        <v>452</v>
      </c>
      <c r="M1758" s="7"/>
      <c r="N1758" s="1626"/>
      <c r="O1758" s="1626"/>
      <c r="P1758" s="7"/>
    </row>
    <row r="1759" spans="1:16" x14ac:dyDescent="0.2">
      <c r="A1759" s="7"/>
      <c r="B1759" s="26" t="s">
        <v>28</v>
      </c>
      <c r="C1759" s="26"/>
      <c r="D1759" s="1005" t="s">
        <v>1130</v>
      </c>
      <c r="E1759" s="27"/>
      <c r="F1759" s="1006">
        <v>3.43</v>
      </c>
      <c r="G1759" s="32">
        <v>1</v>
      </c>
      <c r="H1759" s="1007">
        <f>G1759*F1759</f>
        <v>3.43</v>
      </c>
      <c r="I1759" s="30"/>
      <c r="J1759" s="1008">
        <v>4.07</v>
      </c>
      <c r="K1759" s="33">
        <v>1</v>
      </c>
      <c r="L1759" s="1007">
        <f>K1759*J1759</f>
        <v>4.07</v>
      </c>
      <c r="M1759" s="30"/>
      <c r="N1759" s="34">
        <f>L1759-H1759</f>
        <v>0.64000000000000012</v>
      </c>
      <c r="O1759" s="202">
        <f>IF((H1759)=0,"",(N1759/H1759))</f>
        <v>0.18658892128279886</v>
      </c>
      <c r="P1759" s="7"/>
    </row>
    <row r="1760" spans="1:16" x14ac:dyDescent="0.2">
      <c r="A1760" s="7"/>
      <c r="B1760" s="26" t="s">
        <v>29</v>
      </c>
      <c r="C1760" s="26"/>
      <c r="D1760" s="1005" t="s">
        <v>1130</v>
      </c>
      <c r="E1760" s="27"/>
      <c r="F1760" s="1006">
        <v>0</v>
      </c>
      <c r="G1760" s="32">
        <v>1</v>
      </c>
      <c r="H1760" s="1007">
        <f t="shared" ref="H1760:H1768" si="154">G1760*F1760</f>
        <v>0</v>
      </c>
      <c r="I1760" s="30"/>
      <c r="J1760" s="1008">
        <v>0</v>
      </c>
      <c r="K1760" s="33">
        <v>1</v>
      </c>
      <c r="L1760" s="1007">
        <f>K1760*J1760</f>
        <v>0</v>
      </c>
      <c r="M1760" s="30"/>
      <c r="N1760" s="34">
        <f>L1760-H1760</f>
        <v>0</v>
      </c>
      <c r="O1760" s="202" t="str">
        <f>IF((H1760)=0,"",(N1760/H1760))</f>
        <v/>
      </c>
      <c r="P1760" s="7"/>
    </row>
    <row r="1761" spans="1:16" x14ac:dyDescent="0.2">
      <c r="A1761" s="7"/>
      <c r="B1761" s="1009" t="s">
        <v>1131</v>
      </c>
      <c r="C1761" s="26"/>
      <c r="D1761" s="1005" t="s">
        <v>80</v>
      </c>
      <c r="E1761" s="27"/>
      <c r="F1761" s="1006">
        <v>-0.39439999999999997</v>
      </c>
      <c r="G1761" s="32">
        <v>0.18</v>
      </c>
      <c r="H1761" s="1007">
        <f t="shared" si="154"/>
        <v>-7.0991999999999986E-2</v>
      </c>
      <c r="I1761" s="30"/>
      <c r="J1761" s="1008">
        <v>0</v>
      </c>
      <c r="K1761" s="33">
        <v>0.18</v>
      </c>
      <c r="L1761" s="1007">
        <f t="shared" ref="L1761:L1768" si="155">K1761*J1761</f>
        <v>0</v>
      </c>
      <c r="M1761" s="30"/>
      <c r="N1761" s="34">
        <f t="shared" ref="N1761:N1799" si="156">L1761-H1761</f>
        <v>7.0991999999999986E-2</v>
      </c>
      <c r="O1761" s="202">
        <f t="shared" ref="O1761:O1769" si="157">IF((H1761)=0,"",(N1761/H1761))</f>
        <v>-1</v>
      </c>
      <c r="P1761" s="7"/>
    </row>
    <row r="1762" spans="1:16" x14ac:dyDescent="0.2">
      <c r="A1762" s="7"/>
      <c r="B1762" s="1009" t="s">
        <v>36</v>
      </c>
      <c r="C1762" s="26"/>
      <c r="D1762" s="1005" t="s">
        <v>1130</v>
      </c>
      <c r="E1762" s="27"/>
      <c r="F1762" s="1006">
        <v>0.25</v>
      </c>
      <c r="G1762" s="32">
        <v>1</v>
      </c>
      <c r="H1762" s="1007">
        <f t="shared" si="154"/>
        <v>0.25</v>
      </c>
      <c r="I1762" s="30"/>
      <c r="J1762" s="1008">
        <v>0.25</v>
      </c>
      <c r="K1762" s="33">
        <v>1</v>
      </c>
      <c r="L1762" s="1007">
        <f t="shared" si="155"/>
        <v>0.25</v>
      </c>
      <c r="M1762" s="30"/>
      <c r="N1762" s="34">
        <f t="shared" si="156"/>
        <v>0</v>
      </c>
      <c r="O1762" s="202">
        <f t="shared" si="157"/>
        <v>0</v>
      </c>
      <c r="P1762" s="7"/>
    </row>
    <row r="1763" spans="1:16" x14ac:dyDescent="0.2">
      <c r="A1763" s="7"/>
      <c r="B1763" s="26" t="s">
        <v>30</v>
      </c>
      <c r="C1763" s="26"/>
      <c r="D1763" s="1005" t="s">
        <v>80</v>
      </c>
      <c r="E1763" s="27"/>
      <c r="F1763" s="1006">
        <v>22.629899999999999</v>
      </c>
      <c r="G1763" s="32">
        <v>0.18</v>
      </c>
      <c r="H1763" s="1007">
        <f t="shared" si="154"/>
        <v>4.0733819999999996</v>
      </c>
      <c r="I1763" s="30"/>
      <c r="J1763" s="1008">
        <v>26.875699999999998</v>
      </c>
      <c r="K1763" s="32">
        <v>0.18</v>
      </c>
      <c r="L1763" s="1007">
        <f t="shared" si="155"/>
        <v>4.8376259999999993</v>
      </c>
      <c r="M1763" s="30"/>
      <c r="N1763" s="34">
        <f t="shared" si="156"/>
        <v>0.7642439999999997</v>
      </c>
      <c r="O1763" s="202">
        <f t="shared" si="157"/>
        <v>0.1876190349935262</v>
      </c>
      <c r="P1763" s="7"/>
    </row>
    <row r="1764" spans="1:16" x14ac:dyDescent="0.2">
      <c r="A1764" s="7"/>
      <c r="B1764" s="26" t="s">
        <v>31</v>
      </c>
      <c r="C1764" s="26"/>
      <c r="D1764" s="1005"/>
      <c r="E1764" s="27"/>
      <c r="F1764" s="1006"/>
      <c r="G1764" s="32"/>
      <c r="H1764" s="1007">
        <f t="shared" si="154"/>
        <v>0</v>
      </c>
      <c r="I1764" s="30"/>
      <c r="J1764" s="1008"/>
      <c r="K1764" s="32"/>
      <c r="L1764" s="1007">
        <f t="shared" si="155"/>
        <v>0</v>
      </c>
      <c r="M1764" s="30"/>
      <c r="N1764" s="34">
        <f t="shared" si="156"/>
        <v>0</v>
      </c>
      <c r="O1764" s="202" t="str">
        <f t="shared" si="157"/>
        <v/>
      </c>
      <c r="P1764" s="7"/>
    </row>
    <row r="1765" spans="1:16" x14ac:dyDescent="0.2">
      <c r="A1765" s="7"/>
      <c r="B1765" s="26" t="s">
        <v>1132</v>
      </c>
      <c r="C1765" s="26"/>
      <c r="D1765" s="1005" t="s">
        <v>80</v>
      </c>
      <c r="E1765" s="27"/>
      <c r="F1765" s="1006">
        <v>0</v>
      </c>
      <c r="G1765" s="32">
        <v>0.18</v>
      </c>
      <c r="H1765" s="1007">
        <f t="shared" si="154"/>
        <v>0</v>
      </c>
      <c r="I1765" s="30"/>
      <c r="J1765" s="1008">
        <v>0</v>
      </c>
      <c r="K1765" s="32">
        <v>0.18</v>
      </c>
      <c r="L1765" s="1007">
        <f t="shared" si="155"/>
        <v>0</v>
      </c>
      <c r="M1765" s="30"/>
      <c r="N1765" s="34">
        <f t="shared" si="156"/>
        <v>0</v>
      </c>
      <c r="O1765" s="202" t="str">
        <f t="shared" si="157"/>
        <v/>
      </c>
      <c r="P1765" s="7"/>
    </row>
    <row r="1766" spans="1:16" x14ac:dyDescent="0.2">
      <c r="A1766" s="7"/>
      <c r="B1766" s="26" t="s">
        <v>1133</v>
      </c>
      <c r="C1766" s="26"/>
      <c r="D1766" s="1005" t="s">
        <v>80</v>
      </c>
      <c r="E1766" s="27"/>
      <c r="F1766" s="1006">
        <v>0</v>
      </c>
      <c r="G1766" s="32">
        <v>0.18</v>
      </c>
      <c r="H1766" s="1007">
        <f t="shared" si="154"/>
        <v>0</v>
      </c>
      <c r="I1766" s="30"/>
      <c r="J1766" s="1008">
        <v>0</v>
      </c>
      <c r="K1766" s="32">
        <v>0.18</v>
      </c>
      <c r="L1766" s="1007">
        <f t="shared" si="155"/>
        <v>0</v>
      </c>
      <c r="M1766" s="30"/>
      <c r="N1766" s="34">
        <f t="shared" si="156"/>
        <v>0</v>
      </c>
      <c r="O1766" s="202" t="str">
        <f t="shared" si="157"/>
        <v/>
      </c>
      <c r="P1766" s="7"/>
    </row>
    <row r="1767" spans="1:16" x14ac:dyDescent="0.2">
      <c r="A1767" s="7"/>
      <c r="B1767" s="26" t="s">
        <v>1134</v>
      </c>
      <c r="C1767" s="26"/>
      <c r="D1767" s="1005" t="s">
        <v>80</v>
      </c>
      <c r="E1767" s="27"/>
      <c r="F1767" s="1006">
        <v>0</v>
      </c>
      <c r="G1767" s="32">
        <v>0.18</v>
      </c>
      <c r="H1767" s="1007">
        <f t="shared" si="154"/>
        <v>0</v>
      </c>
      <c r="I1767" s="30"/>
      <c r="J1767" s="1008">
        <v>0</v>
      </c>
      <c r="K1767" s="32">
        <v>0.18</v>
      </c>
      <c r="L1767" s="1007">
        <f t="shared" si="155"/>
        <v>0</v>
      </c>
      <c r="M1767" s="30"/>
      <c r="N1767" s="34">
        <f t="shared" si="156"/>
        <v>0</v>
      </c>
      <c r="O1767" s="202" t="str">
        <f t="shared" si="157"/>
        <v/>
      </c>
      <c r="P1767" s="7"/>
    </row>
    <row r="1768" spans="1:16" x14ac:dyDescent="0.2">
      <c r="A1768" s="7"/>
      <c r="B1768" s="1010" t="s">
        <v>1135</v>
      </c>
      <c r="C1768" s="26"/>
      <c r="D1768" s="1005" t="s">
        <v>1130</v>
      </c>
      <c r="E1768" s="27"/>
      <c r="F1768" s="1006">
        <v>0</v>
      </c>
      <c r="G1768" s="32">
        <v>1</v>
      </c>
      <c r="H1768" s="1007">
        <f t="shared" si="154"/>
        <v>0</v>
      </c>
      <c r="I1768" s="30"/>
      <c r="J1768" s="1008">
        <v>0</v>
      </c>
      <c r="K1768" s="32">
        <v>1</v>
      </c>
      <c r="L1768" s="1007">
        <f t="shared" si="155"/>
        <v>0</v>
      </c>
      <c r="M1768" s="30"/>
      <c r="N1768" s="34">
        <f t="shared" si="156"/>
        <v>0</v>
      </c>
      <c r="O1768" s="202" t="str">
        <f t="shared" si="157"/>
        <v/>
      </c>
      <c r="P1768" s="7"/>
    </row>
    <row r="1769" spans="1:16" x14ac:dyDescent="0.2">
      <c r="A1769" s="29"/>
      <c r="B1769" s="1011" t="s">
        <v>698</v>
      </c>
      <c r="C1769" s="1012"/>
      <c r="D1769" s="1013"/>
      <c r="E1769" s="1012"/>
      <c r="F1769" s="1014"/>
      <c r="G1769" s="1015"/>
      <c r="H1769" s="1016">
        <f>SUM(H1759:H1768)</f>
        <v>7.6823899999999998</v>
      </c>
      <c r="I1769" s="1017"/>
      <c r="J1769" s="1018"/>
      <c r="K1769" s="1019"/>
      <c r="L1769" s="1016">
        <f>SUM(L1759:L1768)</f>
        <v>9.1576260000000005</v>
      </c>
      <c r="M1769" s="1017"/>
      <c r="N1769" s="1020">
        <f t="shared" si="156"/>
        <v>1.4752360000000007</v>
      </c>
      <c r="O1769" s="1021">
        <f t="shared" si="157"/>
        <v>0.19202826203824599</v>
      </c>
      <c r="P1769" s="29"/>
    </row>
    <row r="1770" spans="1:16" ht="38.25" x14ac:dyDescent="0.2">
      <c r="A1770" s="7"/>
      <c r="B1770" s="1022" t="s">
        <v>1136</v>
      </c>
      <c r="C1770" s="26"/>
      <c r="D1770" s="1005" t="s">
        <v>80</v>
      </c>
      <c r="E1770" s="27"/>
      <c r="F1770" s="1006">
        <v>0.49440000000000001</v>
      </c>
      <c r="G1770" s="32">
        <v>0.18</v>
      </c>
      <c r="H1770" s="1007">
        <f>G1770*F1770</f>
        <v>8.8992000000000002E-2</v>
      </c>
      <c r="I1770" s="30"/>
      <c r="J1770" s="1008">
        <v>0</v>
      </c>
      <c r="K1770" s="32">
        <v>0.18</v>
      </c>
      <c r="L1770" s="1007">
        <f>K1770*J1770</f>
        <v>0</v>
      </c>
      <c r="M1770" s="30"/>
      <c r="N1770" s="34">
        <f t="shared" si="156"/>
        <v>-8.8992000000000002E-2</v>
      </c>
      <c r="O1770" s="202">
        <f>IF((H1770)=0,"",(N1770/H1770))</f>
        <v>-1</v>
      </c>
      <c r="P1770" s="7"/>
    </row>
    <row r="1771" spans="1:16" ht="38.25" x14ac:dyDescent="0.2">
      <c r="A1771" s="7"/>
      <c r="B1771" s="1022" t="s">
        <v>1137</v>
      </c>
      <c r="C1771" s="26"/>
      <c r="D1771" s="1005" t="s">
        <v>80</v>
      </c>
      <c r="E1771" s="27"/>
      <c r="F1771" s="1006">
        <v>-0.80269999999999997</v>
      </c>
      <c r="G1771" s="32">
        <v>0.18</v>
      </c>
      <c r="H1771" s="1007">
        <f>G1771*F1771</f>
        <v>-0.14448599999999998</v>
      </c>
      <c r="I1771" s="30"/>
      <c r="J1771" s="1008">
        <v>-0.80269999999999997</v>
      </c>
      <c r="K1771" s="32">
        <v>0.18</v>
      </c>
      <c r="L1771" s="1007">
        <f>K1771*J1771</f>
        <v>-0.14448599999999998</v>
      </c>
      <c r="M1771" s="30"/>
      <c r="N1771" s="34">
        <f t="shared" si="156"/>
        <v>0</v>
      </c>
      <c r="O1771" s="202">
        <f>IF((H1771)=0,"",(N1771/H1771))</f>
        <v>0</v>
      </c>
      <c r="P1771" s="7"/>
    </row>
    <row r="1772" spans="1:16" ht="51" x14ac:dyDescent="0.2">
      <c r="A1772" s="7"/>
      <c r="B1772" s="1022" t="s">
        <v>1138</v>
      </c>
      <c r="C1772" s="26"/>
      <c r="D1772" s="1005" t="s">
        <v>80</v>
      </c>
      <c r="E1772" s="27"/>
      <c r="F1772" s="1006">
        <v>0</v>
      </c>
      <c r="G1772" s="32">
        <v>0.18</v>
      </c>
      <c r="H1772" s="1007">
        <f>G1772*F1772</f>
        <v>0</v>
      </c>
      <c r="I1772" s="30"/>
      <c r="J1772" s="1008">
        <v>-0.57210000000000005</v>
      </c>
      <c r="K1772" s="32">
        <v>0.18</v>
      </c>
      <c r="L1772" s="1007">
        <f>K1772*J1772</f>
        <v>-0.102978</v>
      </c>
      <c r="M1772" s="30"/>
      <c r="N1772" s="34">
        <f t="shared" si="156"/>
        <v>-0.102978</v>
      </c>
      <c r="O1772" s="202" t="str">
        <f>IF((H1772)=0,"",(N1772/H1772))</f>
        <v/>
      </c>
      <c r="P1772" s="7"/>
    </row>
    <row r="1773" spans="1:16" x14ac:dyDescent="0.2">
      <c r="A1773" s="7"/>
      <c r="B1773" s="564" t="s">
        <v>808</v>
      </c>
      <c r="C1773" s="26"/>
      <c r="D1773" s="1005" t="s">
        <v>80</v>
      </c>
      <c r="E1773" s="27"/>
      <c r="F1773" s="1006">
        <v>5.7000000000000002E-2</v>
      </c>
      <c r="G1773" s="32">
        <v>0.18</v>
      </c>
      <c r="H1773" s="1007">
        <f>G1773*F1773</f>
        <v>1.026E-2</v>
      </c>
      <c r="I1773" s="30"/>
      <c r="J1773" s="1008">
        <v>5.8999999999999997E-2</v>
      </c>
      <c r="K1773" s="32">
        <v>0.18</v>
      </c>
      <c r="L1773" s="1007">
        <f>K1773*J1773</f>
        <v>1.0619999999999999E-2</v>
      </c>
      <c r="M1773" s="30"/>
      <c r="N1773" s="34">
        <f t="shared" si="156"/>
        <v>3.5999999999999921E-4</v>
      </c>
      <c r="O1773" s="202">
        <f>IF((H1773)=0,"",(N1773/H1773))</f>
        <v>3.5087719298245536E-2</v>
      </c>
      <c r="P1773" s="7"/>
    </row>
    <row r="1774" spans="1:16" x14ac:dyDescent="0.2">
      <c r="A1774" s="7"/>
      <c r="B1774" s="564" t="s">
        <v>701</v>
      </c>
      <c r="C1774" s="26"/>
      <c r="D1774" s="1005"/>
      <c r="E1774" s="27"/>
      <c r="F1774" s="1023"/>
      <c r="G1774" s="1024"/>
      <c r="H1774" s="1025"/>
      <c r="I1774" s="30"/>
      <c r="J1774" s="1008"/>
      <c r="K1774" s="32"/>
      <c r="L1774" s="1007">
        <f>K1774*J1774</f>
        <v>0</v>
      </c>
      <c r="M1774" s="30"/>
      <c r="N1774" s="34">
        <f t="shared" si="156"/>
        <v>0</v>
      </c>
      <c r="O1774" s="202"/>
      <c r="P1774" s="7"/>
    </row>
    <row r="1775" spans="1:16" ht="25.5" x14ac:dyDescent="0.2">
      <c r="A1775" s="7"/>
      <c r="B1775" s="1026" t="s">
        <v>699</v>
      </c>
      <c r="C1775" s="1027"/>
      <c r="D1775" s="1027"/>
      <c r="E1775" s="1027"/>
      <c r="F1775" s="1028"/>
      <c r="G1775" s="1029"/>
      <c r="H1775" s="1030">
        <f>SUM(H1769:H1774)</f>
        <v>7.6371560000000001</v>
      </c>
      <c r="I1775" s="1017"/>
      <c r="J1775" s="1029"/>
      <c r="K1775" s="1031"/>
      <c r="L1775" s="1030">
        <f>SUM(L1769:L1774)</f>
        <v>8.9207819999999991</v>
      </c>
      <c r="M1775" s="1017"/>
      <c r="N1775" s="1020">
        <f t="shared" si="156"/>
        <v>1.283625999999999</v>
      </c>
      <c r="O1775" s="1021">
        <f t="shared" ref="O1775:O1799" si="158">IF((H1775)=0,"",(N1775/H1775))</f>
        <v>0.16807644102071492</v>
      </c>
      <c r="P1775" s="7"/>
    </row>
    <row r="1776" spans="1:16" x14ac:dyDescent="0.2">
      <c r="A1776" s="7"/>
      <c r="B1776" s="30" t="s">
        <v>32</v>
      </c>
      <c r="C1776" s="30"/>
      <c r="D1776" s="1032" t="s">
        <v>80</v>
      </c>
      <c r="E1776" s="31"/>
      <c r="F1776" s="1008">
        <v>1.9440999999999999</v>
      </c>
      <c r="G1776">
        <f>0.18</f>
        <v>0.18</v>
      </c>
      <c r="H1776" s="1007">
        <f>G1776*F1776</f>
        <v>0.34993799999999997</v>
      </c>
      <c r="I1776" s="30"/>
      <c r="J1776" s="1008">
        <v>1.788</v>
      </c>
      <c r="K1776">
        <f>0.18</f>
        <v>0.18</v>
      </c>
      <c r="L1776" s="1007">
        <f>K1776*J1776</f>
        <v>0.32184000000000001</v>
      </c>
      <c r="M1776" s="30"/>
      <c r="N1776" s="34">
        <f t="shared" si="156"/>
        <v>-2.8097999999999956E-2</v>
      </c>
      <c r="O1776" s="202">
        <f t="shared" si="158"/>
        <v>-8.029422354817127E-2</v>
      </c>
      <c r="P1776" s="7"/>
    </row>
    <row r="1777" spans="1:16" ht="25.5" x14ac:dyDescent="0.2">
      <c r="A1777" s="7"/>
      <c r="B1777" s="35" t="s">
        <v>33</v>
      </c>
      <c r="C1777" s="30"/>
      <c r="D1777" s="1032" t="s">
        <v>80</v>
      </c>
      <c r="E1777" s="31"/>
      <c r="F1777" s="1008">
        <v>1.5783</v>
      </c>
      <c r="G1777">
        <f>G1776</f>
        <v>0.18</v>
      </c>
      <c r="H1777" s="1007">
        <f>G1777*F1777</f>
        <v>0.28409400000000001</v>
      </c>
      <c r="I1777" s="30"/>
      <c r="J1777" s="1008">
        <v>1.5202</v>
      </c>
      <c r="K1777">
        <f>K1776</f>
        <v>0.18</v>
      </c>
      <c r="L1777" s="1007">
        <f>K1777*J1777</f>
        <v>0.27363599999999999</v>
      </c>
      <c r="M1777" s="30"/>
      <c r="N1777" s="34">
        <f t="shared" si="156"/>
        <v>-1.0458000000000023E-2</v>
      </c>
      <c r="O1777" s="202">
        <f t="shared" si="158"/>
        <v>-3.6811759488056851E-2</v>
      </c>
      <c r="P1777" s="7"/>
    </row>
    <row r="1778" spans="1:16" ht="25.5" x14ac:dyDescent="0.2">
      <c r="A1778" s="7"/>
      <c r="B1778" s="1026" t="s">
        <v>700</v>
      </c>
      <c r="C1778" s="1012"/>
      <c r="D1778" s="1012"/>
      <c r="E1778" s="1012"/>
      <c r="F1778" s="1033"/>
      <c r="G1778" s="1029"/>
      <c r="H1778" s="1030">
        <f>SUM(H1775:H1777)</f>
        <v>8.2711880000000004</v>
      </c>
      <c r="I1778" s="1034"/>
      <c r="J1778" s="1035"/>
      <c r="K1778" s="1036"/>
      <c r="L1778" s="1030">
        <f>SUM(L1775:L1777)</f>
        <v>9.5162579999999988</v>
      </c>
      <c r="M1778" s="1034"/>
      <c r="N1778" s="1020">
        <f t="shared" si="156"/>
        <v>1.2450699999999983</v>
      </c>
      <c r="O1778" s="1021">
        <f t="shared" si="158"/>
        <v>0.15053097571956994</v>
      </c>
      <c r="P1778" s="7"/>
    </row>
    <row r="1779" spans="1:16" ht="25.5" x14ac:dyDescent="0.2">
      <c r="A1779" s="7"/>
      <c r="B1779" s="28" t="s">
        <v>34</v>
      </c>
      <c r="C1779" s="26"/>
      <c r="D1779" s="1005" t="s">
        <v>79</v>
      </c>
      <c r="E1779" s="27"/>
      <c r="F1779" s="1037">
        <v>5.1999999999999998E-3</v>
      </c>
      <c r="G1779" s="667">
        <f>F1754*(1+F1802)</f>
        <v>65.242800000000003</v>
      </c>
      <c r="H1779" s="1038">
        <f t="shared" ref="H1779:H1787" si="159">G1779*F1779</f>
        <v>0.33926255999999999</v>
      </c>
      <c r="I1779" s="30"/>
      <c r="J1779" s="1039">
        <v>5.1999999999999998E-3</v>
      </c>
      <c r="K1779" s="668">
        <f>F1754*(1+J1802)</f>
        <v>65.649406049577962</v>
      </c>
      <c r="L1779" s="1038">
        <f t="shared" ref="L1779:L1787" si="160">K1779*J1779</f>
        <v>0.34137691145780541</v>
      </c>
      <c r="M1779" s="30"/>
      <c r="N1779" s="34">
        <f t="shared" si="156"/>
        <v>2.114351457805419E-3</v>
      </c>
      <c r="O1779" s="565">
        <f t="shared" si="158"/>
        <v>6.2321980291766329E-3</v>
      </c>
      <c r="P1779" s="7"/>
    </row>
    <row r="1780" spans="1:16" ht="25.5" x14ac:dyDescent="0.2">
      <c r="A1780" s="7"/>
      <c r="B1780" s="28" t="s">
        <v>35</v>
      </c>
      <c r="C1780" s="26"/>
      <c r="D1780" s="1005" t="s">
        <v>79</v>
      </c>
      <c r="E1780" s="27"/>
      <c r="F1780" s="1037">
        <v>1.1000000000000001E-3</v>
      </c>
      <c r="G1780" s="667">
        <f>F1754*(1+F1802)</f>
        <v>65.242800000000003</v>
      </c>
      <c r="H1780" s="1038">
        <f t="shared" si="159"/>
        <v>7.1767080000000011E-2</v>
      </c>
      <c r="I1780" s="30"/>
      <c r="J1780" s="1039">
        <v>1.1000000000000001E-3</v>
      </c>
      <c r="K1780" s="668">
        <f>F1754*(1+J1802)</f>
        <v>65.649406049577962</v>
      </c>
      <c r="L1780" s="1038">
        <f t="shared" si="160"/>
        <v>7.2214346654535758E-2</v>
      </c>
      <c r="M1780" s="30"/>
      <c r="N1780" s="34">
        <f t="shared" si="156"/>
        <v>4.4726665453574677E-4</v>
      </c>
      <c r="O1780" s="565">
        <f t="shared" si="158"/>
        <v>6.232198029176423E-3</v>
      </c>
      <c r="P1780" s="7"/>
    </row>
    <row r="1781" spans="1:16" x14ac:dyDescent="0.2">
      <c r="A1781" s="7"/>
      <c r="B1781" s="26" t="s">
        <v>36</v>
      </c>
      <c r="C1781" s="26"/>
      <c r="D1781" s="1005"/>
      <c r="E1781" s="27"/>
      <c r="F1781" s="1037"/>
      <c r="G1781" s="32">
        <v>1</v>
      </c>
      <c r="H1781" s="1038">
        <f t="shared" si="159"/>
        <v>0</v>
      </c>
      <c r="I1781" s="30"/>
      <c r="J1781" s="1039"/>
      <c r="K1781" s="33">
        <v>1</v>
      </c>
      <c r="L1781" s="1038">
        <f t="shared" si="160"/>
        <v>0</v>
      </c>
      <c r="M1781" s="30"/>
      <c r="N1781" s="34">
        <f t="shared" si="156"/>
        <v>0</v>
      </c>
      <c r="O1781" s="565" t="str">
        <f t="shared" si="158"/>
        <v/>
      </c>
      <c r="P1781" s="7"/>
    </row>
    <row r="1782" spans="1:16" x14ac:dyDescent="0.2">
      <c r="A1782" s="7"/>
      <c r="B1782" s="26" t="s">
        <v>37</v>
      </c>
      <c r="C1782" s="26"/>
      <c r="D1782" s="1005" t="s">
        <v>79</v>
      </c>
      <c r="E1782" s="27"/>
      <c r="F1782" s="1037">
        <v>7.0000000000000001E-3</v>
      </c>
      <c r="G1782" s="667">
        <f>F1754</f>
        <v>63</v>
      </c>
      <c r="H1782" s="1038">
        <f t="shared" si="159"/>
        <v>0.441</v>
      </c>
      <c r="I1782" s="30"/>
      <c r="J1782" s="1039">
        <v>7.0000000000000001E-3</v>
      </c>
      <c r="K1782" s="668">
        <f>F1754</f>
        <v>63</v>
      </c>
      <c r="L1782" s="1038">
        <f t="shared" si="160"/>
        <v>0.441</v>
      </c>
      <c r="M1782" s="30"/>
      <c r="N1782" s="34">
        <f t="shared" si="156"/>
        <v>0</v>
      </c>
      <c r="O1782" s="565">
        <f t="shared" si="158"/>
        <v>0</v>
      </c>
      <c r="P1782" s="7"/>
    </row>
    <row r="1783" spans="1:16" x14ac:dyDescent="0.2">
      <c r="A1783" s="7"/>
      <c r="B1783" s="564" t="s">
        <v>777</v>
      </c>
      <c r="C1783" s="26"/>
      <c r="D1783" s="1005" t="s">
        <v>79</v>
      </c>
      <c r="E1783" s="27"/>
      <c r="F1783" s="1040">
        <v>7.4999999999999997E-2</v>
      </c>
      <c r="G1783" s="667">
        <f>IF($G$1779&gt;=750,750,$G$1779)</f>
        <v>65.242800000000003</v>
      </c>
      <c r="H1783" s="1038">
        <f>G1783*F1783</f>
        <v>4.8932099999999998</v>
      </c>
      <c r="I1783" s="30"/>
      <c r="J1783" s="1037">
        <v>7.4999999999999997E-2</v>
      </c>
      <c r="K1783" s="667">
        <f>IF($K$1779&gt;=750,750,$K$1779)</f>
        <v>65.649406049577962</v>
      </c>
      <c r="L1783" s="1038">
        <f>K1783*J1783</f>
        <v>4.9237054537183473</v>
      </c>
      <c r="M1783" s="30"/>
      <c r="N1783" s="34">
        <f t="shared" si="156"/>
        <v>3.0495453718347498E-2</v>
      </c>
      <c r="O1783" s="565">
        <f t="shared" si="158"/>
        <v>6.2321980291766546E-3</v>
      </c>
      <c r="P1783" s="7"/>
    </row>
    <row r="1784" spans="1:16" x14ac:dyDescent="0.2">
      <c r="A1784" s="7"/>
      <c r="B1784" s="564" t="s">
        <v>778</v>
      </c>
      <c r="C1784" s="26"/>
      <c r="D1784" s="1005" t="s">
        <v>79</v>
      </c>
      <c r="E1784" s="27"/>
      <c r="F1784" s="1040">
        <v>8.7999999999999995E-2</v>
      </c>
      <c r="G1784" s="667">
        <f>IF($G$1779&gt;=750,$G$1779-750,0)</f>
        <v>0</v>
      </c>
      <c r="H1784" s="1038">
        <f>G1784*F1784</f>
        <v>0</v>
      </c>
      <c r="I1784" s="30"/>
      <c r="J1784" s="1037">
        <v>8.7999999999999995E-2</v>
      </c>
      <c r="K1784" s="667">
        <f>IF($K$1779&gt;=750,$K$1779-750,0)</f>
        <v>0</v>
      </c>
      <c r="L1784" s="1038">
        <f>K1784*J1784</f>
        <v>0</v>
      </c>
      <c r="M1784" s="30"/>
      <c r="N1784" s="34">
        <f t="shared" si="156"/>
        <v>0</v>
      </c>
      <c r="O1784" s="565" t="str">
        <f t="shared" si="158"/>
        <v/>
      </c>
      <c r="P1784" s="7"/>
    </row>
    <row r="1785" spans="1:16" x14ac:dyDescent="0.2">
      <c r="A1785" s="7"/>
      <c r="B1785" s="564" t="s">
        <v>779</v>
      </c>
      <c r="C1785" s="26"/>
      <c r="D1785" s="1005" t="s">
        <v>79</v>
      </c>
      <c r="E1785" s="27"/>
      <c r="F1785" s="1040">
        <v>6.5000000000000002E-2</v>
      </c>
      <c r="G1785" s="669">
        <f>0.64*$G$1779</f>
        <v>41.755392000000001</v>
      </c>
      <c r="H1785" s="1038">
        <f t="shared" si="159"/>
        <v>2.7141004799999999</v>
      </c>
      <c r="I1785" s="30"/>
      <c r="J1785" s="1037">
        <v>6.5000000000000002E-2</v>
      </c>
      <c r="K1785" s="1041">
        <f>0.64*$K$1779</f>
        <v>42.015619871729896</v>
      </c>
      <c r="L1785" s="1038">
        <f t="shared" si="160"/>
        <v>2.7310152916624433</v>
      </c>
      <c r="M1785" s="30"/>
      <c r="N1785" s="34">
        <f t="shared" si="156"/>
        <v>1.6914811662443352E-2</v>
      </c>
      <c r="O1785" s="565">
        <f t="shared" si="158"/>
        <v>6.2321980291766329E-3</v>
      </c>
      <c r="P1785" s="7"/>
    </row>
    <row r="1786" spans="1:16" x14ac:dyDescent="0.2">
      <c r="A1786" s="7"/>
      <c r="B1786" s="564" t="s">
        <v>780</v>
      </c>
      <c r="C1786" s="26"/>
      <c r="D1786" s="1005" t="s">
        <v>79</v>
      </c>
      <c r="E1786" s="27"/>
      <c r="F1786" s="1040">
        <v>0.1</v>
      </c>
      <c r="G1786" s="669">
        <f>0.18*$G$1779</f>
        <v>11.743703999999999</v>
      </c>
      <c r="H1786" s="1038">
        <f t="shared" si="159"/>
        <v>1.1743703999999999</v>
      </c>
      <c r="I1786" s="30"/>
      <c r="J1786" s="1037">
        <v>0.1</v>
      </c>
      <c r="K1786" s="1041">
        <f>0.18*$K$1779</f>
        <v>11.816893088924033</v>
      </c>
      <c r="L1786" s="1038">
        <f t="shared" si="160"/>
        <v>1.1816893088924034</v>
      </c>
      <c r="M1786" s="30"/>
      <c r="N1786" s="34">
        <f t="shared" si="156"/>
        <v>7.3189088924034973E-3</v>
      </c>
      <c r="O1786" s="565">
        <f t="shared" si="158"/>
        <v>6.2321980291767378E-3</v>
      </c>
      <c r="P1786" s="7"/>
    </row>
    <row r="1787" spans="1:16" ht="13.5" thickBot="1" x14ac:dyDescent="0.25">
      <c r="A1787" s="7"/>
      <c r="B1787" s="647" t="s">
        <v>781</v>
      </c>
      <c r="C1787" s="26"/>
      <c r="D1787" s="1005" t="s">
        <v>79</v>
      </c>
      <c r="E1787" s="27"/>
      <c r="F1787" s="1040">
        <v>0.11700000000000001</v>
      </c>
      <c r="G1787" s="669">
        <f>0.18*$G$1779</f>
        <v>11.743703999999999</v>
      </c>
      <c r="H1787" s="1038">
        <f t="shared" si="159"/>
        <v>1.374013368</v>
      </c>
      <c r="I1787" s="30"/>
      <c r="J1787" s="1037">
        <v>0.11700000000000001</v>
      </c>
      <c r="K1787" s="1041">
        <f>0.18*$K$1779</f>
        <v>11.816893088924033</v>
      </c>
      <c r="L1787" s="1038">
        <f t="shared" si="160"/>
        <v>1.3825764914041119</v>
      </c>
      <c r="M1787" s="30"/>
      <c r="N1787" s="34">
        <f t="shared" si="156"/>
        <v>8.5631234041119164E-3</v>
      </c>
      <c r="O1787" s="565">
        <f t="shared" si="158"/>
        <v>6.2321980291766103E-3</v>
      </c>
      <c r="P1787" s="7"/>
    </row>
    <row r="1788" spans="1:16" ht="13.5" thickBot="1" x14ac:dyDescent="0.25">
      <c r="A1788" s="7"/>
      <c r="B1788" s="1042"/>
      <c r="C1788" s="1043"/>
      <c r="D1788" s="1044"/>
      <c r="E1788" s="1043"/>
      <c r="F1788" s="1045"/>
      <c r="G1788" s="1046"/>
      <c r="H1788" s="1047"/>
      <c r="I1788" s="1048"/>
      <c r="J1788" s="1045"/>
      <c r="K1788" s="1049"/>
      <c r="L1788" s="1047"/>
      <c r="M1788" s="1048"/>
      <c r="N1788" s="1050"/>
      <c r="O1788" s="1051"/>
      <c r="P1788" s="7"/>
    </row>
    <row r="1789" spans="1:16" x14ac:dyDescent="0.2">
      <c r="A1789" s="7"/>
      <c r="B1789" s="36" t="s">
        <v>782</v>
      </c>
      <c r="C1789" s="26"/>
      <c r="D1789" s="26"/>
      <c r="E1789" s="26"/>
      <c r="F1789" s="662"/>
      <c r="G1789" s="652"/>
      <c r="H1789" s="656">
        <f>SUM(H1778:H1784)</f>
        <v>14.016427640000002</v>
      </c>
      <c r="I1789" s="660"/>
      <c r="J1789" s="661"/>
      <c r="K1789" s="661"/>
      <c r="L1789" s="655">
        <f>SUM(L1778:L1784)</f>
        <v>15.294554711830688</v>
      </c>
      <c r="M1789" s="654"/>
      <c r="N1789" s="659">
        <f t="shared" si="156"/>
        <v>1.2781270718306867</v>
      </c>
      <c r="O1789" s="657">
        <f t="shared" si="158"/>
        <v>9.1187790830751694E-2</v>
      </c>
      <c r="P1789" s="7"/>
    </row>
    <row r="1790" spans="1:16" x14ac:dyDescent="0.2">
      <c r="A1790" s="7"/>
      <c r="B1790" s="650" t="s">
        <v>38</v>
      </c>
      <c r="C1790" s="26"/>
      <c r="D1790" s="26"/>
      <c r="E1790" s="26"/>
      <c r="F1790" s="649">
        <v>0.13</v>
      </c>
      <c r="G1790" s="652"/>
      <c r="H1790" s="670">
        <f>H1789*F1790</f>
        <v>1.8221355932000003</v>
      </c>
      <c r="I1790" s="648"/>
      <c r="J1790" s="676">
        <v>0.13</v>
      </c>
      <c r="K1790" s="677"/>
      <c r="L1790" s="672">
        <f>L1789*J1790</f>
        <v>1.9882921125379895</v>
      </c>
      <c r="M1790" s="673"/>
      <c r="N1790" s="674">
        <f t="shared" si="156"/>
        <v>0.16615651933798925</v>
      </c>
      <c r="O1790" s="675">
        <f t="shared" si="158"/>
        <v>9.118779083075168E-2</v>
      </c>
      <c r="P1790" s="7"/>
    </row>
    <row r="1791" spans="1:16" x14ac:dyDescent="0.2">
      <c r="A1791" s="7"/>
      <c r="B1791" s="651" t="s">
        <v>1139</v>
      </c>
      <c r="C1791" s="26"/>
      <c r="D1791" s="26"/>
      <c r="E1791" s="26"/>
      <c r="F1791" s="658"/>
      <c r="G1791" s="653"/>
      <c r="H1791" s="670">
        <f>H1789+H1790</f>
        <v>15.838563233200002</v>
      </c>
      <c r="I1791" s="648"/>
      <c r="J1791" s="648"/>
      <c r="K1791" s="648"/>
      <c r="L1791" s="672">
        <f>L1789+L1790</f>
        <v>17.282846824368679</v>
      </c>
      <c r="M1791" s="673"/>
      <c r="N1791" s="674">
        <f t="shared" si="156"/>
        <v>1.4442835911686771</v>
      </c>
      <c r="O1791" s="675">
        <f t="shared" si="158"/>
        <v>9.1187790830751764E-2</v>
      </c>
      <c r="P1791" s="7"/>
    </row>
    <row r="1792" spans="1:16" ht="12.75" customHeight="1" x14ac:dyDescent="0.2">
      <c r="A1792" s="7"/>
      <c r="B1792" s="1626" t="s">
        <v>1140</v>
      </c>
      <c r="C1792" s="1626"/>
      <c r="D1792" s="1626"/>
      <c r="E1792" s="26"/>
      <c r="F1792" s="658"/>
      <c r="G1792" s="653"/>
      <c r="H1792" s="1052">
        <f>ROUND(-H1791*10%,2)</f>
        <v>-1.58</v>
      </c>
      <c r="I1792" s="648"/>
      <c r="J1792" s="648"/>
      <c r="K1792" s="648"/>
      <c r="L1792" s="1053">
        <f>ROUND(-L1791*10%,2)</f>
        <v>-1.73</v>
      </c>
      <c r="M1792" s="673"/>
      <c r="N1792" s="1054">
        <f t="shared" si="156"/>
        <v>-0.14999999999999991</v>
      </c>
      <c r="O1792" s="1055">
        <f t="shared" si="158"/>
        <v>9.4936708860759431E-2</v>
      </c>
      <c r="P1792" s="7"/>
    </row>
    <row r="1793" spans="1:16" ht="13.5" customHeight="1" thickBot="1" x14ac:dyDescent="0.25">
      <c r="A1793" s="7"/>
      <c r="B1793" s="1626" t="s">
        <v>785</v>
      </c>
      <c r="C1793" s="1626"/>
      <c r="D1793" s="1626"/>
      <c r="E1793" s="1056"/>
      <c r="F1793" s="1057"/>
      <c r="G1793" s="1058"/>
      <c r="H1793" s="1059">
        <f>SUM(H1791:H1792)</f>
        <v>14.258563233200002</v>
      </c>
      <c r="I1793" s="1060"/>
      <c r="J1793" s="1060"/>
      <c r="K1793" s="1060"/>
      <c r="L1793" s="1061">
        <f>SUM(L1791:L1792)</f>
        <v>15.552846824368679</v>
      </c>
      <c r="M1793" s="1062"/>
      <c r="N1793" s="1063">
        <f t="shared" si="156"/>
        <v>1.2942835911686768</v>
      </c>
      <c r="O1793" s="1064">
        <f t="shared" si="158"/>
        <v>9.0772370960563106E-2</v>
      </c>
      <c r="P1793" s="7"/>
    </row>
    <row r="1794" spans="1:16" ht="13.5" thickBot="1" x14ac:dyDescent="0.25">
      <c r="A1794" s="7"/>
      <c r="B1794" s="1042"/>
      <c r="C1794" s="1043"/>
      <c r="D1794" s="1044"/>
      <c r="E1794" s="1043"/>
      <c r="F1794" s="1065"/>
      <c r="G1794" s="1066"/>
      <c r="H1794" s="1067"/>
      <c r="I1794" s="1068"/>
      <c r="J1794" s="1065"/>
      <c r="K1794" s="1046"/>
      <c r="L1794" s="1069"/>
      <c r="M1794" s="1048"/>
      <c r="N1794" s="1070"/>
      <c r="O1794" s="1051"/>
      <c r="P1794" s="7"/>
    </row>
    <row r="1795" spans="1:16" x14ac:dyDescent="0.2">
      <c r="A1795" s="7"/>
      <c r="B1795" s="36" t="s">
        <v>783</v>
      </c>
      <c r="C1795" s="26"/>
      <c r="D1795" s="26"/>
      <c r="E1795" s="26"/>
      <c r="F1795" s="662"/>
      <c r="G1795" s="652"/>
      <c r="H1795" s="656">
        <f>SUM(H1778:H1782,H1785:H1787)</f>
        <v>14.385701888000003</v>
      </c>
      <c r="I1795" s="660"/>
      <c r="J1795" s="661"/>
      <c r="K1795" s="661"/>
      <c r="L1795" s="666">
        <f>SUM(L1778:L1782,L1785:L1787)</f>
        <v>15.666130350071299</v>
      </c>
      <c r="M1795" s="654"/>
      <c r="N1795" s="659">
        <f>L1795-H1795</f>
        <v>1.2804284620712956</v>
      </c>
      <c r="O1795" s="657">
        <f>IF((H1795)=0,"",(N1795/H1795))</f>
        <v>8.9007020445723228E-2</v>
      </c>
      <c r="P1795" s="7"/>
    </row>
    <row r="1796" spans="1:16" x14ac:dyDescent="0.2">
      <c r="A1796" s="7"/>
      <c r="B1796" s="650" t="s">
        <v>38</v>
      </c>
      <c r="C1796" s="26"/>
      <c r="D1796" s="26"/>
      <c r="E1796" s="26"/>
      <c r="F1796" s="649">
        <v>0.13</v>
      </c>
      <c r="G1796" s="653"/>
      <c r="H1796" s="670">
        <f>H1795*F1796</f>
        <v>1.8701412454400006</v>
      </c>
      <c r="I1796" s="648"/>
      <c r="J1796" s="671">
        <v>0.13</v>
      </c>
      <c r="K1796" s="648"/>
      <c r="L1796" s="672">
        <f>L1795*J1796</f>
        <v>2.036596945509269</v>
      </c>
      <c r="M1796" s="673"/>
      <c r="N1796" s="674">
        <f t="shared" si="156"/>
        <v>0.16645570006926835</v>
      </c>
      <c r="O1796" s="675">
        <f t="shared" si="158"/>
        <v>8.9007020445723187E-2</v>
      </c>
      <c r="P1796" s="7"/>
    </row>
    <row r="1797" spans="1:16" x14ac:dyDescent="0.2">
      <c r="A1797" s="7"/>
      <c r="B1797" s="651" t="s">
        <v>1139</v>
      </c>
      <c r="C1797" s="26"/>
      <c r="D1797" s="26"/>
      <c r="E1797" s="26"/>
      <c r="F1797" s="658"/>
      <c r="G1797" s="653"/>
      <c r="H1797" s="670">
        <f>H1795+H1796</f>
        <v>16.255843133440003</v>
      </c>
      <c r="I1797" s="648"/>
      <c r="J1797" s="648"/>
      <c r="K1797" s="648"/>
      <c r="L1797" s="672">
        <f>L1795+L1796</f>
        <v>17.702727295580569</v>
      </c>
      <c r="M1797" s="673"/>
      <c r="N1797" s="674">
        <f t="shared" si="156"/>
        <v>1.4468841621405666</v>
      </c>
      <c r="O1797" s="675">
        <f t="shared" si="158"/>
        <v>8.9007020445723395E-2</v>
      </c>
      <c r="P1797" s="7"/>
    </row>
    <row r="1798" spans="1:16" ht="12.75" customHeight="1" x14ac:dyDescent="0.2">
      <c r="A1798" s="7"/>
      <c r="B1798" s="1626" t="s">
        <v>1140</v>
      </c>
      <c r="C1798" s="1626"/>
      <c r="D1798" s="1626"/>
      <c r="E1798" s="26"/>
      <c r="F1798" s="658"/>
      <c r="G1798" s="653"/>
      <c r="H1798" s="1052">
        <f>ROUND(-H1797*10%,2)</f>
        <v>-1.63</v>
      </c>
      <c r="I1798" s="648"/>
      <c r="J1798" s="648"/>
      <c r="K1798" s="648"/>
      <c r="L1798" s="1053">
        <f>ROUND(-L1797*10%,2)</f>
        <v>-1.77</v>
      </c>
      <c r="M1798" s="673"/>
      <c r="N1798" s="1054">
        <f t="shared" si="156"/>
        <v>-0.14000000000000012</v>
      </c>
      <c r="O1798" s="1055">
        <f t="shared" si="158"/>
        <v>8.5889570552147326E-2</v>
      </c>
      <c r="P1798" s="7"/>
    </row>
    <row r="1799" spans="1:16" ht="13.5" customHeight="1" thickBot="1" x14ac:dyDescent="0.25">
      <c r="A1799" s="7"/>
      <c r="B1799" s="1626" t="s">
        <v>784</v>
      </c>
      <c r="C1799" s="1626"/>
      <c r="D1799" s="1626"/>
      <c r="E1799" s="1056"/>
      <c r="F1799" s="1071"/>
      <c r="G1799" s="1072"/>
      <c r="H1799" s="1073">
        <f>H1797+H1798</f>
        <v>14.625843133440004</v>
      </c>
      <c r="I1799" s="1074"/>
      <c r="J1799" s="1074"/>
      <c r="K1799" s="1074"/>
      <c r="L1799" s="1075">
        <f>L1797+L1798</f>
        <v>15.93272729558057</v>
      </c>
      <c r="M1799" s="1076"/>
      <c r="N1799" s="1077">
        <f t="shared" si="156"/>
        <v>1.306884162140566</v>
      </c>
      <c r="O1799" s="1078">
        <f t="shared" si="158"/>
        <v>8.9354449532728336E-2</v>
      </c>
      <c r="P1799" s="7"/>
    </row>
    <row r="1800" spans="1:16" ht="13.5" thickBot="1" x14ac:dyDescent="0.25">
      <c r="A1800" s="7"/>
      <c r="B1800" s="1042"/>
      <c r="C1800" s="1043"/>
      <c r="D1800" s="1044"/>
      <c r="E1800" s="1043"/>
      <c r="F1800" s="1065"/>
      <c r="G1800" s="1066"/>
      <c r="H1800" s="1067"/>
      <c r="I1800" s="1068"/>
      <c r="J1800" s="1065"/>
      <c r="K1800" s="1046"/>
      <c r="L1800" s="1069"/>
      <c r="M1800" s="1048"/>
      <c r="N1800" s="1070"/>
      <c r="O1800" s="1051"/>
      <c r="P1800" s="7"/>
    </row>
    <row r="1801" spans="1:16" x14ac:dyDescent="0.2">
      <c r="A1801" s="7"/>
      <c r="B1801" s="7"/>
      <c r="C1801" s="7"/>
      <c r="D1801" s="7"/>
      <c r="E1801" s="7"/>
      <c r="F1801" s="7"/>
      <c r="G1801" s="7"/>
      <c r="H1801" s="7"/>
      <c r="I1801" s="7"/>
      <c r="J1801" s="7"/>
      <c r="K1801" s="7"/>
      <c r="L1801" s="678"/>
      <c r="M1801" s="7"/>
      <c r="N1801" s="7"/>
      <c r="O1801" s="7"/>
      <c r="P1801" s="7"/>
    </row>
    <row r="1802" spans="1:16" x14ac:dyDescent="0.2">
      <c r="A1802" s="7"/>
      <c r="B1802" s="8" t="s">
        <v>39</v>
      </c>
      <c r="C1802" s="7"/>
      <c r="D1802" s="7"/>
      <c r="E1802" s="7"/>
      <c r="F1802" s="1079">
        <v>3.5600000000000076E-2</v>
      </c>
      <c r="G1802" s="7"/>
      <c r="H1802" s="7"/>
      <c r="I1802" s="7"/>
      <c r="J1802" s="1079">
        <v>4.2054064279015257E-2</v>
      </c>
      <c r="K1802" s="7"/>
      <c r="L1802" s="7"/>
      <c r="M1802" s="7"/>
      <c r="N1802" s="7"/>
      <c r="O1802" s="7"/>
      <c r="P1802" s="7"/>
    </row>
    <row r="1803" spans="1:16" x14ac:dyDescent="0.2">
      <c r="A1803" s="7"/>
      <c r="B1803" s="7"/>
      <c r="C1803" s="7"/>
      <c r="D1803" s="7"/>
      <c r="E1803" s="7"/>
      <c r="F1803" s="7"/>
      <c r="G1803" s="7"/>
      <c r="H1803" s="7"/>
      <c r="I1803" s="7"/>
      <c r="J1803" s="7"/>
      <c r="K1803" s="7"/>
      <c r="L1803" s="7"/>
      <c r="M1803" s="7"/>
      <c r="N1803" s="7"/>
      <c r="O1803" s="7"/>
      <c r="P1803" s="7"/>
    </row>
    <row r="1804" spans="1:16" ht="14.25" x14ac:dyDescent="0.2">
      <c r="A1804" s="214" t="s">
        <v>1141</v>
      </c>
      <c r="B1804" s="7"/>
      <c r="C1804" s="7"/>
      <c r="D1804" s="7"/>
      <c r="E1804" s="7"/>
      <c r="F1804" s="7"/>
      <c r="G1804" s="7"/>
      <c r="H1804" s="7"/>
      <c r="I1804" s="7"/>
      <c r="J1804" s="7"/>
      <c r="K1804" s="7"/>
      <c r="L1804" s="7"/>
      <c r="M1804" s="7"/>
      <c r="N1804" s="7"/>
      <c r="O1804" s="7"/>
      <c r="P1804" s="7"/>
    </row>
    <row r="1805" spans="1:16" x14ac:dyDescent="0.2">
      <c r="A1805" s="7"/>
      <c r="B1805" s="7"/>
      <c r="C1805" s="7"/>
      <c r="D1805" s="7"/>
      <c r="E1805" s="7"/>
      <c r="F1805" s="7"/>
      <c r="G1805" s="7"/>
      <c r="H1805" s="7"/>
      <c r="I1805" s="7"/>
      <c r="J1805" s="7"/>
      <c r="K1805" s="7"/>
      <c r="L1805" s="7"/>
      <c r="M1805" s="7"/>
      <c r="N1805" s="7"/>
      <c r="O1805" s="7"/>
      <c r="P1805" s="7"/>
    </row>
    <row r="1806" spans="1:16" x14ac:dyDescent="0.2">
      <c r="A1806" s="7" t="s">
        <v>107</v>
      </c>
      <c r="B1806" s="7"/>
      <c r="C1806" s="7"/>
      <c r="D1806" s="7"/>
      <c r="E1806" s="7"/>
      <c r="F1806" s="7"/>
      <c r="G1806" s="7"/>
      <c r="H1806" s="7"/>
      <c r="I1806" s="7"/>
      <c r="J1806" s="7"/>
      <c r="K1806" s="7"/>
      <c r="L1806" s="7"/>
      <c r="M1806" s="7"/>
      <c r="N1806" s="7"/>
      <c r="O1806" s="7"/>
      <c r="P1806" s="7"/>
    </row>
    <row r="1807" spans="1:16" x14ac:dyDescent="0.2">
      <c r="A1807" s="7" t="s">
        <v>108</v>
      </c>
      <c r="B1807" s="7"/>
      <c r="C1807" s="7"/>
      <c r="D1807" s="7"/>
      <c r="E1807" s="7"/>
      <c r="F1807" s="7"/>
      <c r="G1807" s="7"/>
      <c r="H1807" s="7"/>
      <c r="I1807" s="7"/>
      <c r="J1807" s="7"/>
      <c r="K1807" s="7"/>
      <c r="L1807" s="7"/>
      <c r="M1807" s="7"/>
      <c r="N1807" s="7"/>
      <c r="O1807" s="7"/>
      <c r="P1807" s="7"/>
    </row>
    <row r="1808" spans="1:16" x14ac:dyDescent="0.2">
      <c r="A1808" s="7"/>
      <c r="B1808" s="7"/>
      <c r="C1808" s="7"/>
      <c r="D1808" s="7"/>
      <c r="E1808" s="7"/>
      <c r="F1808" s="7"/>
      <c r="G1808" s="7"/>
      <c r="H1808" s="7"/>
      <c r="I1808" s="7"/>
      <c r="J1808" s="7"/>
      <c r="K1808" s="7"/>
      <c r="L1808" s="7"/>
      <c r="M1808" s="7"/>
      <c r="N1808" s="7"/>
      <c r="O1808" s="7"/>
      <c r="P1808" s="7"/>
    </row>
    <row r="1809" spans="1:16" x14ac:dyDescent="0.2">
      <c r="A1809" s="7" t="s">
        <v>331</v>
      </c>
      <c r="B1809" s="7"/>
      <c r="C1809" s="7"/>
      <c r="D1809" s="7"/>
      <c r="E1809" s="7"/>
      <c r="F1809" s="7"/>
      <c r="G1809" s="7"/>
      <c r="H1809" s="7"/>
      <c r="I1809" s="7"/>
      <c r="J1809" s="7"/>
      <c r="K1809" s="7"/>
      <c r="L1809" s="7"/>
      <c r="M1809" s="7"/>
      <c r="N1809" s="7"/>
      <c r="O1809" s="7"/>
      <c r="P1809" s="7"/>
    </row>
    <row r="1810" spans="1:16" x14ac:dyDescent="0.2">
      <c r="A1810" s="7" t="s">
        <v>109</v>
      </c>
      <c r="B1810" s="7"/>
      <c r="C1810" s="7"/>
      <c r="D1810" s="7"/>
      <c r="E1810" s="7"/>
      <c r="F1810" s="7"/>
      <c r="G1810" s="7"/>
      <c r="H1810" s="7"/>
      <c r="I1810" s="7"/>
      <c r="J1810" s="7"/>
      <c r="K1810" s="7"/>
      <c r="L1810" s="7"/>
      <c r="M1810" s="7"/>
      <c r="N1810" s="7"/>
      <c r="O1810" s="7"/>
      <c r="P1810" s="7"/>
    </row>
    <row r="1811" spans="1:16" x14ac:dyDescent="0.2">
      <c r="A1811" s="7"/>
      <c r="B1811" s="7"/>
      <c r="C1811" s="7"/>
      <c r="D1811" s="7"/>
      <c r="E1811" s="7"/>
      <c r="F1811" s="7"/>
      <c r="G1811" s="7"/>
      <c r="H1811" s="7"/>
      <c r="I1811" s="7"/>
      <c r="J1811" s="7"/>
      <c r="K1811" s="7"/>
      <c r="L1811" s="7"/>
      <c r="M1811" s="7"/>
      <c r="N1811" s="7"/>
      <c r="O1811" s="7"/>
      <c r="P1811" s="7"/>
    </row>
    <row r="1812" spans="1:16" x14ac:dyDescent="0.2">
      <c r="A1812" s="7" t="s">
        <v>110</v>
      </c>
      <c r="B1812" s="7"/>
      <c r="C1812" s="7"/>
      <c r="D1812" s="7"/>
      <c r="E1812" s="7"/>
      <c r="F1812" s="7"/>
      <c r="G1812" s="7"/>
      <c r="H1812" s="7"/>
      <c r="I1812" s="7"/>
      <c r="J1812" s="7"/>
      <c r="K1812" s="7"/>
      <c r="L1812" s="7"/>
      <c r="M1812" s="7"/>
      <c r="N1812" s="7"/>
      <c r="O1812" s="7"/>
      <c r="P1812" s="7"/>
    </row>
    <row r="1813" spans="1:16" x14ac:dyDescent="0.2">
      <c r="A1813" s="7" t="s">
        <v>111</v>
      </c>
      <c r="B1813" s="7"/>
      <c r="C1813" s="7"/>
      <c r="D1813" s="7"/>
      <c r="E1813" s="7"/>
      <c r="F1813" s="7"/>
      <c r="G1813" s="7"/>
      <c r="H1813" s="7"/>
      <c r="I1813" s="7"/>
      <c r="J1813" s="7"/>
      <c r="K1813" s="7"/>
      <c r="L1813" s="7"/>
      <c r="M1813" s="7"/>
      <c r="N1813" s="7"/>
      <c r="O1813" s="7"/>
      <c r="P1813" s="7"/>
    </row>
    <row r="1814" spans="1:16" x14ac:dyDescent="0.2">
      <c r="A1814" s="7" t="s">
        <v>112</v>
      </c>
      <c r="B1814" s="7"/>
      <c r="C1814" s="7"/>
      <c r="D1814" s="7"/>
      <c r="E1814" s="7"/>
      <c r="F1814" s="7"/>
      <c r="G1814" s="7"/>
      <c r="H1814" s="7"/>
      <c r="I1814" s="7"/>
      <c r="J1814" s="7"/>
      <c r="K1814" s="7"/>
      <c r="L1814" s="7"/>
      <c r="M1814" s="7"/>
      <c r="N1814" s="7"/>
      <c r="O1814" s="7"/>
      <c r="P1814" s="7"/>
    </row>
    <row r="1815" spans="1:16" x14ac:dyDescent="0.2">
      <c r="A1815" s="7" t="s">
        <v>113</v>
      </c>
      <c r="B1815" s="7"/>
      <c r="C1815" s="7"/>
      <c r="D1815" s="7"/>
      <c r="E1815" s="7"/>
      <c r="F1815" s="7"/>
      <c r="G1815" s="7"/>
      <c r="H1815" s="7"/>
      <c r="I1815" s="7"/>
      <c r="J1815" s="7"/>
      <c r="K1815" s="7"/>
      <c r="L1815" s="7"/>
      <c r="M1815" s="7"/>
      <c r="N1815" s="7"/>
      <c r="O1815" s="7"/>
      <c r="P1815" s="7"/>
    </row>
    <row r="1816" spans="1:16" x14ac:dyDescent="0.2">
      <c r="A1816" s="7" t="s">
        <v>114</v>
      </c>
      <c r="B1816" s="7"/>
      <c r="C1816" s="7"/>
      <c r="D1816" s="7"/>
      <c r="E1816" s="7"/>
      <c r="F1816" s="7"/>
      <c r="G1816" s="7"/>
      <c r="H1816" s="7"/>
      <c r="I1816" s="7"/>
      <c r="J1816" s="7"/>
      <c r="K1816" s="7"/>
      <c r="L1816" s="7"/>
      <c r="M1816" s="7"/>
      <c r="N1816" s="7"/>
      <c r="O1816" s="7"/>
      <c r="P1816" s="7"/>
    </row>
    <row r="1818" spans="1:16" ht="21.75" x14ac:dyDescent="0.2">
      <c r="A1818" s="41"/>
      <c r="B1818" s="41"/>
      <c r="C1818" s="41"/>
      <c r="D1818" s="41"/>
      <c r="E1818" s="41"/>
      <c r="F1818" s="41"/>
      <c r="G1818" s="41"/>
      <c r="H1818" s="41"/>
      <c r="I1818" s="41"/>
      <c r="J1818" s="41"/>
      <c r="K1818" s="41"/>
      <c r="L1818" s="37"/>
      <c r="M1818" s="37"/>
      <c r="N1818" s="16" t="s">
        <v>444</v>
      </c>
      <c r="O1818" s="250" t="s">
        <v>866</v>
      </c>
    </row>
    <row r="1819" spans="1:16" ht="18" x14ac:dyDescent="0.25">
      <c r="A1819" s="40"/>
      <c r="B1819" s="40"/>
      <c r="C1819" s="40"/>
      <c r="D1819" s="40"/>
      <c r="E1819" s="40"/>
      <c r="F1819" s="40"/>
      <c r="G1819" s="40"/>
      <c r="H1819" s="40"/>
      <c r="I1819" s="40"/>
      <c r="J1819" s="40"/>
      <c r="K1819" s="40"/>
      <c r="L1819" s="37"/>
      <c r="M1819" s="37"/>
      <c r="N1819" s="16" t="s">
        <v>445</v>
      </c>
      <c r="O1819" s="1001"/>
    </row>
    <row r="1820" spans="1:16" x14ac:dyDescent="0.2">
      <c r="A1820" s="1626"/>
      <c r="B1820" s="1626"/>
      <c r="C1820" s="1626"/>
      <c r="D1820" s="1626"/>
      <c r="E1820" s="1626"/>
      <c r="F1820" s="1626"/>
      <c r="G1820" s="1626"/>
      <c r="H1820" s="1626"/>
      <c r="I1820" s="1626"/>
      <c r="J1820" s="1626"/>
      <c r="K1820" s="1626"/>
      <c r="L1820" s="37"/>
      <c r="M1820" s="37"/>
      <c r="N1820" s="16" t="s">
        <v>446</v>
      </c>
      <c r="O1820" s="1001"/>
    </row>
    <row r="1821" spans="1:16" ht="18" x14ac:dyDescent="0.25">
      <c r="A1821" s="40"/>
      <c r="B1821" s="40"/>
      <c r="C1821" s="40"/>
      <c r="D1821" s="40"/>
      <c r="E1821" s="40"/>
      <c r="F1821" s="40"/>
      <c r="G1821" s="40"/>
      <c r="H1821" s="40"/>
      <c r="I1821" s="38"/>
      <c r="J1821" s="38"/>
      <c r="K1821" s="38"/>
      <c r="L1821" s="37"/>
      <c r="M1821" s="37"/>
      <c r="N1821" s="16" t="s">
        <v>447</v>
      </c>
      <c r="O1821" s="1001"/>
    </row>
    <row r="1822" spans="1:16" ht="15.75" x14ac:dyDescent="0.25">
      <c r="A1822" s="37"/>
      <c r="B1822" s="37"/>
      <c r="C1822" s="39"/>
      <c r="D1822" s="39"/>
      <c r="E1822" s="39"/>
      <c r="F1822" s="37"/>
      <c r="G1822" s="37"/>
      <c r="H1822" s="37"/>
      <c r="I1822" s="37"/>
      <c r="J1822" s="37"/>
      <c r="K1822" s="37"/>
      <c r="L1822" s="37"/>
      <c r="M1822" s="37"/>
      <c r="N1822" s="16" t="s">
        <v>448</v>
      </c>
      <c r="O1822" s="1002" t="s">
        <v>1167</v>
      </c>
    </row>
    <row r="1823" spans="1:16" x14ac:dyDescent="0.2">
      <c r="A1823" s="37"/>
      <c r="B1823" s="37"/>
      <c r="C1823" s="37"/>
      <c r="D1823" s="37"/>
      <c r="E1823" s="37"/>
      <c r="F1823" s="37"/>
      <c r="G1823" s="37"/>
      <c r="H1823" s="37"/>
      <c r="I1823" s="37"/>
      <c r="J1823" s="37"/>
      <c r="K1823" s="37"/>
      <c r="L1823" s="37"/>
      <c r="M1823" s="37"/>
      <c r="N1823" s="16"/>
      <c r="O1823" s="250"/>
    </row>
    <row r="1824" spans="1:16" x14ac:dyDescent="0.2">
      <c r="A1824" s="37"/>
      <c r="B1824" s="37"/>
      <c r="C1824" s="37"/>
      <c r="D1824" s="37"/>
      <c r="E1824" s="37"/>
      <c r="F1824" s="37"/>
      <c r="G1824" s="37"/>
      <c r="H1824" s="37"/>
      <c r="I1824" s="37"/>
      <c r="J1824" s="37"/>
      <c r="K1824" s="37"/>
      <c r="L1824" s="37"/>
      <c r="M1824" s="37"/>
      <c r="N1824" s="16" t="s">
        <v>449</v>
      </c>
      <c r="O1824" s="1002"/>
    </row>
    <row r="1825" spans="1:16" x14ac:dyDescent="0.2">
      <c r="A1825" s="37"/>
      <c r="B1825" s="37"/>
      <c r="C1825" s="37"/>
      <c r="D1825" s="37"/>
      <c r="E1825" s="37"/>
      <c r="F1825" s="37"/>
      <c r="G1825" s="37"/>
      <c r="H1825" s="37"/>
      <c r="I1825" s="37"/>
      <c r="J1825" s="37"/>
      <c r="K1825" s="37"/>
      <c r="L1825" s="37"/>
      <c r="M1825" s="37"/>
      <c r="N1825" s="7"/>
    </row>
    <row r="1826" spans="1:16" x14ac:dyDescent="0.2">
      <c r="A1826" s="7"/>
      <c r="B1826" s="7"/>
      <c r="C1826" s="7"/>
      <c r="D1826" s="7"/>
      <c r="E1826" s="7"/>
      <c r="F1826" s="7"/>
      <c r="G1826" s="7"/>
      <c r="H1826" s="7"/>
      <c r="I1826" s="7"/>
      <c r="J1826" s="7"/>
      <c r="K1826" s="7"/>
    </row>
    <row r="1827" spans="1:16" x14ac:dyDescent="0.2">
      <c r="A1827" s="7"/>
      <c r="B1827" s="1626" t="s">
        <v>695</v>
      </c>
      <c r="C1827" s="1626"/>
      <c r="D1827" s="1626"/>
      <c r="E1827" s="1626"/>
      <c r="F1827" s="1626"/>
      <c r="G1827" s="1626"/>
      <c r="H1827" s="1626"/>
      <c r="I1827" s="1626"/>
      <c r="J1827" s="1626"/>
      <c r="K1827" s="1626"/>
      <c r="L1827" s="1626"/>
      <c r="M1827" s="1626"/>
      <c r="N1827" s="1626"/>
      <c r="O1827" s="1626"/>
    </row>
    <row r="1828" spans="1:16" x14ac:dyDescent="0.2">
      <c r="A1828" s="7"/>
      <c r="B1828" s="1626" t="s">
        <v>63</v>
      </c>
      <c r="C1828" s="1626"/>
      <c r="D1828" s="1626"/>
      <c r="E1828" s="1626"/>
      <c r="F1828" s="1626"/>
      <c r="G1828" s="1626"/>
      <c r="H1828" s="1626"/>
      <c r="I1828" s="1626"/>
      <c r="J1828" s="1626"/>
      <c r="K1828" s="1626"/>
      <c r="L1828" s="1626"/>
      <c r="M1828" s="1626"/>
      <c r="N1828" s="1626"/>
      <c r="O1828" s="1626"/>
    </row>
    <row r="1829" spans="1:16" x14ac:dyDescent="0.2">
      <c r="A1829" s="7"/>
      <c r="B1829" s="7"/>
      <c r="C1829" s="7"/>
      <c r="D1829" s="7"/>
      <c r="E1829" s="7"/>
      <c r="F1829" s="7"/>
      <c r="G1829" s="7"/>
      <c r="H1829" s="7"/>
      <c r="I1829" s="7"/>
      <c r="J1829" s="7"/>
      <c r="K1829" s="7"/>
    </row>
    <row r="1830" spans="1:16" x14ac:dyDescent="0.2">
      <c r="A1830" s="7"/>
      <c r="B1830" s="7"/>
      <c r="C1830" s="7"/>
      <c r="D1830" s="7"/>
      <c r="E1830" s="7"/>
      <c r="F1830" s="7"/>
      <c r="G1830" s="7"/>
      <c r="H1830" s="7"/>
      <c r="I1830" s="7"/>
      <c r="J1830" s="7"/>
      <c r="K1830" s="7"/>
    </row>
    <row r="1831" spans="1:16" x14ac:dyDescent="0.2">
      <c r="A1831" s="7"/>
      <c r="B1831" s="43" t="s">
        <v>40</v>
      </c>
      <c r="C1831" s="7"/>
      <c r="D1831" s="1626" t="s">
        <v>345</v>
      </c>
      <c r="E1831" s="1626"/>
      <c r="F1831" s="1626"/>
      <c r="G1831" s="1626"/>
      <c r="H1831" s="1626"/>
      <c r="I1831" s="1626"/>
      <c r="J1831" s="1626"/>
      <c r="K1831" s="1626"/>
      <c r="L1831" s="1626"/>
      <c r="M1831" s="1626"/>
      <c r="N1831" s="1626"/>
      <c r="O1831" s="1626"/>
      <c r="P1831" s="7"/>
    </row>
    <row r="1832" spans="1:16" ht="15.75" x14ac:dyDescent="0.25">
      <c r="A1832" s="7"/>
      <c r="B1832" s="1003"/>
      <c r="C1832" s="7"/>
      <c r="D1832" s="42"/>
      <c r="E1832" s="42"/>
      <c r="F1832" s="42"/>
      <c r="G1832" s="42"/>
      <c r="H1832" s="42"/>
      <c r="I1832" s="42"/>
      <c r="J1832" s="42"/>
      <c r="K1832" s="42"/>
      <c r="L1832" s="42"/>
      <c r="M1832" s="42"/>
      <c r="N1832" s="42"/>
      <c r="O1832" s="42"/>
      <c r="P1832" s="7"/>
    </row>
    <row r="1833" spans="1:16" x14ac:dyDescent="0.2">
      <c r="A1833" s="7"/>
      <c r="B1833" s="647"/>
      <c r="C1833" s="7"/>
      <c r="D1833" s="8" t="s">
        <v>17</v>
      </c>
      <c r="E1833" s="8"/>
      <c r="F1833" s="1004">
        <v>86</v>
      </c>
      <c r="G1833" s="8" t="s">
        <v>18</v>
      </c>
      <c r="H1833" s="7"/>
      <c r="I1833" s="7"/>
      <c r="J1833" s="7"/>
      <c r="K1833" s="7"/>
      <c r="L1833" s="7"/>
      <c r="M1833" s="7"/>
      <c r="N1833" s="7"/>
      <c r="O1833" s="7"/>
      <c r="P1833" s="7"/>
    </row>
    <row r="1834" spans="1:16" x14ac:dyDescent="0.2">
      <c r="A1834" s="7"/>
      <c r="B1834" s="647"/>
      <c r="C1834" s="7"/>
      <c r="D1834" s="7"/>
      <c r="E1834" s="7"/>
      <c r="F1834" s="7"/>
      <c r="G1834" s="7"/>
      <c r="H1834" s="7"/>
      <c r="I1834" s="7"/>
      <c r="J1834" s="7"/>
      <c r="K1834" s="7"/>
      <c r="L1834" s="7"/>
      <c r="M1834" s="7"/>
      <c r="N1834" s="7"/>
      <c r="O1834" s="7"/>
      <c r="P1834" s="7"/>
    </row>
    <row r="1835" spans="1:16" x14ac:dyDescent="0.2">
      <c r="A1835" s="7"/>
      <c r="B1835" s="647"/>
      <c r="C1835" s="7"/>
      <c r="D1835" s="19"/>
      <c r="E1835" s="19"/>
      <c r="F1835" s="1626" t="s">
        <v>19</v>
      </c>
      <c r="G1835" s="1626"/>
      <c r="H1835" s="1626"/>
      <c r="I1835" s="7"/>
      <c r="J1835" s="1626" t="s">
        <v>20</v>
      </c>
      <c r="K1835" s="1626"/>
      <c r="L1835" s="1626"/>
      <c r="M1835" s="7"/>
      <c r="N1835" s="1626" t="s">
        <v>21</v>
      </c>
      <c r="O1835" s="1626"/>
      <c r="P1835" s="7"/>
    </row>
    <row r="1836" spans="1:16" ht="12.75" customHeight="1" x14ac:dyDescent="0.2">
      <c r="A1836" s="7"/>
      <c r="B1836" s="647"/>
      <c r="C1836" s="7"/>
      <c r="D1836" s="1626" t="s">
        <v>22</v>
      </c>
      <c r="E1836" s="20"/>
      <c r="F1836" s="21" t="s">
        <v>23</v>
      </c>
      <c r="G1836" s="21" t="s">
        <v>24</v>
      </c>
      <c r="H1836" s="22" t="s">
        <v>25</v>
      </c>
      <c r="I1836" s="7"/>
      <c r="J1836" s="21" t="s">
        <v>23</v>
      </c>
      <c r="K1836" s="23" t="s">
        <v>24</v>
      </c>
      <c r="L1836" s="22" t="s">
        <v>25</v>
      </c>
      <c r="M1836" s="7"/>
      <c r="N1836" s="1626" t="s">
        <v>26</v>
      </c>
      <c r="O1836" s="1626" t="s">
        <v>27</v>
      </c>
      <c r="P1836" s="7"/>
    </row>
    <row r="1837" spans="1:16" x14ac:dyDescent="0.2">
      <c r="A1837" s="7"/>
      <c r="B1837" s="647"/>
      <c r="C1837" s="7"/>
      <c r="D1837" s="1626"/>
      <c r="E1837" s="20"/>
      <c r="F1837" s="24" t="s">
        <v>452</v>
      </c>
      <c r="G1837" s="24"/>
      <c r="H1837" s="25" t="s">
        <v>452</v>
      </c>
      <c r="I1837" s="7"/>
      <c r="J1837" s="24" t="s">
        <v>452</v>
      </c>
      <c r="K1837" s="25"/>
      <c r="L1837" s="25" t="s">
        <v>452</v>
      </c>
      <c r="M1837" s="7"/>
      <c r="N1837" s="1626"/>
      <c r="O1837" s="1626"/>
      <c r="P1837" s="7"/>
    </row>
    <row r="1838" spans="1:16" x14ac:dyDescent="0.2">
      <c r="A1838" s="7"/>
      <c r="B1838" s="26" t="s">
        <v>28</v>
      </c>
      <c r="C1838" s="26"/>
      <c r="D1838" s="1005" t="s">
        <v>1130</v>
      </c>
      <c r="E1838" s="27"/>
      <c r="F1838" s="1006">
        <v>2.14</v>
      </c>
      <c r="G1838" s="32">
        <v>1</v>
      </c>
      <c r="H1838" s="1007">
        <f>G1838*F1838</f>
        <v>2.14</v>
      </c>
      <c r="I1838" s="30"/>
      <c r="J1838" s="1008">
        <v>2.54</v>
      </c>
      <c r="K1838" s="33">
        <v>1</v>
      </c>
      <c r="L1838" s="1007">
        <f>K1838*J1838</f>
        <v>2.54</v>
      </c>
      <c r="M1838" s="30"/>
      <c r="N1838" s="34">
        <f>L1838-H1838</f>
        <v>0.39999999999999991</v>
      </c>
      <c r="O1838" s="202">
        <f>IF((H1838)=0,"",(N1838/H1838))</f>
        <v>0.18691588785046723</v>
      </c>
      <c r="P1838" s="7"/>
    </row>
    <row r="1839" spans="1:16" x14ac:dyDescent="0.2">
      <c r="A1839" s="7"/>
      <c r="B1839" s="26" t="s">
        <v>29</v>
      </c>
      <c r="C1839" s="26"/>
      <c r="D1839" s="1005" t="s">
        <v>1130</v>
      </c>
      <c r="E1839" s="27"/>
      <c r="F1839" s="1006">
        <v>0</v>
      </c>
      <c r="G1839" s="32">
        <v>1</v>
      </c>
      <c r="H1839" s="1007">
        <f t="shared" ref="H1839:H1847" si="161">G1839*F1839</f>
        <v>0</v>
      </c>
      <c r="I1839" s="30"/>
      <c r="J1839" s="1008">
        <v>0</v>
      </c>
      <c r="K1839" s="33">
        <v>1</v>
      </c>
      <c r="L1839" s="1007">
        <f>K1839*J1839</f>
        <v>0</v>
      </c>
      <c r="M1839" s="30"/>
      <c r="N1839" s="34">
        <f>L1839-H1839</f>
        <v>0</v>
      </c>
      <c r="O1839" s="202" t="str">
        <f>IF((H1839)=0,"",(N1839/H1839))</f>
        <v/>
      </c>
      <c r="P1839" s="7"/>
    </row>
    <row r="1840" spans="1:16" x14ac:dyDescent="0.2">
      <c r="A1840" s="7"/>
      <c r="B1840" s="1009" t="s">
        <v>1131</v>
      </c>
      <c r="C1840" s="26"/>
      <c r="D1840" s="1005" t="s">
        <v>80</v>
      </c>
      <c r="E1840" s="27"/>
      <c r="F1840" s="1006">
        <v>-0.31519999999999998</v>
      </c>
      <c r="G1840" s="32">
        <v>0.18</v>
      </c>
      <c r="H1840" s="1007">
        <f t="shared" si="161"/>
        <v>-5.6735999999999995E-2</v>
      </c>
      <c r="I1840" s="30"/>
      <c r="J1840" s="1008">
        <v>0</v>
      </c>
      <c r="K1840" s="33">
        <v>0.18</v>
      </c>
      <c r="L1840" s="1007">
        <f t="shared" ref="L1840:L1847" si="162">K1840*J1840</f>
        <v>0</v>
      </c>
      <c r="M1840" s="30"/>
      <c r="N1840" s="34">
        <f t="shared" ref="N1840:N1878" si="163">L1840-H1840</f>
        <v>5.6735999999999995E-2</v>
      </c>
      <c r="O1840" s="202">
        <f t="shared" ref="O1840:O1848" si="164">IF((H1840)=0,"",(N1840/H1840))</f>
        <v>-1</v>
      </c>
      <c r="P1840" s="7"/>
    </row>
    <row r="1841" spans="1:16" x14ac:dyDescent="0.2">
      <c r="A1841" s="7"/>
      <c r="B1841" s="1009" t="s">
        <v>36</v>
      </c>
      <c r="C1841" s="26"/>
      <c r="D1841" s="1005" t="s">
        <v>1130</v>
      </c>
      <c r="E1841" s="27"/>
      <c r="F1841" s="1006">
        <v>0.25</v>
      </c>
      <c r="G1841" s="32">
        <v>1</v>
      </c>
      <c r="H1841" s="1007">
        <f t="shared" si="161"/>
        <v>0.25</v>
      </c>
      <c r="I1841" s="30"/>
      <c r="J1841" s="1008">
        <v>0.25</v>
      </c>
      <c r="K1841" s="33">
        <v>1</v>
      </c>
      <c r="L1841" s="1007">
        <f t="shared" si="162"/>
        <v>0.25</v>
      </c>
      <c r="M1841" s="30"/>
      <c r="N1841" s="34">
        <f t="shared" si="163"/>
        <v>0</v>
      </c>
      <c r="O1841" s="202">
        <f t="shared" si="164"/>
        <v>0</v>
      </c>
      <c r="P1841" s="7"/>
    </row>
    <row r="1842" spans="1:16" x14ac:dyDescent="0.2">
      <c r="A1842" s="7"/>
      <c r="B1842" s="26" t="s">
        <v>30</v>
      </c>
      <c r="C1842" s="26"/>
      <c r="D1842" s="1005" t="s">
        <v>80</v>
      </c>
      <c r="E1842" s="27"/>
      <c r="F1842" s="1006">
        <v>16.551200000000001</v>
      </c>
      <c r="G1842" s="32">
        <v>0.18</v>
      </c>
      <c r="H1842" s="1007">
        <f t="shared" si="161"/>
        <v>2.9792160000000001</v>
      </c>
      <c r="I1842" s="30"/>
      <c r="J1842" s="1008">
        <v>19.656500000000001</v>
      </c>
      <c r="K1842" s="32">
        <v>0.18</v>
      </c>
      <c r="L1842" s="1007">
        <f t="shared" si="162"/>
        <v>3.53817</v>
      </c>
      <c r="M1842" s="30"/>
      <c r="N1842" s="34">
        <f t="shared" si="163"/>
        <v>0.55895399999999995</v>
      </c>
      <c r="O1842" s="202">
        <f t="shared" si="164"/>
        <v>0.18761781623084728</v>
      </c>
      <c r="P1842" s="7"/>
    </row>
    <row r="1843" spans="1:16" x14ac:dyDescent="0.2">
      <c r="A1843" s="7"/>
      <c r="B1843" s="26" t="s">
        <v>31</v>
      </c>
      <c r="C1843" s="26"/>
      <c r="D1843" s="1005"/>
      <c r="E1843" s="27"/>
      <c r="F1843" s="1006"/>
      <c r="G1843" s="32"/>
      <c r="H1843" s="1007">
        <f t="shared" si="161"/>
        <v>0</v>
      </c>
      <c r="I1843" s="30"/>
      <c r="J1843" s="1008"/>
      <c r="K1843" s="32"/>
      <c r="L1843" s="1007">
        <f t="shared" si="162"/>
        <v>0</v>
      </c>
      <c r="M1843" s="30"/>
      <c r="N1843" s="34">
        <f t="shared" si="163"/>
        <v>0</v>
      </c>
      <c r="O1843" s="202" t="str">
        <f t="shared" si="164"/>
        <v/>
      </c>
      <c r="P1843" s="7"/>
    </row>
    <row r="1844" spans="1:16" x14ac:dyDescent="0.2">
      <c r="A1844" s="7"/>
      <c r="B1844" s="26" t="s">
        <v>1132</v>
      </c>
      <c r="C1844" s="26"/>
      <c r="D1844" s="1005" t="s">
        <v>80</v>
      </c>
      <c r="E1844" s="27"/>
      <c r="F1844" s="1006">
        <v>0</v>
      </c>
      <c r="G1844" s="32">
        <v>0.18</v>
      </c>
      <c r="H1844" s="1007">
        <f t="shared" si="161"/>
        <v>0</v>
      </c>
      <c r="I1844" s="30"/>
      <c r="J1844" s="1008">
        <v>0</v>
      </c>
      <c r="K1844" s="32">
        <v>0.18</v>
      </c>
      <c r="L1844" s="1007">
        <f t="shared" si="162"/>
        <v>0</v>
      </c>
      <c r="M1844" s="30"/>
      <c r="N1844" s="34">
        <f t="shared" si="163"/>
        <v>0</v>
      </c>
      <c r="O1844" s="202" t="str">
        <f t="shared" si="164"/>
        <v/>
      </c>
      <c r="P1844" s="7"/>
    </row>
    <row r="1845" spans="1:16" x14ac:dyDescent="0.2">
      <c r="A1845" s="7"/>
      <c r="B1845" s="26" t="s">
        <v>1133</v>
      </c>
      <c r="C1845" s="26"/>
      <c r="D1845" s="1005" t="s">
        <v>80</v>
      </c>
      <c r="E1845" s="27"/>
      <c r="F1845" s="1006">
        <v>0</v>
      </c>
      <c r="G1845" s="32">
        <v>0.18</v>
      </c>
      <c r="H1845" s="1007">
        <f t="shared" si="161"/>
        <v>0</v>
      </c>
      <c r="I1845" s="30"/>
      <c r="J1845" s="1008">
        <v>0</v>
      </c>
      <c r="K1845" s="32">
        <v>0.18</v>
      </c>
      <c r="L1845" s="1007">
        <f t="shared" si="162"/>
        <v>0</v>
      </c>
      <c r="M1845" s="30"/>
      <c r="N1845" s="34">
        <f t="shared" si="163"/>
        <v>0</v>
      </c>
      <c r="O1845" s="202" t="str">
        <f t="shared" si="164"/>
        <v/>
      </c>
      <c r="P1845" s="7"/>
    </row>
    <row r="1846" spans="1:16" x14ac:dyDescent="0.2">
      <c r="A1846" s="7"/>
      <c r="B1846" s="26" t="s">
        <v>1134</v>
      </c>
      <c r="C1846" s="26"/>
      <c r="D1846" s="1005" t="s">
        <v>80</v>
      </c>
      <c r="E1846" s="27"/>
      <c r="F1846" s="1006">
        <v>0</v>
      </c>
      <c r="G1846" s="32">
        <v>0.18</v>
      </c>
      <c r="H1846" s="1007">
        <f t="shared" si="161"/>
        <v>0</v>
      </c>
      <c r="I1846" s="30"/>
      <c r="J1846" s="1008">
        <v>0</v>
      </c>
      <c r="K1846" s="32">
        <v>0.18</v>
      </c>
      <c r="L1846" s="1007">
        <f t="shared" si="162"/>
        <v>0</v>
      </c>
      <c r="M1846" s="30"/>
      <c r="N1846" s="34">
        <f t="shared" si="163"/>
        <v>0</v>
      </c>
      <c r="O1846" s="202" t="str">
        <f t="shared" si="164"/>
        <v/>
      </c>
      <c r="P1846" s="7"/>
    </row>
    <row r="1847" spans="1:16" x14ac:dyDescent="0.2">
      <c r="A1847" s="7"/>
      <c r="B1847" s="1010" t="s">
        <v>1135</v>
      </c>
      <c r="C1847" s="26"/>
      <c r="D1847" s="1005" t="s">
        <v>1130</v>
      </c>
      <c r="E1847" s="27"/>
      <c r="F1847" s="1006">
        <v>0</v>
      </c>
      <c r="G1847" s="32">
        <v>1</v>
      </c>
      <c r="H1847" s="1007">
        <f t="shared" si="161"/>
        <v>0</v>
      </c>
      <c r="I1847" s="30"/>
      <c r="J1847" s="1008">
        <v>0</v>
      </c>
      <c r="K1847" s="32">
        <v>1</v>
      </c>
      <c r="L1847" s="1007">
        <f t="shared" si="162"/>
        <v>0</v>
      </c>
      <c r="M1847" s="30"/>
      <c r="N1847" s="34">
        <f t="shared" si="163"/>
        <v>0</v>
      </c>
      <c r="O1847" s="202" t="str">
        <f t="shared" si="164"/>
        <v/>
      </c>
      <c r="P1847" s="7"/>
    </row>
    <row r="1848" spans="1:16" x14ac:dyDescent="0.2">
      <c r="A1848" s="29"/>
      <c r="B1848" s="1011" t="s">
        <v>698</v>
      </c>
      <c r="C1848" s="1012"/>
      <c r="D1848" s="1013"/>
      <c r="E1848" s="1012"/>
      <c r="F1848" s="1014"/>
      <c r="G1848" s="1015"/>
      <c r="H1848" s="1016">
        <f>SUM(H1838:H1847)</f>
        <v>5.3124800000000008</v>
      </c>
      <c r="I1848" s="1017"/>
      <c r="J1848" s="1018"/>
      <c r="K1848" s="1019"/>
      <c r="L1848" s="1016">
        <f>SUM(L1838:L1847)</f>
        <v>6.3281700000000001</v>
      </c>
      <c r="M1848" s="1017"/>
      <c r="N1848" s="1020">
        <f t="shared" si="163"/>
        <v>1.0156899999999993</v>
      </c>
      <c r="O1848" s="1021">
        <f t="shared" si="164"/>
        <v>0.19118942565430819</v>
      </c>
      <c r="P1848" s="29"/>
    </row>
    <row r="1849" spans="1:16" ht="38.25" x14ac:dyDescent="0.2">
      <c r="A1849" s="7"/>
      <c r="B1849" s="1022" t="s">
        <v>1136</v>
      </c>
      <c r="C1849" s="26"/>
      <c r="D1849" s="1005" t="s">
        <v>80</v>
      </c>
      <c r="E1849" s="27"/>
      <c r="F1849" s="1006">
        <v>0.42120000000000002</v>
      </c>
      <c r="G1849" s="32">
        <v>0.18</v>
      </c>
      <c r="H1849" s="1007">
        <f>G1849*F1849</f>
        <v>7.5815999999999995E-2</v>
      </c>
      <c r="I1849" s="30"/>
      <c r="J1849" s="1008">
        <v>0</v>
      </c>
      <c r="K1849" s="32">
        <v>0.18</v>
      </c>
      <c r="L1849" s="1007">
        <f>K1849*J1849</f>
        <v>0</v>
      </c>
      <c r="M1849" s="30"/>
      <c r="N1849" s="34">
        <f t="shared" si="163"/>
        <v>-7.5815999999999995E-2</v>
      </c>
      <c r="O1849" s="202">
        <f>IF((H1849)=0,"",(N1849/H1849))</f>
        <v>-1</v>
      </c>
      <c r="P1849" s="7"/>
    </row>
    <row r="1850" spans="1:16" ht="38.25" x14ac:dyDescent="0.2">
      <c r="A1850" s="7"/>
      <c r="B1850" s="1022" t="s">
        <v>1137</v>
      </c>
      <c r="C1850" s="26"/>
      <c r="D1850" s="1005" t="s">
        <v>80</v>
      </c>
      <c r="E1850" s="27"/>
      <c r="F1850" s="1006">
        <v>-0.69640000000000002</v>
      </c>
      <c r="G1850" s="32">
        <v>0.18</v>
      </c>
      <c r="H1850" s="1007">
        <f>G1850*F1850</f>
        <v>-0.12535199999999999</v>
      </c>
      <c r="I1850" s="30"/>
      <c r="J1850" s="1008">
        <v>-0.69640000000000002</v>
      </c>
      <c r="K1850" s="32">
        <v>0.18</v>
      </c>
      <c r="L1850" s="1007">
        <f>K1850*J1850</f>
        <v>-0.12535199999999999</v>
      </c>
      <c r="M1850" s="30"/>
      <c r="N1850" s="34">
        <f t="shared" si="163"/>
        <v>0</v>
      </c>
      <c r="O1850" s="202">
        <f>IF((H1850)=0,"",(N1850/H1850))</f>
        <v>0</v>
      </c>
      <c r="P1850" s="7"/>
    </row>
    <row r="1851" spans="1:16" ht="51" x14ac:dyDescent="0.2">
      <c r="A1851" s="7"/>
      <c r="B1851" s="1022" t="s">
        <v>1138</v>
      </c>
      <c r="C1851" s="26"/>
      <c r="D1851" s="1005" t="s">
        <v>80</v>
      </c>
      <c r="E1851" s="27"/>
      <c r="F1851" s="1006">
        <v>0</v>
      </c>
      <c r="G1851" s="32">
        <v>0.18</v>
      </c>
      <c r="H1851" s="1007">
        <f>G1851*F1851</f>
        <v>0</v>
      </c>
      <c r="I1851" s="30"/>
      <c r="J1851" s="1008">
        <v>-0.47860000000000003</v>
      </c>
      <c r="K1851" s="32">
        <v>0.18</v>
      </c>
      <c r="L1851" s="1007">
        <f>K1851*J1851</f>
        <v>-8.6148000000000002E-2</v>
      </c>
      <c r="M1851" s="30"/>
      <c r="N1851" s="34">
        <f t="shared" si="163"/>
        <v>-8.6148000000000002E-2</v>
      </c>
      <c r="O1851" s="202" t="str">
        <f>IF((H1851)=0,"",(N1851/H1851))</f>
        <v/>
      </c>
      <c r="P1851" s="7"/>
    </row>
    <row r="1852" spans="1:16" x14ac:dyDescent="0.2">
      <c r="A1852" s="7"/>
      <c r="B1852" s="564" t="s">
        <v>808</v>
      </c>
      <c r="C1852" s="26"/>
      <c r="D1852" s="1005" t="s">
        <v>80</v>
      </c>
      <c r="E1852" s="27"/>
      <c r="F1852" s="1006">
        <v>5.5800000000000002E-2</v>
      </c>
      <c r="G1852" s="32">
        <v>0.18</v>
      </c>
      <c r="H1852" s="1007">
        <f>G1852*F1852</f>
        <v>1.0044000000000001E-2</v>
      </c>
      <c r="I1852" s="30"/>
      <c r="J1852" s="1008">
        <v>5.7799999999999997E-2</v>
      </c>
      <c r="K1852" s="32">
        <v>0.18</v>
      </c>
      <c r="L1852" s="1007">
        <f>K1852*J1852</f>
        <v>1.0403999999999998E-2</v>
      </c>
      <c r="M1852" s="30"/>
      <c r="N1852" s="34">
        <f t="shared" si="163"/>
        <v>3.5999999999999747E-4</v>
      </c>
      <c r="O1852" s="202">
        <f>IF((H1852)=0,"",(N1852/H1852))</f>
        <v>3.5842293906809784E-2</v>
      </c>
      <c r="P1852" s="7"/>
    </row>
    <row r="1853" spans="1:16" x14ac:dyDescent="0.2">
      <c r="A1853" s="7"/>
      <c r="B1853" s="564" t="s">
        <v>701</v>
      </c>
      <c r="C1853" s="26"/>
      <c r="D1853" s="1005"/>
      <c r="E1853" s="27"/>
      <c r="F1853" s="1023"/>
      <c r="G1853" s="1024"/>
      <c r="H1853" s="1025"/>
      <c r="I1853" s="30"/>
      <c r="J1853" s="1008"/>
      <c r="K1853" s="32"/>
      <c r="L1853" s="1007">
        <f>K1853*J1853</f>
        <v>0</v>
      </c>
      <c r="M1853" s="30"/>
      <c r="N1853" s="34">
        <f t="shared" si="163"/>
        <v>0</v>
      </c>
      <c r="O1853" s="202"/>
      <c r="P1853" s="7"/>
    </row>
    <row r="1854" spans="1:16" ht="25.5" x14ac:dyDescent="0.2">
      <c r="A1854" s="7"/>
      <c r="B1854" s="1026" t="s">
        <v>699</v>
      </c>
      <c r="C1854" s="1027"/>
      <c r="D1854" s="1027"/>
      <c r="E1854" s="1027"/>
      <c r="F1854" s="1028"/>
      <c r="G1854" s="1029"/>
      <c r="H1854" s="1030">
        <f>SUM(H1848:H1853)</f>
        <v>5.2729879999999998</v>
      </c>
      <c r="I1854" s="1017"/>
      <c r="J1854" s="1029"/>
      <c r="K1854" s="1031"/>
      <c r="L1854" s="1030">
        <f>SUM(L1848:L1853)</f>
        <v>6.1270740000000004</v>
      </c>
      <c r="M1854" s="1017"/>
      <c r="N1854" s="1020">
        <f t="shared" si="163"/>
        <v>0.85408600000000057</v>
      </c>
      <c r="O1854" s="1021">
        <f t="shared" ref="O1854:O1878" si="165">IF((H1854)=0,"",(N1854/H1854))</f>
        <v>0.16197381826015925</v>
      </c>
      <c r="P1854" s="7"/>
    </row>
    <row r="1855" spans="1:16" x14ac:dyDescent="0.2">
      <c r="A1855" s="7"/>
      <c r="B1855" s="30" t="s">
        <v>32</v>
      </c>
      <c r="C1855" s="30"/>
      <c r="D1855" s="1032" t="s">
        <v>80</v>
      </c>
      <c r="E1855" s="31"/>
      <c r="F1855" s="1008">
        <v>1.9341999999999999</v>
      </c>
      <c r="G1855">
        <f>0.18</f>
        <v>0.18</v>
      </c>
      <c r="H1855" s="1007">
        <f>G1855*F1855</f>
        <v>0.34815599999999997</v>
      </c>
      <c r="I1855" s="30"/>
      <c r="J1855" s="1008">
        <v>1.7788999999999999</v>
      </c>
      <c r="K1855">
        <f>0.18</f>
        <v>0.18</v>
      </c>
      <c r="L1855" s="1007">
        <f>K1855*J1855</f>
        <v>0.32020199999999999</v>
      </c>
      <c r="M1855" s="30"/>
      <c r="N1855" s="34">
        <f t="shared" si="163"/>
        <v>-2.7953999999999979E-2</v>
      </c>
      <c r="O1855" s="202">
        <f t="shared" si="165"/>
        <v>-8.0291593423637633E-2</v>
      </c>
      <c r="P1855" s="7"/>
    </row>
    <row r="1856" spans="1:16" ht="25.5" x14ac:dyDescent="0.2">
      <c r="A1856" s="7"/>
      <c r="B1856" s="35" t="s">
        <v>33</v>
      </c>
      <c r="C1856" s="30"/>
      <c r="D1856" s="1032" t="s">
        <v>80</v>
      </c>
      <c r="E1856" s="31"/>
      <c r="F1856" s="1008">
        <v>1.5461</v>
      </c>
      <c r="G1856">
        <f>G1855</f>
        <v>0.18</v>
      </c>
      <c r="H1856" s="1007">
        <f>G1856*F1856</f>
        <v>0.27829799999999999</v>
      </c>
      <c r="I1856" s="30"/>
      <c r="J1856" s="1008">
        <v>1.4892000000000001</v>
      </c>
      <c r="K1856">
        <f>K1855</f>
        <v>0.18</v>
      </c>
      <c r="L1856" s="1007">
        <f>K1856*J1856</f>
        <v>0.26805600000000002</v>
      </c>
      <c r="M1856" s="30"/>
      <c r="N1856" s="34">
        <f t="shared" si="163"/>
        <v>-1.0241999999999973E-2</v>
      </c>
      <c r="O1856" s="202">
        <f t="shared" si="165"/>
        <v>-3.6802276696203257E-2</v>
      </c>
      <c r="P1856" s="7"/>
    </row>
    <row r="1857" spans="1:16" ht="25.5" x14ac:dyDescent="0.2">
      <c r="A1857" s="7"/>
      <c r="B1857" s="1026" t="s">
        <v>700</v>
      </c>
      <c r="C1857" s="1012"/>
      <c r="D1857" s="1012"/>
      <c r="E1857" s="1012"/>
      <c r="F1857" s="1033"/>
      <c r="G1857" s="1029"/>
      <c r="H1857" s="1030">
        <f>SUM(H1854:H1856)</f>
        <v>5.8994420000000005</v>
      </c>
      <c r="I1857" s="1034"/>
      <c r="J1857" s="1035"/>
      <c r="K1857" s="1036"/>
      <c r="L1857" s="1030">
        <f>SUM(L1854:L1856)</f>
        <v>6.7153320000000001</v>
      </c>
      <c r="M1857" s="1034"/>
      <c r="N1857" s="1020">
        <f t="shared" si="163"/>
        <v>0.81588999999999956</v>
      </c>
      <c r="O1857" s="1021">
        <f t="shared" si="165"/>
        <v>0.1382995205309247</v>
      </c>
      <c r="P1857" s="7"/>
    </row>
    <row r="1858" spans="1:16" ht="25.5" x14ac:dyDescent="0.2">
      <c r="A1858" s="7"/>
      <c r="B1858" s="28" t="s">
        <v>34</v>
      </c>
      <c r="C1858" s="26"/>
      <c r="D1858" s="1005" t="s">
        <v>79</v>
      </c>
      <c r="E1858" s="27"/>
      <c r="F1858" s="1037">
        <v>5.1999999999999998E-3</v>
      </c>
      <c r="G1858" s="667">
        <f>F1833*(1+F1881)</f>
        <v>89.061600000000013</v>
      </c>
      <c r="H1858" s="1038">
        <f t="shared" ref="H1858:H1866" si="166">G1858*F1858</f>
        <v>0.46312032000000003</v>
      </c>
      <c r="I1858" s="30"/>
      <c r="J1858" s="1039">
        <v>5.1999999999999998E-3</v>
      </c>
      <c r="K1858" s="668">
        <f>F1833*(1+J1881)</f>
        <v>89.616649527995307</v>
      </c>
      <c r="L1858" s="1038">
        <f t="shared" ref="L1858:L1866" si="167">K1858*J1858</f>
        <v>0.46600657754557556</v>
      </c>
      <c r="M1858" s="30"/>
      <c r="N1858" s="34">
        <f t="shared" si="163"/>
        <v>2.8862575455755324E-3</v>
      </c>
      <c r="O1858" s="565">
        <f t="shared" si="165"/>
        <v>6.2321980291763753E-3</v>
      </c>
      <c r="P1858" s="7"/>
    </row>
    <row r="1859" spans="1:16" ht="25.5" x14ac:dyDescent="0.2">
      <c r="A1859" s="7"/>
      <c r="B1859" s="28" t="s">
        <v>35</v>
      </c>
      <c r="C1859" s="26"/>
      <c r="D1859" s="1005" t="s">
        <v>79</v>
      </c>
      <c r="E1859" s="27"/>
      <c r="F1859" s="1037">
        <v>1.1000000000000001E-3</v>
      </c>
      <c r="G1859" s="667">
        <f>F1833*(1+F1881)</f>
        <v>89.061600000000013</v>
      </c>
      <c r="H1859" s="1038">
        <f t="shared" si="166"/>
        <v>9.7967760000000015E-2</v>
      </c>
      <c r="I1859" s="30"/>
      <c r="J1859" s="1039">
        <v>1.1000000000000001E-3</v>
      </c>
      <c r="K1859" s="668">
        <f>F1833*(1+J1881)</f>
        <v>89.616649527995307</v>
      </c>
      <c r="L1859" s="1038">
        <f t="shared" si="167"/>
        <v>9.8578314480794849E-2</v>
      </c>
      <c r="M1859" s="30"/>
      <c r="N1859" s="34">
        <f t="shared" si="163"/>
        <v>6.1055448079483376E-4</v>
      </c>
      <c r="O1859" s="565">
        <f t="shared" si="165"/>
        <v>6.2321980291764724E-3</v>
      </c>
      <c r="P1859" s="7"/>
    </row>
    <row r="1860" spans="1:16" x14ac:dyDescent="0.2">
      <c r="A1860" s="7"/>
      <c r="B1860" s="26" t="s">
        <v>36</v>
      </c>
      <c r="C1860" s="26"/>
      <c r="D1860" s="1005"/>
      <c r="E1860" s="27"/>
      <c r="F1860" s="1037"/>
      <c r="G1860" s="32">
        <v>1</v>
      </c>
      <c r="H1860" s="1038">
        <f t="shared" si="166"/>
        <v>0</v>
      </c>
      <c r="I1860" s="30"/>
      <c r="J1860" s="1039"/>
      <c r="K1860" s="33">
        <v>1</v>
      </c>
      <c r="L1860" s="1038">
        <f t="shared" si="167"/>
        <v>0</v>
      </c>
      <c r="M1860" s="30"/>
      <c r="N1860" s="34">
        <f t="shared" si="163"/>
        <v>0</v>
      </c>
      <c r="O1860" s="565" t="str">
        <f t="shared" si="165"/>
        <v/>
      </c>
      <c r="P1860" s="7"/>
    </row>
    <row r="1861" spans="1:16" x14ac:dyDescent="0.2">
      <c r="A1861" s="7"/>
      <c r="B1861" s="26" t="s">
        <v>37</v>
      </c>
      <c r="C1861" s="26"/>
      <c r="D1861" s="1005" t="s">
        <v>79</v>
      </c>
      <c r="E1861" s="27"/>
      <c r="F1861" s="1037">
        <v>7.0000000000000001E-3</v>
      </c>
      <c r="G1861" s="667">
        <f>F1833</f>
        <v>86</v>
      </c>
      <c r="H1861" s="1038">
        <f t="shared" si="166"/>
        <v>0.60199999999999998</v>
      </c>
      <c r="I1861" s="30"/>
      <c r="J1861" s="1039">
        <v>7.0000000000000001E-3</v>
      </c>
      <c r="K1861" s="668">
        <f>F1833</f>
        <v>86</v>
      </c>
      <c r="L1861" s="1038">
        <f t="shared" si="167"/>
        <v>0.60199999999999998</v>
      </c>
      <c r="M1861" s="30"/>
      <c r="N1861" s="34">
        <f t="shared" si="163"/>
        <v>0</v>
      </c>
      <c r="O1861" s="565">
        <f t="shared" si="165"/>
        <v>0</v>
      </c>
      <c r="P1861" s="7"/>
    </row>
    <row r="1862" spans="1:16" x14ac:dyDescent="0.2">
      <c r="A1862" s="7"/>
      <c r="B1862" s="564" t="s">
        <v>777</v>
      </c>
      <c r="C1862" s="26"/>
      <c r="D1862" s="1005" t="s">
        <v>79</v>
      </c>
      <c r="E1862" s="27"/>
      <c r="F1862" s="1040">
        <v>7.4999999999999997E-2</v>
      </c>
      <c r="G1862" s="667">
        <f>IF($G$1858&gt;=750,750,$G$1858)</f>
        <v>89.061600000000013</v>
      </c>
      <c r="H1862" s="1038">
        <f>G1862*F1862</f>
        <v>6.6796200000000008</v>
      </c>
      <c r="I1862" s="30"/>
      <c r="J1862" s="1037">
        <v>7.4999999999999997E-2</v>
      </c>
      <c r="K1862" s="667">
        <f>IF($K$1858&gt;=750,750,$K$1858)</f>
        <v>89.616649527995307</v>
      </c>
      <c r="L1862" s="1038">
        <f>K1862*J1862</f>
        <v>6.721248714599648</v>
      </c>
      <c r="M1862" s="30"/>
      <c r="N1862" s="34">
        <f t="shared" si="163"/>
        <v>4.1628714599647232E-2</v>
      </c>
      <c r="O1862" s="565">
        <f t="shared" si="165"/>
        <v>6.2321980291763944E-3</v>
      </c>
      <c r="P1862" s="7"/>
    </row>
    <row r="1863" spans="1:16" x14ac:dyDescent="0.2">
      <c r="A1863" s="7"/>
      <c r="B1863" s="564" t="s">
        <v>778</v>
      </c>
      <c r="C1863" s="26"/>
      <c r="D1863" s="1005" t="s">
        <v>79</v>
      </c>
      <c r="E1863" s="27"/>
      <c r="F1863" s="1040">
        <v>8.7999999999999995E-2</v>
      </c>
      <c r="G1863" s="667">
        <f>IF($G$1858&gt;=750,$G$1858-750,0)</f>
        <v>0</v>
      </c>
      <c r="H1863" s="1038">
        <f>G1863*F1863</f>
        <v>0</v>
      </c>
      <c r="I1863" s="30"/>
      <c r="J1863" s="1037">
        <v>8.7999999999999995E-2</v>
      </c>
      <c r="K1863" s="667">
        <f>IF($K$1858&gt;=750,$K$1858-750,0)</f>
        <v>0</v>
      </c>
      <c r="L1863" s="1038">
        <f>K1863*J1863</f>
        <v>0</v>
      </c>
      <c r="M1863" s="30"/>
      <c r="N1863" s="34">
        <f t="shared" si="163"/>
        <v>0</v>
      </c>
      <c r="O1863" s="565" t="str">
        <f t="shared" si="165"/>
        <v/>
      </c>
      <c r="P1863" s="7"/>
    </row>
    <row r="1864" spans="1:16" x14ac:dyDescent="0.2">
      <c r="A1864" s="7"/>
      <c r="B1864" s="564" t="s">
        <v>779</v>
      </c>
      <c r="C1864" s="26"/>
      <c r="D1864" s="1005" t="s">
        <v>79</v>
      </c>
      <c r="E1864" s="27"/>
      <c r="F1864" s="1040">
        <v>6.5000000000000002E-2</v>
      </c>
      <c r="G1864" s="669">
        <f>0.64*$G$1858</f>
        <v>56.999424000000012</v>
      </c>
      <c r="H1864" s="1038">
        <f t="shared" si="166"/>
        <v>3.7049625600000007</v>
      </c>
      <c r="I1864" s="30"/>
      <c r="J1864" s="1037">
        <v>6.5000000000000002E-2</v>
      </c>
      <c r="K1864" s="1041">
        <f>0.64*$K$1858</f>
        <v>57.354655697916996</v>
      </c>
      <c r="L1864" s="1038">
        <f t="shared" si="167"/>
        <v>3.7280526203646049</v>
      </c>
      <c r="M1864" s="30"/>
      <c r="N1864" s="34">
        <f t="shared" si="163"/>
        <v>2.3090060364604259E-2</v>
      </c>
      <c r="O1864" s="565">
        <f t="shared" si="165"/>
        <v>6.2321980291763744E-3</v>
      </c>
      <c r="P1864" s="7"/>
    </row>
    <row r="1865" spans="1:16" x14ac:dyDescent="0.2">
      <c r="A1865" s="7"/>
      <c r="B1865" s="564" t="s">
        <v>780</v>
      </c>
      <c r="C1865" s="26"/>
      <c r="D1865" s="1005" t="s">
        <v>79</v>
      </c>
      <c r="E1865" s="27"/>
      <c r="F1865" s="1040">
        <v>0.1</v>
      </c>
      <c r="G1865" s="669">
        <f>0.18*$G$1858</f>
        <v>16.031088</v>
      </c>
      <c r="H1865" s="1038">
        <f t="shared" si="166"/>
        <v>1.6031088000000002</v>
      </c>
      <c r="I1865" s="30"/>
      <c r="J1865" s="1037">
        <v>0.1</v>
      </c>
      <c r="K1865" s="1041">
        <f>0.18*$K$1858</f>
        <v>16.130996915039155</v>
      </c>
      <c r="L1865" s="1038">
        <f t="shared" si="167"/>
        <v>1.6130996915039155</v>
      </c>
      <c r="M1865" s="30"/>
      <c r="N1865" s="34">
        <f t="shared" si="163"/>
        <v>9.9908915039153001E-3</v>
      </c>
      <c r="O1865" s="565">
        <f t="shared" si="165"/>
        <v>6.2321980291763718E-3</v>
      </c>
      <c r="P1865" s="7"/>
    </row>
    <row r="1866" spans="1:16" ht="13.5" thickBot="1" x14ac:dyDescent="0.25">
      <c r="A1866" s="7"/>
      <c r="B1866" s="647" t="s">
        <v>781</v>
      </c>
      <c r="C1866" s="26"/>
      <c r="D1866" s="1005" t="s">
        <v>79</v>
      </c>
      <c r="E1866" s="27"/>
      <c r="F1866" s="1040">
        <v>0.11700000000000001</v>
      </c>
      <c r="G1866" s="669">
        <f>0.18*$G$1858</f>
        <v>16.031088</v>
      </c>
      <c r="H1866" s="1038">
        <f t="shared" si="166"/>
        <v>1.8756372960000001</v>
      </c>
      <c r="I1866" s="30"/>
      <c r="J1866" s="1037">
        <v>0.11700000000000001</v>
      </c>
      <c r="K1866" s="1041">
        <f>0.18*$K$1858</f>
        <v>16.130996915039155</v>
      </c>
      <c r="L1866" s="1038">
        <f t="shared" si="167"/>
        <v>1.8873266390595813</v>
      </c>
      <c r="M1866" s="30"/>
      <c r="N1866" s="34">
        <f t="shared" si="163"/>
        <v>1.1689343059581248E-2</v>
      </c>
      <c r="O1866" s="565">
        <f t="shared" si="165"/>
        <v>6.2321980291765574E-3</v>
      </c>
      <c r="P1866" s="7"/>
    </row>
    <row r="1867" spans="1:16" ht="13.5" thickBot="1" x14ac:dyDescent="0.25">
      <c r="A1867" s="7"/>
      <c r="B1867" s="1042"/>
      <c r="C1867" s="1043"/>
      <c r="D1867" s="1044"/>
      <c r="E1867" s="1043"/>
      <c r="F1867" s="1045"/>
      <c r="G1867" s="1046"/>
      <c r="H1867" s="1047"/>
      <c r="I1867" s="1048"/>
      <c r="J1867" s="1045"/>
      <c r="K1867" s="1049"/>
      <c r="L1867" s="1047"/>
      <c r="M1867" s="1048"/>
      <c r="N1867" s="1050"/>
      <c r="O1867" s="1051"/>
      <c r="P1867" s="7"/>
    </row>
    <row r="1868" spans="1:16" x14ac:dyDescent="0.2">
      <c r="A1868" s="7"/>
      <c r="B1868" s="36" t="s">
        <v>782</v>
      </c>
      <c r="C1868" s="26"/>
      <c r="D1868" s="26"/>
      <c r="E1868" s="26"/>
      <c r="F1868" s="662"/>
      <c r="G1868" s="652"/>
      <c r="H1868" s="656">
        <f>SUM(H1857:H1863)</f>
        <v>13.742150080000002</v>
      </c>
      <c r="I1868" s="660"/>
      <c r="J1868" s="661"/>
      <c r="K1868" s="661"/>
      <c r="L1868" s="655">
        <f>SUM(L1857:L1863)</f>
        <v>14.603165606626019</v>
      </c>
      <c r="M1868" s="654"/>
      <c r="N1868" s="659">
        <f t="shared" si="163"/>
        <v>0.86101552662601755</v>
      </c>
      <c r="O1868" s="657">
        <f t="shared" si="165"/>
        <v>6.265508101815298E-2</v>
      </c>
      <c r="P1868" s="7"/>
    </row>
    <row r="1869" spans="1:16" ht="12.75" customHeight="1" x14ac:dyDescent="0.2">
      <c r="A1869" s="7"/>
      <c r="B1869" s="650" t="s">
        <v>38</v>
      </c>
      <c r="C1869" s="26"/>
      <c r="D1869" s="26"/>
      <c r="E1869" s="26"/>
      <c r="F1869" s="649">
        <v>0.13</v>
      </c>
      <c r="G1869" s="652"/>
      <c r="H1869" s="670">
        <f>H1868*F1869</f>
        <v>1.7864795104000002</v>
      </c>
      <c r="I1869" s="648"/>
      <c r="J1869" s="676">
        <v>0.13</v>
      </c>
      <c r="K1869" s="677"/>
      <c r="L1869" s="672">
        <f>L1868*J1869</f>
        <v>1.8984115288613825</v>
      </c>
      <c r="M1869" s="673"/>
      <c r="N1869" s="674">
        <f t="shared" si="163"/>
        <v>0.11193201846138234</v>
      </c>
      <c r="O1869" s="675">
        <f t="shared" si="165"/>
        <v>6.2655081018153008E-2</v>
      </c>
      <c r="P1869" s="7"/>
    </row>
    <row r="1870" spans="1:16" ht="13.5" customHeight="1" x14ac:dyDescent="0.2">
      <c r="A1870" s="7"/>
      <c r="B1870" s="651" t="s">
        <v>1139</v>
      </c>
      <c r="C1870" s="26"/>
      <c r="D1870" s="26"/>
      <c r="E1870" s="26"/>
      <c r="F1870" s="658"/>
      <c r="G1870" s="653"/>
      <c r="H1870" s="670">
        <f>H1868+H1869</f>
        <v>15.528629590400001</v>
      </c>
      <c r="I1870" s="648"/>
      <c r="J1870" s="648"/>
      <c r="K1870" s="648"/>
      <c r="L1870" s="672">
        <f>L1868+L1869</f>
        <v>16.501577135487402</v>
      </c>
      <c r="M1870" s="673"/>
      <c r="N1870" s="674">
        <f t="shared" si="163"/>
        <v>0.97294754508740056</v>
      </c>
      <c r="O1870" s="675">
        <f t="shared" si="165"/>
        <v>6.2655081018153022E-2</v>
      </c>
      <c r="P1870" s="7"/>
    </row>
    <row r="1871" spans="1:16" ht="12.75" customHeight="1" x14ac:dyDescent="0.2">
      <c r="A1871" s="7"/>
      <c r="B1871" s="1626" t="s">
        <v>1140</v>
      </c>
      <c r="C1871" s="1626"/>
      <c r="D1871" s="1626"/>
      <c r="E1871" s="26"/>
      <c r="F1871" s="658"/>
      <c r="G1871" s="653"/>
      <c r="H1871" s="1052">
        <f>ROUND(-H1870*10%,2)</f>
        <v>-1.55</v>
      </c>
      <c r="I1871" s="648"/>
      <c r="J1871" s="648"/>
      <c r="K1871" s="648"/>
      <c r="L1871" s="1053">
        <f>ROUND(-L1870*10%,2)</f>
        <v>-1.65</v>
      </c>
      <c r="M1871" s="673"/>
      <c r="N1871" s="1054">
        <f t="shared" si="163"/>
        <v>-9.9999999999999867E-2</v>
      </c>
      <c r="O1871" s="1055">
        <f t="shared" si="165"/>
        <v>6.4516129032257979E-2</v>
      </c>
      <c r="P1871" s="7"/>
    </row>
    <row r="1872" spans="1:16" ht="13.5" customHeight="1" thickBot="1" x14ac:dyDescent="0.25">
      <c r="A1872" s="7"/>
      <c r="B1872" s="1626" t="s">
        <v>785</v>
      </c>
      <c r="C1872" s="1626"/>
      <c r="D1872" s="1626"/>
      <c r="E1872" s="1056"/>
      <c r="F1872" s="1057"/>
      <c r="G1872" s="1058"/>
      <c r="H1872" s="1059">
        <f>SUM(H1870:H1871)</f>
        <v>13.978629590400001</v>
      </c>
      <c r="I1872" s="1060"/>
      <c r="J1872" s="1060"/>
      <c r="K1872" s="1060"/>
      <c r="L1872" s="1061">
        <f>SUM(L1870:L1871)</f>
        <v>14.851577135487402</v>
      </c>
      <c r="M1872" s="1062"/>
      <c r="N1872" s="1063">
        <f t="shared" si="163"/>
        <v>0.87294754508740091</v>
      </c>
      <c r="O1872" s="1064">
        <f t="shared" si="165"/>
        <v>6.2448721417363302E-2</v>
      </c>
      <c r="P1872" s="7"/>
    </row>
    <row r="1873" spans="1:16" ht="13.5" thickBot="1" x14ac:dyDescent="0.25">
      <c r="A1873" s="7"/>
      <c r="B1873" s="1042"/>
      <c r="C1873" s="1043"/>
      <c r="D1873" s="1044"/>
      <c r="E1873" s="1043"/>
      <c r="F1873" s="1065"/>
      <c r="G1873" s="1066"/>
      <c r="H1873" s="1067"/>
      <c r="I1873" s="1068"/>
      <c r="J1873" s="1065"/>
      <c r="K1873" s="1046"/>
      <c r="L1873" s="1069"/>
      <c r="M1873" s="1048"/>
      <c r="N1873" s="1070"/>
      <c r="O1873" s="1051"/>
      <c r="P1873" s="7"/>
    </row>
    <row r="1874" spans="1:16" x14ac:dyDescent="0.2">
      <c r="A1874" s="7"/>
      <c r="B1874" s="36" t="s">
        <v>783</v>
      </c>
      <c r="C1874" s="26"/>
      <c r="D1874" s="26"/>
      <c r="E1874" s="26"/>
      <c r="F1874" s="662"/>
      <c r="G1874" s="652"/>
      <c r="H1874" s="656">
        <f>SUM(H1857:H1861,H1864:H1866)</f>
        <v>14.246238736000002</v>
      </c>
      <c r="I1874" s="660"/>
      <c r="J1874" s="661"/>
      <c r="K1874" s="661"/>
      <c r="L1874" s="666">
        <f>SUM(L1857:L1861,L1864:L1866)</f>
        <v>15.110395842954473</v>
      </c>
      <c r="M1874" s="654"/>
      <c r="N1874" s="659">
        <f>L1874-H1874</f>
        <v>0.86415710695447068</v>
      </c>
      <c r="O1874" s="657">
        <f>IF((H1874)=0,"",(N1874/H1874))</f>
        <v>6.0658614738131576E-2</v>
      </c>
      <c r="P1874" s="7"/>
    </row>
    <row r="1875" spans="1:16" ht="12.75" customHeight="1" x14ac:dyDescent="0.2">
      <c r="A1875" s="7"/>
      <c r="B1875" s="650" t="s">
        <v>38</v>
      </c>
      <c r="C1875" s="26"/>
      <c r="D1875" s="26"/>
      <c r="E1875" s="26"/>
      <c r="F1875" s="649">
        <v>0.13</v>
      </c>
      <c r="G1875" s="653"/>
      <c r="H1875" s="670">
        <f>H1874*F1875</f>
        <v>1.8520110356800004</v>
      </c>
      <c r="I1875" s="648"/>
      <c r="J1875" s="671">
        <v>0.13</v>
      </c>
      <c r="K1875" s="648"/>
      <c r="L1875" s="672">
        <f>L1874*J1875</f>
        <v>1.9643514595840816</v>
      </c>
      <c r="M1875" s="673"/>
      <c r="N1875" s="674">
        <f t="shared" si="163"/>
        <v>0.11234042390408128</v>
      </c>
      <c r="O1875" s="675">
        <f t="shared" si="165"/>
        <v>6.0658614738131618E-2</v>
      </c>
      <c r="P1875" s="7"/>
    </row>
    <row r="1876" spans="1:16" ht="13.5" customHeight="1" x14ac:dyDescent="0.2">
      <c r="A1876" s="7"/>
      <c r="B1876" s="651" t="s">
        <v>1139</v>
      </c>
      <c r="C1876" s="26"/>
      <c r="D1876" s="26"/>
      <c r="E1876" s="26"/>
      <c r="F1876" s="658"/>
      <c r="G1876" s="653"/>
      <c r="H1876" s="670">
        <f>H1874+H1875</f>
        <v>16.098249771680003</v>
      </c>
      <c r="I1876" s="648"/>
      <c r="J1876" s="648"/>
      <c r="K1876" s="648"/>
      <c r="L1876" s="672">
        <f>L1874+L1875</f>
        <v>17.074747302538555</v>
      </c>
      <c r="M1876" s="673"/>
      <c r="N1876" s="674">
        <f t="shared" si="163"/>
        <v>0.97649753085855195</v>
      </c>
      <c r="O1876" s="675">
        <f t="shared" si="165"/>
        <v>6.0658614738131583E-2</v>
      </c>
      <c r="P1876" s="7"/>
    </row>
    <row r="1877" spans="1:16" ht="12.75" customHeight="1" x14ac:dyDescent="0.2">
      <c r="A1877" s="7"/>
      <c r="B1877" s="1626" t="s">
        <v>1140</v>
      </c>
      <c r="C1877" s="1626"/>
      <c r="D1877" s="1626"/>
      <c r="E1877" s="26"/>
      <c r="F1877" s="658"/>
      <c r="G1877" s="653"/>
      <c r="H1877" s="1052">
        <f>ROUND(-H1876*10%,2)</f>
        <v>-1.61</v>
      </c>
      <c r="I1877" s="648"/>
      <c r="J1877" s="648"/>
      <c r="K1877" s="648"/>
      <c r="L1877" s="1053">
        <f>ROUND(-L1876*10%,2)</f>
        <v>-1.71</v>
      </c>
      <c r="M1877" s="673"/>
      <c r="N1877" s="1054">
        <f t="shared" si="163"/>
        <v>-9.9999999999999867E-2</v>
      </c>
      <c r="O1877" s="1055">
        <f t="shared" si="165"/>
        <v>6.2111801242235941E-2</v>
      </c>
      <c r="P1877" s="7"/>
    </row>
    <row r="1878" spans="1:16" ht="13.5" customHeight="1" thickBot="1" x14ac:dyDescent="0.25">
      <c r="A1878" s="7"/>
      <c r="B1878" s="1626" t="s">
        <v>784</v>
      </c>
      <c r="C1878" s="1626"/>
      <c r="D1878" s="1626"/>
      <c r="E1878" s="1056"/>
      <c r="F1878" s="1071"/>
      <c r="G1878" s="1072"/>
      <c r="H1878" s="1073">
        <f>H1876+H1877</f>
        <v>14.488249771680003</v>
      </c>
      <c r="I1878" s="1074"/>
      <c r="J1878" s="1074"/>
      <c r="K1878" s="1074"/>
      <c r="L1878" s="1075">
        <f>L1876+L1877</f>
        <v>15.364747302538554</v>
      </c>
      <c r="M1878" s="1076"/>
      <c r="N1878" s="1077">
        <f t="shared" si="163"/>
        <v>0.87649753085855053</v>
      </c>
      <c r="O1878" s="1078">
        <f t="shared" si="165"/>
        <v>6.0497130065484447E-2</v>
      </c>
      <c r="P1878" s="7"/>
    </row>
    <row r="1879" spans="1:16" ht="13.5" thickBot="1" x14ac:dyDescent="0.25">
      <c r="A1879" s="7"/>
      <c r="B1879" s="1042"/>
      <c r="C1879" s="1043"/>
      <c r="D1879" s="1044"/>
      <c r="E1879" s="1043"/>
      <c r="F1879" s="1065"/>
      <c r="G1879" s="1066"/>
      <c r="H1879" s="1067"/>
      <c r="I1879" s="1068"/>
      <c r="J1879" s="1065"/>
      <c r="K1879" s="1046"/>
      <c r="L1879" s="1069"/>
      <c r="M1879" s="1048"/>
      <c r="N1879" s="1070"/>
      <c r="O1879" s="1051"/>
      <c r="P1879" s="7"/>
    </row>
    <row r="1880" spans="1:16" x14ac:dyDescent="0.2">
      <c r="A1880" s="7"/>
      <c r="B1880" s="7"/>
      <c r="C1880" s="7"/>
      <c r="D1880" s="7"/>
      <c r="E1880" s="7"/>
      <c r="F1880" s="7"/>
      <c r="G1880" s="7"/>
      <c r="H1880" s="7"/>
      <c r="I1880" s="7"/>
      <c r="J1880" s="7"/>
      <c r="K1880" s="7"/>
      <c r="L1880" s="678"/>
      <c r="M1880" s="7"/>
      <c r="N1880" s="7"/>
      <c r="O1880" s="7"/>
      <c r="P1880" s="7"/>
    </row>
    <row r="1881" spans="1:16" x14ac:dyDescent="0.2">
      <c r="A1881" s="7"/>
      <c r="B1881" s="8" t="s">
        <v>39</v>
      </c>
      <c r="C1881" s="7"/>
      <c r="D1881" s="7"/>
      <c r="E1881" s="7"/>
      <c r="F1881" s="1079">
        <v>3.5600000000000076E-2</v>
      </c>
      <c r="G1881" s="7"/>
      <c r="H1881" s="7"/>
      <c r="I1881" s="7"/>
      <c r="J1881" s="1079">
        <v>4.2054064279015257E-2</v>
      </c>
      <c r="K1881" s="7"/>
      <c r="L1881" s="7"/>
      <c r="M1881" s="7"/>
      <c r="N1881" s="7"/>
      <c r="O1881" s="7"/>
      <c r="P1881" s="7"/>
    </row>
    <row r="1882" spans="1:16" x14ac:dyDescent="0.2">
      <c r="A1882" s="7"/>
      <c r="B1882" s="7"/>
      <c r="C1882" s="7"/>
      <c r="D1882" s="7"/>
      <c r="E1882" s="7"/>
      <c r="F1882" s="7"/>
      <c r="G1882" s="7"/>
      <c r="H1882" s="7"/>
      <c r="I1882" s="7"/>
      <c r="J1882" s="7"/>
      <c r="K1882" s="7"/>
      <c r="L1882" s="7"/>
      <c r="M1882" s="7"/>
      <c r="N1882" s="7"/>
      <c r="O1882" s="7"/>
      <c r="P1882" s="7"/>
    </row>
    <row r="1883" spans="1:16" ht="14.25" x14ac:dyDescent="0.2">
      <c r="A1883" s="214" t="s">
        <v>1141</v>
      </c>
      <c r="B1883" s="7"/>
      <c r="C1883" s="7"/>
      <c r="D1883" s="7"/>
      <c r="E1883" s="7"/>
      <c r="F1883" s="7"/>
      <c r="G1883" s="7"/>
      <c r="H1883" s="7"/>
      <c r="I1883" s="7"/>
      <c r="J1883" s="7"/>
      <c r="K1883" s="7"/>
      <c r="L1883" s="7"/>
      <c r="M1883" s="7"/>
      <c r="N1883" s="7"/>
      <c r="O1883" s="7"/>
      <c r="P1883" s="7"/>
    </row>
    <row r="1884" spans="1:16" x14ac:dyDescent="0.2">
      <c r="A1884" s="7"/>
      <c r="B1884" s="7"/>
      <c r="C1884" s="7"/>
      <c r="D1884" s="7"/>
      <c r="E1884" s="7"/>
      <c r="F1884" s="7"/>
      <c r="G1884" s="7"/>
      <c r="H1884" s="7"/>
      <c r="I1884" s="7"/>
      <c r="J1884" s="7"/>
      <c r="K1884" s="7"/>
      <c r="L1884" s="7"/>
      <c r="M1884" s="7"/>
      <c r="N1884" s="7"/>
      <c r="O1884" s="7"/>
      <c r="P1884" s="7"/>
    </row>
    <row r="1885" spans="1:16" x14ac:dyDescent="0.2">
      <c r="A1885" s="7" t="s">
        <v>107</v>
      </c>
      <c r="B1885" s="7"/>
      <c r="C1885" s="7"/>
      <c r="D1885" s="7"/>
      <c r="E1885" s="7"/>
      <c r="F1885" s="7"/>
      <c r="G1885" s="7"/>
      <c r="H1885" s="7"/>
      <c r="I1885" s="7"/>
      <c r="J1885" s="7"/>
      <c r="K1885" s="7"/>
      <c r="L1885" s="7"/>
      <c r="M1885" s="7"/>
      <c r="N1885" s="7"/>
      <c r="O1885" s="7"/>
      <c r="P1885" s="7"/>
    </row>
    <row r="1886" spans="1:16" x14ac:dyDescent="0.2">
      <c r="A1886" s="7" t="s">
        <v>108</v>
      </c>
      <c r="B1886" s="7"/>
      <c r="C1886" s="7"/>
      <c r="D1886" s="7"/>
      <c r="E1886" s="7"/>
      <c r="F1886" s="7"/>
      <c r="G1886" s="7"/>
      <c r="H1886" s="7"/>
      <c r="I1886" s="7"/>
      <c r="J1886" s="7"/>
      <c r="K1886" s="7"/>
      <c r="L1886" s="7"/>
      <c r="M1886" s="7"/>
      <c r="N1886" s="7"/>
      <c r="O1886" s="7"/>
      <c r="P1886" s="7"/>
    </row>
    <row r="1887" spans="1:16" x14ac:dyDescent="0.2">
      <c r="A1887" s="7"/>
      <c r="B1887" s="7"/>
      <c r="C1887" s="7"/>
      <c r="D1887" s="7"/>
      <c r="E1887" s="7"/>
      <c r="F1887" s="7"/>
      <c r="G1887" s="7"/>
      <c r="H1887" s="7"/>
      <c r="I1887" s="7"/>
      <c r="J1887" s="7"/>
      <c r="K1887" s="7"/>
      <c r="L1887" s="7"/>
      <c r="M1887" s="7"/>
      <c r="N1887" s="7"/>
      <c r="O1887" s="7"/>
      <c r="P1887" s="7"/>
    </row>
    <row r="1888" spans="1:16" x14ac:dyDescent="0.2">
      <c r="A1888" s="7" t="s">
        <v>331</v>
      </c>
      <c r="B1888" s="7"/>
      <c r="C1888" s="7"/>
      <c r="D1888" s="7"/>
      <c r="E1888" s="7"/>
      <c r="F1888" s="7"/>
      <c r="G1888" s="7"/>
      <c r="H1888" s="7"/>
      <c r="I1888" s="7"/>
      <c r="J1888" s="7"/>
      <c r="K1888" s="7"/>
      <c r="L1888" s="7"/>
      <c r="M1888" s="7"/>
      <c r="N1888" s="7"/>
      <c r="O1888" s="7"/>
      <c r="P1888" s="7"/>
    </row>
    <row r="1889" spans="1:16" x14ac:dyDescent="0.2">
      <c r="A1889" s="7" t="s">
        <v>109</v>
      </c>
      <c r="B1889" s="7"/>
      <c r="C1889" s="7"/>
      <c r="D1889" s="7"/>
      <c r="E1889" s="7"/>
      <c r="F1889" s="7"/>
      <c r="G1889" s="7"/>
      <c r="H1889" s="7"/>
      <c r="I1889" s="7"/>
      <c r="J1889" s="7"/>
      <c r="K1889" s="7"/>
      <c r="L1889" s="7"/>
      <c r="M1889" s="7"/>
      <c r="N1889" s="7"/>
      <c r="O1889" s="7"/>
      <c r="P1889" s="7"/>
    </row>
    <row r="1890" spans="1:16" x14ac:dyDescent="0.2">
      <c r="A1890" s="7"/>
      <c r="B1890" s="7"/>
      <c r="C1890" s="7"/>
      <c r="D1890" s="7"/>
      <c r="E1890" s="7"/>
      <c r="F1890" s="7"/>
      <c r="G1890" s="7"/>
      <c r="H1890" s="7"/>
      <c r="I1890" s="7"/>
      <c r="J1890" s="7"/>
      <c r="K1890" s="7"/>
      <c r="L1890" s="7"/>
      <c r="M1890" s="7"/>
      <c r="N1890" s="7"/>
      <c r="O1890" s="7"/>
      <c r="P1890" s="7"/>
    </row>
    <row r="1891" spans="1:16" x14ac:dyDescent="0.2">
      <c r="A1891" s="7" t="s">
        <v>110</v>
      </c>
      <c r="B1891" s="7"/>
      <c r="C1891" s="7"/>
      <c r="D1891" s="7"/>
      <c r="E1891" s="7"/>
      <c r="F1891" s="7"/>
      <c r="G1891" s="7"/>
      <c r="H1891" s="7"/>
      <c r="I1891" s="7"/>
      <c r="J1891" s="7"/>
      <c r="K1891" s="7"/>
      <c r="L1891" s="7"/>
      <c r="M1891" s="7"/>
      <c r="N1891" s="7"/>
      <c r="O1891" s="7"/>
      <c r="P1891" s="7"/>
    </row>
    <row r="1892" spans="1:16" x14ac:dyDescent="0.2">
      <c r="A1892" s="7" t="s">
        <v>111</v>
      </c>
      <c r="B1892" s="7"/>
      <c r="C1892" s="7"/>
      <c r="D1892" s="7"/>
      <c r="E1892" s="7"/>
      <c r="F1892" s="7"/>
      <c r="G1892" s="7"/>
      <c r="H1892" s="7"/>
      <c r="I1892" s="7"/>
      <c r="J1892" s="7"/>
      <c r="K1892" s="7"/>
      <c r="L1892" s="7"/>
      <c r="M1892" s="7"/>
      <c r="N1892" s="7"/>
      <c r="O1892" s="7"/>
      <c r="P1892" s="7"/>
    </row>
    <row r="1893" spans="1:16" x14ac:dyDescent="0.2">
      <c r="A1893" s="7" t="s">
        <v>112</v>
      </c>
      <c r="B1893" s="7"/>
      <c r="C1893" s="7"/>
      <c r="D1893" s="7"/>
      <c r="E1893" s="7"/>
      <c r="F1893" s="7"/>
      <c r="G1893" s="7"/>
      <c r="H1893" s="7"/>
      <c r="I1893" s="7"/>
      <c r="J1893" s="7"/>
      <c r="K1893" s="7"/>
      <c r="L1893" s="7"/>
      <c r="M1893" s="7"/>
      <c r="N1893" s="7"/>
      <c r="O1893" s="7"/>
      <c r="P1893" s="7"/>
    </row>
    <row r="1894" spans="1:16" x14ac:dyDescent="0.2">
      <c r="A1894" s="7" t="s">
        <v>113</v>
      </c>
      <c r="B1894" s="7"/>
      <c r="C1894" s="7"/>
      <c r="D1894" s="7"/>
      <c r="E1894" s="7"/>
      <c r="F1894" s="7"/>
      <c r="G1894" s="7"/>
      <c r="H1894" s="7"/>
      <c r="I1894" s="7"/>
      <c r="J1894" s="7"/>
      <c r="K1894" s="7"/>
      <c r="L1894" s="7"/>
      <c r="M1894" s="7"/>
      <c r="N1894" s="7"/>
      <c r="O1894" s="7"/>
      <c r="P1894" s="7"/>
    </row>
    <row r="1895" spans="1:16" x14ac:dyDescent="0.2">
      <c r="A1895" s="7" t="s">
        <v>114</v>
      </c>
      <c r="B1895" s="7"/>
      <c r="C1895" s="7"/>
      <c r="D1895" s="7"/>
      <c r="E1895" s="7"/>
      <c r="F1895" s="7"/>
      <c r="G1895" s="7"/>
      <c r="H1895" s="7"/>
      <c r="I1895" s="7"/>
      <c r="J1895" s="7"/>
      <c r="K1895" s="7"/>
      <c r="L1895" s="7"/>
      <c r="M1895" s="7"/>
      <c r="N1895" s="7"/>
      <c r="O1895" s="7"/>
      <c r="P1895" s="7"/>
    </row>
    <row r="1897" spans="1:16" ht="21.75" x14ac:dyDescent="0.2">
      <c r="A1897" s="41"/>
      <c r="B1897" s="41"/>
      <c r="C1897" s="41"/>
      <c r="D1897" s="41"/>
      <c r="E1897" s="41"/>
      <c r="F1897" s="41"/>
      <c r="G1897" s="41"/>
      <c r="H1897" s="41"/>
      <c r="I1897" s="41"/>
      <c r="J1897" s="41"/>
      <c r="K1897" s="41"/>
      <c r="L1897" s="37"/>
      <c r="M1897" s="37"/>
      <c r="N1897" s="16" t="s">
        <v>444</v>
      </c>
      <c r="O1897" s="250" t="s">
        <v>866</v>
      </c>
    </row>
    <row r="1898" spans="1:16" ht="18" x14ac:dyDescent="0.25">
      <c r="A1898" s="40"/>
      <c r="B1898" s="40"/>
      <c r="C1898" s="40"/>
      <c r="D1898" s="40"/>
      <c r="E1898" s="40"/>
      <c r="F1898" s="40"/>
      <c r="G1898" s="40"/>
      <c r="H1898" s="40"/>
      <c r="I1898" s="40"/>
      <c r="J1898" s="40"/>
      <c r="K1898" s="40"/>
      <c r="L1898" s="37"/>
      <c r="M1898" s="37"/>
      <c r="N1898" s="16" t="s">
        <v>445</v>
      </c>
      <c r="O1898" s="1001"/>
    </row>
    <row r="1899" spans="1:16" x14ac:dyDescent="0.2">
      <c r="A1899" s="1626"/>
      <c r="B1899" s="1626"/>
      <c r="C1899" s="1626"/>
      <c r="D1899" s="1626"/>
      <c r="E1899" s="1626"/>
      <c r="F1899" s="1626"/>
      <c r="G1899" s="1626"/>
      <c r="H1899" s="1626"/>
      <c r="I1899" s="1626"/>
      <c r="J1899" s="1626"/>
      <c r="K1899" s="1626"/>
      <c r="L1899" s="37"/>
      <c r="M1899" s="37"/>
      <c r="N1899" s="16" t="s">
        <v>446</v>
      </c>
      <c r="O1899" s="1001"/>
    </row>
    <row r="1900" spans="1:16" ht="18" x14ac:dyDescent="0.25">
      <c r="A1900" s="40"/>
      <c r="B1900" s="40"/>
      <c r="C1900" s="40"/>
      <c r="D1900" s="40"/>
      <c r="E1900" s="40"/>
      <c r="F1900" s="40"/>
      <c r="G1900" s="40"/>
      <c r="H1900" s="40"/>
      <c r="I1900" s="38"/>
      <c r="J1900" s="38"/>
      <c r="K1900" s="38"/>
      <c r="L1900" s="37"/>
      <c r="M1900" s="37"/>
      <c r="N1900" s="16" t="s">
        <v>447</v>
      </c>
      <c r="O1900" s="1001"/>
    </row>
    <row r="1901" spans="1:16" ht="15.75" x14ac:dyDescent="0.25">
      <c r="A1901" s="37"/>
      <c r="B1901" s="37"/>
      <c r="C1901" s="39"/>
      <c r="D1901" s="39"/>
      <c r="E1901" s="39"/>
      <c r="F1901" s="37"/>
      <c r="G1901" s="37"/>
      <c r="H1901" s="37"/>
      <c r="I1901" s="37"/>
      <c r="J1901" s="37"/>
      <c r="K1901" s="37"/>
      <c r="L1901" s="37"/>
      <c r="M1901" s="37"/>
      <c r="N1901" s="16" t="s">
        <v>448</v>
      </c>
      <c r="O1901" s="1002" t="s">
        <v>1168</v>
      </c>
    </row>
    <row r="1902" spans="1:16" x14ac:dyDescent="0.2">
      <c r="A1902" s="37"/>
      <c r="B1902" s="37"/>
      <c r="C1902" s="37"/>
      <c r="D1902" s="37"/>
      <c r="E1902" s="37"/>
      <c r="F1902" s="37"/>
      <c r="G1902" s="37"/>
      <c r="H1902" s="37"/>
      <c r="I1902" s="37"/>
      <c r="J1902" s="37"/>
      <c r="K1902" s="37"/>
      <c r="L1902" s="37"/>
      <c r="M1902" s="37"/>
      <c r="N1902" s="16"/>
      <c r="O1902" s="250"/>
    </row>
    <row r="1903" spans="1:16" x14ac:dyDescent="0.2">
      <c r="A1903" s="37"/>
      <c r="B1903" s="37"/>
      <c r="C1903" s="37"/>
      <c r="D1903" s="37"/>
      <c r="E1903" s="37"/>
      <c r="F1903" s="37"/>
      <c r="G1903" s="37"/>
      <c r="H1903" s="37"/>
      <c r="I1903" s="37"/>
      <c r="J1903" s="37"/>
      <c r="K1903" s="37"/>
      <c r="L1903" s="37"/>
      <c r="M1903" s="37"/>
      <c r="N1903" s="16" t="s">
        <v>449</v>
      </c>
      <c r="O1903" s="1002"/>
    </row>
    <row r="1904" spans="1:16" x14ac:dyDescent="0.2">
      <c r="A1904" s="37"/>
      <c r="B1904" s="37"/>
      <c r="C1904" s="37"/>
      <c r="D1904" s="37"/>
      <c r="E1904" s="37"/>
      <c r="F1904" s="37"/>
      <c r="G1904" s="37"/>
      <c r="H1904" s="37"/>
      <c r="I1904" s="37"/>
      <c r="J1904" s="37"/>
      <c r="K1904" s="37"/>
      <c r="L1904" s="37"/>
      <c r="M1904" s="37"/>
      <c r="N1904" s="7"/>
    </row>
    <row r="1905" spans="1:16" x14ac:dyDescent="0.2">
      <c r="A1905" s="7"/>
      <c r="B1905" s="7"/>
      <c r="C1905" s="7"/>
      <c r="D1905" s="7"/>
      <c r="E1905" s="7"/>
      <c r="F1905" s="7"/>
      <c r="G1905" s="7"/>
      <c r="H1905" s="7"/>
      <c r="I1905" s="7"/>
      <c r="J1905" s="7"/>
      <c r="K1905" s="7"/>
    </row>
    <row r="1906" spans="1:16" x14ac:dyDescent="0.2">
      <c r="A1906" s="7"/>
      <c r="B1906" s="1626" t="s">
        <v>695</v>
      </c>
      <c r="C1906" s="1626"/>
      <c r="D1906" s="1626"/>
      <c r="E1906" s="1626"/>
      <c r="F1906" s="1626"/>
      <c r="G1906" s="1626"/>
      <c r="H1906" s="1626"/>
      <c r="I1906" s="1626"/>
      <c r="J1906" s="1626"/>
      <c r="K1906" s="1626"/>
      <c r="L1906" s="1626"/>
      <c r="M1906" s="1626"/>
      <c r="N1906" s="1626"/>
      <c r="O1906" s="1626"/>
    </row>
    <row r="1907" spans="1:16" x14ac:dyDescent="0.2">
      <c r="A1907" s="7"/>
      <c r="B1907" s="1626" t="s">
        <v>63</v>
      </c>
      <c r="C1907" s="1626"/>
      <c r="D1907" s="1626"/>
      <c r="E1907" s="1626"/>
      <c r="F1907" s="1626"/>
      <c r="G1907" s="1626"/>
      <c r="H1907" s="1626"/>
      <c r="I1907" s="1626"/>
      <c r="J1907" s="1626"/>
      <c r="K1907" s="1626"/>
      <c r="L1907" s="1626"/>
      <c r="M1907" s="1626"/>
      <c r="N1907" s="1626"/>
      <c r="O1907" s="1626"/>
    </row>
    <row r="1908" spans="1:16" x14ac:dyDescent="0.2">
      <c r="A1908" s="7"/>
      <c r="B1908" s="7"/>
      <c r="C1908" s="7"/>
      <c r="D1908" s="7"/>
      <c r="E1908" s="7"/>
      <c r="F1908" s="7"/>
      <c r="G1908" s="7"/>
      <c r="H1908" s="7"/>
      <c r="I1908" s="7"/>
      <c r="J1908" s="7"/>
      <c r="K1908" s="7"/>
    </row>
    <row r="1909" spans="1:16" x14ac:dyDescent="0.2">
      <c r="A1909" s="7"/>
      <c r="B1909" s="7"/>
      <c r="C1909" s="7"/>
      <c r="D1909" s="7"/>
      <c r="E1909" s="7"/>
      <c r="F1909" s="7"/>
      <c r="G1909" s="7"/>
      <c r="H1909" s="7"/>
      <c r="I1909" s="7"/>
      <c r="J1909" s="7"/>
      <c r="K1909" s="7"/>
    </row>
    <row r="1910" spans="1:16" x14ac:dyDescent="0.2">
      <c r="A1910" s="7"/>
      <c r="B1910" s="43" t="s">
        <v>40</v>
      </c>
      <c r="C1910" s="7"/>
      <c r="D1910" s="1626" t="s">
        <v>345</v>
      </c>
      <c r="E1910" s="1626"/>
      <c r="F1910" s="1626"/>
      <c r="G1910" s="1626"/>
      <c r="H1910" s="1626"/>
      <c r="I1910" s="1626"/>
      <c r="J1910" s="1626"/>
      <c r="K1910" s="1626"/>
      <c r="L1910" s="1626"/>
      <c r="M1910" s="1626"/>
      <c r="N1910" s="1626"/>
      <c r="O1910" s="1626"/>
      <c r="P1910" s="7"/>
    </row>
    <row r="1911" spans="1:16" ht="15.75" x14ac:dyDescent="0.25">
      <c r="A1911" s="7"/>
      <c r="B1911" s="1003"/>
      <c r="C1911" s="7"/>
      <c r="D1911" s="42"/>
      <c r="E1911" s="42"/>
      <c r="F1911" s="42"/>
      <c r="G1911" s="42"/>
      <c r="H1911" s="42"/>
      <c r="I1911" s="42"/>
      <c r="J1911" s="42"/>
      <c r="K1911" s="42"/>
      <c r="L1911" s="42"/>
      <c r="M1911" s="42"/>
      <c r="N1911" s="42"/>
      <c r="O1911" s="42"/>
      <c r="P1911" s="7"/>
    </row>
    <row r="1912" spans="1:16" x14ac:dyDescent="0.2">
      <c r="A1912" s="7"/>
      <c r="B1912" s="647"/>
      <c r="C1912" s="7"/>
      <c r="D1912" s="8" t="s">
        <v>17</v>
      </c>
      <c r="E1912" s="8"/>
      <c r="F1912" s="1004">
        <v>749249</v>
      </c>
      <c r="G1912" s="8" t="s">
        <v>18</v>
      </c>
      <c r="H1912" s="7"/>
      <c r="I1912" s="7"/>
      <c r="J1912" s="7"/>
      <c r="K1912" s="7"/>
      <c r="L1912" s="7"/>
      <c r="M1912" s="7"/>
      <c r="N1912" s="7"/>
      <c r="O1912" s="7"/>
      <c r="P1912" s="7"/>
    </row>
    <row r="1913" spans="1:16" ht="12.75" customHeight="1" x14ac:dyDescent="0.2">
      <c r="A1913" s="7"/>
      <c r="B1913" s="647"/>
      <c r="C1913" s="7"/>
      <c r="D1913" s="7"/>
      <c r="E1913" s="7"/>
      <c r="F1913" s="7"/>
      <c r="G1913" s="7"/>
      <c r="H1913" s="7"/>
      <c r="I1913" s="7"/>
      <c r="J1913" s="7"/>
      <c r="K1913" s="7"/>
      <c r="L1913" s="7"/>
      <c r="M1913" s="7"/>
      <c r="N1913" s="7"/>
      <c r="O1913" s="7"/>
      <c r="P1913" s="7"/>
    </row>
    <row r="1914" spans="1:16" x14ac:dyDescent="0.2">
      <c r="A1914" s="7"/>
      <c r="B1914" s="647"/>
      <c r="C1914" s="7"/>
      <c r="D1914" s="19"/>
      <c r="E1914" s="19"/>
      <c r="F1914" s="1626" t="s">
        <v>19</v>
      </c>
      <c r="G1914" s="1626"/>
      <c r="H1914" s="1626"/>
      <c r="I1914" s="7"/>
      <c r="J1914" s="1626" t="s">
        <v>20</v>
      </c>
      <c r="K1914" s="1626"/>
      <c r="L1914" s="1626"/>
      <c r="M1914" s="7"/>
      <c r="N1914" s="1626" t="s">
        <v>21</v>
      </c>
      <c r="O1914" s="1626"/>
      <c r="P1914" s="7"/>
    </row>
    <row r="1915" spans="1:16" ht="12.75" customHeight="1" x14ac:dyDescent="0.2">
      <c r="A1915" s="7"/>
      <c r="B1915" s="647"/>
      <c r="C1915" s="7"/>
      <c r="D1915" s="1626" t="s">
        <v>22</v>
      </c>
      <c r="E1915" s="20"/>
      <c r="F1915" s="21" t="s">
        <v>23</v>
      </c>
      <c r="G1915" s="21" t="s">
        <v>24</v>
      </c>
      <c r="H1915" s="22" t="s">
        <v>25</v>
      </c>
      <c r="I1915" s="7"/>
      <c r="J1915" s="21" t="s">
        <v>23</v>
      </c>
      <c r="K1915" s="23" t="s">
        <v>24</v>
      </c>
      <c r="L1915" s="22" t="s">
        <v>25</v>
      </c>
      <c r="M1915" s="7"/>
      <c r="N1915" s="1626" t="s">
        <v>26</v>
      </c>
      <c r="O1915" s="1626" t="s">
        <v>27</v>
      </c>
      <c r="P1915" s="7"/>
    </row>
    <row r="1916" spans="1:16" x14ac:dyDescent="0.2">
      <c r="A1916" s="7"/>
      <c r="B1916" s="647"/>
      <c r="C1916" s="7"/>
      <c r="D1916" s="1626"/>
      <c r="E1916" s="20"/>
      <c r="F1916" s="24" t="s">
        <v>452</v>
      </c>
      <c r="G1916" s="24"/>
      <c r="H1916" s="25" t="s">
        <v>452</v>
      </c>
      <c r="I1916" s="7"/>
      <c r="J1916" s="24" t="s">
        <v>452</v>
      </c>
      <c r="K1916" s="25"/>
      <c r="L1916" s="25" t="s">
        <v>452</v>
      </c>
      <c r="M1916" s="7"/>
      <c r="N1916" s="1626"/>
      <c r="O1916" s="1626"/>
      <c r="P1916" s="7"/>
    </row>
    <row r="1917" spans="1:16" x14ac:dyDescent="0.2">
      <c r="A1917" s="7"/>
      <c r="B1917" s="26" t="s">
        <v>28</v>
      </c>
      <c r="C1917" s="26"/>
      <c r="D1917" s="1005" t="s">
        <v>1130</v>
      </c>
      <c r="E1917" s="27"/>
      <c r="F1917" s="1006">
        <v>2.14</v>
      </c>
      <c r="G1917" s="32">
        <v>1</v>
      </c>
      <c r="H1917" s="1007">
        <f>G1917*F1917</f>
        <v>2.14</v>
      </c>
      <c r="I1917" s="30"/>
      <c r="J1917" s="1008">
        <v>2.54</v>
      </c>
      <c r="K1917" s="33">
        <v>1</v>
      </c>
      <c r="L1917" s="1007">
        <f>K1917*J1917</f>
        <v>2.54</v>
      </c>
      <c r="M1917" s="30"/>
      <c r="N1917" s="34">
        <f>L1917-H1917</f>
        <v>0.39999999999999991</v>
      </c>
      <c r="O1917" s="202">
        <f>IF((H1917)=0,"",(N1917/H1917))</f>
        <v>0.18691588785046723</v>
      </c>
      <c r="P1917" s="7"/>
    </row>
    <row r="1918" spans="1:16" x14ac:dyDescent="0.2">
      <c r="A1918" s="7"/>
      <c r="B1918" s="26" t="s">
        <v>29</v>
      </c>
      <c r="C1918" s="26"/>
      <c r="D1918" s="1005" t="s">
        <v>1130</v>
      </c>
      <c r="E1918" s="27"/>
      <c r="F1918" s="1006">
        <v>0</v>
      </c>
      <c r="G1918" s="32">
        <v>1</v>
      </c>
      <c r="H1918" s="1007">
        <f t="shared" ref="H1918:H1926" si="168">G1918*F1918</f>
        <v>0</v>
      </c>
      <c r="I1918" s="30"/>
      <c r="J1918" s="1008">
        <v>0</v>
      </c>
      <c r="K1918" s="33">
        <v>1</v>
      </c>
      <c r="L1918" s="1007">
        <f>K1918*J1918</f>
        <v>0</v>
      </c>
      <c r="M1918" s="30"/>
      <c r="N1918" s="34">
        <f>L1918-H1918</f>
        <v>0</v>
      </c>
      <c r="O1918" s="202" t="str">
        <f>IF((H1918)=0,"",(N1918/H1918))</f>
        <v/>
      </c>
      <c r="P1918" s="7"/>
    </row>
    <row r="1919" spans="1:16" x14ac:dyDescent="0.2">
      <c r="A1919" s="7"/>
      <c r="B1919" s="1009" t="s">
        <v>1131</v>
      </c>
      <c r="C1919" s="26"/>
      <c r="D1919" s="1005" t="s">
        <v>80</v>
      </c>
      <c r="E1919" s="27"/>
      <c r="F1919" s="1006">
        <v>-0.31519999999999998</v>
      </c>
      <c r="G1919" s="32">
        <v>1613</v>
      </c>
      <c r="H1919" s="1007">
        <f t="shared" si="168"/>
        <v>-508.41759999999999</v>
      </c>
      <c r="I1919" s="30"/>
      <c r="J1919" s="1008">
        <v>0</v>
      </c>
      <c r="K1919" s="33">
        <v>1613</v>
      </c>
      <c r="L1919" s="1007">
        <f t="shared" ref="L1919:L1926" si="169">K1919*J1919</f>
        <v>0</v>
      </c>
      <c r="M1919" s="30"/>
      <c r="N1919" s="34">
        <f t="shared" ref="N1919:N1957" si="170">L1919-H1919</f>
        <v>508.41759999999999</v>
      </c>
      <c r="O1919" s="202">
        <f t="shared" ref="O1919:O1927" si="171">IF((H1919)=0,"",(N1919/H1919))</f>
        <v>-1</v>
      </c>
      <c r="P1919" s="7"/>
    </row>
    <row r="1920" spans="1:16" x14ac:dyDescent="0.2">
      <c r="A1920" s="7"/>
      <c r="B1920" s="1009" t="s">
        <v>36</v>
      </c>
      <c r="C1920" s="26"/>
      <c r="D1920" s="1005" t="s">
        <v>1130</v>
      </c>
      <c r="E1920" s="27"/>
      <c r="F1920" s="1006">
        <v>0.25</v>
      </c>
      <c r="G1920" s="32">
        <v>1</v>
      </c>
      <c r="H1920" s="1007">
        <f t="shared" si="168"/>
        <v>0.25</v>
      </c>
      <c r="I1920" s="30"/>
      <c r="J1920" s="1008">
        <v>0.25</v>
      </c>
      <c r="K1920" s="33">
        <v>1</v>
      </c>
      <c r="L1920" s="1007">
        <f t="shared" si="169"/>
        <v>0.25</v>
      </c>
      <c r="M1920" s="30"/>
      <c r="N1920" s="34">
        <f t="shared" si="170"/>
        <v>0</v>
      </c>
      <c r="O1920" s="202">
        <f t="shared" si="171"/>
        <v>0</v>
      </c>
      <c r="P1920" s="7"/>
    </row>
    <row r="1921" spans="1:16" x14ac:dyDescent="0.2">
      <c r="A1921" s="7"/>
      <c r="B1921" s="26" t="s">
        <v>30</v>
      </c>
      <c r="C1921" s="26"/>
      <c r="D1921" s="1005" t="s">
        <v>80</v>
      </c>
      <c r="E1921" s="27"/>
      <c r="F1921" s="1006">
        <v>16.551200000000001</v>
      </c>
      <c r="G1921" s="32">
        <v>1613</v>
      </c>
      <c r="H1921" s="1007">
        <f t="shared" si="168"/>
        <v>26697.085600000002</v>
      </c>
      <c r="I1921" s="30"/>
      <c r="J1921" s="1008">
        <v>19.656500000000001</v>
      </c>
      <c r="K1921" s="32">
        <v>1613</v>
      </c>
      <c r="L1921" s="1007">
        <f t="shared" si="169"/>
        <v>31705.934500000003</v>
      </c>
      <c r="M1921" s="30"/>
      <c r="N1921" s="34">
        <f t="shared" si="170"/>
        <v>5008.8489000000009</v>
      </c>
      <c r="O1921" s="202">
        <f t="shared" si="171"/>
        <v>0.18761781623084733</v>
      </c>
      <c r="P1921" s="7"/>
    </row>
    <row r="1922" spans="1:16" x14ac:dyDescent="0.2">
      <c r="A1922" s="7"/>
      <c r="B1922" s="26" t="s">
        <v>31</v>
      </c>
      <c r="C1922" s="26"/>
      <c r="D1922" s="1005"/>
      <c r="E1922" s="27"/>
      <c r="F1922" s="1006"/>
      <c r="G1922" s="32"/>
      <c r="H1922" s="1007">
        <f t="shared" si="168"/>
        <v>0</v>
      </c>
      <c r="I1922" s="30"/>
      <c r="J1922" s="1008"/>
      <c r="K1922" s="32"/>
      <c r="L1922" s="1007">
        <f t="shared" si="169"/>
        <v>0</v>
      </c>
      <c r="M1922" s="30"/>
      <c r="N1922" s="34">
        <f t="shared" si="170"/>
        <v>0</v>
      </c>
      <c r="O1922" s="202" t="str">
        <f t="shared" si="171"/>
        <v/>
      </c>
      <c r="P1922" s="7"/>
    </row>
    <row r="1923" spans="1:16" x14ac:dyDescent="0.2">
      <c r="A1923" s="7"/>
      <c r="B1923" s="26" t="s">
        <v>1132</v>
      </c>
      <c r="C1923" s="26"/>
      <c r="D1923" s="1005" t="s">
        <v>80</v>
      </c>
      <c r="E1923" s="27"/>
      <c r="F1923" s="1006">
        <v>0</v>
      </c>
      <c r="G1923" s="32">
        <v>1613</v>
      </c>
      <c r="H1923" s="1007">
        <f t="shared" si="168"/>
        <v>0</v>
      </c>
      <c r="I1923" s="30"/>
      <c r="J1923" s="1008">
        <v>0</v>
      </c>
      <c r="K1923" s="32">
        <v>1613</v>
      </c>
      <c r="L1923" s="1007">
        <f t="shared" si="169"/>
        <v>0</v>
      </c>
      <c r="M1923" s="30"/>
      <c r="N1923" s="34">
        <f t="shared" si="170"/>
        <v>0</v>
      </c>
      <c r="O1923" s="202" t="str">
        <f t="shared" si="171"/>
        <v/>
      </c>
      <c r="P1923" s="7"/>
    </row>
    <row r="1924" spans="1:16" x14ac:dyDescent="0.2">
      <c r="A1924" s="7"/>
      <c r="B1924" s="26" t="s">
        <v>1133</v>
      </c>
      <c r="C1924" s="26"/>
      <c r="D1924" s="1005" t="s">
        <v>80</v>
      </c>
      <c r="E1924" s="27"/>
      <c r="F1924" s="1006">
        <v>0</v>
      </c>
      <c r="G1924" s="32">
        <v>1613</v>
      </c>
      <c r="H1924" s="1007">
        <f t="shared" si="168"/>
        <v>0</v>
      </c>
      <c r="I1924" s="30"/>
      <c r="J1924" s="1008">
        <v>0</v>
      </c>
      <c r="K1924" s="32">
        <v>1613</v>
      </c>
      <c r="L1924" s="1007">
        <f t="shared" si="169"/>
        <v>0</v>
      </c>
      <c r="M1924" s="30"/>
      <c r="N1924" s="34">
        <f t="shared" si="170"/>
        <v>0</v>
      </c>
      <c r="O1924" s="202" t="str">
        <f t="shared" si="171"/>
        <v/>
      </c>
      <c r="P1924" s="7"/>
    </row>
    <row r="1925" spans="1:16" x14ac:dyDescent="0.2">
      <c r="A1925" s="7"/>
      <c r="B1925" s="26" t="s">
        <v>1134</v>
      </c>
      <c r="C1925" s="26"/>
      <c r="D1925" s="1005" t="s">
        <v>80</v>
      </c>
      <c r="E1925" s="27"/>
      <c r="F1925" s="1006">
        <v>0</v>
      </c>
      <c r="G1925" s="32">
        <v>1613</v>
      </c>
      <c r="H1925" s="1007">
        <f t="shared" si="168"/>
        <v>0</v>
      </c>
      <c r="I1925" s="30"/>
      <c r="J1925" s="1008">
        <v>0</v>
      </c>
      <c r="K1925" s="32">
        <v>1613</v>
      </c>
      <c r="L1925" s="1007">
        <f t="shared" si="169"/>
        <v>0</v>
      </c>
      <c r="M1925" s="30"/>
      <c r="N1925" s="34">
        <f t="shared" si="170"/>
        <v>0</v>
      </c>
      <c r="O1925" s="202" t="str">
        <f t="shared" si="171"/>
        <v/>
      </c>
      <c r="P1925" s="7"/>
    </row>
    <row r="1926" spans="1:16" x14ac:dyDescent="0.2">
      <c r="A1926" s="7"/>
      <c r="B1926" s="1010" t="s">
        <v>1135</v>
      </c>
      <c r="C1926" s="26"/>
      <c r="D1926" s="1005" t="s">
        <v>1130</v>
      </c>
      <c r="E1926" s="27"/>
      <c r="F1926" s="1006">
        <v>0</v>
      </c>
      <c r="G1926" s="32">
        <v>1</v>
      </c>
      <c r="H1926" s="1007">
        <f t="shared" si="168"/>
        <v>0</v>
      </c>
      <c r="I1926" s="30"/>
      <c r="J1926" s="1008">
        <v>0</v>
      </c>
      <c r="K1926" s="32">
        <v>1</v>
      </c>
      <c r="L1926" s="1007">
        <f t="shared" si="169"/>
        <v>0</v>
      </c>
      <c r="M1926" s="30"/>
      <c r="N1926" s="34">
        <f t="shared" si="170"/>
        <v>0</v>
      </c>
      <c r="O1926" s="202" t="str">
        <f t="shared" si="171"/>
        <v/>
      </c>
      <c r="P1926" s="7"/>
    </row>
    <row r="1927" spans="1:16" x14ac:dyDescent="0.2">
      <c r="A1927" s="29"/>
      <c r="B1927" s="1011" t="s">
        <v>698</v>
      </c>
      <c r="C1927" s="1012"/>
      <c r="D1927" s="1013"/>
      <c r="E1927" s="1012"/>
      <c r="F1927" s="1014"/>
      <c r="G1927" s="1015"/>
      <c r="H1927" s="1016">
        <f>SUM(H1917:H1926)</f>
        <v>26191.058000000001</v>
      </c>
      <c r="I1927" s="1017"/>
      <c r="J1927" s="1018"/>
      <c r="K1927" s="1019"/>
      <c r="L1927" s="1016">
        <f>SUM(L1917:L1926)</f>
        <v>31708.724500000004</v>
      </c>
      <c r="M1927" s="1017"/>
      <c r="N1927" s="1020">
        <f t="shared" si="170"/>
        <v>5517.666500000003</v>
      </c>
      <c r="O1927" s="1021">
        <f t="shared" si="171"/>
        <v>0.21066985915574707</v>
      </c>
      <c r="P1927" s="29"/>
    </row>
    <row r="1928" spans="1:16" ht="38.25" x14ac:dyDescent="0.2">
      <c r="A1928" s="7"/>
      <c r="B1928" s="1022" t="s">
        <v>1136</v>
      </c>
      <c r="C1928" s="26"/>
      <c r="D1928" s="1005" t="s">
        <v>80</v>
      </c>
      <c r="E1928" s="27"/>
      <c r="F1928" s="1006">
        <v>0.42120000000000002</v>
      </c>
      <c r="G1928" s="32">
        <v>1613</v>
      </c>
      <c r="H1928" s="1007">
        <f>G1928*F1928</f>
        <v>679.39560000000006</v>
      </c>
      <c r="I1928" s="30"/>
      <c r="J1928" s="1008">
        <v>0</v>
      </c>
      <c r="K1928" s="32">
        <v>1613</v>
      </c>
      <c r="L1928" s="1007">
        <f>K1928*J1928</f>
        <v>0</v>
      </c>
      <c r="M1928" s="30"/>
      <c r="N1928" s="34">
        <f t="shared" si="170"/>
        <v>-679.39560000000006</v>
      </c>
      <c r="O1928" s="202">
        <f>IF((H1928)=0,"",(N1928/H1928))</f>
        <v>-1</v>
      </c>
      <c r="P1928" s="7"/>
    </row>
    <row r="1929" spans="1:16" ht="38.25" x14ac:dyDescent="0.2">
      <c r="A1929" s="7"/>
      <c r="B1929" s="1022" t="s">
        <v>1137</v>
      </c>
      <c r="C1929" s="26"/>
      <c r="D1929" s="1005" t="s">
        <v>80</v>
      </c>
      <c r="E1929" s="27"/>
      <c r="F1929" s="1006">
        <v>-0.69640000000000002</v>
      </c>
      <c r="G1929" s="32">
        <v>1613</v>
      </c>
      <c r="H1929" s="1007">
        <f>G1929*F1929</f>
        <v>-1123.2932000000001</v>
      </c>
      <c r="I1929" s="30"/>
      <c r="J1929" s="1008">
        <v>-0.69640000000000002</v>
      </c>
      <c r="K1929" s="32">
        <v>1613</v>
      </c>
      <c r="L1929" s="1007">
        <f>K1929*J1929</f>
        <v>-1123.2932000000001</v>
      </c>
      <c r="M1929" s="30"/>
      <c r="N1929" s="34">
        <f t="shared" si="170"/>
        <v>0</v>
      </c>
      <c r="O1929" s="202">
        <f>IF((H1929)=0,"",(N1929/H1929))</f>
        <v>0</v>
      </c>
      <c r="P1929" s="7"/>
    </row>
    <row r="1930" spans="1:16" ht="51" x14ac:dyDescent="0.2">
      <c r="A1930" s="7"/>
      <c r="B1930" s="1022" t="s">
        <v>1138</v>
      </c>
      <c r="C1930" s="26"/>
      <c r="D1930" s="1005" t="s">
        <v>80</v>
      </c>
      <c r="E1930" s="27"/>
      <c r="F1930" s="1006">
        <v>0</v>
      </c>
      <c r="G1930" s="32">
        <v>1613</v>
      </c>
      <c r="H1930" s="1007">
        <f>G1930*F1930</f>
        <v>0</v>
      </c>
      <c r="I1930" s="30"/>
      <c r="J1930" s="1008">
        <v>-0.47860000000000003</v>
      </c>
      <c r="K1930" s="32">
        <v>1613</v>
      </c>
      <c r="L1930" s="1007">
        <f>K1930*J1930</f>
        <v>-771.98180000000002</v>
      </c>
      <c r="M1930" s="30"/>
      <c r="N1930" s="34">
        <f t="shared" si="170"/>
        <v>-771.98180000000002</v>
      </c>
      <c r="O1930" s="202" t="str">
        <f>IF((H1930)=0,"",(N1930/H1930))</f>
        <v/>
      </c>
      <c r="P1930" s="7"/>
    </row>
    <row r="1931" spans="1:16" x14ac:dyDescent="0.2">
      <c r="A1931" s="7"/>
      <c r="B1931" s="564" t="s">
        <v>808</v>
      </c>
      <c r="C1931" s="26"/>
      <c r="D1931" s="1005" t="s">
        <v>80</v>
      </c>
      <c r="E1931" s="27"/>
      <c r="F1931" s="1006">
        <v>5.5800000000000002E-2</v>
      </c>
      <c r="G1931" s="32">
        <v>1613</v>
      </c>
      <c r="H1931" s="1007">
        <f>G1931*F1931</f>
        <v>90.005400000000009</v>
      </c>
      <c r="I1931" s="30"/>
      <c r="J1931" s="1008">
        <v>5.7799999999999997E-2</v>
      </c>
      <c r="K1931" s="32">
        <v>1613</v>
      </c>
      <c r="L1931" s="1007">
        <f>K1931*J1931</f>
        <v>93.231399999999994</v>
      </c>
      <c r="M1931" s="30"/>
      <c r="N1931" s="34">
        <f t="shared" si="170"/>
        <v>3.2259999999999849</v>
      </c>
      <c r="O1931" s="202">
        <f>IF((H1931)=0,"",(N1931/H1931))</f>
        <v>3.5842293906809868E-2</v>
      </c>
      <c r="P1931" s="7"/>
    </row>
    <row r="1932" spans="1:16" x14ac:dyDescent="0.2">
      <c r="A1932" s="7"/>
      <c r="B1932" s="564" t="s">
        <v>701</v>
      </c>
      <c r="C1932" s="26"/>
      <c r="D1932" s="1005"/>
      <c r="E1932" s="27"/>
      <c r="F1932" s="1023"/>
      <c r="G1932" s="1024"/>
      <c r="H1932" s="1025"/>
      <c r="I1932" s="30"/>
      <c r="J1932" s="1008"/>
      <c r="K1932" s="32">
        <f>F1912</f>
        <v>749249</v>
      </c>
      <c r="L1932" s="1007">
        <f>K1932*J1932</f>
        <v>0</v>
      </c>
      <c r="M1932" s="30"/>
      <c r="N1932" s="34">
        <f t="shared" si="170"/>
        <v>0</v>
      </c>
      <c r="O1932" s="202"/>
      <c r="P1932" s="7"/>
    </row>
    <row r="1933" spans="1:16" ht="25.5" x14ac:dyDescent="0.2">
      <c r="A1933" s="7"/>
      <c r="B1933" s="1026" t="s">
        <v>699</v>
      </c>
      <c r="C1933" s="1027"/>
      <c r="D1933" s="1027"/>
      <c r="E1933" s="1027"/>
      <c r="F1933" s="1028"/>
      <c r="G1933" s="1029"/>
      <c r="H1933" s="1030">
        <f>SUM(H1927:H1932)</f>
        <v>25837.165800000002</v>
      </c>
      <c r="I1933" s="1017"/>
      <c r="J1933" s="1029"/>
      <c r="K1933" s="1031"/>
      <c r="L1933" s="1030">
        <f>SUM(L1927:L1932)</f>
        <v>29906.680900000003</v>
      </c>
      <c r="M1933" s="1017"/>
      <c r="N1933" s="1020">
        <f t="shared" si="170"/>
        <v>4069.5151000000005</v>
      </c>
      <c r="O1933" s="1021">
        <f t="shared" ref="O1933:O1957" si="172">IF((H1933)=0,"",(N1933/H1933))</f>
        <v>0.15750625016308872</v>
      </c>
      <c r="P1933" s="7"/>
    </row>
    <row r="1934" spans="1:16" x14ac:dyDescent="0.2">
      <c r="A1934" s="7"/>
      <c r="B1934" s="30" t="s">
        <v>32</v>
      </c>
      <c r="C1934" s="30"/>
      <c r="D1934" s="1032" t="s">
        <v>80</v>
      </c>
      <c r="E1934" s="31"/>
      <c r="F1934" s="1008">
        <v>1.9341999999999999</v>
      </c>
      <c r="G1934" s="667">
        <f>1613</f>
        <v>1613</v>
      </c>
      <c r="H1934" s="1007">
        <f>G1934*F1934</f>
        <v>3119.8645999999999</v>
      </c>
      <c r="I1934" s="30"/>
      <c r="J1934" s="1008">
        <v>1.7788999999999999</v>
      </c>
      <c r="K1934" s="668">
        <f>1613</f>
        <v>1613</v>
      </c>
      <c r="L1934" s="1007">
        <f>K1934*J1934</f>
        <v>2869.3656999999998</v>
      </c>
      <c r="M1934" s="30"/>
      <c r="N1934" s="34">
        <f t="shared" si="170"/>
        <v>-250.49890000000005</v>
      </c>
      <c r="O1934" s="202">
        <f t="shared" si="172"/>
        <v>-8.0291593423637703E-2</v>
      </c>
      <c r="P1934" s="7"/>
    </row>
    <row r="1935" spans="1:16" ht="25.5" x14ac:dyDescent="0.2">
      <c r="A1935" s="7"/>
      <c r="B1935" s="35" t="s">
        <v>33</v>
      </c>
      <c r="C1935" s="30"/>
      <c r="D1935" s="1032" t="s">
        <v>80</v>
      </c>
      <c r="E1935" s="31"/>
      <c r="F1935" s="1008">
        <v>1.5461</v>
      </c>
      <c r="G1935" s="667">
        <f>G1934</f>
        <v>1613</v>
      </c>
      <c r="H1935" s="1007">
        <f>G1935*F1935</f>
        <v>2493.8593000000001</v>
      </c>
      <c r="I1935" s="30"/>
      <c r="J1935" s="1008">
        <v>1.4892000000000001</v>
      </c>
      <c r="K1935" s="668">
        <f>K1934</f>
        <v>1613</v>
      </c>
      <c r="L1935" s="1007">
        <f>K1935*J1935</f>
        <v>2402.0796</v>
      </c>
      <c r="M1935" s="30"/>
      <c r="N1935" s="34">
        <f t="shared" si="170"/>
        <v>-91.779700000000048</v>
      </c>
      <c r="O1935" s="202">
        <f t="shared" si="172"/>
        <v>-3.6802276696203368E-2</v>
      </c>
      <c r="P1935" s="7"/>
    </row>
    <row r="1936" spans="1:16" ht="25.5" x14ac:dyDescent="0.2">
      <c r="A1936" s="7"/>
      <c r="B1936" s="1026" t="s">
        <v>700</v>
      </c>
      <c r="C1936" s="1012"/>
      <c r="D1936" s="1012"/>
      <c r="E1936" s="1012"/>
      <c r="F1936" s="1033"/>
      <c r="G1936" s="1029"/>
      <c r="H1936" s="1030">
        <f>SUM(H1933:H1935)</f>
        <v>31450.889700000003</v>
      </c>
      <c r="I1936" s="1034"/>
      <c r="J1936" s="1035"/>
      <c r="K1936" s="1036"/>
      <c r="L1936" s="1030">
        <f>SUM(L1933:L1935)</f>
        <v>35178.126199999999</v>
      </c>
      <c r="M1936" s="1034"/>
      <c r="N1936" s="1020">
        <f t="shared" si="170"/>
        <v>3727.2364999999954</v>
      </c>
      <c r="O1936" s="1021">
        <f t="shared" si="172"/>
        <v>0.11850973169766943</v>
      </c>
      <c r="P1936" s="7"/>
    </row>
    <row r="1937" spans="1:16" ht="25.5" x14ac:dyDescent="0.2">
      <c r="A1937" s="7"/>
      <c r="B1937" s="28" t="s">
        <v>34</v>
      </c>
      <c r="C1937" s="26"/>
      <c r="D1937" s="1005" t="s">
        <v>79</v>
      </c>
      <c r="E1937" s="27"/>
      <c r="F1937" s="1037">
        <v>5.1999999999999998E-3</v>
      </c>
      <c r="G1937" s="667">
        <f>F1912*(1+F1960)</f>
        <v>775922.2644000001</v>
      </c>
      <c r="H1937" s="1038">
        <f t="shared" ref="H1937:H1945" si="173">G1937*F1937</f>
        <v>4034.7957748800004</v>
      </c>
      <c r="I1937" s="30"/>
      <c r="J1937" s="1039">
        <v>5.1999999999999998E-3</v>
      </c>
      <c r="K1937" s="668">
        <f>F1912*(1+J1960)</f>
        <v>780757.96560698794</v>
      </c>
      <c r="L1937" s="1038">
        <f t="shared" ref="L1937:L1945" si="174">K1937*J1937</f>
        <v>4059.9414211563371</v>
      </c>
      <c r="M1937" s="30"/>
      <c r="N1937" s="34">
        <f t="shared" si="170"/>
        <v>25.14564627633672</v>
      </c>
      <c r="O1937" s="565">
        <f t="shared" si="172"/>
        <v>6.2321980291764785E-3</v>
      </c>
      <c r="P1937" s="7"/>
    </row>
    <row r="1938" spans="1:16" ht="25.5" x14ac:dyDescent="0.2">
      <c r="A1938" s="7"/>
      <c r="B1938" s="28" t="s">
        <v>35</v>
      </c>
      <c r="C1938" s="26"/>
      <c r="D1938" s="1005" t="s">
        <v>79</v>
      </c>
      <c r="E1938" s="27"/>
      <c r="F1938" s="1037">
        <v>1.1000000000000001E-3</v>
      </c>
      <c r="G1938" s="667">
        <f>F1912*(1+F1960)</f>
        <v>775922.2644000001</v>
      </c>
      <c r="H1938" s="1038">
        <f t="shared" si="173"/>
        <v>853.51449084000012</v>
      </c>
      <c r="I1938" s="30"/>
      <c r="J1938" s="1039">
        <v>1.1000000000000001E-3</v>
      </c>
      <c r="K1938" s="668">
        <f>F1912*(1+J1960)</f>
        <v>780757.96560698794</v>
      </c>
      <c r="L1938" s="1038">
        <f t="shared" si="174"/>
        <v>858.83376216768681</v>
      </c>
      <c r="M1938" s="30"/>
      <c r="N1938" s="34">
        <f t="shared" si="170"/>
        <v>5.3192713276866925</v>
      </c>
      <c r="O1938" s="565">
        <f t="shared" si="172"/>
        <v>6.2321980291765704E-3</v>
      </c>
      <c r="P1938" s="7"/>
    </row>
    <row r="1939" spans="1:16" x14ac:dyDescent="0.2">
      <c r="A1939" s="7"/>
      <c r="B1939" s="26" t="s">
        <v>36</v>
      </c>
      <c r="C1939" s="26"/>
      <c r="D1939" s="1005"/>
      <c r="E1939" s="27"/>
      <c r="F1939" s="1037"/>
      <c r="G1939" s="32">
        <v>1</v>
      </c>
      <c r="H1939" s="1038">
        <f t="shared" si="173"/>
        <v>0</v>
      </c>
      <c r="I1939" s="30"/>
      <c r="J1939" s="1039"/>
      <c r="K1939" s="33">
        <v>1</v>
      </c>
      <c r="L1939" s="1038">
        <f t="shared" si="174"/>
        <v>0</v>
      </c>
      <c r="M1939" s="30"/>
      <c r="N1939" s="34">
        <f t="shared" si="170"/>
        <v>0</v>
      </c>
      <c r="O1939" s="565" t="str">
        <f t="shared" si="172"/>
        <v/>
      </c>
      <c r="P1939" s="7"/>
    </row>
    <row r="1940" spans="1:16" x14ac:dyDescent="0.2">
      <c r="A1940" s="7"/>
      <c r="B1940" s="26" t="s">
        <v>37</v>
      </c>
      <c r="C1940" s="26"/>
      <c r="D1940" s="1005" t="s">
        <v>79</v>
      </c>
      <c r="E1940" s="27"/>
      <c r="F1940" s="1037">
        <v>7.0000000000000001E-3</v>
      </c>
      <c r="G1940" s="667">
        <f>F1912</f>
        <v>749249</v>
      </c>
      <c r="H1940" s="1038">
        <f t="shared" si="173"/>
        <v>5244.7430000000004</v>
      </c>
      <c r="I1940" s="30"/>
      <c r="J1940" s="1039">
        <v>7.0000000000000001E-3</v>
      </c>
      <c r="K1940" s="668">
        <f>F1912</f>
        <v>749249</v>
      </c>
      <c r="L1940" s="1038">
        <f t="shared" si="174"/>
        <v>5244.7430000000004</v>
      </c>
      <c r="M1940" s="30"/>
      <c r="N1940" s="34">
        <f t="shared" si="170"/>
        <v>0</v>
      </c>
      <c r="O1940" s="565">
        <f t="shared" si="172"/>
        <v>0</v>
      </c>
      <c r="P1940" s="7"/>
    </row>
    <row r="1941" spans="1:16" x14ac:dyDescent="0.2">
      <c r="A1941" s="7"/>
      <c r="B1941" s="564" t="s">
        <v>777</v>
      </c>
      <c r="C1941" s="26"/>
      <c r="D1941" s="1005" t="s">
        <v>79</v>
      </c>
      <c r="E1941" s="27"/>
      <c r="F1941" s="1040">
        <v>7.4999999999999997E-2</v>
      </c>
      <c r="G1941" s="667">
        <f>IF($G$1937&gt;=750,750,$G$1937)</f>
        <v>750</v>
      </c>
      <c r="H1941" s="1038">
        <f>G1941*F1941</f>
        <v>56.25</v>
      </c>
      <c r="I1941" s="30"/>
      <c r="J1941" s="1037">
        <v>7.4999999999999997E-2</v>
      </c>
      <c r="K1941" s="667">
        <f>IF($K$1937&gt;=750,750,$K$1937)</f>
        <v>750</v>
      </c>
      <c r="L1941" s="1038">
        <f>K1941*J1941</f>
        <v>56.25</v>
      </c>
      <c r="M1941" s="30"/>
      <c r="N1941" s="34">
        <f t="shared" si="170"/>
        <v>0</v>
      </c>
      <c r="O1941" s="565">
        <f t="shared" si="172"/>
        <v>0</v>
      </c>
      <c r="P1941" s="7"/>
    </row>
    <row r="1942" spans="1:16" x14ac:dyDescent="0.2">
      <c r="A1942" s="7"/>
      <c r="B1942" s="564" t="s">
        <v>778</v>
      </c>
      <c r="C1942" s="26"/>
      <c r="D1942" s="1005" t="s">
        <v>79</v>
      </c>
      <c r="E1942" s="27"/>
      <c r="F1942" s="1040">
        <v>8.7999999999999995E-2</v>
      </c>
      <c r="G1942" s="667">
        <f>IF($G$1937&gt;=750,$G$1937-750,0)</f>
        <v>775172.2644000001</v>
      </c>
      <c r="H1942" s="1038">
        <f>G1942*F1942</f>
        <v>68215.159267200012</v>
      </c>
      <c r="I1942" s="30"/>
      <c r="J1942" s="1037">
        <v>8.7999999999999995E-2</v>
      </c>
      <c r="K1942" s="667">
        <f>IF($K$1937&gt;=750,$K$1937-750,0)</f>
        <v>780007.96560698794</v>
      </c>
      <c r="L1942" s="1038">
        <f>K1942*J1942</f>
        <v>68640.700973414932</v>
      </c>
      <c r="M1942" s="30"/>
      <c r="N1942" s="34">
        <f t="shared" si="170"/>
        <v>425.54170621492085</v>
      </c>
      <c r="O1942" s="565">
        <f t="shared" si="172"/>
        <v>6.2382278482714711E-3</v>
      </c>
      <c r="P1942" s="7"/>
    </row>
    <row r="1943" spans="1:16" x14ac:dyDescent="0.2">
      <c r="A1943" s="7"/>
      <c r="B1943" s="564" t="s">
        <v>779</v>
      </c>
      <c r="C1943" s="26"/>
      <c r="D1943" s="1005" t="s">
        <v>79</v>
      </c>
      <c r="E1943" s="27"/>
      <c r="F1943" s="1040">
        <v>6.5000000000000002E-2</v>
      </c>
      <c r="G1943" s="669">
        <f>0.64*$G$1937</f>
        <v>496590.24921600008</v>
      </c>
      <c r="H1943" s="1038">
        <f t="shared" si="173"/>
        <v>32278.366199040007</v>
      </c>
      <c r="I1943" s="30"/>
      <c r="J1943" s="1037">
        <v>6.5000000000000002E-2</v>
      </c>
      <c r="K1943" s="1041">
        <f>0.64*$K$1937</f>
        <v>499685.09798847232</v>
      </c>
      <c r="L1943" s="1038">
        <f t="shared" si="174"/>
        <v>32479.531369250701</v>
      </c>
      <c r="M1943" s="30"/>
      <c r="N1943" s="34">
        <f t="shared" si="170"/>
        <v>201.16517021069376</v>
      </c>
      <c r="O1943" s="565">
        <f t="shared" si="172"/>
        <v>6.2321980291764776E-3</v>
      </c>
      <c r="P1943" s="7"/>
    </row>
    <row r="1944" spans="1:16" x14ac:dyDescent="0.2">
      <c r="A1944" s="7"/>
      <c r="B1944" s="564" t="s">
        <v>780</v>
      </c>
      <c r="C1944" s="26"/>
      <c r="D1944" s="1005" t="s">
        <v>79</v>
      </c>
      <c r="E1944" s="27"/>
      <c r="F1944" s="1040">
        <v>0.1</v>
      </c>
      <c r="G1944" s="669">
        <f>0.18*$G$1937</f>
        <v>139666.00759200001</v>
      </c>
      <c r="H1944" s="1038">
        <f t="shared" si="173"/>
        <v>13966.600759200002</v>
      </c>
      <c r="I1944" s="30"/>
      <c r="J1944" s="1037">
        <v>0.1</v>
      </c>
      <c r="K1944" s="1041">
        <f>0.18*$K$1937</f>
        <v>140536.43380925781</v>
      </c>
      <c r="L1944" s="1038">
        <f t="shared" si="174"/>
        <v>14053.643380925781</v>
      </c>
      <c r="M1944" s="30"/>
      <c r="N1944" s="34">
        <f t="shared" si="170"/>
        <v>87.0426217257791</v>
      </c>
      <c r="O1944" s="565">
        <f t="shared" si="172"/>
        <v>6.2321980291763449E-3</v>
      </c>
      <c r="P1944" s="7"/>
    </row>
    <row r="1945" spans="1:16" ht="13.5" thickBot="1" x14ac:dyDescent="0.25">
      <c r="A1945" s="7"/>
      <c r="B1945" s="647" t="s">
        <v>781</v>
      </c>
      <c r="C1945" s="26"/>
      <c r="D1945" s="1005" t="s">
        <v>79</v>
      </c>
      <c r="E1945" s="27"/>
      <c r="F1945" s="1040">
        <v>0.11700000000000001</v>
      </c>
      <c r="G1945" s="669">
        <f>0.18*$G$1937</f>
        <v>139666.00759200001</v>
      </c>
      <c r="H1945" s="1038">
        <f t="shared" si="173"/>
        <v>16340.922888264002</v>
      </c>
      <c r="I1945" s="30"/>
      <c r="J1945" s="1037">
        <v>0.11700000000000001</v>
      </c>
      <c r="K1945" s="1041">
        <f>0.18*$K$1937</f>
        <v>140536.43380925781</v>
      </c>
      <c r="L1945" s="1038">
        <f t="shared" si="174"/>
        <v>16442.762755683165</v>
      </c>
      <c r="M1945" s="30"/>
      <c r="N1945" s="34">
        <f t="shared" si="170"/>
        <v>101.83986741916306</v>
      </c>
      <c r="O1945" s="565">
        <f t="shared" si="172"/>
        <v>6.2321980291764377E-3</v>
      </c>
      <c r="P1945" s="7"/>
    </row>
    <row r="1946" spans="1:16" ht="13.5" thickBot="1" x14ac:dyDescent="0.25">
      <c r="A1946" s="7"/>
      <c r="B1946" s="1042"/>
      <c r="C1946" s="1043"/>
      <c r="D1946" s="1044"/>
      <c r="E1946" s="1043"/>
      <c r="F1946" s="1045"/>
      <c r="G1946" s="1046"/>
      <c r="H1946" s="1047"/>
      <c r="I1946" s="1048"/>
      <c r="J1946" s="1045"/>
      <c r="K1946" s="1049"/>
      <c r="L1946" s="1047"/>
      <c r="M1946" s="1048"/>
      <c r="N1946" s="1050"/>
      <c r="O1946" s="1051"/>
      <c r="P1946" s="7"/>
    </row>
    <row r="1947" spans="1:16" x14ac:dyDescent="0.2">
      <c r="A1947" s="7"/>
      <c r="B1947" s="36" t="s">
        <v>782</v>
      </c>
      <c r="C1947" s="26"/>
      <c r="D1947" s="26"/>
      <c r="E1947" s="26"/>
      <c r="F1947" s="662"/>
      <c r="G1947" s="652"/>
      <c r="H1947" s="656">
        <f>SUM(H1936:H1942)</f>
        <v>109855.35223292002</v>
      </c>
      <c r="I1947" s="660"/>
      <c r="J1947" s="661"/>
      <c r="K1947" s="661"/>
      <c r="L1947" s="655">
        <f>SUM(L1936:L1942)</f>
        <v>114038.59535673895</v>
      </c>
      <c r="M1947" s="654"/>
      <c r="N1947" s="659">
        <f t="shared" si="170"/>
        <v>4183.2431238189311</v>
      </c>
      <c r="O1947" s="657">
        <f t="shared" si="172"/>
        <v>3.8079556787997362E-2</v>
      </c>
      <c r="P1947" s="7"/>
    </row>
    <row r="1948" spans="1:16" ht="12.75" customHeight="1" x14ac:dyDescent="0.2">
      <c r="A1948" s="7"/>
      <c r="B1948" s="650" t="s">
        <v>38</v>
      </c>
      <c r="C1948" s="26"/>
      <c r="D1948" s="26"/>
      <c r="E1948" s="26"/>
      <c r="F1948" s="649">
        <v>0.13</v>
      </c>
      <c r="G1948" s="652"/>
      <c r="H1948" s="670">
        <f>H1947*F1948</f>
        <v>14281.195790279604</v>
      </c>
      <c r="I1948" s="648"/>
      <c r="J1948" s="676">
        <v>0.13</v>
      </c>
      <c r="K1948" s="677"/>
      <c r="L1948" s="672">
        <f>L1947*J1948</f>
        <v>14825.017396376064</v>
      </c>
      <c r="M1948" s="673"/>
      <c r="N1948" s="674">
        <f t="shared" si="170"/>
        <v>543.82160609646053</v>
      </c>
      <c r="O1948" s="675">
        <f t="shared" si="172"/>
        <v>3.8079556787997328E-2</v>
      </c>
      <c r="P1948" s="7"/>
    </row>
    <row r="1949" spans="1:16" ht="13.5" customHeight="1" x14ac:dyDescent="0.2">
      <c r="A1949" s="7"/>
      <c r="B1949" s="651" t="s">
        <v>1139</v>
      </c>
      <c r="C1949" s="26"/>
      <c r="D1949" s="26"/>
      <c r="E1949" s="26"/>
      <c r="F1949" s="658"/>
      <c r="G1949" s="653"/>
      <c r="H1949" s="670">
        <f>H1947+H1948</f>
        <v>124136.54802319962</v>
      </c>
      <c r="I1949" s="648"/>
      <c r="J1949" s="648"/>
      <c r="K1949" s="648"/>
      <c r="L1949" s="672">
        <f>L1947+L1948</f>
        <v>128863.61275311501</v>
      </c>
      <c r="M1949" s="673"/>
      <c r="N1949" s="674">
        <f t="shared" si="170"/>
        <v>4727.0647299153934</v>
      </c>
      <c r="O1949" s="675">
        <f t="shared" si="172"/>
        <v>3.8079556787997376E-2</v>
      </c>
      <c r="P1949" s="7"/>
    </row>
    <row r="1950" spans="1:16" ht="12.75" customHeight="1" x14ac:dyDescent="0.2">
      <c r="A1950" s="7"/>
      <c r="B1950" s="1626" t="s">
        <v>1140</v>
      </c>
      <c r="C1950" s="1626"/>
      <c r="D1950" s="1626"/>
      <c r="E1950" s="26"/>
      <c r="F1950" s="658"/>
      <c r="G1950" s="653"/>
      <c r="H1950" s="1052">
        <f>ROUND(-H1949*10%,2)</f>
        <v>-12413.65</v>
      </c>
      <c r="I1950" s="648"/>
      <c r="J1950" s="648"/>
      <c r="K1950" s="648"/>
      <c r="L1950" s="1053">
        <f>ROUND(-L1949*10%,2)</f>
        <v>-12886.36</v>
      </c>
      <c r="M1950" s="673"/>
      <c r="N1950" s="1054">
        <f t="shared" si="170"/>
        <v>-472.71000000000095</v>
      </c>
      <c r="O1950" s="1055">
        <f t="shared" si="172"/>
        <v>3.8079855642780401E-2</v>
      </c>
      <c r="P1950" s="7"/>
    </row>
    <row r="1951" spans="1:16" ht="13.5" customHeight="1" thickBot="1" x14ac:dyDescent="0.25">
      <c r="A1951" s="7"/>
      <c r="B1951" s="1626" t="s">
        <v>785</v>
      </c>
      <c r="C1951" s="1626"/>
      <c r="D1951" s="1626"/>
      <c r="E1951" s="1056"/>
      <c r="F1951" s="1057"/>
      <c r="G1951" s="1058"/>
      <c r="H1951" s="1059">
        <f>SUM(H1949:H1950)</f>
        <v>111722.89802319962</v>
      </c>
      <c r="I1951" s="1060"/>
      <c r="J1951" s="1060"/>
      <c r="K1951" s="1060"/>
      <c r="L1951" s="1061">
        <f>SUM(L1949:L1950)</f>
        <v>115977.25275311501</v>
      </c>
      <c r="M1951" s="1062"/>
      <c r="N1951" s="1063">
        <f t="shared" si="170"/>
        <v>4254.354729915387</v>
      </c>
      <c r="O1951" s="1064">
        <f t="shared" si="172"/>
        <v>3.8079523581924596E-2</v>
      </c>
      <c r="P1951" s="7"/>
    </row>
    <row r="1952" spans="1:16" ht="13.5" thickBot="1" x14ac:dyDescent="0.25">
      <c r="A1952" s="7"/>
      <c r="B1952" s="1042"/>
      <c r="C1952" s="1043"/>
      <c r="D1952" s="1044"/>
      <c r="E1952" s="1043"/>
      <c r="F1952" s="1065"/>
      <c r="G1952" s="1066"/>
      <c r="H1952" s="1067"/>
      <c r="I1952" s="1068"/>
      <c r="J1952" s="1065"/>
      <c r="K1952" s="1046"/>
      <c r="L1952" s="1069"/>
      <c r="M1952" s="1048"/>
      <c r="N1952" s="1070"/>
      <c r="O1952" s="1051"/>
      <c r="P1952" s="7"/>
    </row>
    <row r="1953" spans="1:16" x14ac:dyDescent="0.2">
      <c r="A1953" s="7"/>
      <c r="B1953" s="36" t="s">
        <v>783</v>
      </c>
      <c r="C1953" s="26"/>
      <c r="D1953" s="26"/>
      <c r="E1953" s="26"/>
      <c r="F1953" s="662"/>
      <c r="G1953" s="652"/>
      <c r="H1953" s="656">
        <f>SUM(H1936:H1940,H1943:H1945)</f>
        <v>104169.83281222402</v>
      </c>
      <c r="I1953" s="660"/>
      <c r="J1953" s="661"/>
      <c r="K1953" s="661"/>
      <c r="L1953" s="666">
        <f>SUM(L1936:L1940,L1943:L1945)</f>
        <v>108317.58188918367</v>
      </c>
      <c r="M1953" s="654"/>
      <c r="N1953" s="659">
        <f>L1953-H1953</f>
        <v>4147.7490769596479</v>
      </c>
      <c r="O1953" s="657">
        <f>IF((H1953)=0,"",(N1953/H1953))</f>
        <v>3.9817180895704789E-2</v>
      </c>
      <c r="P1953" s="7"/>
    </row>
    <row r="1954" spans="1:16" ht="12.75" customHeight="1" x14ac:dyDescent="0.2">
      <c r="A1954" s="7"/>
      <c r="B1954" s="650" t="s">
        <v>38</v>
      </c>
      <c r="C1954" s="26"/>
      <c r="D1954" s="26"/>
      <c r="E1954" s="26"/>
      <c r="F1954" s="649">
        <v>0.13</v>
      </c>
      <c r="G1954" s="653"/>
      <c r="H1954" s="670">
        <f>H1953*F1954</f>
        <v>13542.078265589123</v>
      </c>
      <c r="I1954" s="648"/>
      <c r="J1954" s="671">
        <v>0.13</v>
      </c>
      <c r="K1954" s="648"/>
      <c r="L1954" s="672">
        <f>L1953*J1954</f>
        <v>14081.285645593878</v>
      </c>
      <c r="M1954" s="673"/>
      <c r="N1954" s="674">
        <f t="shared" si="170"/>
        <v>539.20738000475467</v>
      </c>
      <c r="O1954" s="675">
        <f t="shared" si="172"/>
        <v>3.9817180895704817E-2</v>
      </c>
      <c r="P1954" s="7"/>
    </row>
    <row r="1955" spans="1:16" ht="13.5" customHeight="1" x14ac:dyDescent="0.2">
      <c r="A1955" s="7"/>
      <c r="B1955" s="651" t="s">
        <v>1139</v>
      </c>
      <c r="C1955" s="26"/>
      <c r="D1955" s="26"/>
      <c r="E1955" s="26"/>
      <c r="F1955" s="658"/>
      <c r="G1955" s="653"/>
      <c r="H1955" s="670">
        <f>H1953+H1954</f>
        <v>117711.91107781314</v>
      </c>
      <c r="I1955" s="648"/>
      <c r="J1955" s="648"/>
      <c r="K1955" s="648"/>
      <c r="L1955" s="672">
        <f>L1953+L1954</f>
        <v>122398.86753477754</v>
      </c>
      <c r="M1955" s="673"/>
      <c r="N1955" s="674">
        <f t="shared" si="170"/>
        <v>4686.956456964399</v>
      </c>
      <c r="O1955" s="675">
        <f t="shared" si="172"/>
        <v>3.9817180895704761E-2</v>
      </c>
      <c r="P1955" s="7"/>
    </row>
    <row r="1956" spans="1:16" ht="12.75" customHeight="1" x14ac:dyDescent="0.2">
      <c r="A1956" s="7"/>
      <c r="B1956" s="1626" t="s">
        <v>1140</v>
      </c>
      <c r="C1956" s="1626"/>
      <c r="D1956" s="1626"/>
      <c r="E1956" s="26"/>
      <c r="F1956" s="658"/>
      <c r="G1956" s="653"/>
      <c r="H1956" s="1052">
        <f>ROUND(-H1955*10%,2)</f>
        <v>-11771.19</v>
      </c>
      <c r="I1956" s="648"/>
      <c r="J1956" s="648"/>
      <c r="K1956" s="648"/>
      <c r="L1956" s="1053">
        <f>ROUND(-L1955*10%,2)</f>
        <v>-12239.89</v>
      </c>
      <c r="M1956" s="673"/>
      <c r="N1956" s="1054">
        <f t="shared" si="170"/>
        <v>-468.69999999999891</v>
      </c>
      <c r="O1956" s="1055">
        <f t="shared" si="172"/>
        <v>3.9817554554807025E-2</v>
      </c>
      <c r="P1956" s="7"/>
    </row>
    <row r="1957" spans="1:16" ht="13.5" customHeight="1" thickBot="1" x14ac:dyDescent="0.25">
      <c r="A1957" s="7"/>
      <c r="B1957" s="1626" t="s">
        <v>784</v>
      </c>
      <c r="C1957" s="1626"/>
      <c r="D1957" s="1626"/>
      <c r="E1957" s="1056"/>
      <c r="F1957" s="1071"/>
      <c r="G1957" s="1072"/>
      <c r="H1957" s="1073">
        <f>H1955+H1956</f>
        <v>105940.72107781314</v>
      </c>
      <c r="I1957" s="1074"/>
      <c r="J1957" s="1074"/>
      <c r="K1957" s="1074"/>
      <c r="L1957" s="1075">
        <f>L1955+L1956</f>
        <v>110158.97753477754</v>
      </c>
      <c r="M1957" s="1076"/>
      <c r="N1957" s="1077">
        <f t="shared" si="170"/>
        <v>4218.2564569644019</v>
      </c>
      <c r="O1957" s="1078">
        <f t="shared" si="172"/>
        <v>3.9817139378031087E-2</v>
      </c>
      <c r="P1957" s="7"/>
    </row>
    <row r="1958" spans="1:16" ht="13.5" thickBot="1" x14ac:dyDescent="0.25">
      <c r="A1958" s="7"/>
      <c r="B1958" s="1042"/>
      <c r="C1958" s="1043"/>
      <c r="D1958" s="1044"/>
      <c r="E1958" s="1043"/>
      <c r="F1958" s="1065"/>
      <c r="G1958" s="1066"/>
      <c r="H1958" s="1067"/>
      <c r="I1958" s="1068"/>
      <c r="J1958" s="1065"/>
      <c r="K1958" s="1046"/>
      <c r="L1958" s="1069"/>
      <c r="M1958" s="1048"/>
      <c r="N1958" s="1070"/>
      <c r="O1958" s="1051"/>
      <c r="P1958" s="7"/>
    </row>
    <row r="1959" spans="1:16" x14ac:dyDescent="0.2">
      <c r="A1959" s="7"/>
      <c r="B1959" s="7"/>
      <c r="C1959" s="7"/>
      <c r="D1959" s="7"/>
      <c r="E1959" s="7"/>
      <c r="F1959" s="7"/>
      <c r="G1959" s="7"/>
      <c r="H1959" s="7"/>
      <c r="I1959" s="7"/>
      <c r="J1959" s="7"/>
      <c r="K1959" s="7"/>
      <c r="L1959" s="678"/>
      <c r="M1959" s="7"/>
      <c r="N1959" s="7"/>
      <c r="O1959" s="7"/>
      <c r="P1959" s="7"/>
    </row>
    <row r="1960" spans="1:16" x14ac:dyDescent="0.2">
      <c r="A1960" s="7"/>
      <c r="B1960" s="8" t="s">
        <v>39</v>
      </c>
      <c r="C1960" s="7"/>
      <c r="D1960" s="7"/>
      <c r="E1960" s="7"/>
      <c r="F1960" s="1079">
        <v>3.5600000000000076E-2</v>
      </c>
      <c r="G1960" s="7"/>
      <c r="H1960" s="7"/>
      <c r="I1960" s="7"/>
      <c r="J1960" s="1079">
        <v>4.2054064279015257E-2</v>
      </c>
      <c r="K1960" s="7"/>
      <c r="L1960" s="7"/>
      <c r="M1960" s="7"/>
      <c r="N1960" s="7"/>
      <c r="O1960" s="7"/>
      <c r="P1960" s="7"/>
    </row>
    <row r="1961" spans="1:16" x14ac:dyDescent="0.2">
      <c r="A1961" s="7"/>
      <c r="B1961" s="7"/>
      <c r="C1961" s="7"/>
      <c r="D1961" s="7"/>
      <c r="E1961" s="7"/>
      <c r="F1961" s="7"/>
      <c r="G1961" s="7"/>
      <c r="H1961" s="7"/>
      <c r="I1961" s="7"/>
      <c r="J1961" s="7"/>
      <c r="K1961" s="7"/>
      <c r="L1961" s="7"/>
      <c r="M1961" s="7"/>
      <c r="N1961" s="7"/>
      <c r="O1961" s="7"/>
      <c r="P1961" s="7"/>
    </row>
    <row r="1962" spans="1:16" ht="14.25" x14ac:dyDescent="0.2">
      <c r="A1962" s="214" t="s">
        <v>1141</v>
      </c>
      <c r="B1962" s="7"/>
      <c r="C1962" s="7"/>
      <c r="D1962" s="7"/>
      <c r="E1962" s="7"/>
      <c r="F1962" s="7"/>
      <c r="G1962" s="7"/>
      <c r="H1962" s="7"/>
      <c r="I1962" s="7"/>
      <c r="J1962" s="7"/>
      <c r="K1962" s="7"/>
      <c r="L1962" s="7"/>
      <c r="M1962" s="7"/>
      <c r="N1962" s="7"/>
      <c r="O1962" s="7"/>
      <c r="P1962" s="7"/>
    </row>
    <row r="1963" spans="1:16" x14ac:dyDescent="0.2">
      <c r="A1963" s="7"/>
      <c r="B1963" s="7"/>
      <c r="C1963" s="7"/>
      <c r="D1963" s="7"/>
      <c r="E1963" s="7"/>
      <c r="F1963" s="7"/>
      <c r="G1963" s="7"/>
      <c r="H1963" s="7"/>
      <c r="I1963" s="7"/>
      <c r="J1963" s="7"/>
      <c r="K1963" s="7"/>
      <c r="L1963" s="7"/>
      <c r="M1963" s="7"/>
      <c r="N1963" s="7"/>
      <c r="O1963" s="7"/>
      <c r="P1963" s="7"/>
    </row>
    <row r="1964" spans="1:16" x14ac:dyDescent="0.2">
      <c r="A1964" s="7" t="s">
        <v>107</v>
      </c>
      <c r="B1964" s="7"/>
      <c r="C1964" s="7"/>
      <c r="D1964" s="7"/>
      <c r="E1964" s="7"/>
      <c r="F1964" s="7"/>
      <c r="G1964" s="7"/>
      <c r="H1964" s="7"/>
      <c r="I1964" s="7"/>
      <c r="J1964" s="7"/>
      <c r="K1964" s="7"/>
      <c r="L1964" s="7"/>
      <c r="M1964" s="7"/>
      <c r="N1964" s="7"/>
      <c r="O1964" s="7"/>
      <c r="P1964" s="7"/>
    </row>
    <row r="1965" spans="1:16" x14ac:dyDescent="0.2">
      <c r="A1965" s="7" t="s">
        <v>108</v>
      </c>
      <c r="B1965" s="7"/>
      <c r="C1965" s="7"/>
      <c r="D1965" s="7"/>
      <c r="E1965" s="7"/>
      <c r="F1965" s="7"/>
      <c r="G1965" s="7"/>
      <c r="H1965" s="7"/>
      <c r="I1965" s="7"/>
      <c r="J1965" s="7"/>
      <c r="K1965" s="7"/>
      <c r="L1965" s="7"/>
      <c r="M1965" s="7"/>
      <c r="N1965" s="7"/>
      <c r="O1965" s="7"/>
      <c r="P1965" s="7"/>
    </row>
    <row r="1966" spans="1:16" x14ac:dyDescent="0.2">
      <c r="A1966" s="7"/>
      <c r="B1966" s="7"/>
      <c r="C1966" s="7"/>
      <c r="D1966" s="7"/>
      <c r="E1966" s="7"/>
      <c r="F1966" s="7"/>
      <c r="G1966" s="7"/>
      <c r="H1966" s="7"/>
      <c r="I1966" s="7"/>
      <c r="J1966" s="7"/>
      <c r="K1966" s="7"/>
      <c r="L1966" s="7"/>
      <c r="M1966" s="7"/>
      <c r="N1966" s="7"/>
      <c r="O1966" s="7"/>
      <c r="P1966" s="7"/>
    </row>
    <row r="1967" spans="1:16" x14ac:dyDescent="0.2">
      <c r="A1967" s="7" t="s">
        <v>331</v>
      </c>
      <c r="B1967" s="7"/>
      <c r="C1967" s="7"/>
      <c r="D1967" s="7"/>
      <c r="E1967" s="7"/>
      <c r="F1967" s="7"/>
      <c r="G1967" s="7"/>
      <c r="H1967" s="7"/>
      <c r="I1967" s="7"/>
      <c r="J1967" s="7"/>
      <c r="K1967" s="7"/>
      <c r="L1967" s="7"/>
      <c r="M1967" s="7"/>
      <c r="N1967" s="7"/>
      <c r="O1967" s="7"/>
      <c r="P1967" s="7"/>
    </row>
    <row r="1968" spans="1:16" x14ac:dyDescent="0.2">
      <c r="A1968" s="7" t="s">
        <v>109</v>
      </c>
      <c r="B1968" s="7"/>
      <c r="C1968" s="7"/>
      <c r="D1968" s="7"/>
      <c r="E1968" s="7"/>
      <c r="F1968" s="7"/>
      <c r="G1968" s="7"/>
      <c r="H1968" s="7"/>
      <c r="I1968" s="7"/>
      <c r="J1968" s="7"/>
      <c r="K1968" s="7"/>
      <c r="L1968" s="7"/>
      <c r="M1968" s="7"/>
      <c r="N1968" s="7"/>
      <c r="O1968" s="7"/>
      <c r="P1968" s="7"/>
    </row>
    <row r="1969" spans="1:16" x14ac:dyDescent="0.2">
      <c r="A1969" s="7"/>
      <c r="B1969" s="7"/>
      <c r="C1969" s="7"/>
      <c r="D1969" s="7"/>
      <c r="E1969" s="7"/>
      <c r="F1969" s="7"/>
      <c r="G1969" s="7"/>
      <c r="H1969" s="7"/>
      <c r="I1969" s="7"/>
      <c r="J1969" s="7"/>
      <c r="K1969" s="7"/>
      <c r="L1969" s="7"/>
      <c r="M1969" s="7"/>
      <c r="N1969" s="7"/>
      <c r="O1969" s="7"/>
      <c r="P1969" s="7"/>
    </row>
    <row r="1970" spans="1:16" x14ac:dyDescent="0.2">
      <c r="A1970" s="7" t="s">
        <v>110</v>
      </c>
      <c r="B1970" s="7"/>
      <c r="C1970" s="7"/>
      <c r="D1970" s="7"/>
      <c r="E1970" s="7"/>
      <c r="F1970" s="7"/>
      <c r="G1970" s="7"/>
      <c r="H1970" s="7"/>
      <c r="I1970" s="7"/>
      <c r="J1970" s="7"/>
      <c r="K1970" s="7"/>
      <c r="L1970" s="7"/>
      <c r="M1970" s="7"/>
      <c r="N1970" s="7"/>
      <c r="O1970" s="7"/>
      <c r="P1970" s="7"/>
    </row>
    <row r="1971" spans="1:16" x14ac:dyDescent="0.2">
      <c r="A1971" s="7" t="s">
        <v>111</v>
      </c>
      <c r="B1971" s="7"/>
      <c r="C1971" s="7"/>
      <c r="D1971" s="7"/>
      <c r="E1971" s="7"/>
      <c r="F1971" s="7"/>
      <c r="G1971" s="7"/>
      <c r="H1971" s="7"/>
      <c r="I1971" s="7"/>
      <c r="J1971" s="7"/>
      <c r="K1971" s="7"/>
      <c r="L1971" s="7"/>
      <c r="M1971" s="7"/>
      <c r="N1971" s="7"/>
      <c r="O1971" s="7"/>
      <c r="P1971" s="7"/>
    </row>
    <row r="1972" spans="1:16" x14ac:dyDescent="0.2">
      <c r="A1972" s="7" t="s">
        <v>112</v>
      </c>
      <c r="B1972" s="7"/>
      <c r="C1972" s="7"/>
      <c r="D1972" s="7"/>
      <c r="E1972" s="7"/>
      <c r="F1972" s="7"/>
      <c r="G1972" s="7"/>
      <c r="H1972" s="7"/>
      <c r="I1972" s="7"/>
      <c r="J1972" s="7"/>
      <c r="K1972" s="7"/>
      <c r="L1972" s="7"/>
      <c r="M1972" s="7"/>
      <c r="N1972" s="7"/>
      <c r="O1972" s="7"/>
      <c r="P1972" s="7"/>
    </row>
    <row r="1973" spans="1:16" x14ac:dyDescent="0.2">
      <c r="A1973" s="7" t="s">
        <v>113</v>
      </c>
      <c r="B1973" s="7"/>
      <c r="C1973" s="7"/>
      <c r="D1973" s="7"/>
      <c r="E1973" s="7"/>
      <c r="F1973" s="7"/>
      <c r="G1973" s="7"/>
      <c r="H1973" s="7"/>
      <c r="I1973" s="7"/>
      <c r="J1973" s="7"/>
      <c r="K1973" s="7"/>
      <c r="L1973" s="7"/>
      <c r="M1973" s="7"/>
      <c r="N1973" s="7"/>
      <c r="O1973" s="7"/>
      <c r="P1973" s="7"/>
    </row>
    <row r="1974" spans="1:16" x14ac:dyDescent="0.2">
      <c r="A1974" s="7" t="s">
        <v>114</v>
      </c>
      <c r="B1974" s="7"/>
      <c r="C1974" s="7"/>
      <c r="D1974" s="7"/>
      <c r="E1974" s="7"/>
      <c r="F1974" s="7"/>
      <c r="G1974" s="7"/>
      <c r="H1974" s="7"/>
      <c r="I1974" s="7"/>
      <c r="J1974" s="7"/>
      <c r="K1974" s="7"/>
      <c r="L1974" s="7"/>
      <c r="M1974" s="7"/>
      <c r="N1974" s="7"/>
      <c r="O1974" s="7"/>
      <c r="P1974" s="7"/>
    </row>
    <row r="1976" spans="1:16" ht="21.75" x14ac:dyDescent="0.2">
      <c r="A1976" s="41"/>
      <c r="B1976" s="41"/>
      <c r="C1976" s="41"/>
      <c r="D1976" s="41"/>
      <c r="E1976" s="41"/>
      <c r="F1976" s="41"/>
      <c r="G1976" s="41"/>
      <c r="H1976" s="41"/>
      <c r="I1976" s="41"/>
      <c r="J1976" s="41"/>
      <c r="K1976" s="41"/>
      <c r="L1976" s="37"/>
      <c r="M1976" s="37"/>
      <c r="N1976" s="16" t="s">
        <v>444</v>
      </c>
      <c r="O1976" s="250" t="s">
        <v>866</v>
      </c>
    </row>
    <row r="1977" spans="1:16" ht="18" x14ac:dyDescent="0.25">
      <c r="A1977" s="40"/>
      <c r="B1977" s="40"/>
      <c r="C1977" s="40"/>
      <c r="D1977" s="40"/>
      <c r="E1977" s="40"/>
      <c r="F1977" s="40"/>
      <c r="G1977" s="40"/>
      <c r="H1977" s="40"/>
      <c r="I1977" s="40"/>
      <c r="J1977" s="40"/>
      <c r="K1977" s="40"/>
      <c r="L1977" s="37"/>
      <c r="M1977" s="37"/>
      <c r="N1977" s="16" t="s">
        <v>445</v>
      </c>
      <c r="O1977" s="1001"/>
    </row>
    <row r="1978" spans="1:16" x14ac:dyDescent="0.2">
      <c r="A1978" s="1626"/>
      <c r="B1978" s="1626"/>
      <c r="C1978" s="1626"/>
      <c r="D1978" s="1626"/>
      <c r="E1978" s="1626"/>
      <c r="F1978" s="1626"/>
      <c r="G1978" s="1626"/>
      <c r="H1978" s="1626"/>
      <c r="I1978" s="1626"/>
      <c r="J1978" s="1626"/>
      <c r="K1978" s="1626"/>
      <c r="L1978" s="37"/>
      <c r="M1978" s="37"/>
      <c r="N1978" s="16" t="s">
        <v>446</v>
      </c>
      <c r="O1978" s="1001"/>
    </row>
    <row r="1979" spans="1:16" ht="18" x14ac:dyDescent="0.25">
      <c r="A1979" s="40"/>
      <c r="B1979" s="40"/>
      <c r="C1979" s="40"/>
      <c r="D1979" s="40"/>
      <c r="E1979" s="40"/>
      <c r="F1979" s="40"/>
      <c r="G1979" s="40"/>
      <c r="H1979" s="40"/>
      <c r="I1979" s="38"/>
      <c r="J1979" s="38"/>
      <c r="K1979" s="38"/>
      <c r="L1979" s="37"/>
      <c r="M1979" s="37"/>
      <c r="N1979" s="16" t="s">
        <v>447</v>
      </c>
      <c r="O1979" s="1001"/>
    </row>
    <row r="1980" spans="1:16" ht="15.75" x14ac:dyDescent="0.25">
      <c r="A1980" s="37"/>
      <c r="B1980" s="37"/>
      <c r="C1980" s="39"/>
      <c r="D1980" s="39"/>
      <c r="E1980" s="39"/>
      <c r="F1980" s="37"/>
      <c r="G1980" s="37"/>
      <c r="H1980" s="37"/>
      <c r="I1980" s="37"/>
      <c r="J1980" s="37"/>
      <c r="K1980" s="37"/>
      <c r="L1980" s="37"/>
      <c r="M1980" s="37"/>
      <c r="N1980" s="16" t="s">
        <v>448</v>
      </c>
      <c r="O1980" s="1002" t="s">
        <v>1169</v>
      </c>
    </row>
    <row r="1981" spans="1:16" x14ac:dyDescent="0.2">
      <c r="A1981" s="37"/>
      <c r="B1981" s="37"/>
      <c r="C1981" s="37"/>
      <c r="D1981" s="37"/>
      <c r="E1981" s="37"/>
      <c r="F1981" s="37"/>
      <c r="G1981" s="37"/>
      <c r="H1981" s="37"/>
      <c r="I1981" s="37"/>
      <c r="J1981" s="37"/>
      <c r="K1981" s="37"/>
      <c r="L1981" s="37"/>
      <c r="M1981" s="37"/>
      <c r="N1981" s="16"/>
      <c r="O1981" s="250"/>
    </row>
    <row r="1982" spans="1:16" x14ac:dyDescent="0.2">
      <c r="A1982" s="37"/>
      <c r="B1982" s="37"/>
      <c r="C1982" s="37"/>
      <c r="D1982" s="37"/>
      <c r="E1982" s="37"/>
      <c r="F1982" s="37"/>
      <c r="G1982" s="37"/>
      <c r="H1982" s="37"/>
      <c r="I1982" s="37"/>
      <c r="J1982" s="37"/>
      <c r="K1982" s="37"/>
      <c r="L1982" s="37"/>
      <c r="M1982" s="37"/>
      <c r="N1982" s="16" t="s">
        <v>449</v>
      </c>
      <c r="O1982" s="1002"/>
    </row>
    <row r="1983" spans="1:16" x14ac:dyDescent="0.2">
      <c r="A1983" s="37"/>
      <c r="B1983" s="37"/>
      <c r="C1983" s="37"/>
      <c r="D1983" s="37"/>
      <c r="E1983" s="37"/>
      <c r="F1983" s="37"/>
      <c r="G1983" s="37"/>
      <c r="H1983" s="37"/>
      <c r="I1983" s="37"/>
      <c r="J1983" s="37"/>
      <c r="K1983" s="37"/>
      <c r="L1983" s="37"/>
      <c r="M1983" s="37"/>
      <c r="N1983" s="7"/>
    </row>
    <row r="1984" spans="1:16" x14ac:dyDescent="0.2">
      <c r="A1984" s="7"/>
      <c r="B1984" s="7"/>
      <c r="C1984" s="7"/>
      <c r="D1984" s="7"/>
      <c r="E1984" s="7"/>
      <c r="F1984" s="7"/>
      <c r="G1984" s="7"/>
      <c r="H1984" s="7"/>
      <c r="I1984" s="7"/>
      <c r="J1984" s="7"/>
      <c r="K1984" s="7"/>
    </row>
    <row r="1985" spans="1:16" x14ac:dyDescent="0.2">
      <c r="A1985" s="7"/>
      <c r="B1985" s="1626" t="s">
        <v>695</v>
      </c>
      <c r="C1985" s="1626"/>
      <c r="D1985" s="1626"/>
      <c r="E1985" s="1626"/>
      <c r="F1985" s="1626"/>
      <c r="G1985" s="1626"/>
      <c r="H1985" s="1626"/>
      <c r="I1985" s="1626"/>
      <c r="J1985" s="1626"/>
      <c r="K1985" s="1626"/>
      <c r="L1985" s="1626"/>
      <c r="M1985" s="1626"/>
      <c r="N1985" s="1626"/>
      <c r="O1985" s="1626"/>
    </row>
    <row r="1986" spans="1:16" x14ac:dyDescent="0.2">
      <c r="A1986" s="7"/>
      <c r="B1986" s="1626" t="s">
        <v>63</v>
      </c>
      <c r="C1986" s="1626"/>
      <c r="D1986" s="1626"/>
      <c r="E1986" s="1626"/>
      <c r="F1986" s="1626"/>
      <c r="G1986" s="1626"/>
      <c r="H1986" s="1626"/>
      <c r="I1986" s="1626"/>
      <c r="J1986" s="1626"/>
      <c r="K1986" s="1626"/>
      <c r="L1986" s="1626"/>
      <c r="M1986" s="1626"/>
      <c r="N1986" s="1626"/>
      <c r="O1986" s="1626"/>
    </row>
    <row r="1987" spans="1:16" x14ac:dyDescent="0.2">
      <c r="A1987" s="7"/>
      <c r="B1987" s="7"/>
      <c r="C1987" s="7"/>
      <c r="D1987" s="7"/>
      <c r="E1987" s="7"/>
      <c r="F1987" s="7"/>
      <c r="G1987" s="7"/>
      <c r="H1987" s="7"/>
      <c r="I1987" s="7"/>
      <c r="J1987" s="7"/>
      <c r="K1987" s="7"/>
    </row>
    <row r="1988" spans="1:16" x14ac:dyDescent="0.2">
      <c r="A1988" s="7"/>
      <c r="B1988" s="7"/>
      <c r="C1988" s="7"/>
      <c r="D1988" s="7"/>
      <c r="E1988" s="7"/>
      <c r="F1988" s="7"/>
      <c r="G1988" s="7"/>
      <c r="H1988" s="7"/>
      <c r="I1988" s="7"/>
      <c r="J1988" s="7"/>
      <c r="K1988" s="7"/>
    </row>
    <row r="1989" spans="1:16" x14ac:dyDescent="0.2">
      <c r="A1989" s="7"/>
      <c r="B1989" s="43" t="s">
        <v>40</v>
      </c>
      <c r="C1989" s="7"/>
      <c r="D1989" s="1626" t="s">
        <v>1170</v>
      </c>
      <c r="E1989" s="1626"/>
      <c r="F1989" s="1626"/>
      <c r="G1989" s="1626"/>
      <c r="H1989" s="1626"/>
      <c r="I1989" s="1626"/>
      <c r="J1989" s="1626"/>
      <c r="K1989" s="1626"/>
      <c r="L1989" s="1626"/>
      <c r="M1989" s="1626"/>
      <c r="N1989" s="1626"/>
      <c r="O1989" s="1626"/>
      <c r="P1989" s="7"/>
    </row>
    <row r="1990" spans="1:16" ht="15.75" x14ac:dyDescent="0.25">
      <c r="A1990" s="7"/>
      <c r="B1990" s="1003"/>
      <c r="C1990" s="7"/>
      <c r="D1990" s="42"/>
      <c r="E1990" s="42"/>
      <c r="F1990" s="42"/>
      <c r="G1990" s="42"/>
      <c r="H1990" s="42"/>
      <c r="I1990" s="42"/>
      <c r="J1990" s="42"/>
      <c r="K1990" s="42"/>
      <c r="L1990" s="42"/>
      <c r="M1990" s="42"/>
      <c r="N1990" s="42"/>
      <c r="O1990" s="42"/>
      <c r="P1990" s="7"/>
    </row>
    <row r="1991" spans="1:16" x14ac:dyDescent="0.2">
      <c r="A1991" s="7"/>
      <c r="B1991" s="647"/>
      <c r="C1991" s="7"/>
      <c r="D1991" s="8" t="s">
        <v>17</v>
      </c>
      <c r="E1991" s="8"/>
      <c r="F1991" s="1004">
        <v>500000</v>
      </c>
      <c r="G1991" s="8" t="s">
        <v>18</v>
      </c>
      <c r="H1991" s="7"/>
      <c r="I1991" s="7"/>
      <c r="J1991" s="7">
        <v>800</v>
      </c>
      <c r="K1991" s="7" t="s">
        <v>1171</v>
      </c>
      <c r="L1991" s="7"/>
      <c r="M1991" s="7"/>
      <c r="N1991" s="7"/>
      <c r="O1991" s="7"/>
      <c r="P1991" s="7"/>
    </row>
    <row r="1992" spans="1:16" x14ac:dyDescent="0.2">
      <c r="A1992" s="7"/>
      <c r="B1992" s="647"/>
      <c r="C1992" s="7"/>
      <c r="D1992" s="7"/>
      <c r="E1992" s="7"/>
      <c r="F1992" s="7"/>
      <c r="G1992" s="7"/>
      <c r="H1992" s="7"/>
      <c r="I1992" s="7"/>
      <c r="J1992" s="7"/>
      <c r="K1992" s="7"/>
      <c r="L1992" s="7"/>
      <c r="M1992" s="7"/>
      <c r="N1992" s="7"/>
      <c r="O1992" s="7"/>
      <c r="P1992" s="7"/>
    </row>
    <row r="1993" spans="1:16" x14ac:dyDescent="0.2">
      <c r="A1993" s="7"/>
      <c r="B1993" s="647"/>
      <c r="C1993" s="7"/>
      <c r="D1993" s="19"/>
      <c r="E1993" s="19"/>
      <c r="F1993" s="1626" t="s">
        <v>19</v>
      </c>
      <c r="G1993" s="1626"/>
      <c r="H1993" s="1626"/>
      <c r="I1993" s="7"/>
      <c r="J1993" s="1626" t="s">
        <v>20</v>
      </c>
      <c r="K1993" s="1626"/>
      <c r="L1993" s="1626"/>
      <c r="M1993" s="7"/>
      <c r="N1993" s="1626" t="s">
        <v>21</v>
      </c>
      <c r="O1993" s="1626"/>
      <c r="P1993" s="7"/>
    </row>
    <row r="1994" spans="1:16" ht="12.75" customHeight="1" x14ac:dyDescent="0.2">
      <c r="A1994" s="7"/>
      <c r="B1994" s="647"/>
      <c r="C1994" s="7"/>
      <c r="D1994" s="1626" t="s">
        <v>22</v>
      </c>
      <c r="E1994" s="20"/>
      <c r="F1994" s="21" t="s">
        <v>23</v>
      </c>
      <c r="G1994" s="21" t="s">
        <v>24</v>
      </c>
      <c r="H1994" s="22" t="s">
        <v>25</v>
      </c>
      <c r="I1994" s="7"/>
      <c r="J1994" s="21" t="s">
        <v>23</v>
      </c>
      <c r="K1994" s="23" t="s">
        <v>24</v>
      </c>
      <c r="L1994" s="22" t="s">
        <v>25</v>
      </c>
      <c r="M1994" s="7"/>
      <c r="N1994" s="1626" t="s">
        <v>26</v>
      </c>
      <c r="O1994" s="1626" t="s">
        <v>27</v>
      </c>
      <c r="P1994" s="7"/>
    </row>
    <row r="1995" spans="1:16" x14ac:dyDescent="0.2">
      <c r="A1995" s="7"/>
      <c r="B1995" s="647"/>
      <c r="C1995" s="7"/>
      <c r="D1995" s="1626"/>
      <c r="E1995" s="20"/>
      <c r="F1995" s="24" t="s">
        <v>452</v>
      </c>
      <c r="G1995" s="24"/>
      <c r="H1995" s="25" t="s">
        <v>452</v>
      </c>
      <c r="I1995" s="7"/>
      <c r="J1995" s="24" t="s">
        <v>452</v>
      </c>
      <c r="K1995" s="25"/>
      <c r="L1995" s="25" t="s">
        <v>452</v>
      </c>
      <c r="M1995" s="7"/>
      <c r="N1995" s="1626"/>
      <c r="O1995" s="1626"/>
      <c r="P1995" s="7"/>
    </row>
    <row r="1996" spans="1:16" x14ac:dyDescent="0.2">
      <c r="A1996" s="7"/>
      <c r="B1996" s="26" t="s">
        <v>28</v>
      </c>
      <c r="C1996" s="26"/>
      <c r="D1996" s="1005" t="s">
        <v>1130</v>
      </c>
      <c r="E1996" s="27"/>
      <c r="F1996" s="1006">
        <v>142</v>
      </c>
      <c r="G1996" s="32">
        <v>1</v>
      </c>
      <c r="H1996" s="1007">
        <f>G1996*F1996</f>
        <v>142</v>
      </c>
      <c r="I1996" s="30"/>
      <c r="J1996" s="1008">
        <v>142</v>
      </c>
      <c r="K1996" s="33">
        <v>1</v>
      </c>
      <c r="L1996" s="1007">
        <f>K1996*J1996</f>
        <v>142</v>
      </c>
      <c r="M1996" s="30"/>
      <c r="N1996" s="34">
        <f>L1996-H1996</f>
        <v>0</v>
      </c>
      <c r="O1996" s="202">
        <f>IF((H1996)=0,"",(N1996/H1996))</f>
        <v>0</v>
      </c>
      <c r="P1996" s="7"/>
    </row>
    <row r="1997" spans="1:16" x14ac:dyDescent="0.2">
      <c r="A1997" s="7"/>
      <c r="B1997" s="26" t="s">
        <v>29</v>
      </c>
      <c r="C1997" s="26"/>
      <c r="D1997" s="1005" t="s">
        <v>1130</v>
      </c>
      <c r="E1997" s="27"/>
      <c r="F1997" s="1006">
        <v>0</v>
      </c>
      <c r="G1997" s="32">
        <v>1</v>
      </c>
      <c r="H1997" s="1007">
        <f t="shared" ref="H1997:H2005" si="175">G1997*F1997</f>
        <v>0</v>
      </c>
      <c r="I1997" s="30"/>
      <c r="J1997" s="1008">
        <v>0</v>
      </c>
      <c r="K1997" s="33">
        <v>1</v>
      </c>
      <c r="L1997" s="1007">
        <f>K1997*J1997</f>
        <v>0</v>
      </c>
      <c r="M1997" s="30"/>
      <c r="N1997" s="34">
        <f>L1997-H1997</f>
        <v>0</v>
      </c>
      <c r="O1997" s="202" t="str">
        <f>IF((H1997)=0,"",(N1997/H1997))</f>
        <v/>
      </c>
      <c r="P1997" s="7"/>
    </row>
    <row r="1998" spans="1:16" x14ac:dyDescent="0.2">
      <c r="A1998" s="7"/>
      <c r="B1998" s="1009" t="s">
        <v>1131</v>
      </c>
      <c r="C1998" s="26"/>
      <c r="D1998" s="1005" t="s">
        <v>80</v>
      </c>
      <c r="E1998" s="27"/>
      <c r="F1998" s="1006">
        <v>-6.1400000000000003E-2</v>
      </c>
      <c r="G1998" s="32">
        <v>800</v>
      </c>
      <c r="H1998" s="1007">
        <f t="shared" si="175"/>
        <v>-49.120000000000005</v>
      </c>
      <c r="I1998" s="30"/>
      <c r="J1998" s="1008">
        <v>0</v>
      </c>
      <c r="K1998" s="33">
        <f>G1998</f>
        <v>800</v>
      </c>
      <c r="L1998" s="1007">
        <f t="shared" ref="L1998:L2005" si="176">K1998*J1998</f>
        <v>0</v>
      </c>
      <c r="M1998" s="30"/>
      <c r="N1998" s="34">
        <f t="shared" ref="N1998:N2034" si="177">L1998-H1998</f>
        <v>49.120000000000005</v>
      </c>
      <c r="O1998" s="202">
        <f t="shared" ref="O1998:O2006" si="178">IF((H1998)=0,"",(N1998/H1998))</f>
        <v>-1</v>
      </c>
      <c r="P1998" s="7"/>
    </row>
    <row r="1999" spans="1:16" x14ac:dyDescent="0.2">
      <c r="A1999" s="7"/>
      <c r="B1999" s="1009" t="s">
        <v>36</v>
      </c>
      <c r="C1999" s="26"/>
      <c r="D1999" s="1005" t="s">
        <v>1130</v>
      </c>
      <c r="E1999" s="27"/>
      <c r="F1999" s="1006">
        <v>0.25</v>
      </c>
      <c r="G1999" s="32">
        <v>1</v>
      </c>
      <c r="H1999" s="1007">
        <f t="shared" si="175"/>
        <v>0.25</v>
      </c>
      <c r="I1999" s="30"/>
      <c r="J1999" s="1008">
        <v>0.25</v>
      </c>
      <c r="K1999" s="33">
        <v>1</v>
      </c>
      <c r="L1999" s="1007">
        <f t="shared" si="176"/>
        <v>0.25</v>
      </c>
      <c r="M1999" s="30"/>
      <c r="N1999" s="34">
        <f t="shared" si="177"/>
        <v>0</v>
      </c>
      <c r="O1999" s="202">
        <f t="shared" si="178"/>
        <v>0</v>
      </c>
      <c r="P1999" s="7"/>
    </row>
    <row r="2000" spans="1:16" x14ac:dyDescent="0.2">
      <c r="A2000" s="7"/>
      <c r="B2000" s="26" t="s">
        <v>30</v>
      </c>
      <c r="C2000" s="26"/>
      <c r="D2000" s="1005"/>
      <c r="E2000" s="27"/>
      <c r="F2000" s="1006">
        <v>3.5617000000000001</v>
      </c>
      <c r="G2000" s="32">
        <v>800</v>
      </c>
      <c r="H2000" s="1007">
        <f t="shared" si="175"/>
        <v>2849.36</v>
      </c>
      <c r="I2000" s="30"/>
      <c r="J2000" s="1008">
        <v>4.4310999999999998</v>
      </c>
      <c r="K2000" s="32">
        <f>G2000</f>
        <v>800</v>
      </c>
      <c r="L2000" s="1007">
        <f t="shared" si="176"/>
        <v>3544.8799999999997</v>
      </c>
      <c r="M2000" s="30"/>
      <c r="N2000" s="34">
        <f t="shared" si="177"/>
        <v>695.51999999999953</v>
      </c>
      <c r="O2000" s="202">
        <f t="shared" si="178"/>
        <v>0.24409692001010735</v>
      </c>
      <c r="P2000" s="7"/>
    </row>
    <row r="2001" spans="1:16" x14ac:dyDescent="0.2">
      <c r="A2001" s="7"/>
      <c r="B2001" s="26" t="s">
        <v>31</v>
      </c>
      <c r="C2001" s="26"/>
      <c r="D2001" s="1005"/>
      <c r="E2001" s="27"/>
      <c r="F2001" s="1006"/>
      <c r="G2001" s="32"/>
      <c r="H2001" s="1007">
        <f t="shared" si="175"/>
        <v>0</v>
      </c>
      <c r="I2001" s="30"/>
      <c r="J2001" s="1008"/>
      <c r="K2001" s="32"/>
      <c r="L2001" s="1007">
        <f t="shared" si="176"/>
        <v>0</v>
      </c>
      <c r="M2001" s="30"/>
      <c r="N2001" s="34">
        <f t="shared" si="177"/>
        <v>0</v>
      </c>
      <c r="O2001" s="202" t="str">
        <f t="shared" si="178"/>
        <v/>
      </c>
      <c r="P2001" s="7"/>
    </row>
    <row r="2002" spans="1:16" x14ac:dyDescent="0.2">
      <c r="A2002" s="7"/>
      <c r="B2002" s="26" t="s">
        <v>1132</v>
      </c>
      <c r="C2002" s="26"/>
      <c r="D2002" s="1005" t="s">
        <v>80</v>
      </c>
      <c r="E2002" s="27"/>
      <c r="F2002" s="1006">
        <v>0</v>
      </c>
      <c r="G2002" s="32">
        <v>800</v>
      </c>
      <c r="H2002" s="1007">
        <f t="shared" si="175"/>
        <v>0</v>
      </c>
      <c r="I2002" s="30"/>
      <c r="J2002" s="1008">
        <v>0</v>
      </c>
      <c r="K2002" s="32">
        <f>G2002</f>
        <v>800</v>
      </c>
      <c r="L2002" s="1007">
        <f t="shared" si="176"/>
        <v>0</v>
      </c>
      <c r="M2002" s="30"/>
      <c r="N2002" s="34">
        <f t="shared" si="177"/>
        <v>0</v>
      </c>
      <c r="O2002" s="202" t="str">
        <f t="shared" si="178"/>
        <v/>
      </c>
      <c r="P2002" s="7"/>
    </row>
    <row r="2003" spans="1:16" x14ac:dyDescent="0.2">
      <c r="A2003" s="7"/>
      <c r="B2003" s="26" t="s">
        <v>1133</v>
      </c>
      <c r="C2003" s="26"/>
      <c r="D2003" s="1005" t="s">
        <v>80</v>
      </c>
      <c r="E2003" s="27"/>
      <c r="F2003" s="1006">
        <v>1.49E-2</v>
      </c>
      <c r="G2003" s="32">
        <v>800</v>
      </c>
      <c r="H2003" s="1007">
        <f t="shared" si="175"/>
        <v>11.92</v>
      </c>
      <c r="I2003" s="30"/>
      <c r="J2003" s="1008">
        <v>1.49E-2</v>
      </c>
      <c r="K2003" s="32">
        <f>G2003</f>
        <v>800</v>
      </c>
      <c r="L2003" s="1007">
        <f t="shared" si="176"/>
        <v>11.92</v>
      </c>
      <c r="M2003" s="30"/>
      <c r="N2003" s="34">
        <f t="shared" si="177"/>
        <v>0</v>
      </c>
      <c r="O2003" s="202">
        <f t="shared" si="178"/>
        <v>0</v>
      </c>
      <c r="P2003" s="7"/>
    </row>
    <row r="2004" spans="1:16" x14ac:dyDescent="0.2">
      <c r="A2004" s="7"/>
      <c r="B2004" s="26" t="s">
        <v>1134</v>
      </c>
      <c r="C2004" s="26"/>
      <c r="D2004" s="1005" t="s">
        <v>80</v>
      </c>
      <c r="E2004" s="27"/>
      <c r="F2004" s="1006">
        <v>0</v>
      </c>
      <c r="G2004" s="32">
        <v>800</v>
      </c>
      <c r="H2004" s="1007">
        <f t="shared" si="175"/>
        <v>0</v>
      </c>
      <c r="I2004" s="30"/>
      <c r="J2004" s="1008">
        <v>4.3999999999999997E-2</v>
      </c>
      <c r="K2004" s="32">
        <f>G2004</f>
        <v>800</v>
      </c>
      <c r="L2004" s="1007">
        <f t="shared" si="176"/>
        <v>35.199999999999996</v>
      </c>
      <c r="M2004" s="30"/>
      <c r="N2004" s="34">
        <f t="shared" si="177"/>
        <v>35.199999999999996</v>
      </c>
      <c r="O2004" s="202" t="str">
        <f t="shared" si="178"/>
        <v/>
      </c>
      <c r="P2004" s="7"/>
    </row>
    <row r="2005" spans="1:16" x14ac:dyDescent="0.2">
      <c r="A2005" s="7"/>
      <c r="B2005" s="1010" t="s">
        <v>1135</v>
      </c>
      <c r="C2005" s="26"/>
      <c r="D2005" s="1005" t="s">
        <v>1130</v>
      </c>
      <c r="E2005" s="27"/>
      <c r="F2005" s="1006">
        <v>0</v>
      </c>
      <c r="G2005" s="32">
        <v>1</v>
      </c>
      <c r="H2005" s="1007">
        <f t="shared" si="175"/>
        <v>0</v>
      </c>
      <c r="I2005" s="30"/>
      <c r="J2005" s="1008">
        <v>0</v>
      </c>
      <c r="K2005" s="32">
        <v>1</v>
      </c>
      <c r="L2005" s="1007">
        <f t="shared" si="176"/>
        <v>0</v>
      </c>
      <c r="M2005" s="30"/>
      <c r="N2005" s="34">
        <f t="shared" si="177"/>
        <v>0</v>
      </c>
      <c r="O2005" s="202" t="str">
        <f t="shared" si="178"/>
        <v/>
      </c>
      <c r="P2005" s="7"/>
    </row>
    <row r="2006" spans="1:16" x14ac:dyDescent="0.2">
      <c r="A2006" s="29"/>
      <c r="B2006" s="1011" t="s">
        <v>698</v>
      </c>
      <c r="C2006" s="1012"/>
      <c r="D2006" s="1013"/>
      <c r="E2006" s="1012"/>
      <c r="F2006" s="1014"/>
      <c r="G2006" s="1015"/>
      <c r="H2006" s="1016">
        <f>SUM(H1996:H2005)</f>
        <v>2954.4100000000003</v>
      </c>
      <c r="I2006" s="1017"/>
      <c r="J2006" s="1018"/>
      <c r="K2006" s="1019"/>
      <c r="L2006" s="1016">
        <f>SUM(L1996:L2005)</f>
        <v>3734.2499999999995</v>
      </c>
      <c r="M2006" s="1017"/>
      <c r="N2006" s="1020">
        <f t="shared" si="177"/>
        <v>779.83999999999924</v>
      </c>
      <c r="O2006" s="1021">
        <f t="shared" si="178"/>
        <v>0.26395794761052094</v>
      </c>
      <c r="P2006" s="29"/>
    </row>
    <row r="2007" spans="1:16" ht="38.25" x14ac:dyDescent="0.2">
      <c r="A2007" s="7"/>
      <c r="B2007" s="1022" t="s">
        <v>1172</v>
      </c>
      <c r="C2007" s="26"/>
      <c r="D2007" s="1005" t="s">
        <v>80</v>
      </c>
      <c r="E2007" s="27"/>
      <c r="F2007" s="1006">
        <v>0</v>
      </c>
      <c r="G2007" s="32">
        <v>800</v>
      </c>
      <c r="H2007" s="1007">
        <f>G2007*F2007</f>
        <v>0</v>
      </c>
      <c r="I2007" s="30"/>
      <c r="J2007" s="1008">
        <v>-0.24260000000000001</v>
      </c>
      <c r="K2007" s="32">
        <f>G2007</f>
        <v>800</v>
      </c>
      <c r="L2007" s="1007">
        <f>K2007*J2007</f>
        <v>-194.08</v>
      </c>
      <c r="M2007" s="30"/>
      <c r="N2007" s="34">
        <f t="shared" si="177"/>
        <v>-194.08</v>
      </c>
      <c r="O2007" s="202" t="str">
        <f>IF((H2007)=0,"",(N2007/H2007))</f>
        <v/>
      </c>
      <c r="P2007" s="7"/>
    </row>
    <row r="2008" spans="1:16" x14ac:dyDescent="0.2">
      <c r="A2008" s="7"/>
      <c r="B2008" s="564" t="s">
        <v>808</v>
      </c>
      <c r="C2008" s="26"/>
      <c r="D2008" s="1005" t="s">
        <v>79</v>
      </c>
      <c r="E2008" s="27"/>
      <c r="F2008" s="1006">
        <v>7.22E-2</v>
      </c>
      <c r="G2008" s="32">
        <v>800</v>
      </c>
      <c r="H2008" s="1007">
        <f>G2008*F2008</f>
        <v>57.76</v>
      </c>
      <c r="I2008" s="30"/>
      <c r="J2008" s="1008">
        <v>7.4800000000000005E-2</v>
      </c>
      <c r="K2008" s="32">
        <f>G2008</f>
        <v>800</v>
      </c>
      <c r="L2008" s="1007">
        <f>K2008*J2008</f>
        <v>59.84</v>
      </c>
      <c r="M2008" s="30"/>
      <c r="N2008" s="34">
        <f t="shared" si="177"/>
        <v>2.0800000000000054</v>
      </c>
      <c r="O2008" s="202">
        <f>IF((H2008)=0,"",(N2008/H2008))</f>
        <v>3.6011080332410066E-2</v>
      </c>
      <c r="P2008" s="7"/>
    </row>
    <row r="2009" spans="1:16" x14ac:dyDescent="0.2">
      <c r="A2009" s="7"/>
      <c r="B2009" s="564" t="s">
        <v>701</v>
      </c>
      <c r="C2009" s="26"/>
      <c r="D2009" s="1005"/>
      <c r="E2009" s="27"/>
      <c r="F2009" s="1023"/>
      <c r="G2009" s="1024"/>
      <c r="H2009" s="1025"/>
      <c r="I2009" s="30"/>
      <c r="J2009" s="1008"/>
      <c r="K2009" s="32"/>
      <c r="L2009" s="1007">
        <f>K2009*J2009</f>
        <v>0</v>
      </c>
      <c r="M2009" s="30"/>
      <c r="N2009" s="34">
        <f t="shared" si="177"/>
        <v>0</v>
      </c>
      <c r="O2009" s="202"/>
      <c r="P2009" s="7"/>
    </row>
    <row r="2010" spans="1:16" ht="25.5" x14ac:dyDescent="0.2">
      <c r="A2010" s="7"/>
      <c r="B2010" s="1026" t="s">
        <v>699</v>
      </c>
      <c r="C2010" s="1027"/>
      <c r="D2010" s="1027"/>
      <c r="E2010" s="1027"/>
      <c r="F2010" s="1028"/>
      <c r="G2010" s="1029"/>
      <c r="H2010" s="1030">
        <f>SUM(H2006:H2009)</f>
        <v>3012.1700000000005</v>
      </c>
      <c r="I2010" s="1017"/>
      <c r="J2010" s="1029"/>
      <c r="K2010" s="1031"/>
      <c r="L2010" s="1030">
        <f>SUM(L2006:L2009)</f>
        <v>3600.0099999999998</v>
      </c>
      <c r="M2010" s="1017"/>
      <c r="N2010" s="1020">
        <f t="shared" si="177"/>
        <v>587.83999999999924</v>
      </c>
      <c r="O2010" s="1021">
        <f t="shared" ref="O2010:O2034" si="179">IF((H2010)=0,"",(N2010/H2010))</f>
        <v>0.19515498793228772</v>
      </c>
      <c r="P2010" s="7"/>
    </row>
    <row r="2011" spans="1:16" x14ac:dyDescent="0.2">
      <c r="A2011" s="7"/>
      <c r="B2011" s="30" t="s">
        <v>32</v>
      </c>
      <c r="C2011" s="30"/>
      <c r="D2011" s="1032" t="s">
        <v>79</v>
      </c>
      <c r="E2011" s="31"/>
      <c r="F2011" s="1008">
        <v>2.5648</v>
      </c>
      <c r="G2011" s="667">
        <f>G1998</f>
        <v>800</v>
      </c>
      <c r="H2011" s="1007">
        <f>G2011*F2011</f>
        <v>2051.84</v>
      </c>
      <c r="I2011" s="30"/>
      <c r="J2011" s="1008">
        <v>2.3589000000000002</v>
      </c>
      <c r="K2011" s="668">
        <f>G2011</f>
        <v>800</v>
      </c>
      <c r="L2011" s="1007">
        <f>K2011*J2011</f>
        <v>1887.1200000000001</v>
      </c>
      <c r="M2011" s="30"/>
      <c r="N2011" s="34">
        <f t="shared" si="177"/>
        <v>-164.72000000000003</v>
      </c>
      <c r="O2011" s="202">
        <f t="shared" si="179"/>
        <v>-8.0279164067373676E-2</v>
      </c>
      <c r="P2011" s="7"/>
    </row>
    <row r="2012" spans="1:16" ht="25.5" x14ac:dyDescent="0.2">
      <c r="A2012" s="7"/>
      <c r="B2012" s="35" t="s">
        <v>33</v>
      </c>
      <c r="C2012" s="30"/>
      <c r="D2012" s="1032" t="s">
        <v>79</v>
      </c>
      <c r="E2012" s="31"/>
      <c r="F2012" s="1008">
        <v>1.9998</v>
      </c>
      <c r="G2012" s="667">
        <f>G2011</f>
        <v>800</v>
      </c>
      <c r="H2012" s="1007">
        <f>G2012*F2012</f>
        <v>1599.84</v>
      </c>
      <c r="I2012" s="30"/>
      <c r="J2012" s="1008">
        <v>1.9261999999999999</v>
      </c>
      <c r="K2012" s="668">
        <f>K2011</f>
        <v>800</v>
      </c>
      <c r="L2012" s="1007">
        <f>K2012*J2012</f>
        <v>1540.96</v>
      </c>
      <c r="M2012" s="30"/>
      <c r="N2012" s="34">
        <f t="shared" si="177"/>
        <v>-58.879999999999882</v>
      </c>
      <c r="O2012" s="202">
        <f t="shared" si="179"/>
        <v>-3.6803680368036731E-2</v>
      </c>
      <c r="P2012" s="7"/>
    </row>
    <row r="2013" spans="1:16" ht="25.5" x14ac:dyDescent="0.2">
      <c r="A2013" s="7"/>
      <c r="B2013" s="1026" t="s">
        <v>700</v>
      </c>
      <c r="C2013" s="1012"/>
      <c r="D2013" s="1012"/>
      <c r="E2013" s="1012"/>
      <c r="F2013" s="1033"/>
      <c r="G2013" s="1029"/>
      <c r="H2013" s="1030">
        <f>SUM(H2010:H2012)</f>
        <v>6663.85</v>
      </c>
      <c r="I2013" s="1034"/>
      <c r="J2013" s="1035"/>
      <c r="K2013" s="1036"/>
      <c r="L2013" s="1030">
        <f>SUM(L2010:L2012)</f>
        <v>7028.09</v>
      </c>
      <c r="M2013" s="1034"/>
      <c r="N2013" s="1020">
        <f t="shared" si="177"/>
        <v>364.23999999999978</v>
      </c>
      <c r="O2013" s="1021">
        <f t="shared" si="179"/>
        <v>5.4659093466989765E-2</v>
      </c>
      <c r="P2013" s="7"/>
    </row>
    <row r="2014" spans="1:16" ht="25.5" x14ac:dyDescent="0.2">
      <c r="A2014" s="7"/>
      <c r="B2014" s="28" t="s">
        <v>34</v>
      </c>
      <c r="C2014" s="26"/>
      <c r="D2014" s="1005" t="s">
        <v>79</v>
      </c>
      <c r="E2014" s="27"/>
      <c r="F2014" s="1037">
        <v>5.1999999999999998E-3</v>
      </c>
      <c r="G2014" s="667">
        <f>F1991*(1+F2037)</f>
        <v>517800.00000000006</v>
      </c>
      <c r="H2014" s="1038">
        <f t="shared" ref="H2014:H2022" si="180">G2014*F2014</f>
        <v>2692.5600000000004</v>
      </c>
      <c r="I2014" s="30"/>
      <c r="J2014" s="1039">
        <v>5.1999999999999998E-3</v>
      </c>
      <c r="K2014" s="668">
        <f>F1991*(1+J2037)</f>
        <v>521027.03213950765</v>
      </c>
      <c r="L2014" s="1038">
        <f t="shared" ref="L2014:L2022" si="181">K2014*J2014</f>
        <v>2709.3405671254395</v>
      </c>
      <c r="M2014" s="30"/>
      <c r="N2014" s="34">
        <f t="shared" si="177"/>
        <v>16.78056712543912</v>
      </c>
      <c r="O2014" s="565">
        <f t="shared" si="179"/>
        <v>6.2321980291763666E-3</v>
      </c>
      <c r="P2014" s="7"/>
    </row>
    <row r="2015" spans="1:16" ht="25.5" x14ac:dyDescent="0.2">
      <c r="A2015" s="7"/>
      <c r="B2015" s="28" t="s">
        <v>35</v>
      </c>
      <c r="C2015" s="26"/>
      <c r="D2015" s="1005" t="s">
        <v>79</v>
      </c>
      <c r="E2015" s="27"/>
      <c r="F2015" s="1037">
        <v>1.1000000000000001E-3</v>
      </c>
      <c r="G2015" s="667">
        <f>F1991*(1+F2037)</f>
        <v>517800.00000000006</v>
      </c>
      <c r="H2015" s="1038">
        <f t="shared" si="180"/>
        <v>569.58000000000015</v>
      </c>
      <c r="I2015" s="30"/>
      <c r="J2015" s="1039">
        <v>1.1000000000000001E-3</v>
      </c>
      <c r="K2015" s="668">
        <f>F1991*(1+J2037)</f>
        <v>521027.03213950765</v>
      </c>
      <c r="L2015" s="1038">
        <f t="shared" si="181"/>
        <v>573.1297353534585</v>
      </c>
      <c r="M2015" s="30"/>
      <c r="N2015" s="34">
        <f t="shared" si="177"/>
        <v>3.5497353534583453</v>
      </c>
      <c r="O2015" s="565">
        <f t="shared" si="179"/>
        <v>6.2321980291764889E-3</v>
      </c>
      <c r="P2015" s="7"/>
    </row>
    <row r="2016" spans="1:16" x14ac:dyDescent="0.2">
      <c r="A2016" s="7"/>
      <c r="B2016" s="26" t="s">
        <v>36</v>
      </c>
      <c r="C2016" s="26"/>
      <c r="D2016" s="1005"/>
      <c r="E2016" s="27"/>
      <c r="F2016" s="1037"/>
      <c r="G2016" s="32">
        <v>1</v>
      </c>
      <c r="H2016" s="1038">
        <f t="shared" si="180"/>
        <v>0</v>
      </c>
      <c r="I2016" s="30"/>
      <c r="J2016" s="1039"/>
      <c r="K2016" s="33">
        <v>1</v>
      </c>
      <c r="L2016" s="1038">
        <f t="shared" si="181"/>
        <v>0</v>
      </c>
      <c r="M2016" s="30"/>
      <c r="N2016" s="34">
        <f t="shared" si="177"/>
        <v>0</v>
      </c>
      <c r="O2016" s="565" t="str">
        <f t="shared" si="179"/>
        <v/>
      </c>
      <c r="P2016" s="7"/>
    </row>
    <row r="2017" spans="1:16" x14ac:dyDescent="0.2">
      <c r="A2017" s="7"/>
      <c r="B2017" s="26" t="s">
        <v>37</v>
      </c>
      <c r="C2017" s="26"/>
      <c r="D2017" s="1005" t="s">
        <v>79</v>
      </c>
      <c r="E2017" s="27"/>
      <c r="F2017" s="1037">
        <v>7.0000000000000001E-3</v>
      </c>
      <c r="G2017" s="667">
        <f>F1991</f>
        <v>500000</v>
      </c>
      <c r="H2017" s="1038">
        <f t="shared" si="180"/>
        <v>3500</v>
      </c>
      <c r="I2017" s="30"/>
      <c r="J2017" s="1039">
        <v>7.0000000000000001E-3</v>
      </c>
      <c r="K2017" s="668">
        <f>F1991</f>
        <v>500000</v>
      </c>
      <c r="L2017" s="1038">
        <f t="shared" si="181"/>
        <v>3500</v>
      </c>
      <c r="M2017" s="30"/>
      <c r="N2017" s="34">
        <f t="shared" si="177"/>
        <v>0</v>
      </c>
      <c r="O2017" s="565">
        <f t="shared" si="179"/>
        <v>0</v>
      </c>
      <c r="P2017" s="7"/>
    </row>
    <row r="2018" spans="1:16" x14ac:dyDescent="0.2">
      <c r="A2018" s="7"/>
      <c r="B2018" s="564" t="s">
        <v>777</v>
      </c>
      <c r="C2018" s="26"/>
      <c r="D2018" s="1005" t="s">
        <v>79</v>
      </c>
      <c r="E2018" s="27"/>
      <c r="F2018" s="1040">
        <v>7.4999999999999997E-2</v>
      </c>
      <c r="G2018" s="667">
        <f>IF($G$2014&gt;=750,750,$G$2014)</f>
        <v>750</v>
      </c>
      <c r="H2018" s="1038">
        <f>G2018*F2018</f>
        <v>56.25</v>
      </c>
      <c r="I2018" s="30"/>
      <c r="J2018" s="1037">
        <v>7.4999999999999997E-2</v>
      </c>
      <c r="K2018" s="667">
        <f>IF($K$2014&gt;=750,750,$K$2014)</f>
        <v>750</v>
      </c>
      <c r="L2018" s="1038">
        <f>K2018*J2018</f>
        <v>56.25</v>
      </c>
      <c r="M2018" s="30"/>
      <c r="N2018" s="34">
        <f t="shared" si="177"/>
        <v>0</v>
      </c>
      <c r="O2018" s="565">
        <f t="shared" si="179"/>
        <v>0</v>
      </c>
      <c r="P2018" s="7"/>
    </row>
    <row r="2019" spans="1:16" x14ac:dyDescent="0.2">
      <c r="A2019" s="7"/>
      <c r="B2019" s="564" t="s">
        <v>778</v>
      </c>
      <c r="C2019" s="26"/>
      <c r="D2019" s="1005" t="s">
        <v>79</v>
      </c>
      <c r="E2019" s="27"/>
      <c r="F2019" s="1040">
        <v>8.7999999999999995E-2</v>
      </c>
      <c r="G2019" s="667">
        <f>IF($G$2014&gt;=750,$G$2014-750,0)</f>
        <v>517050.00000000006</v>
      </c>
      <c r="H2019" s="1038">
        <f>G2019*F2019</f>
        <v>45500.4</v>
      </c>
      <c r="I2019" s="30"/>
      <c r="J2019" s="1037">
        <v>8.7999999999999995E-2</v>
      </c>
      <c r="K2019" s="667">
        <f>IF($K$2014&gt;=750,$K$2014-750,0)</f>
        <v>520277.03213950765</v>
      </c>
      <c r="L2019" s="1038">
        <f>K2019*J2019</f>
        <v>45784.378828276669</v>
      </c>
      <c r="M2019" s="30"/>
      <c r="N2019" s="34">
        <f t="shared" si="177"/>
        <v>283.97882827666763</v>
      </c>
      <c r="O2019" s="565">
        <f t="shared" si="179"/>
        <v>6.2412380611306193E-3</v>
      </c>
      <c r="P2019" s="7"/>
    </row>
    <row r="2020" spans="1:16" x14ac:dyDescent="0.2">
      <c r="A2020" s="7"/>
      <c r="B2020" s="564" t="s">
        <v>779</v>
      </c>
      <c r="C2020" s="26"/>
      <c r="D2020" s="1005" t="s">
        <v>79</v>
      </c>
      <c r="E2020" s="27"/>
      <c r="F2020" s="1040">
        <v>6.5000000000000002E-2</v>
      </c>
      <c r="G2020" s="669">
        <f>0.64*$G$2014</f>
        <v>331392.00000000006</v>
      </c>
      <c r="H2020" s="1038">
        <f t="shared" si="180"/>
        <v>21540.480000000003</v>
      </c>
      <c r="I2020" s="30"/>
      <c r="J2020" s="1037">
        <v>6.5000000000000002E-2</v>
      </c>
      <c r="K2020" s="1041">
        <f>0.64*$K$2014</f>
        <v>333457.30056928488</v>
      </c>
      <c r="L2020" s="1038">
        <f t="shared" si="181"/>
        <v>21674.72453700352</v>
      </c>
      <c r="M2020" s="30"/>
      <c r="N2020" s="34">
        <f t="shared" si="177"/>
        <v>134.2445370035166</v>
      </c>
      <c r="O2020" s="565">
        <f t="shared" si="179"/>
        <v>6.2321980291765357E-3</v>
      </c>
      <c r="P2020" s="7"/>
    </row>
    <row r="2021" spans="1:16" x14ac:dyDescent="0.2">
      <c r="A2021" s="7"/>
      <c r="B2021" s="564" t="s">
        <v>780</v>
      </c>
      <c r="C2021" s="26"/>
      <c r="D2021" s="1005" t="s">
        <v>79</v>
      </c>
      <c r="E2021" s="27"/>
      <c r="F2021" s="1040">
        <v>0.1</v>
      </c>
      <c r="G2021" s="669">
        <f>0.18*$G$2014</f>
        <v>93204</v>
      </c>
      <c r="H2021" s="1038">
        <f t="shared" si="180"/>
        <v>9320.4</v>
      </c>
      <c r="I2021" s="30"/>
      <c r="J2021" s="1037">
        <v>0.1</v>
      </c>
      <c r="K2021" s="1041">
        <f>0.18*$K$2014</f>
        <v>93784.865785111368</v>
      </c>
      <c r="L2021" s="1038">
        <f t="shared" si="181"/>
        <v>9378.4865785111379</v>
      </c>
      <c r="M2021" s="30"/>
      <c r="N2021" s="34">
        <f t="shared" si="177"/>
        <v>58.086578511138214</v>
      </c>
      <c r="O2021" s="565">
        <f t="shared" si="179"/>
        <v>6.2321980291766676E-3</v>
      </c>
      <c r="P2021" s="7"/>
    </row>
    <row r="2022" spans="1:16" ht="13.5" thickBot="1" x14ac:dyDescent="0.25">
      <c r="A2022" s="7"/>
      <c r="B2022" s="647" t="s">
        <v>781</v>
      </c>
      <c r="C2022" s="26"/>
      <c r="D2022" s="1005" t="s">
        <v>79</v>
      </c>
      <c r="E2022" s="27"/>
      <c r="F2022" s="1040">
        <v>0.11700000000000001</v>
      </c>
      <c r="G2022" s="669">
        <f>0.18*$G$2014</f>
        <v>93204</v>
      </c>
      <c r="H2022" s="1038">
        <f t="shared" si="180"/>
        <v>10904.868</v>
      </c>
      <c r="I2022" s="30"/>
      <c r="J2022" s="1037">
        <v>0.11700000000000001</v>
      </c>
      <c r="K2022" s="1041">
        <f>0.18*$K$2014</f>
        <v>93784.865785111368</v>
      </c>
      <c r="L2022" s="1038">
        <f t="shared" si="181"/>
        <v>10972.82929685803</v>
      </c>
      <c r="M2022" s="30"/>
      <c r="N2022" s="34">
        <f t="shared" si="177"/>
        <v>67.961296858029527</v>
      </c>
      <c r="O2022" s="565">
        <f t="shared" si="179"/>
        <v>6.2321980291764672E-3</v>
      </c>
      <c r="P2022" s="7"/>
    </row>
    <row r="2023" spans="1:16" ht="13.5" thickBot="1" x14ac:dyDescent="0.25">
      <c r="A2023" s="7"/>
      <c r="B2023" s="1042"/>
      <c r="C2023" s="1043"/>
      <c r="D2023" s="1044"/>
      <c r="E2023" s="1043"/>
      <c r="F2023" s="1045"/>
      <c r="G2023" s="1046"/>
      <c r="H2023" s="1047"/>
      <c r="I2023" s="1048"/>
      <c r="J2023" s="1045"/>
      <c r="K2023" s="1049"/>
      <c r="L2023" s="1047"/>
      <c r="M2023" s="1048"/>
      <c r="N2023" s="1050"/>
      <c r="O2023" s="1051"/>
      <c r="P2023" s="7"/>
    </row>
    <row r="2024" spans="1:16" x14ac:dyDescent="0.2">
      <c r="A2024" s="7"/>
      <c r="B2024" s="36" t="s">
        <v>782</v>
      </c>
      <c r="C2024" s="26"/>
      <c r="D2024" s="26"/>
      <c r="E2024" s="26"/>
      <c r="F2024" s="662"/>
      <c r="G2024" s="652"/>
      <c r="H2024" s="656">
        <f>SUM(H2013:H2019)</f>
        <v>58982.64</v>
      </c>
      <c r="I2024" s="660"/>
      <c r="J2024" s="661"/>
      <c r="K2024" s="661"/>
      <c r="L2024" s="655">
        <f>SUM(L2013:L2019)</f>
        <v>59651.189130755571</v>
      </c>
      <c r="M2024" s="654"/>
      <c r="N2024" s="659">
        <f t="shared" si="177"/>
        <v>668.54913075557124</v>
      </c>
      <c r="O2024" s="657">
        <f t="shared" si="179"/>
        <v>1.1334676283658569E-2</v>
      </c>
      <c r="P2024" s="7"/>
    </row>
    <row r="2025" spans="1:16" x14ac:dyDescent="0.2">
      <c r="A2025" s="7"/>
      <c r="B2025" s="650" t="s">
        <v>38</v>
      </c>
      <c r="C2025" s="26"/>
      <c r="D2025" s="26"/>
      <c r="E2025" s="26"/>
      <c r="F2025" s="649">
        <v>0.13</v>
      </c>
      <c r="G2025" s="652"/>
      <c r="H2025" s="670">
        <f>H2024*F2025</f>
        <v>7667.7431999999999</v>
      </c>
      <c r="I2025" s="648"/>
      <c r="J2025" s="676">
        <v>0.13</v>
      </c>
      <c r="K2025" s="677"/>
      <c r="L2025" s="672">
        <f>L2024*J2025</f>
        <v>7754.6545869982247</v>
      </c>
      <c r="M2025" s="673"/>
      <c r="N2025" s="674">
        <f t="shared" si="177"/>
        <v>86.911386998224771</v>
      </c>
      <c r="O2025" s="675">
        <f t="shared" si="179"/>
        <v>1.1334676283658635E-2</v>
      </c>
      <c r="P2025" s="7"/>
    </row>
    <row r="2026" spans="1:16" x14ac:dyDescent="0.2">
      <c r="A2026" s="7"/>
      <c r="B2026" s="651" t="s">
        <v>1139</v>
      </c>
      <c r="C2026" s="26"/>
      <c r="D2026" s="26"/>
      <c r="E2026" s="26"/>
      <c r="F2026" s="658"/>
      <c r="G2026" s="653"/>
      <c r="H2026" s="670">
        <f>H2024+H2025</f>
        <v>66650.383199999997</v>
      </c>
      <c r="I2026" s="648"/>
      <c r="J2026" s="648"/>
      <c r="K2026" s="648"/>
      <c r="L2026" s="672">
        <f>L2024+L2025</f>
        <v>67405.8437177538</v>
      </c>
      <c r="M2026" s="673"/>
      <c r="N2026" s="674">
        <f t="shared" si="177"/>
        <v>755.46051775380329</v>
      </c>
      <c r="O2026" s="675">
        <f t="shared" si="179"/>
        <v>1.1334676283658687E-2</v>
      </c>
      <c r="P2026" s="7"/>
    </row>
    <row r="2027" spans="1:16" ht="12.75" customHeight="1" x14ac:dyDescent="0.2">
      <c r="A2027" s="7"/>
      <c r="B2027" s="1626" t="s">
        <v>1140</v>
      </c>
      <c r="C2027" s="1626"/>
      <c r="D2027" s="1626"/>
      <c r="E2027" s="26"/>
      <c r="F2027" s="658"/>
      <c r="G2027" s="653"/>
      <c r="H2027" s="1052">
        <f>ROUND(-H2026*10%,2)</f>
        <v>-6665.04</v>
      </c>
      <c r="I2027" s="648"/>
      <c r="J2027" s="648"/>
      <c r="K2027" s="648"/>
      <c r="L2027" s="1053">
        <f>ROUND(-L2026*10%,2)</f>
        <v>-6740.58</v>
      </c>
      <c r="M2027" s="673"/>
      <c r="N2027" s="1054">
        <f t="shared" si="177"/>
        <v>-75.539999999999964</v>
      </c>
      <c r="O2027" s="1055">
        <f t="shared" si="179"/>
        <v>1.1333765438767053E-2</v>
      </c>
      <c r="P2027" s="7"/>
    </row>
    <row r="2028" spans="1:16" ht="13.5" customHeight="1" thickBot="1" x14ac:dyDescent="0.25">
      <c r="A2028" s="7"/>
      <c r="B2028" s="1626" t="s">
        <v>785</v>
      </c>
      <c r="C2028" s="1626"/>
      <c r="D2028" s="1626"/>
      <c r="E2028" s="1056"/>
      <c r="F2028" s="1057"/>
      <c r="G2028" s="1058"/>
      <c r="H2028" s="1059">
        <f>SUM(H2026:H2027)</f>
        <v>59985.343199999996</v>
      </c>
      <c r="I2028" s="1060"/>
      <c r="J2028" s="1060"/>
      <c r="K2028" s="1060"/>
      <c r="L2028" s="1061">
        <f>SUM(L2026:L2027)</f>
        <v>60665.263717753798</v>
      </c>
      <c r="M2028" s="1062"/>
      <c r="N2028" s="1063">
        <f t="shared" si="177"/>
        <v>679.92051775380241</v>
      </c>
      <c r="O2028" s="1064">
        <f t="shared" si="179"/>
        <v>1.1334777488674974E-2</v>
      </c>
      <c r="P2028" s="7"/>
    </row>
    <row r="2029" spans="1:16" ht="13.5" thickBot="1" x14ac:dyDescent="0.25">
      <c r="A2029" s="7"/>
      <c r="B2029" s="1042"/>
      <c r="C2029" s="1043"/>
      <c r="D2029" s="1044"/>
      <c r="E2029" s="1043"/>
      <c r="F2029" s="1065"/>
      <c r="G2029" s="1066"/>
      <c r="H2029" s="1067"/>
      <c r="I2029" s="1068"/>
      <c r="J2029" s="1065"/>
      <c r="K2029" s="1046"/>
      <c r="L2029" s="1069"/>
      <c r="M2029" s="1048"/>
      <c r="N2029" s="1070"/>
      <c r="O2029" s="1051"/>
      <c r="P2029" s="7"/>
    </row>
    <row r="2030" spans="1:16" x14ac:dyDescent="0.2">
      <c r="A2030" s="7"/>
      <c r="B2030" s="36" t="s">
        <v>783</v>
      </c>
      <c r="C2030" s="26"/>
      <c r="D2030" s="26"/>
      <c r="E2030" s="26"/>
      <c r="F2030" s="662"/>
      <c r="G2030" s="652"/>
      <c r="H2030" s="656">
        <f>SUM(H2013:H2017,H2020:H2022)</f>
        <v>55191.738000000005</v>
      </c>
      <c r="I2030" s="660"/>
      <c r="J2030" s="661"/>
      <c r="K2030" s="661"/>
      <c r="L2030" s="666">
        <f>SUM(L2013:L2017,L2020:L2022)</f>
        <v>55836.600714851586</v>
      </c>
      <c r="M2030" s="654"/>
      <c r="N2030" s="659">
        <f>L2030-H2030</f>
        <v>644.86271485158068</v>
      </c>
      <c r="O2030" s="657">
        <f>IF((H2030)=0,"",(N2030/H2030))</f>
        <v>1.1684044355544314E-2</v>
      </c>
      <c r="P2030" s="7"/>
    </row>
    <row r="2031" spans="1:16" x14ac:dyDescent="0.2">
      <c r="A2031" s="7"/>
      <c r="B2031" s="650" t="s">
        <v>38</v>
      </c>
      <c r="C2031" s="26"/>
      <c r="D2031" s="26"/>
      <c r="E2031" s="26"/>
      <c r="F2031" s="649">
        <v>0.13</v>
      </c>
      <c r="G2031" s="653"/>
      <c r="H2031" s="670">
        <f>H2030*F2031</f>
        <v>7174.925940000001</v>
      </c>
      <c r="I2031" s="648"/>
      <c r="J2031" s="671">
        <v>0.13</v>
      </c>
      <c r="K2031" s="648"/>
      <c r="L2031" s="672">
        <f>L2030*J2031</f>
        <v>7258.758092930706</v>
      </c>
      <c r="M2031" s="673"/>
      <c r="N2031" s="674">
        <f t="shared" si="177"/>
        <v>83.832152930704979</v>
      </c>
      <c r="O2031" s="675">
        <f t="shared" si="179"/>
        <v>1.1684044355544243E-2</v>
      </c>
      <c r="P2031" s="7"/>
    </row>
    <row r="2032" spans="1:16" x14ac:dyDescent="0.2">
      <c r="A2032" s="7"/>
      <c r="B2032" s="651" t="s">
        <v>1139</v>
      </c>
      <c r="C2032" s="26"/>
      <c r="D2032" s="26"/>
      <c r="E2032" s="26"/>
      <c r="F2032" s="658"/>
      <c r="G2032" s="653"/>
      <c r="H2032" s="670">
        <f>H2030+H2031</f>
        <v>62366.663940000006</v>
      </c>
      <c r="I2032" s="648"/>
      <c r="J2032" s="648"/>
      <c r="K2032" s="648"/>
      <c r="L2032" s="672">
        <f>L2030+L2031</f>
        <v>63095.358807782293</v>
      </c>
      <c r="M2032" s="673"/>
      <c r="N2032" s="674">
        <f t="shared" si="177"/>
        <v>728.69486778228747</v>
      </c>
      <c r="O2032" s="675">
        <f t="shared" si="179"/>
        <v>1.1684044355544335E-2</v>
      </c>
      <c r="P2032" s="7"/>
    </row>
    <row r="2033" spans="1:16" ht="12.75" customHeight="1" x14ac:dyDescent="0.2">
      <c r="A2033" s="7"/>
      <c r="B2033" s="1626" t="s">
        <v>1140</v>
      </c>
      <c r="C2033" s="1626"/>
      <c r="D2033" s="1626"/>
      <c r="E2033" s="26"/>
      <c r="F2033" s="658"/>
      <c r="G2033" s="653"/>
      <c r="H2033" s="1052">
        <f>ROUND(-H2032*10%,2)</f>
        <v>-6236.67</v>
      </c>
      <c r="I2033" s="648"/>
      <c r="J2033" s="648"/>
      <c r="K2033" s="648"/>
      <c r="L2033" s="1053">
        <f>ROUND(-L2032*10%,2)</f>
        <v>-6309.54</v>
      </c>
      <c r="M2033" s="673"/>
      <c r="N2033" s="1054">
        <f t="shared" si="177"/>
        <v>-72.869999999999891</v>
      </c>
      <c r="O2033" s="1055">
        <f t="shared" si="179"/>
        <v>1.1684119890903301E-2</v>
      </c>
      <c r="P2033" s="7"/>
    </row>
    <row r="2034" spans="1:16" ht="13.5" customHeight="1" thickBot="1" x14ac:dyDescent="0.25">
      <c r="A2034" s="7"/>
      <c r="B2034" s="1626" t="s">
        <v>784</v>
      </c>
      <c r="C2034" s="1626"/>
      <c r="D2034" s="1626"/>
      <c r="E2034" s="1056"/>
      <c r="F2034" s="1071"/>
      <c r="G2034" s="1072"/>
      <c r="H2034" s="1073">
        <f>H2032+H2033</f>
        <v>56129.993940000008</v>
      </c>
      <c r="I2034" s="1074"/>
      <c r="J2034" s="1074"/>
      <c r="K2034" s="1074"/>
      <c r="L2034" s="1075">
        <f>L2032+L2033</f>
        <v>56785.818807782292</v>
      </c>
      <c r="M2034" s="1076"/>
      <c r="N2034" s="1077">
        <f t="shared" si="177"/>
        <v>655.82486778228485</v>
      </c>
      <c r="O2034" s="1078">
        <f t="shared" si="179"/>
        <v>1.1684035962721231E-2</v>
      </c>
      <c r="P2034" s="7"/>
    </row>
    <row r="2035" spans="1:16" ht="13.5" thickBot="1" x14ac:dyDescent="0.25">
      <c r="A2035" s="7"/>
      <c r="B2035" s="1042"/>
      <c r="C2035" s="1043"/>
      <c r="D2035" s="1044"/>
      <c r="E2035" s="1043"/>
      <c r="F2035" s="1065"/>
      <c r="G2035" s="1066"/>
      <c r="H2035" s="1067"/>
      <c r="I2035" s="1068"/>
      <c r="J2035" s="1065"/>
      <c r="K2035" s="1046"/>
      <c r="L2035" s="1069"/>
      <c r="M2035" s="1048"/>
      <c r="N2035" s="1070"/>
      <c r="O2035" s="1051"/>
      <c r="P2035" s="7"/>
    </row>
    <row r="2036" spans="1:16" x14ac:dyDescent="0.2">
      <c r="A2036" s="7"/>
      <c r="B2036" s="7"/>
      <c r="C2036" s="7"/>
      <c r="D2036" s="7"/>
      <c r="E2036" s="7"/>
      <c r="F2036" s="7"/>
      <c r="G2036" s="7"/>
      <c r="H2036" s="7"/>
      <c r="I2036" s="7"/>
      <c r="J2036" s="7"/>
      <c r="K2036" s="7"/>
      <c r="L2036" s="678"/>
      <c r="M2036" s="7"/>
      <c r="N2036" s="7"/>
      <c r="O2036" s="7"/>
      <c r="P2036" s="7"/>
    </row>
    <row r="2037" spans="1:16" x14ac:dyDescent="0.2">
      <c r="A2037" s="7"/>
      <c r="B2037" s="8" t="s">
        <v>39</v>
      </c>
      <c r="C2037" s="7"/>
      <c r="D2037" s="7"/>
      <c r="E2037" s="7"/>
      <c r="F2037" s="1079">
        <v>3.5600000000000076E-2</v>
      </c>
      <c r="G2037" s="7"/>
      <c r="H2037" s="7"/>
      <c r="I2037" s="7"/>
      <c r="J2037" s="1079">
        <v>4.2054064279015257E-2</v>
      </c>
      <c r="K2037" s="7"/>
      <c r="L2037" s="7"/>
      <c r="M2037" s="7"/>
      <c r="N2037" s="7"/>
      <c r="O2037" s="7"/>
      <c r="P2037" s="7"/>
    </row>
    <row r="2038" spans="1:16" x14ac:dyDescent="0.2">
      <c r="A2038" s="7"/>
      <c r="B2038" s="7"/>
      <c r="C2038" s="7"/>
      <c r="D2038" s="7"/>
      <c r="E2038" s="7"/>
      <c r="F2038" s="7"/>
      <c r="G2038" s="7"/>
      <c r="H2038" s="7"/>
      <c r="I2038" s="7"/>
      <c r="J2038" s="7"/>
      <c r="K2038" s="7"/>
      <c r="L2038" s="7"/>
      <c r="M2038" s="7"/>
      <c r="N2038" s="7"/>
      <c r="O2038" s="7"/>
      <c r="P2038" s="7"/>
    </row>
    <row r="2039" spans="1:16" ht="14.25" x14ac:dyDescent="0.2">
      <c r="A2039" s="214" t="s">
        <v>1141</v>
      </c>
      <c r="B2039" s="7"/>
      <c r="C2039" s="7"/>
      <c r="D2039" s="7"/>
      <c r="E2039" s="7"/>
      <c r="F2039" s="7"/>
      <c r="G2039" s="7"/>
      <c r="H2039" s="7"/>
      <c r="I2039" s="7"/>
      <c r="J2039" s="7"/>
      <c r="K2039" s="7"/>
      <c r="L2039" s="7"/>
      <c r="M2039" s="7"/>
      <c r="N2039" s="7"/>
      <c r="O2039" s="7"/>
      <c r="P2039" s="7"/>
    </row>
    <row r="2040" spans="1:16" x14ac:dyDescent="0.2">
      <c r="A2040" s="7"/>
      <c r="B2040" s="7"/>
      <c r="C2040" s="7"/>
      <c r="D2040" s="7"/>
      <c r="E2040" s="7"/>
      <c r="F2040" s="7"/>
      <c r="G2040" s="7"/>
      <c r="H2040" s="7"/>
      <c r="I2040" s="7"/>
      <c r="J2040" s="7"/>
      <c r="K2040" s="7"/>
      <c r="L2040" s="7"/>
      <c r="M2040" s="7"/>
      <c r="N2040" s="7"/>
      <c r="O2040" s="7"/>
      <c r="P2040" s="7"/>
    </row>
    <row r="2041" spans="1:16" x14ac:dyDescent="0.2">
      <c r="A2041" s="7" t="s">
        <v>107</v>
      </c>
      <c r="B2041" s="7"/>
      <c r="C2041" s="7"/>
      <c r="D2041" s="7"/>
      <c r="E2041" s="7"/>
      <c r="F2041" s="7"/>
      <c r="G2041" s="7"/>
      <c r="H2041" s="7"/>
      <c r="I2041" s="7"/>
      <c r="J2041" s="7"/>
      <c r="K2041" s="7"/>
      <c r="L2041" s="7"/>
      <c r="M2041" s="7"/>
      <c r="N2041" s="7"/>
      <c r="O2041" s="7"/>
      <c r="P2041" s="7"/>
    </row>
    <row r="2042" spans="1:16" x14ac:dyDescent="0.2">
      <c r="A2042" s="7" t="s">
        <v>108</v>
      </c>
      <c r="B2042" s="7"/>
      <c r="C2042" s="7"/>
      <c r="D2042" s="7"/>
      <c r="E2042" s="7"/>
      <c r="F2042" s="7"/>
      <c r="G2042" s="7"/>
      <c r="H2042" s="7"/>
      <c r="I2042" s="7"/>
      <c r="J2042" s="7"/>
      <c r="K2042" s="7"/>
      <c r="L2042" s="7"/>
      <c r="M2042" s="7"/>
      <c r="N2042" s="7"/>
      <c r="O2042" s="7"/>
      <c r="P2042" s="7"/>
    </row>
    <row r="2043" spans="1:16" x14ac:dyDescent="0.2">
      <c r="A2043" s="7"/>
      <c r="B2043" s="7"/>
      <c r="C2043" s="7"/>
      <c r="D2043" s="7"/>
      <c r="E2043" s="7"/>
      <c r="F2043" s="7"/>
      <c r="G2043" s="7"/>
      <c r="H2043" s="7"/>
      <c r="I2043" s="7"/>
      <c r="J2043" s="7"/>
      <c r="K2043" s="7"/>
      <c r="L2043" s="7"/>
      <c r="M2043" s="7"/>
      <c r="N2043" s="7"/>
      <c r="O2043" s="7"/>
      <c r="P2043" s="7"/>
    </row>
    <row r="2044" spans="1:16" x14ac:dyDescent="0.2">
      <c r="A2044" s="7" t="s">
        <v>331</v>
      </c>
      <c r="B2044" s="7"/>
      <c r="C2044" s="7"/>
      <c r="D2044" s="7"/>
      <c r="E2044" s="7"/>
      <c r="F2044" s="7"/>
      <c r="G2044" s="7"/>
      <c r="H2044" s="7"/>
      <c r="I2044" s="7"/>
      <c r="J2044" s="7"/>
      <c r="K2044" s="7"/>
      <c r="L2044" s="7"/>
      <c r="M2044" s="7"/>
      <c r="N2044" s="7"/>
      <c r="O2044" s="7"/>
      <c r="P2044" s="7"/>
    </row>
    <row r="2045" spans="1:16" x14ac:dyDescent="0.2">
      <c r="A2045" s="7" t="s">
        <v>109</v>
      </c>
      <c r="B2045" s="7"/>
      <c r="C2045" s="7"/>
      <c r="D2045" s="7"/>
      <c r="E2045" s="7"/>
      <c r="F2045" s="7"/>
      <c r="G2045" s="7"/>
      <c r="H2045" s="7"/>
      <c r="I2045" s="7"/>
      <c r="J2045" s="7"/>
      <c r="K2045" s="7"/>
      <c r="L2045" s="7"/>
      <c r="M2045" s="7"/>
      <c r="N2045" s="7"/>
      <c r="O2045" s="7"/>
      <c r="P2045" s="7"/>
    </row>
    <row r="2046" spans="1:16" x14ac:dyDescent="0.2">
      <c r="A2046" s="7"/>
      <c r="B2046" s="7"/>
      <c r="C2046" s="7"/>
      <c r="D2046" s="7"/>
      <c r="E2046" s="7"/>
      <c r="F2046" s="7"/>
      <c r="G2046" s="7"/>
      <c r="H2046" s="7"/>
      <c r="I2046" s="7"/>
      <c r="J2046" s="7"/>
      <c r="K2046" s="7"/>
      <c r="L2046" s="7"/>
      <c r="M2046" s="7"/>
      <c r="N2046" s="7"/>
      <c r="O2046" s="7"/>
      <c r="P2046" s="7"/>
    </row>
    <row r="2047" spans="1:16" x14ac:dyDescent="0.2">
      <c r="A2047" s="7" t="s">
        <v>110</v>
      </c>
      <c r="B2047" s="7"/>
      <c r="C2047" s="7"/>
      <c r="D2047" s="7"/>
      <c r="E2047" s="7"/>
      <c r="F2047" s="7"/>
      <c r="G2047" s="7"/>
      <c r="H2047" s="7"/>
      <c r="I2047" s="7"/>
      <c r="J2047" s="7"/>
      <c r="K2047" s="7"/>
      <c r="L2047" s="7"/>
      <c r="M2047" s="7"/>
      <c r="N2047" s="7"/>
      <c r="O2047" s="7"/>
      <c r="P2047" s="7"/>
    </row>
    <row r="2048" spans="1:16" x14ac:dyDescent="0.2">
      <c r="A2048" s="7" t="s">
        <v>111</v>
      </c>
      <c r="B2048" s="7"/>
      <c r="C2048" s="7"/>
      <c r="D2048" s="7"/>
      <c r="E2048" s="7"/>
      <c r="F2048" s="7"/>
      <c r="G2048" s="7"/>
      <c r="H2048" s="7"/>
      <c r="I2048" s="7"/>
      <c r="J2048" s="7"/>
      <c r="K2048" s="7"/>
      <c r="L2048" s="7"/>
      <c r="M2048" s="7"/>
      <c r="N2048" s="7"/>
      <c r="O2048" s="7"/>
      <c r="P2048" s="7"/>
    </row>
    <row r="2049" spans="1:16" x14ac:dyDescent="0.2">
      <c r="A2049" s="7" t="s">
        <v>112</v>
      </c>
      <c r="B2049" s="7"/>
      <c r="C2049" s="7"/>
      <c r="D2049" s="7"/>
      <c r="E2049" s="7"/>
      <c r="F2049" s="7"/>
      <c r="G2049" s="7"/>
      <c r="H2049" s="7"/>
      <c r="I2049" s="7"/>
      <c r="J2049" s="7"/>
      <c r="K2049" s="7"/>
      <c r="L2049" s="7"/>
      <c r="M2049" s="7"/>
      <c r="N2049" s="7"/>
      <c r="O2049" s="7"/>
      <c r="P2049" s="7"/>
    </row>
    <row r="2050" spans="1:16" x14ac:dyDescent="0.2">
      <c r="A2050" s="7" t="s">
        <v>113</v>
      </c>
      <c r="B2050" s="7"/>
      <c r="C2050" s="7"/>
      <c r="D2050" s="7"/>
      <c r="E2050" s="7"/>
      <c r="F2050" s="7"/>
      <c r="G2050" s="7"/>
      <c r="H2050" s="7"/>
      <c r="I2050" s="7"/>
      <c r="J2050" s="7"/>
      <c r="K2050" s="7"/>
      <c r="L2050" s="7"/>
      <c r="M2050" s="7"/>
      <c r="N2050" s="7"/>
      <c r="O2050" s="7"/>
      <c r="P2050" s="7"/>
    </row>
    <row r="2051" spans="1:16" x14ac:dyDescent="0.2">
      <c r="A2051" s="7" t="s">
        <v>114</v>
      </c>
      <c r="B2051" s="7"/>
      <c r="C2051" s="7"/>
      <c r="D2051" s="7"/>
      <c r="E2051" s="7"/>
      <c r="F2051" s="7"/>
      <c r="G2051" s="7"/>
      <c r="H2051" s="7"/>
      <c r="I2051" s="7"/>
      <c r="J2051" s="7"/>
      <c r="K2051" s="7"/>
      <c r="L2051" s="7"/>
      <c r="M2051" s="7"/>
      <c r="N2051" s="7"/>
      <c r="O2051" s="7"/>
      <c r="P2051" s="7"/>
    </row>
    <row r="2053" spans="1:16" ht="21.75" x14ac:dyDescent="0.2">
      <c r="A2053" s="41"/>
      <c r="B2053" s="41"/>
      <c r="C2053" s="41"/>
      <c r="D2053" s="41"/>
      <c r="E2053" s="41"/>
      <c r="F2053" s="41"/>
      <c r="G2053" s="41"/>
      <c r="H2053" s="41"/>
      <c r="I2053" s="41"/>
      <c r="J2053" s="41"/>
      <c r="K2053" s="41"/>
      <c r="L2053" s="37"/>
      <c r="M2053" s="37"/>
      <c r="N2053" s="16" t="s">
        <v>444</v>
      </c>
      <c r="O2053" s="250" t="s">
        <v>866</v>
      </c>
    </row>
    <row r="2054" spans="1:16" ht="18" x14ac:dyDescent="0.25">
      <c r="A2054" s="40"/>
      <c r="B2054" s="40"/>
      <c r="C2054" s="40"/>
      <c r="D2054" s="40"/>
      <c r="E2054" s="40"/>
      <c r="F2054" s="40"/>
      <c r="G2054" s="40"/>
      <c r="H2054" s="40"/>
      <c r="I2054" s="40"/>
      <c r="J2054" s="40"/>
      <c r="K2054" s="40"/>
      <c r="L2054" s="37"/>
      <c r="M2054" s="37"/>
      <c r="N2054" s="16" t="s">
        <v>445</v>
      </c>
      <c r="O2054" s="1001"/>
    </row>
    <row r="2055" spans="1:16" x14ac:dyDescent="0.2">
      <c r="A2055" s="1626"/>
      <c r="B2055" s="1626"/>
      <c r="C2055" s="1626"/>
      <c r="D2055" s="1626"/>
      <c r="E2055" s="1626"/>
      <c r="F2055" s="1626"/>
      <c r="G2055" s="1626"/>
      <c r="H2055" s="1626"/>
      <c r="I2055" s="1626"/>
      <c r="J2055" s="1626"/>
      <c r="K2055" s="1626"/>
      <c r="L2055" s="37"/>
      <c r="M2055" s="37"/>
      <c r="N2055" s="16" t="s">
        <v>446</v>
      </c>
      <c r="O2055" s="1001"/>
    </row>
    <row r="2056" spans="1:16" ht="18" x14ac:dyDescent="0.25">
      <c r="A2056" s="40"/>
      <c r="B2056" s="40"/>
      <c r="C2056" s="40"/>
      <c r="D2056" s="40"/>
      <c r="E2056" s="40"/>
      <c r="F2056" s="40"/>
      <c r="G2056" s="40"/>
      <c r="H2056" s="40"/>
      <c r="I2056" s="38"/>
      <c r="J2056" s="38"/>
      <c r="K2056" s="38"/>
      <c r="L2056" s="37"/>
      <c r="M2056" s="37"/>
      <c r="N2056" s="16" t="s">
        <v>447</v>
      </c>
      <c r="O2056" s="1001"/>
    </row>
    <row r="2057" spans="1:16" ht="15.75" x14ac:dyDescent="0.25">
      <c r="A2057" s="37"/>
      <c r="B2057" s="37"/>
      <c r="C2057" s="39"/>
      <c r="D2057" s="39"/>
      <c r="E2057" s="39"/>
      <c r="F2057" s="37"/>
      <c r="G2057" s="37"/>
      <c r="H2057" s="37"/>
      <c r="I2057" s="37"/>
      <c r="J2057" s="37"/>
      <c r="K2057" s="37"/>
      <c r="L2057" s="37"/>
      <c r="M2057" s="37"/>
      <c r="N2057" s="16" t="s">
        <v>448</v>
      </c>
      <c r="O2057" s="1002" t="s">
        <v>1173</v>
      </c>
    </row>
    <row r="2058" spans="1:16" x14ac:dyDescent="0.2">
      <c r="A2058" s="37"/>
      <c r="B2058" s="37"/>
      <c r="C2058" s="37"/>
      <c r="D2058" s="37"/>
      <c r="E2058" s="37"/>
      <c r="F2058" s="37"/>
      <c r="G2058" s="37"/>
      <c r="H2058" s="37"/>
      <c r="I2058" s="37"/>
      <c r="J2058" s="37"/>
      <c r="K2058" s="37"/>
      <c r="L2058" s="37"/>
      <c r="M2058" s="37"/>
      <c r="N2058" s="16"/>
      <c r="O2058" s="250"/>
    </row>
    <row r="2059" spans="1:16" x14ac:dyDescent="0.2">
      <c r="A2059" s="37"/>
      <c r="B2059" s="37"/>
      <c r="C2059" s="37"/>
      <c r="D2059" s="37"/>
      <c r="E2059" s="37"/>
      <c r="F2059" s="37"/>
      <c r="G2059" s="37"/>
      <c r="H2059" s="37"/>
      <c r="I2059" s="37"/>
      <c r="J2059" s="37"/>
      <c r="K2059" s="37"/>
      <c r="L2059" s="37"/>
      <c r="M2059" s="37"/>
      <c r="N2059" s="16" t="s">
        <v>449</v>
      </c>
      <c r="O2059" s="1002"/>
    </row>
    <row r="2060" spans="1:16" x14ac:dyDescent="0.2">
      <c r="A2060" s="37"/>
      <c r="B2060" s="37"/>
      <c r="C2060" s="37"/>
      <c r="D2060" s="37"/>
      <c r="E2060" s="37"/>
      <c r="F2060" s="37"/>
      <c r="G2060" s="37"/>
      <c r="H2060" s="37"/>
      <c r="I2060" s="37"/>
      <c r="J2060" s="37"/>
      <c r="K2060" s="37"/>
      <c r="L2060" s="37"/>
      <c r="M2060" s="37"/>
      <c r="N2060" s="7"/>
    </row>
    <row r="2061" spans="1:16" x14ac:dyDescent="0.2">
      <c r="A2061" s="7"/>
      <c r="B2061" s="7"/>
      <c r="C2061" s="7"/>
      <c r="D2061" s="7"/>
      <c r="E2061" s="7"/>
      <c r="F2061" s="7"/>
      <c r="G2061" s="7"/>
      <c r="H2061" s="7"/>
      <c r="I2061" s="7"/>
      <c r="J2061" s="7"/>
      <c r="K2061" s="7"/>
    </row>
    <row r="2062" spans="1:16" x14ac:dyDescent="0.2">
      <c r="A2062" s="7"/>
      <c r="B2062" s="1626" t="s">
        <v>695</v>
      </c>
      <c r="C2062" s="1626"/>
      <c r="D2062" s="1626"/>
      <c r="E2062" s="1626"/>
      <c r="F2062" s="1626"/>
      <c r="G2062" s="1626"/>
      <c r="H2062" s="1626"/>
      <c r="I2062" s="1626"/>
      <c r="J2062" s="1626"/>
      <c r="K2062" s="1626"/>
      <c r="L2062" s="1626"/>
      <c r="M2062" s="1626"/>
      <c r="N2062" s="1626"/>
      <c r="O2062" s="1626"/>
    </row>
    <row r="2063" spans="1:16" x14ac:dyDescent="0.2">
      <c r="A2063" s="7"/>
      <c r="B2063" s="1626" t="s">
        <v>63</v>
      </c>
      <c r="C2063" s="1626"/>
      <c r="D2063" s="1626"/>
      <c r="E2063" s="1626"/>
      <c r="F2063" s="1626"/>
      <c r="G2063" s="1626"/>
      <c r="H2063" s="1626"/>
      <c r="I2063" s="1626"/>
      <c r="J2063" s="1626"/>
      <c r="K2063" s="1626"/>
      <c r="L2063" s="1626"/>
      <c r="M2063" s="1626"/>
      <c r="N2063" s="1626"/>
      <c r="O2063" s="1626"/>
    </row>
    <row r="2064" spans="1:16" x14ac:dyDescent="0.2">
      <c r="A2064" s="7"/>
      <c r="B2064" s="7"/>
      <c r="C2064" s="7"/>
      <c r="D2064" s="7"/>
      <c r="E2064" s="7"/>
      <c r="F2064" s="7"/>
      <c r="G2064" s="7"/>
      <c r="H2064" s="7"/>
      <c r="I2064" s="7"/>
      <c r="J2064" s="7"/>
      <c r="K2064" s="7"/>
    </row>
    <row r="2065" spans="1:16" x14ac:dyDescent="0.2">
      <c r="A2065" s="7"/>
      <c r="B2065" s="7"/>
      <c r="C2065" s="7"/>
      <c r="D2065" s="7"/>
      <c r="E2065" s="7"/>
      <c r="F2065" s="7"/>
      <c r="G2065" s="7"/>
      <c r="H2065" s="7"/>
      <c r="I2065" s="7"/>
      <c r="J2065" s="7"/>
      <c r="K2065" s="7"/>
    </row>
    <row r="2066" spans="1:16" x14ac:dyDescent="0.2">
      <c r="A2066" s="7"/>
      <c r="B2066" s="43" t="s">
        <v>40</v>
      </c>
      <c r="C2066" s="7"/>
      <c r="D2066" s="1626" t="s">
        <v>1174</v>
      </c>
      <c r="E2066" s="1626"/>
      <c r="F2066" s="1626"/>
      <c r="G2066" s="1626"/>
      <c r="H2066" s="1626"/>
      <c r="I2066" s="1626"/>
      <c r="J2066" s="1626"/>
      <c r="K2066" s="1626"/>
      <c r="L2066" s="1626"/>
      <c r="M2066" s="1626"/>
      <c r="N2066" s="1626"/>
      <c r="O2066" s="1626"/>
      <c r="P2066" s="7"/>
    </row>
    <row r="2067" spans="1:16" ht="15.75" x14ac:dyDescent="0.25">
      <c r="A2067" s="7"/>
      <c r="B2067" s="1003"/>
      <c r="C2067" s="7"/>
      <c r="D2067" s="42"/>
      <c r="E2067" s="42"/>
      <c r="F2067" s="42"/>
      <c r="G2067" s="42"/>
      <c r="H2067" s="42"/>
      <c r="I2067" s="42"/>
      <c r="J2067" s="42"/>
      <c r="K2067" s="42"/>
      <c r="L2067" s="42"/>
      <c r="M2067" s="42"/>
      <c r="N2067" s="42"/>
      <c r="O2067" s="42"/>
      <c r="P2067" s="7"/>
    </row>
    <row r="2068" spans="1:16" x14ac:dyDescent="0.2">
      <c r="A2068" s="7"/>
      <c r="B2068" s="647"/>
      <c r="C2068" s="7"/>
      <c r="D2068" s="8" t="s">
        <v>17</v>
      </c>
      <c r="E2068" s="8"/>
      <c r="F2068" s="1004">
        <v>11523872</v>
      </c>
      <c r="G2068" s="8" t="s">
        <v>18</v>
      </c>
      <c r="H2068" s="7"/>
      <c r="I2068" s="7"/>
      <c r="J2068" s="7">
        <v>16869</v>
      </c>
      <c r="K2068" s="7" t="s">
        <v>1171</v>
      </c>
      <c r="L2068" s="7"/>
      <c r="M2068" s="7"/>
      <c r="N2068" s="7"/>
      <c r="O2068" s="7"/>
      <c r="P2068" s="7"/>
    </row>
    <row r="2069" spans="1:16" x14ac:dyDescent="0.2">
      <c r="A2069" s="7"/>
      <c r="B2069" s="647"/>
      <c r="C2069" s="7"/>
      <c r="D2069" s="7"/>
      <c r="E2069" s="7"/>
      <c r="F2069" s="7"/>
      <c r="G2069" s="7"/>
      <c r="H2069" s="7"/>
      <c r="I2069" s="7"/>
      <c r="J2069" s="7"/>
      <c r="K2069" s="7"/>
      <c r="L2069" s="7"/>
      <c r="M2069" s="7"/>
      <c r="N2069" s="7"/>
      <c r="O2069" s="7"/>
      <c r="P2069" s="7"/>
    </row>
    <row r="2070" spans="1:16" x14ac:dyDescent="0.2">
      <c r="A2070" s="7"/>
      <c r="B2070" s="647"/>
      <c r="C2070" s="7"/>
      <c r="D2070" s="19"/>
      <c r="E2070" s="19"/>
      <c r="F2070" s="1626" t="s">
        <v>19</v>
      </c>
      <c r="G2070" s="1626"/>
      <c r="H2070" s="1626"/>
      <c r="I2070" s="7"/>
      <c r="J2070" s="1626" t="s">
        <v>20</v>
      </c>
      <c r="K2070" s="1626"/>
      <c r="L2070" s="1626"/>
      <c r="M2070" s="7"/>
      <c r="N2070" s="1626" t="s">
        <v>21</v>
      </c>
      <c r="O2070" s="1626"/>
      <c r="P2070" s="7"/>
    </row>
    <row r="2071" spans="1:16" ht="12.75" customHeight="1" x14ac:dyDescent="0.2">
      <c r="A2071" s="7"/>
      <c r="B2071" s="647"/>
      <c r="C2071" s="7"/>
      <c r="D2071" s="1626" t="s">
        <v>22</v>
      </c>
      <c r="E2071" s="20"/>
      <c r="F2071" s="21" t="s">
        <v>23</v>
      </c>
      <c r="G2071" s="21" t="s">
        <v>24</v>
      </c>
      <c r="H2071" s="22" t="s">
        <v>25</v>
      </c>
      <c r="I2071" s="7"/>
      <c r="J2071" s="21" t="s">
        <v>23</v>
      </c>
      <c r="K2071" s="23" t="s">
        <v>24</v>
      </c>
      <c r="L2071" s="22" t="s">
        <v>25</v>
      </c>
      <c r="M2071" s="7"/>
      <c r="N2071" s="1626" t="s">
        <v>26</v>
      </c>
      <c r="O2071" s="1626" t="s">
        <v>27</v>
      </c>
      <c r="P2071" s="7"/>
    </row>
    <row r="2072" spans="1:16" x14ac:dyDescent="0.2">
      <c r="A2072" s="7"/>
      <c r="B2072" s="647"/>
      <c r="C2072" s="7"/>
      <c r="D2072" s="1626"/>
      <c r="E2072" s="20"/>
      <c r="F2072" s="24" t="s">
        <v>452</v>
      </c>
      <c r="G2072" s="24"/>
      <c r="H2072" s="25" t="s">
        <v>452</v>
      </c>
      <c r="I2072" s="7"/>
      <c r="J2072" s="24" t="s">
        <v>452</v>
      </c>
      <c r="K2072" s="25"/>
      <c r="L2072" s="25" t="s">
        <v>452</v>
      </c>
      <c r="M2072" s="7"/>
      <c r="N2072" s="1626"/>
      <c r="O2072" s="1626"/>
      <c r="P2072" s="7"/>
    </row>
    <row r="2073" spans="1:16" x14ac:dyDescent="0.2">
      <c r="A2073" s="7"/>
      <c r="B2073" s="26" t="s">
        <v>28</v>
      </c>
      <c r="C2073" s="26"/>
      <c r="D2073" s="1005" t="s">
        <v>1130</v>
      </c>
      <c r="E2073" s="27"/>
      <c r="F2073" s="1006">
        <v>24427.599999999999</v>
      </c>
      <c r="G2073" s="32">
        <v>1</v>
      </c>
      <c r="H2073" s="1007">
        <f>G2073*F2073</f>
        <v>24427.599999999999</v>
      </c>
      <c r="I2073" s="30"/>
      <c r="J2073" s="1008">
        <v>24427.599999999999</v>
      </c>
      <c r="K2073" s="33">
        <v>1</v>
      </c>
      <c r="L2073" s="1007">
        <f>K2073*J2073</f>
        <v>24427.599999999999</v>
      </c>
      <c r="M2073" s="30"/>
      <c r="N2073" s="34">
        <f>L2073-H2073</f>
        <v>0</v>
      </c>
      <c r="O2073" s="202">
        <f>IF((H2073)=0,"",(N2073/H2073))</f>
        <v>0</v>
      </c>
      <c r="P2073" s="7"/>
    </row>
    <row r="2074" spans="1:16" x14ac:dyDescent="0.2">
      <c r="A2074" s="7"/>
      <c r="B2074" s="26" t="s">
        <v>29</v>
      </c>
      <c r="C2074" s="26"/>
      <c r="D2074" s="1005" t="s">
        <v>1130</v>
      </c>
      <c r="E2074" s="27"/>
      <c r="F2074" s="1006">
        <v>0</v>
      </c>
      <c r="G2074" s="32">
        <v>1</v>
      </c>
      <c r="H2074" s="1007">
        <f t="shared" ref="H2074:H2082" si="182">G2074*F2074</f>
        <v>0</v>
      </c>
      <c r="I2074" s="30"/>
      <c r="J2074" s="1008">
        <v>0</v>
      </c>
      <c r="K2074" s="33">
        <v>1</v>
      </c>
      <c r="L2074" s="1007">
        <f>K2074*J2074</f>
        <v>0</v>
      </c>
      <c r="M2074" s="30"/>
      <c r="N2074" s="34">
        <f>L2074-H2074</f>
        <v>0</v>
      </c>
      <c r="O2074" s="202" t="str">
        <f>IF((H2074)=0,"",(N2074/H2074))</f>
        <v/>
      </c>
      <c r="P2074" s="7"/>
    </row>
    <row r="2075" spans="1:16" x14ac:dyDescent="0.2">
      <c r="A2075" s="7"/>
      <c r="B2075" s="1009" t="s">
        <v>1131</v>
      </c>
      <c r="C2075" s="26"/>
      <c r="D2075" s="1005" t="s">
        <v>79</v>
      </c>
      <c r="E2075" s="27"/>
      <c r="F2075" s="1006">
        <v>-4.7E-2</v>
      </c>
      <c r="G2075" s="32">
        <f>J2068</f>
        <v>16869</v>
      </c>
      <c r="H2075" s="1007">
        <f t="shared" si="182"/>
        <v>-792.84299999999996</v>
      </c>
      <c r="I2075" s="30"/>
      <c r="J2075" s="1008">
        <v>0</v>
      </c>
      <c r="K2075" s="33">
        <f>J2068</f>
        <v>16869</v>
      </c>
      <c r="L2075" s="1007">
        <f t="shared" ref="L2075:L2082" si="183">K2075*J2075</f>
        <v>0</v>
      </c>
      <c r="M2075" s="30"/>
      <c r="N2075" s="34">
        <f t="shared" ref="N2075:N2113" si="184">L2075-H2075</f>
        <v>792.84299999999996</v>
      </c>
      <c r="O2075" s="202">
        <f t="shared" ref="O2075:O2083" si="185">IF((H2075)=0,"",(N2075/H2075))</f>
        <v>-1</v>
      </c>
      <c r="P2075" s="7"/>
    </row>
    <row r="2076" spans="1:16" x14ac:dyDescent="0.2">
      <c r="A2076" s="7"/>
      <c r="B2076" s="1009" t="s">
        <v>36</v>
      </c>
      <c r="C2076" s="26"/>
      <c r="D2076" s="1005" t="s">
        <v>1130</v>
      </c>
      <c r="E2076" s="27"/>
      <c r="F2076" s="1006">
        <v>0.25</v>
      </c>
      <c r="G2076" s="32">
        <v>1</v>
      </c>
      <c r="H2076" s="1007">
        <f t="shared" si="182"/>
        <v>0.25</v>
      </c>
      <c r="I2076" s="30"/>
      <c r="J2076" s="1008">
        <v>0.25</v>
      </c>
      <c r="K2076" s="33">
        <v>1</v>
      </c>
      <c r="L2076" s="1007">
        <f t="shared" si="183"/>
        <v>0.25</v>
      </c>
      <c r="M2076" s="30"/>
      <c r="N2076" s="34">
        <f t="shared" si="184"/>
        <v>0</v>
      </c>
      <c r="O2076" s="202">
        <f t="shared" si="185"/>
        <v>0</v>
      </c>
      <c r="P2076" s="7"/>
    </row>
    <row r="2077" spans="1:16" x14ac:dyDescent="0.2">
      <c r="A2077" s="7"/>
      <c r="B2077" s="26" t="s">
        <v>30</v>
      </c>
      <c r="C2077" s="26"/>
      <c r="D2077" s="1005"/>
      <c r="E2077" s="27"/>
      <c r="F2077" s="1006">
        <v>1.4610000000000001</v>
      </c>
      <c r="G2077" s="32">
        <f>J2068</f>
        <v>16869</v>
      </c>
      <c r="H2077" s="1007">
        <f t="shared" si="182"/>
        <v>24645.609</v>
      </c>
      <c r="I2077" s="30"/>
      <c r="J2077" s="1008">
        <v>2.0411999999999999</v>
      </c>
      <c r="K2077" s="32">
        <f>J2068</f>
        <v>16869</v>
      </c>
      <c r="L2077" s="1007">
        <f t="shared" si="183"/>
        <v>34433.002799999995</v>
      </c>
      <c r="M2077" s="30"/>
      <c r="N2077" s="34">
        <f t="shared" si="184"/>
        <v>9787.3937999999944</v>
      </c>
      <c r="O2077" s="202">
        <f t="shared" si="185"/>
        <v>0.39712525667351106</v>
      </c>
      <c r="P2077" s="7"/>
    </row>
    <row r="2078" spans="1:16" x14ac:dyDescent="0.2">
      <c r="A2078" s="7"/>
      <c r="B2078" s="26" t="s">
        <v>31</v>
      </c>
      <c r="C2078" s="26"/>
      <c r="D2078" s="1005"/>
      <c r="E2078" s="27"/>
      <c r="F2078" s="1006"/>
      <c r="G2078" s="32"/>
      <c r="H2078" s="1007">
        <f t="shared" si="182"/>
        <v>0</v>
      </c>
      <c r="I2078" s="30"/>
      <c r="J2078" s="1008"/>
      <c r="K2078" s="32"/>
      <c r="L2078" s="1007">
        <f t="shared" si="183"/>
        <v>0</v>
      </c>
      <c r="M2078" s="30"/>
      <c r="N2078" s="34">
        <f t="shared" si="184"/>
        <v>0</v>
      </c>
      <c r="O2078" s="202" t="str">
        <f t="shared" si="185"/>
        <v/>
      </c>
      <c r="P2078" s="7"/>
    </row>
    <row r="2079" spans="1:16" x14ac:dyDescent="0.2">
      <c r="A2079" s="7"/>
      <c r="B2079" s="26" t="s">
        <v>1132</v>
      </c>
      <c r="C2079" s="26"/>
      <c r="D2079" s="1005" t="s">
        <v>80</v>
      </c>
      <c r="E2079" s="27"/>
      <c r="F2079" s="1006">
        <v>0</v>
      </c>
      <c r="G2079" s="32">
        <f>$J$2068</f>
        <v>16869</v>
      </c>
      <c r="H2079" s="1007">
        <f t="shared" si="182"/>
        <v>0</v>
      </c>
      <c r="I2079" s="30"/>
      <c r="J2079" s="1008">
        <v>0</v>
      </c>
      <c r="K2079" s="32">
        <f>J2068</f>
        <v>16869</v>
      </c>
      <c r="L2079" s="1007">
        <f t="shared" si="183"/>
        <v>0</v>
      </c>
      <c r="M2079" s="30"/>
      <c r="N2079" s="34">
        <f t="shared" si="184"/>
        <v>0</v>
      </c>
      <c r="O2079" s="202" t="str">
        <f t="shared" si="185"/>
        <v/>
      </c>
      <c r="P2079" s="7"/>
    </row>
    <row r="2080" spans="1:16" x14ac:dyDescent="0.2">
      <c r="A2080" s="7"/>
      <c r="B2080" s="26" t="s">
        <v>1133</v>
      </c>
      <c r="C2080" s="26"/>
      <c r="D2080" s="1005" t="s">
        <v>80</v>
      </c>
      <c r="E2080" s="27"/>
      <c r="F2080" s="1006">
        <v>0</v>
      </c>
      <c r="G2080" s="32">
        <f>J2068</f>
        <v>16869</v>
      </c>
      <c r="H2080" s="1007">
        <f t="shared" si="182"/>
        <v>0</v>
      </c>
      <c r="I2080" s="30"/>
      <c r="J2080" s="1008">
        <v>0</v>
      </c>
      <c r="K2080" s="32">
        <f>J2068</f>
        <v>16869</v>
      </c>
      <c r="L2080" s="1007">
        <f t="shared" si="183"/>
        <v>0</v>
      </c>
      <c r="M2080" s="30"/>
      <c r="N2080" s="34">
        <f t="shared" si="184"/>
        <v>0</v>
      </c>
      <c r="O2080" s="202" t="str">
        <f t="shared" si="185"/>
        <v/>
      </c>
      <c r="P2080" s="7"/>
    </row>
    <row r="2081" spans="1:16" x14ac:dyDescent="0.2">
      <c r="A2081" s="7"/>
      <c r="B2081" s="26" t="s">
        <v>1134</v>
      </c>
      <c r="C2081" s="26"/>
      <c r="D2081" s="1005" t="s">
        <v>80</v>
      </c>
      <c r="E2081" s="27"/>
      <c r="F2081" s="1006">
        <v>0</v>
      </c>
      <c r="G2081" s="32">
        <f>J2068</f>
        <v>16869</v>
      </c>
      <c r="H2081" s="1007">
        <f t="shared" si="182"/>
        <v>0</v>
      </c>
      <c r="I2081" s="30"/>
      <c r="J2081" s="1008">
        <v>0</v>
      </c>
      <c r="K2081" s="32">
        <f>J2068</f>
        <v>16869</v>
      </c>
      <c r="L2081" s="1007">
        <f t="shared" si="183"/>
        <v>0</v>
      </c>
      <c r="M2081" s="30"/>
      <c r="N2081" s="34">
        <f t="shared" si="184"/>
        <v>0</v>
      </c>
      <c r="O2081" s="202" t="str">
        <f t="shared" si="185"/>
        <v/>
      </c>
      <c r="P2081" s="7"/>
    </row>
    <row r="2082" spans="1:16" x14ac:dyDescent="0.2">
      <c r="A2082" s="7"/>
      <c r="B2082" s="1010" t="s">
        <v>1135</v>
      </c>
      <c r="C2082" s="26"/>
      <c r="D2082" s="1005" t="s">
        <v>1130</v>
      </c>
      <c r="E2082" s="27"/>
      <c r="F2082" s="1006">
        <v>0</v>
      </c>
      <c r="G2082" s="32">
        <v>1</v>
      </c>
      <c r="H2082" s="1007">
        <f t="shared" si="182"/>
        <v>0</v>
      </c>
      <c r="I2082" s="30"/>
      <c r="J2082" s="1008">
        <v>0</v>
      </c>
      <c r="K2082" s="32">
        <v>1</v>
      </c>
      <c r="L2082" s="1007">
        <f t="shared" si="183"/>
        <v>0</v>
      </c>
      <c r="M2082" s="30"/>
      <c r="N2082" s="34">
        <f t="shared" si="184"/>
        <v>0</v>
      </c>
      <c r="O2082" s="202" t="str">
        <f t="shared" si="185"/>
        <v/>
      </c>
      <c r="P2082" s="7"/>
    </row>
    <row r="2083" spans="1:16" x14ac:dyDescent="0.2">
      <c r="A2083" s="29"/>
      <c r="B2083" s="1011" t="s">
        <v>698</v>
      </c>
      <c r="C2083" s="1012"/>
      <c r="D2083" s="1013"/>
      <c r="E2083" s="1012"/>
      <c r="F2083" s="1014"/>
      <c r="G2083" s="1015"/>
      <c r="H2083" s="1016">
        <f>SUM(H2073:H2082)</f>
        <v>48280.615999999995</v>
      </c>
      <c r="I2083" s="1017"/>
      <c r="J2083" s="1018"/>
      <c r="K2083" s="1019"/>
      <c r="L2083" s="1016">
        <f>SUM(L2073:L2082)</f>
        <v>58860.852799999993</v>
      </c>
      <c r="M2083" s="1017"/>
      <c r="N2083" s="1020">
        <f t="shared" si="184"/>
        <v>10580.236799999999</v>
      </c>
      <c r="O2083" s="1021">
        <f t="shared" si="185"/>
        <v>0.21914046829891318</v>
      </c>
      <c r="P2083" s="29"/>
    </row>
    <row r="2084" spans="1:16" ht="51" x14ac:dyDescent="0.2">
      <c r="A2084" s="7"/>
      <c r="B2084" s="1022" t="s">
        <v>1175</v>
      </c>
      <c r="C2084" s="26"/>
      <c r="D2084" s="1005" t="s">
        <v>80</v>
      </c>
      <c r="E2084" s="27"/>
      <c r="F2084" s="1006">
        <v>-5.2999999999999999E-2</v>
      </c>
      <c r="G2084" s="32">
        <f>J2068</f>
        <v>16869</v>
      </c>
      <c r="H2084" s="1007">
        <f>G2084*F2084</f>
        <v>-894.05700000000002</v>
      </c>
      <c r="I2084" s="30"/>
      <c r="J2084" s="1008">
        <v>0</v>
      </c>
      <c r="K2084" s="32">
        <f>J2068</f>
        <v>16869</v>
      </c>
      <c r="L2084" s="1007">
        <f>K2084*J2084</f>
        <v>0</v>
      </c>
      <c r="M2084" s="30"/>
      <c r="N2084" s="34">
        <f t="shared" si="184"/>
        <v>894.05700000000002</v>
      </c>
      <c r="O2084" s="202">
        <f>IF((H2084)=0,"",(N2084/H2084))</f>
        <v>-1</v>
      </c>
      <c r="P2084" s="7"/>
    </row>
    <row r="2085" spans="1:16" ht="51" x14ac:dyDescent="0.2">
      <c r="A2085" s="7"/>
      <c r="B2085" s="1022" t="s">
        <v>1176</v>
      </c>
      <c r="C2085" s="26"/>
      <c r="D2085" s="1005" t="s">
        <v>80</v>
      </c>
      <c r="E2085" s="27"/>
      <c r="F2085" s="1006">
        <v>-0.13769999999999999</v>
      </c>
      <c r="G2085" s="32">
        <f>J2068</f>
        <v>16869</v>
      </c>
      <c r="H2085" s="1007">
        <f>G2085*F2085</f>
        <v>-2322.8613</v>
      </c>
      <c r="I2085" s="30"/>
      <c r="J2085" s="1008">
        <v>-0.13769999999999999</v>
      </c>
      <c r="K2085" s="32">
        <f>J2068</f>
        <v>16869</v>
      </c>
      <c r="L2085" s="1007">
        <f>K2085*J2085</f>
        <v>-2322.8613</v>
      </c>
      <c r="M2085" s="30"/>
      <c r="N2085" s="34">
        <f t="shared" si="184"/>
        <v>0</v>
      </c>
      <c r="O2085" s="202">
        <f>IF((H2085)=0,"",(N2085/H2085))</f>
        <v>0</v>
      </c>
      <c r="P2085" s="7"/>
    </row>
    <row r="2086" spans="1:16" ht="51" x14ac:dyDescent="0.2">
      <c r="A2086" s="7"/>
      <c r="B2086" s="1022" t="s">
        <v>1177</v>
      </c>
      <c r="C2086" s="26"/>
      <c r="D2086" s="1005" t="s">
        <v>80</v>
      </c>
      <c r="E2086" s="27"/>
      <c r="F2086" s="1006">
        <v>0</v>
      </c>
      <c r="G2086" s="32">
        <f>J2068</f>
        <v>16869</v>
      </c>
      <c r="H2086" s="1007">
        <f>G2086*F2086</f>
        <v>0</v>
      </c>
      <c r="I2086" s="30"/>
      <c r="J2086" s="1008">
        <v>-0.31530000000000002</v>
      </c>
      <c r="K2086" s="32">
        <f>J2068</f>
        <v>16869</v>
      </c>
      <c r="L2086" s="1007">
        <f>K2086*J2086</f>
        <v>-5318.7957000000006</v>
      </c>
      <c r="M2086" s="30"/>
      <c r="N2086" s="34">
        <f t="shared" si="184"/>
        <v>-5318.7957000000006</v>
      </c>
      <c r="O2086" s="202" t="str">
        <f>IF((H2086)=0,"",(N2086/H2086))</f>
        <v/>
      </c>
      <c r="P2086" s="7"/>
    </row>
    <row r="2087" spans="1:16" x14ac:dyDescent="0.2">
      <c r="A2087" s="7"/>
      <c r="B2087" s="564" t="s">
        <v>808</v>
      </c>
      <c r="C2087" s="26"/>
      <c r="D2087" s="1005" t="s">
        <v>79</v>
      </c>
      <c r="E2087" s="27"/>
      <c r="F2087" s="1006">
        <v>9.0499999999999997E-2</v>
      </c>
      <c r="G2087" s="32">
        <f>J2068</f>
        <v>16869</v>
      </c>
      <c r="H2087" s="1007">
        <f>G2087*F2087</f>
        <v>1526.6444999999999</v>
      </c>
      <c r="I2087" s="30"/>
      <c r="J2087" s="1008">
        <v>9.3700000000000006E-2</v>
      </c>
      <c r="K2087" s="32">
        <f>J2068</f>
        <v>16869</v>
      </c>
      <c r="L2087" s="1007">
        <f>K2087*J2087</f>
        <v>1580.6253000000002</v>
      </c>
      <c r="M2087" s="30"/>
      <c r="N2087" s="34">
        <f t="shared" si="184"/>
        <v>53.980800000000272</v>
      </c>
      <c r="O2087" s="202">
        <f>IF((H2087)=0,"",(N2087/H2087))</f>
        <v>3.5359116022099631E-2</v>
      </c>
      <c r="P2087" s="7"/>
    </row>
    <row r="2088" spans="1:16" x14ac:dyDescent="0.2">
      <c r="A2088" s="7"/>
      <c r="B2088" s="564" t="s">
        <v>701</v>
      </c>
      <c r="C2088" s="26"/>
      <c r="D2088" s="1005"/>
      <c r="E2088" s="27"/>
      <c r="F2088" s="1023"/>
      <c r="G2088" s="1024"/>
      <c r="H2088" s="1025"/>
      <c r="I2088" s="30"/>
      <c r="J2088" s="1008"/>
      <c r="K2088" s="32"/>
      <c r="L2088" s="1007">
        <f>K2088*J2088</f>
        <v>0</v>
      </c>
      <c r="M2088" s="30"/>
      <c r="N2088" s="34">
        <f t="shared" si="184"/>
        <v>0</v>
      </c>
      <c r="O2088" s="202"/>
      <c r="P2088" s="7"/>
    </row>
    <row r="2089" spans="1:16" ht="25.5" x14ac:dyDescent="0.2">
      <c r="A2089" s="7"/>
      <c r="B2089" s="1026" t="s">
        <v>699</v>
      </c>
      <c r="C2089" s="1027"/>
      <c r="D2089" s="1027"/>
      <c r="E2089" s="1027"/>
      <c r="F2089" s="1028"/>
      <c r="G2089" s="1029"/>
      <c r="H2089" s="1030">
        <f>SUM(H2083:H2088)</f>
        <v>46590.342199999999</v>
      </c>
      <c r="I2089" s="1017"/>
      <c r="J2089" s="1029"/>
      <c r="K2089" s="1031"/>
      <c r="L2089" s="1030">
        <f>SUM(L2083:L2088)</f>
        <v>52799.821099999994</v>
      </c>
      <c r="M2089" s="1017"/>
      <c r="N2089" s="1020">
        <f t="shared" si="184"/>
        <v>6209.4788999999946</v>
      </c>
      <c r="O2089" s="1021">
        <f t="shared" ref="O2089:O2113" si="186">IF((H2089)=0,"",(N2089/H2089))</f>
        <v>0.13327824194431426</v>
      </c>
      <c r="P2089" s="7"/>
    </row>
    <row r="2090" spans="1:16" x14ac:dyDescent="0.2">
      <c r="A2090" s="7"/>
      <c r="B2090" s="30" t="s">
        <v>32</v>
      </c>
      <c r="C2090" s="30"/>
      <c r="D2090" s="1032" t="s">
        <v>79</v>
      </c>
      <c r="E2090" s="31"/>
      <c r="F2090" s="1008">
        <v>3.0162</v>
      </c>
      <c r="G2090" s="667">
        <f>J2068</f>
        <v>16869</v>
      </c>
      <c r="H2090" s="1007">
        <f>G2090*F2090</f>
        <v>50880.277800000003</v>
      </c>
      <c r="I2090" s="30"/>
      <c r="J2090" s="1008">
        <v>2.774</v>
      </c>
      <c r="K2090" s="668">
        <f>J2068</f>
        <v>16869</v>
      </c>
      <c r="L2090" s="1007">
        <f>K2090*J2090</f>
        <v>46794.606</v>
      </c>
      <c r="M2090" s="30"/>
      <c r="N2090" s="34">
        <f t="shared" si="184"/>
        <v>-4085.6718000000037</v>
      </c>
      <c r="O2090" s="202">
        <f t="shared" si="186"/>
        <v>-8.0299714873019096E-2</v>
      </c>
      <c r="P2090" s="7"/>
    </row>
    <row r="2091" spans="1:16" ht="25.5" x14ac:dyDescent="0.2">
      <c r="A2091" s="7"/>
      <c r="B2091" s="35" t="s">
        <v>33</v>
      </c>
      <c r="C2091" s="30"/>
      <c r="D2091" s="1032" t="s">
        <v>79</v>
      </c>
      <c r="E2091" s="31"/>
      <c r="F2091" s="1008">
        <v>2.5070000000000001</v>
      </c>
      <c r="G2091" s="667">
        <f>G2090</f>
        <v>16869</v>
      </c>
      <c r="H2091" s="1007">
        <f>G2091*F2091</f>
        <v>42290.582999999999</v>
      </c>
      <c r="I2091" s="30"/>
      <c r="J2091" s="1008">
        <v>2.4148000000000001</v>
      </c>
      <c r="K2091" s="668">
        <f>K2090</f>
        <v>16869</v>
      </c>
      <c r="L2091" s="1007">
        <f>K2091*J2091</f>
        <v>40735.261200000001</v>
      </c>
      <c r="M2091" s="30"/>
      <c r="N2091" s="34">
        <f t="shared" si="184"/>
        <v>-1555.3217999999979</v>
      </c>
      <c r="O2091" s="202">
        <f t="shared" si="186"/>
        <v>-3.677702433187071E-2</v>
      </c>
      <c r="P2091" s="7"/>
    </row>
    <row r="2092" spans="1:16" ht="25.5" x14ac:dyDescent="0.2">
      <c r="A2092" s="7"/>
      <c r="B2092" s="1026" t="s">
        <v>700</v>
      </c>
      <c r="C2092" s="1012"/>
      <c r="D2092" s="1012"/>
      <c r="E2092" s="1012"/>
      <c r="F2092" s="1033"/>
      <c r="G2092" s="1029"/>
      <c r="H2092" s="1030">
        <f>SUM(H2089:H2091)</f>
        <v>139761.20299999998</v>
      </c>
      <c r="I2092" s="1034"/>
      <c r="J2092" s="1035"/>
      <c r="K2092" s="1036"/>
      <c r="L2092" s="1030">
        <f>SUM(L2089:L2091)</f>
        <v>140329.68830000001</v>
      </c>
      <c r="M2092" s="1034"/>
      <c r="N2092" s="1020">
        <f t="shared" si="184"/>
        <v>568.48530000002938</v>
      </c>
      <c r="O2092" s="1021">
        <f t="shared" si="186"/>
        <v>4.0675472720425104E-3</v>
      </c>
      <c r="P2092" s="7"/>
    </row>
    <row r="2093" spans="1:16" ht="25.5" x14ac:dyDescent="0.2">
      <c r="A2093" s="7"/>
      <c r="B2093" s="28" t="s">
        <v>34</v>
      </c>
      <c r="C2093" s="26"/>
      <c r="D2093" s="1005" t="s">
        <v>79</v>
      </c>
      <c r="E2093" s="27"/>
      <c r="F2093" s="1037">
        <v>5.1999999999999998E-3</v>
      </c>
      <c r="G2093" s="667">
        <f>F2068*(1+F2116)</f>
        <v>11575729.423999999</v>
      </c>
      <c r="H2093" s="1038">
        <f t="shared" ref="H2093:H2101" si="187">G2093*F2093</f>
        <v>60193.793004799991</v>
      </c>
      <c r="I2093" s="30"/>
      <c r="J2093" s="1039">
        <v>5.1999999999999998E-3</v>
      </c>
      <c r="K2093" s="668">
        <f>F2068*(1+J2116)</f>
        <v>11603386.716799999</v>
      </c>
      <c r="L2093" s="1038">
        <f t="shared" ref="L2093:L2101" si="188">K2093*J2093</f>
        <v>60337.610927359987</v>
      </c>
      <c r="M2093" s="30"/>
      <c r="N2093" s="34">
        <f t="shared" si="184"/>
        <v>143.81792255999608</v>
      </c>
      <c r="O2093" s="565">
        <f t="shared" si="186"/>
        <v>2.3892483822796763E-3</v>
      </c>
      <c r="P2093" s="7"/>
    </row>
    <row r="2094" spans="1:16" ht="25.5" x14ac:dyDescent="0.2">
      <c r="A2094" s="7"/>
      <c r="B2094" s="28" t="s">
        <v>35</v>
      </c>
      <c r="C2094" s="26"/>
      <c r="D2094" s="1005" t="s">
        <v>79</v>
      </c>
      <c r="E2094" s="27"/>
      <c r="F2094" s="1037">
        <v>1.1000000000000001E-3</v>
      </c>
      <c r="G2094" s="667">
        <f>F2068*(1+F2116)</f>
        <v>11575729.423999999</v>
      </c>
      <c r="H2094" s="1038">
        <f t="shared" si="187"/>
        <v>12733.302366399999</v>
      </c>
      <c r="I2094" s="30"/>
      <c r="J2094" s="1039">
        <v>1.1000000000000001E-3</v>
      </c>
      <c r="K2094" s="668">
        <f>F2068*(1+J2116)</f>
        <v>11603386.716799999</v>
      </c>
      <c r="L2094" s="1038">
        <f t="shared" si="188"/>
        <v>12763.725388479999</v>
      </c>
      <c r="M2094" s="30"/>
      <c r="N2094" s="34">
        <f t="shared" si="184"/>
        <v>30.42302208000001</v>
      </c>
      <c r="O2094" s="565">
        <f t="shared" si="186"/>
        <v>2.3892483822797422E-3</v>
      </c>
      <c r="P2094" s="7"/>
    </row>
    <row r="2095" spans="1:16" x14ac:dyDescent="0.2">
      <c r="A2095" s="7"/>
      <c r="B2095" s="26" t="s">
        <v>36</v>
      </c>
      <c r="C2095" s="26"/>
      <c r="D2095" s="1005"/>
      <c r="E2095" s="27"/>
      <c r="F2095" s="1037"/>
      <c r="G2095" s="32">
        <v>1</v>
      </c>
      <c r="H2095" s="1038">
        <f t="shared" si="187"/>
        <v>0</v>
      </c>
      <c r="I2095" s="30"/>
      <c r="J2095" s="1039"/>
      <c r="K2095" s="33">
        <v>1</v>
      </c>
      <c r="L2095" s="1038">
        <f t="shared" si="188"/>
        <v>0</v>
      </c>
      <c r="M2095" s="30"/>
      <c r="N2095" s="34">
        <f t="shared" si="184"/>
        <v>0</v>
      </c>
      <c r="O2095" s="565" t="str">
        <f t="shared" si="186"/>
        <v/>
      </c>
      <c r="P2095" s="7"/>
    </row>
    <row r="2096" spans="1:16" x14ac:dyDescent="0.2">
      <c r="A2096" s="7"/>
      <c r="B2096" s="26" t="s">
        <v>37</v>
      </c>
      <c r="C2096" s="26"/>
      <c r="D2096" s="1005" t="s">
        <v>79</v>
      </c>
      <c r="E2096" s="27"/>
      <c r="F2096" s="1037">
        <v>7.0000000000000001E-3</v>
      </c>
      <c r="G2096" s="667">
        <f>F2068</f>
        <v>11523872</v>
      </c>
      <c r="H2096" s="1038">
        <f t="shared" si="187"/>
        <v>80667.104000000007</v>
      </c>
      <c r="I2096" s="30"/>
      <c r="J2096" s="1039">
        <v>7.0000000000000001E-3</v>
      </c>
      <c r="K2096" s="668">
        <f>F2068</f>
        <v>11523872</v>
      </c>
      <c r="L2096" s="1038">
        <f t="shared" si="188"/>
        <v>80667.104000000007</v>
      </c>
      <c r="M2096" s="30"/>
      <c r="N2096" s="34">
        <f t="shared" si="184"/>
        <v>0</v>
      </c>
      <c r="O2096" s="565">
        <f t="shared" si="186"/>
        <v>0</v>
      </c>
      <c r="P2096" s="7"/>
    </row>
    <row r="2097" spans="1:16" x14ac:dyDescent="0.2">
      <c r="A2097" s="7"/>
      <c r="B2097" s="564" t="s">
        <v>777</v>
      </c>
      <c r="C2097" s="26"/>
      <c r="D2097" s="1005" t="s">
        <v>79</v>
      </c>
      <c r="E2097" s="27"/>
      <c r="F2097" s="1040">
        <v>7.4999999999999997E-2</v>
      </c>
      <c r="G2097" s="667">
        <f>IF($G$2093&gt;=750,750,$G$2093)</f>
        <v>750</v>
      </c>
      <c r="H2097" s="1038">
        <f>G2097*F2097</f>
        <v>56.25</v>
      </c>
      <c r="I2097" s="30"/>
      <c r="J2097" s="1037">
        <v>7.4999999999999997E-2</v>
      </c>
      <c r="K2097" s="667">
        <f>IF($K$2093&gt;=750,750,$K$2093)</f>
        <v>750</v>
      </c>
      <c r="L2097" s="1038">
        <f>K2097*J2097</f>
        <v>56.25</v>
      </c>
      <c r="M2097" s="30"/>
      <c r="N2097" s="34">
        <f t="shared" si="184"/>
        <v>0</v>
      </c>
      <c r="O2097" s="565">
        <f t="shared" si="186"/>
        <v>0</v>
      </c>
      <c r="P2097" s="7"/>
    </row>
    <row r="2098" spans="1:16" x14ac:dyDescent="0.2">
      <c r="A2098" s="7"/>
      <c r="B2098" s="564" t="s">
        <v>778</v>
      </c>
      <c r="C2098" s="26"/>
      <c r="D2098" s="1005" t="s">
        <v>79</v>
      </c>
      <c r="E2098" s="27"/>
      <c r="F2098" s="1040">
        <v>8.7999999999999995E-2</v>
      </c>
      <c r="G2098" s="667">
        <f>IF($G$2093&gt;=750,$G$2093-750,0)</f>
        <v>11574979.423999999</v>
      </c>
      <c r="H2098" s="1038">
        <f>G2098*F2098</f>
        <v>1018598.1893119998</v>
      </c>
      <c r="I2098" s="30"/>
      <c r="J2098" s="1037">
        <v>8.7999999999999995E-2</v>
      </c>
      <c r="K2098" s="667">
        <f>IF($K$2093&gt;=750,$K$2093-750,0)</f>
        <v>11602636.716799999</v>
      </c>
      <c r="L2098" s="1038">
        <f>K2098*J2098</f>
        <v>1021032.0310783999</v>
      </c>
      <c r="M2098" s="30"/>
      <c r="N2098" s="34">
        <f t="shared" si="184"/>
        <v>2433.8417664000299</v>
      </c>
      <c r="O2098" s="565">
        <f t="shared" si="186"/>
        <v>2.389403193465266E-3</v>
      </c>
      <c r="P2098" s="7"/>
    </row>
    <row r="2099" spans="1:16" x14ac:dyDescent="0.2">
      <c r="A2099" s="7"/>
      <c r="B2099" s="564" t="s">
        <v>779</v>
      </c>
      <c r="C2099" s="26"/>
      <c r="D2099" s="1005" t="s">
        <v>79</v>
      </c>
      <c r="E2099" s="27"/>
      <c r="F2099" s="1040">
        <v>6.5000000000000002E-2</v>
      </c>
      <c r="G2099" s="669">
        <f>0.64*$G$2093</f>
        <v>7408466.8313599993</v>
      </c>
      <c r="H2099" s="1038">
        <f t="shared" si="187"/>
        <v>481550.34403839998</v>
      </c>
      <c r="I2099" s="30"/>
      <c r="J2099" s="1037">
        <v>6.5000000000000002E-2</v>
      </c>
      <c r="K2099" s="1041">
        <f>0.64*$K$2093</f>
        <v>7426167.4987519989</v>
      </c>
      <c r="L2099" s="1038">
        <f t="shared" si="188"/>
        <v>482700.88741887995</v>
      </c>
      <c r="M2099" s="30"/>
      <c r="N2099" s="34">
        <f t="shared" si="184"/>
        <v>1150.5433804799686</v>
      </c>
      <c r="O2099" s="565">
        <f t="shared" si="186"/>
        <v>2.3892483822796759E-3</v>
      </c>
      <c r="P2099" s="7"/>
    </row>
    <row r="2100" spans="1:16" x14ac:dyDescent="0.2">
      <c r="A2100" s="7"/>
      <c r="B2100" s="564" t="s">
        <v>780</v>
      </c>
      <c r="C2100" s="26"/>
      <c r="D2100" s="1005" t="s">
        <v>79</v>
      </c>
      <c r="E2100" s="27"/>
      <c r="F2100" s="1040">
        <v>0.1</v>
      </c>
      <c r="G2100" s="669">
        <f>0.18*$G$2093</f>
        <v>2083631.2963199997</v>
      </c>
      <c r="H2100" s="1038">
        <f t="shared" si="187"/>
        <v>208363.129632</v>
      </c>
      <c r="I2100" s="30"/>
      <c r="J2100" s="1037">
        <v>0.1</v>
      </c>
      <c r="K2100" s="1041">
        <f>0.18*$K$2093</f>
        <v>2088609.6090239997</v>
      </c>
      <c r="L2100" s="1038">
        <f t="shared" si="188"/>
        <v>208860.96090239997</v>
      </c>
      <c r="M2100" s="30"/>
      <c r="N2100" s="34">
        <f t="shared" si="184"/>
        <v>497.83127039996907</v>
      </c>
      <c r="O2100" s="565">
        <f t="shared" si="186"/>
        <v>2.3892483822795926E-3</v>
      </c>
      <c r="P2100" s="7"/>
    </row>
    <row r="2101" spans="1:16" ht="13.5" thickBot="1" x14ac:dyDescent="0.25">
      <c r="A2101" s="7"/>
      <c r="B2101" s="647" t="s">
        <v>781</v>
      </c>
      <c r="C2101" s="26"/>
      <c r="D2101" s="1005" t="s">
        <v>79</v>
      </c>
      <c r="E2101" s="27"/>
      <c r="F2101" s="1040">
        <v>0.11700000000000001</v>
      </c>
      <c r="G2101" s="669">
        <f>0.18*$G$2093</f>
        <v>2083631.2963199997</v>
      </c>
      <c r="H2101" s="1038">
        <f t="shared" si="187"/>
        <v>243784.86166944</v>
      </c>
      <c r="I2101" s="30"/>
      <c r="J2101" s="1037">
        <v>0.11700000000000001</v>
      </c>
      <c r="K2101" s="1041">
        <f>0.18*$K$2093</f>
        <v>2088609.6090239997</v>
      </c>
      <c r="L2101" s="1038">
        <f t="shared" si="188"/>
        <v>244367.32425580797</v>
      </c>
      <c r="M2101" s="30"/>
      <c r="N2101" s="34">
        <f t="shared" si="184"/>
        <v>582.46258636796847</v>
      </c>
      <c r="O2101" s="565">
        <f t="shared" si="186"/>
        <v>2.3892483822796117E-3</v>
      </c>
      <c r="P2101" s="7"/>
    </row>
    <row r="2102" spans="1:16" ht="13.5" thickBot="1" x14ac:dyDescent="0.25">
      <c r="A2102" s="7"/>
      <c r="B2102" s="1042"/>
      <c r="C2102" s="1043"/>
      <c r="D2102" s="1044"/>
      <c r="E2102" s="1043"/>
      <c r="F2102" s="1045"/>
      <c r="G2102" s="1046"/>
      <c r="H2102" s="1047"/>
      <c r="I2102" s="1048"/>
      <c r="J2102" s="1045"/>
      <c r="K2102" s="1049"/>
      <c r="L2102" s="1047"/>
      <c r="M2102" s="1048"/>
      <c r="N2102" s="1050"/>
      <c r="O2102" s="1051"/>
      <c r="P2102" s="7"/>
    </row>
    <row r="2103" spans="1:16" x14ac:dyDescent="0.2">
      <c r="A2103" s="7"/>
      <c r="B2103" s="36" t="s">
        <v>782</v>
      </c>
      <c r="C2103" s="26"/>
      <c r="D2103" s="26"/>
      <c r="E2103" s="26"/>
      <c r="F2103" s="662"/>
      <c r="G2103" s="652"/>
      <c r="H2103" s="656">
        <f>SUM(H2092:H2098)</f>
        <v>1312009.8416831999</v>
      </c>
      <c r="I2103" s="660"/>
      <c r="J2103" s="661"/>
      <c r="K2103" s="661"/>
      <c r="L2103" s="655">
        <f>SUM(L2092:L2098)</f>
        <v>1315186.40969424</v>
      </c>
      <c r="M2103" s="654"/>
      <c r="N2103" s="659">
        <f t="shared" si="184"/>
        <v>3176.5680110401008</v>
      </c>
      <c r="O2103" s="657">
        <f t="shared" si="186"/>
        <v>2.4211464808562926E-3</v>
      </c>
      <c r="P2103" s="7"/>
    </row>
    <row r="2104" spans="1:16" x14ac:dyDescent="0.2">
      <c r="A2104" s="7"/>
      <c r="B2104" s="650" t="s">
        <v>38</v>
      </c>
      <c r="C2104" s="26"/>
      <c r="D2104" s="26"/>
      <c r="E2104" s="26"/>
      <c r="F2104" s="649">
        <v>0.13</v>
      </c>
      <c r="G2104" s="652"/>
      <c r="H2104" s="670">
        <f>H2103*F2104</f>
        <v>170561.27941881598</v>
      </c>
      <c r="I2104" s="648"/>
      <c r="J2104" s="676">
        <v>0.13</v>
      </c>
      <c r="K2104" s="677"/>
      <c r="L2104" s="672">
        <f>L2103*J2104</f>
        <v>170974.2332602512</v>
      </c>
      <c r="M2104" s="673"/>
      <c r="N2104" s="674">
        <f t="shared" si="184"/>
        <v>412.95384143522824</v>
      </c>
      <c r="O2104" s="675">
        <f t="shared" si="186"/>
        <v>2.4211464808563815E-3</v>
      </c>
      <c r="P2104" s="7"/>
    </row>
    <row r="2105" spans="1:16" x14ac:dyDescent="0.2">
      <c r="A2105" s="7"/>
      <c r="B2105" s="651" t="s">
        <v>1139</v>
      </c>
      <c r="C2105" s="26"/>
      <c r="D2105" s="26"/>
      <c r="E2105" s="26"/>
      <c r="F2105" s="658"/>
      <c r="G2105" s="653"/>
      <c r="H2105" s="670">
        <f>H2103+H2104</f>
        <v>1482571.121102016</v>
      </c>
      <c r="I2105" s="648"/>
      <c r="J2105" s="648"/>
      <c r="K2105" s="648"/>
      <c r="L2105" s="672">
        <f>L2103+L2104</f>
        <v>1486160.6429544911</v>
      </c>
      <c r="M2105" s="673"/>
      <c r="N2105" s="674">
        <f t="shared" si="184"/>
        <v>3589.5218524751253</v>
      </c>
      <c r="O2105" s="675">
        <f t="shared" si="186"/>
        <v>2.4211464808561651E-3</v>
      </c>
      <c r="P2105" s="7"/>
    </row>
    <row r="2106" spans="1:16" ht="12.75" customHeight="1" x14ac:dyDescent="0.2">
      <c r="A2106" s="7"/>
      <c r="B2106" s="1626" t="s">
        <v>1140</v>
      </c>
      <c r="C2106" s="1626"/>
      <c r="D2106" s="1626"/>
      <c r="E2106" s="26"/>
      <c r="F2106" s="658"/>
      <c r="G2106" s="653"/>
      <c r="H2106" s="1052">
        <f>ROUND(-H2105*10%,2)</f>
        <v>-148257.10999999999</v>
      </c>
      <c r="I2106" s="648"/>
      <c r="J2106" s="648"/>
      <c r="K2106" s="648"/>
      <c r="L2106" s="1053">
        <f>ROUND(-L2105*10%,2)</f>
        <v>-148616.06</v>
      </c>
      <c r="M2106" s="673"/>
      <c r="N2106" s="1054">
        <f t="shared" si="184"/>
        <v>-358.95000000001164</v>
      </c>
      <c r="O2106" s="1055">
        <f t="shared" si="186"/>
        <v>2.4211317757375124E-3</v>
      </c>
      <c r="P2106" s="7"/>
    </row>
    <row r="2107" spans="1:16" ht="13.5" customHeight="1" thickBot="1" x14ac:dyDescent="0.25">
      <c r="A2107" s="7"/>
      <c r="B2107" s="1626" t="s">
        <v>785</v>
      </c>
      <c r="C2107" s="1626"/>
      <c r="D2107" s="1626"/>
      <c r="E2107" s="1056"/>
      <c r="F2107" s="1057"/>
      <c r="G2107" s="1058"/>
      <c r="H2107" s="1059">
        <f>SUM(H2105:H2106)</f>
        <v>1334314.0111020161</v>
      </c>
      <c r="I2107" s="1060"/>
      <c r="J2107" s="1060"/>
      <c r="K2107" s="1060"/>
      <c r="L2107" s="1061">
        <f>SUM(L2105:L2106)</f>
        <v>1337544.582954491</v>
      </c>
      <c r="M2107" s="1062"/>
      <c r="N2107" s="1063">
        <f t="shared" si="184"/>
        <v>3230.5718524749391</v>
      </c>
      <c r="O2107" s="1064">
        <f t="shared" si="186"/>
        <v>2.4211481147580808E-3</v>
      </c>
      <c r="P2107" s="7"/>
    </row>
    <row r="2108" spans="1:16" ht="13.5" thickBot="1" x14ac:dyDescent="0.25">
      <c r="A2108" s="7"/>
      <c r="B2108" s="1042"/>
      <c r="C2108" s="1043"/>
      <c r="D2108" s="1044"/>
      <c r="E2108" s="1043"/>
      <c r="F2108" s="1065"/>
      <c r="G2108" s="1066"/>
      <c r="H2108" s="1067"/>
      <c r="I2108" s="1068"/>
      <c r="J2108" s="1065"/>
      <c r="K2108" s="1046"/>
      <c r="L2108" s="1069"/>
      <c r="M2108" s="1048"/>
      <c r="N2108" s="1070"/>
      <c r="O2108" s="1051"/>
      <c r="P2108" s="7"/>
    </row>
    <row r="2109" spans="1:16" x14ac:dyDescent="0.2">
      <c r="A2109" s="7"/>
      <c r="B2109" s="36" t="s">
        <v>783</v>
      </c>
      <c r="C2109" s="26"/>
      <c r="D2109" s="26"/>
      <c r="E2109" s="26"/>
      <c r="F2109" s="662"/>
      <c r="G2109" s="652"/>
      <c r="H2109" s="656">
        <f>SUM(H2092:H2096,H2099:H2101)</f>
        <v>1227053.7377110398</v>
      </c>
      <c r="I2109" s="660"/>
      <c r="J2109" s="661"/>
      <c r="K2109" s="661"/>
      <c r="L2109" s="666">
        <f>SUM(L2092:L2096,L2099:L2101)</f>
        <v>1230027.3011929279</v>
      </c>
      <c r="M2109" s="654"/>
      <c r="N2109" s="659">
        <f>L2109-H2109</f>
        <v>2973.5634818880353</v>
      </c>
      <c r="O2109" s="657">
        <f>IF((H2109)=0,"",(N2109/H2109))</f>
        <v>2.4233359880676091E-3</v>
      </c>
      <c r="P2109" s="7"/>
    </row>
    <row r="2110" spans="1:16" x14ac:dyDescent="0.2">
      <c r="A2110" s="7"/>
      <c r="B2110" s="650" t="s">
        <v>38</v>
      </c>
      <c r="C2110" s="26"/>
      <c r="D2110" s="26"/>
      <c r="E2110" s="26"/>
      <c r="F2110" s="649">
        <v>0.13</v>
      </c>
      <c r="G2110" s="653"/>
      <c r="H2110" s="670">
        <f>H2109*F2110</f>
        <v>159516.98590243518</v>
      </c>
      <c r="I2110" s="648"/>
      <c r="J2110" s="671">
        <v>0.13</v>
      </c>
      <c r="K2110" s="648"/>
      <c r="L2110" s="672">
        <f>L2109*J2110</f>
        <v>159903.54915508063</v>
      </c>
      <c r="M2110" s="673"/>
      <c r="N2110" s="674">
        <f t="shared" si="184"/>
        <v>386.5632526454574</v>
      </c>
      <c r="O2110" s="675">
        <f t="shared" si="186"/>
        <v>2.4233359880676893E-3</v>
      </c>
      <c r="P2110" s="7"/>
    </row>
    <row r="2111" spans="1:16" x14ac:dyDescent="0.2">
      <c r="A2111" s="7"/>
      <c r="B2111" s="651" t="s">
        <v>1139</v>
      </c>
      <c r="C2111" s="26"/>
      <c r="D2111" s="26"/>
      <c r="E2111" s="26"/>
      <c r="F2111" s="658"/>
      <c r="G2111" s="653"/>
      <c r="H2111" s="670">
        <f>H2109+H2110</f>
        <v>1386570.723613475</v>
      </c>
      <c r="I2111" s="648"/>
      <c r="J2111" s="648"/>
      <c r="K2111" s="648"/>
      <c r="L2111" s="672">
        <f>L2109+L2110</f>
        <v>1389930.8503480086</v>
      </c>
      <c r="M2111" s="673"/>
      <c r="N2111" s="674">
        <f t="shared" si="184"/>
        <v>3360.12673453358</v>
      </c>
      <c r="O2111" s="675">
        <f t="shared" si="186"/>
        <v>2.423335988067681E-3</v>
      </c>
      <c r="P2111" s="7"/>
    </row>
    <row r="2112" spans="1:16" ht="12.75" customHeight="1" x14ac:dyDescent="0.2">
      <c r="A2112" s="7"/>
      <c r="B2112" s="1626" t="s">
        <v>1140</v>
      </c>
      <c r="C2112" s="1626"/>
      <c r="D2112" s="1626"/>
      <c r="E2112" s="26"/>
      <c r="F2112" s="658"/>
      <c r="G2112" s="653"/>
      <c r="H2112" s="1052">
        <f>ROUND(-H2111*10%,2)</f>
        <v>-138657.07</v>
      </c>
      <c r="I2112" s="648"/>
      <c r="J2112" s="648"/>
      <c r="K2112" s="648"/>
      <c r="L2112" s="1053">
        <f>ROUND(-L2111*10%,2)</f>
        <v>-138993.09</v>
      </c>
      <c r="M2112" s="673"/>
      <c r="N2112" s="1054">
        <f t="shared" si="184"/>
        <v>-336.01999999998952</v>
      </c>
      <c r="O2112" s="1055">
        <f t="shared" si="186"/>
        <v>2.4233888686670613E-3</v>
      </c>
      <c r="P2112" s="7"/>
    </row>
    <row r="2113" spans="1:16" ht="13.5" customHeight="1" thickBot="1" x14ac:dyDescent="0.25">
      <c r="A2113" s="7"/>
      <c r="B2113" s="1626" t="s">
        <v>784</v>
      </c>
      <c r="C2113" s="1626"/>
      <c r="D2113" s="1626"/>
      <c r="E2113" s="1056"/>
      <c r="F2113" s="1071"/>
      <c r="G2113" s="1072"/>
      <c r="H2113" s="1073">
        <f>H2111+H2112</f>
        <v>1247913.6536134749</v>
      </c>
      <c r="I2113" s="1074"/>
      <c r="J2113" s="1074"/>
      <c r="K2113" s="1074"/>
      <c r="L2113" s="1075">
        <f>L2111+L2112</f>
        <v>1250937.7603480085</v>
      </c>
      <c r="M2113" s="1076"/>
      <c r="N2113" s="1077">
        <f t="shared" si="184"/>
        <v>3024.1067345335614</v>
      </c>
      <c r="O2113" s="1078">
        <f t="shared" si="186"/>
        <v>2.4233301124456158E-3</v>
      </c>
      <c r="P2113" s="7"/>
    </row>
    <row r="2114" spans="1:16" ht="13.5" thickBot="1" x14ac:dyDescent="0.25">
      <c r="A2114" s="7"/>
      <c r="B2114" s="1042"/>
      <c r="C2114" s="1043"/>
      <c r="D2114" s="1044"/>
      <c r="E2114" s="1043"/>
      <c r="F2114" s="1065"/>
      <c r="G2114" s="1066"/>
      <c r="H2114" s="1067"/>
      <c r="I2114" s="1068"/>
      <c r="J2114" s="1065"/>
      <c r="K2114" s="1046"/>
      <c r="L2114" s="1069"/>
      <c r="M2114" s="1048"/>
      <c r="N2114" s="1070"/>
      <c r="O2114" s="1051"/>
      <c r="P2114" s="7"/>
    </row>
    <row r="2115" spans="1:16" x14ac:dyDescent="0.2">
      <c r="A2115" s="7"/>
      <c r="B2115" s="7"/>
      <c r="C2115" s="7"/>
      <c r="D2115" s="7"/>
      <c r="E2115" s="7"/>
      <c r="F2115" s="7"/>
      <c r="G2115" s="7"/>
      <c r="H2115" s="7"/>
      <c r="I2115" s="7"/>
      <c r="J2115" s="7"/>
      <c r="K2115" s="7"/>
      <c r="L2115" s="678"/>
      <c r="M2115" s="7"/>
      <c r="N2115" s="7"/>
      <c r="O2115" s="7"/>
      <c r="P2115" s="7"/>
    </row>
    <row r="2116" spans="1:16" x14ac:dyDescent="0.2">
      <c r="A2116" s="7"/>
      <c r="B2116" s="8" t="s">
        <v>39</v>
      </c>
      <c r="C2116" s="7"/>
      <c r="D2116" s="7"/>
      <c r="E2116" s="7"/>
      <c r="F2116" s="1080">
        <v>4.4999999999999997E-3</v>
      </c>
      <c r="G2116" s="7"/>
      <c r="H2116" s="7"/>
      <c r="I2116" s="7"/>
      <c r="J2116" s="1080">
        <v>6.8999999999999999E-3</v>
      </c>
      <c r="K2116" s="7"/>
      <c r="L2116" s="7"/>
      <c r="M2116" s="7"/>
      <c r="N2116" s="7"/>
      <c r="O2116" s="7"/>
      <c r="P2116" s="7"/>
    </row>
    <row r="2117" spans="1:16" x14ac:dyDescent="0.2">
      <c r="A2117" s="7"/>
      <c r="B2117" s="7"/>
      <c r="C2117" s="7"/>
      <c r="D2117" s="7"/>
      <c r="E2117" s="7"/>
      <c r="F2117" s="7"/>
      <c r="G2117" s="7"/>
      <c r="H2117" s="7"/>
      <c r="I2117" s="7"/>
      <c r="J2117" s="7"/>
      <c r="K2117" s="7"/>
      <c r="L2117" s="7"/>
      <c r="M2117" s="7"/>
      <c r="N2117" s="7"/>
      <c r="O2117" s="7"/>
      <c r="P2117" s="7"/>
    </row>
    <row r="2118" spans="1:16" ht="14.25" x14ac:dyDescent="0.2">
      <c r="A2118" s="214" t="s">
        <v>1141</v>
      </c>
      <c r="B2118" s="7"/>
      <c r="C2118" s="7"/>
      <c r="D2118" s="7"/>
      <c r="E2118" s="7"/>
      <c r="F2118" s="7"/>
      <c r="G2118" s="7"/>
      <c r="H2118" s="7"/>
      <c r="I2118" s="7"/>
      <c r="J2118" s="7"/>
      <c r="K2118" s="7"/>
      <c r="L2118" s="7"/>
      <c r="M2118" s="7"/>
      <c r="N2118" s="7"/>
      <c r="O2118" s="7"/>
      <c r="P2118" s="7"/>
    </row>
    <row r="2119" spans="1:16" x14ac:dyDescent="0.2">
      <c r="A2119" s="7"/>
      <c r="B2119" s="7"/>
      <c r="C2119" s="7"/>
      <c r="D2119" s="7"/>
      <c r="E2119" s="7"/>
      <c r="F2119" s="7"/>
      <c r="G2119" s="7"/>
      <c r="H2119" s="7"/>
      <c r="I2119" s="7"/>
      <c r="J2119" s="7"/>
      <c r="K2119" s="7"/>
      <c r="L2119" s="7"/>
      <c r="M2119" s="7"/>
      <c r="N2119" s="7"/>
      <c r="O2119" s="7"/>
      <c r="P2119" s="7"/>
    </row>
    <row r="2120" spans="1:16" x14ac:dyDescent="0.2">
      <c r="A2120" s="7" t="s">
        <v>107</v>
      </c>
      <c r="B2120" s="7"/>
      <c r="C2120" s="7"/>
      <c r="D2120" s="7"/>
      <c r="E2120" s="7"/>
      <c r="F2120" s="7"/>
      <c r="G2120" s="7"/>
      <c r="H2120" s="7"/>
      <c r="I2120" s="7"/>
      <c r="J2120" s="7"/>
      <c r="K2120" s="7"/>
      <c r="L2120" s="7"/>
      <c r="M2120" s="7"/>
      <c r="N2120" s="7"/>
      <c r="O2120" s="7"/>
      <c r="P2120" s="7"/>
    </row>
    <row r="2121" spans="1:16" x14ac:dyDescent="0.2">
      <c r="A2121" s="7" t="s">
        <v>108</v>
      </c>
      <c r="B2121" s="7"/>
      <c r="C2121" s="7"/>
      <c r="D2121" s="7"/>
      <c r="E2121" s="7"/>
      <c r="F2121" s="7"/>
      <c r="G2121" s="7"/>
      <c r="H2121" s="7"/>
      <c r="I2121" s="7"/>
      <c r="J2121" s="7"/>
      <c r="K2121" s="7"/>
      <c r="L2121" s="7"/>
      <c r="M2121" s="7"/>
      <c r="N2121" s="7"/>
      <c r="O2121" s="7"/>
      <c r="P2121" s="7"/>
    </row>
    <row r="2122" spans="1:16" x14ac:dyDescent="0.2">
      <c r="A2122" s="7"/>
      <c r="B2122" s="7"/>
      <c r="C2122" s="7"/>
      <c r="D2122" s="7"/>
      <c r="E2122" s="7"/>
      <c r="F2122" s="7"/>
      <c r="G2122" s="7"/>
      <c r="H2122" s="7"/>
      <c r="I2122" s="7"/>
      <c r="J2122" s="7"/>
      <c r="K2122" s="7"/>
      <c r="L2122" s="7"/>
      <c r="M2122" s="7"/>
      <c r="N2122" s="7"/>
      <c r="O2122" s="7"/>
      <c r="P2122" s="7"/>
    </row>
    <row r="2123" spans="1:16" x14ac:dyDescent="0.2">
      <c r="A2123" s="7" t="s">
        <v>331</v>
      </c>
      <c r="B2123" s="7"/>
      <c r="C2123" s="7"/>
      <c r="D2123" s="7"/>
      <c r="E2123" s="7"/>
      <c r="F2123" s="7"/>
      <c r="G2123" s="7"/>
      <c r="H2123" s="7"/>
      <c r="I2123" s="7"/>
      <c r="J2123" s="7"/>
      <c r="K2123" s="7"/>
      <c r="L2123" s="7"/>
      <c r="M2123" s="7"/>
      <c r="N2123" s="7"/>
      <c r="O2123" s="7"/>
      <c r="P2123" s="7"/>
    </row>
    <row r="2124" spans="1:16" x14ac:dyDescent="0.2">
      <c r="A2124" s="7" t="s">
        <v>109</v>
      </c>
      <c r="B2124" s="7"/>
      <c r="C2124" s="7"/>
      <c r="D2124" s="7"/>
      <c r="E2124" s="7"/>
      <c r="F2124" s="7"/>
      <c r="G2124" s="7"/>
      <c r="H2124" s="7"/>
      <c r="I2124" s="7"/>
      <c r="J2124" s="7"/>
      <c r="K2124" s="7"/>
      <c r="L2124" s="7"/>
      <c r="M2124" s="7"/>
      <c r="N2124" s="7"/>
      <c r="O2124" s="7"/>
      <c r="P2124" s="7"/>
    </row>
    <row r="2125" spans="1:16" x14ac:dyDescent="0.2">
      <c r="A2125" s="7"/>
      <c r="B2125" s="7"/>
      <c r="C2125" s="7"/>
      <c r="D2125" s="7"/>
      <c r="E2125" s="7"/>
      <c r="F2125" s="7"/>
      <c r="G2125" s="7"/>
      <c r="H2125" s="7"/>
      <c r="I2125" s="7"/>
      <c r="J2125" s="7"/>
      <c r="K2125" s="7"/>
      <c r="L2125" s="7"/>
      <c r="M2125" s="7"/>
      <c r="N2125" s="7"/>
      <c r="O2125" s="7"/>
      <c r="P2125" s="7"/>
    </row>
    <row r="2126" spans="1:16" x14ac:dyDescent="0.2">
      <c r="A2126" s="7" t="s">
        <v>110</v>
      </c>
      <c r="B2126" s="7"/>
      <c r="C2126" s="7"/>
      <c r="D2126" s="7"/>
      <c r="E2126" s="7"/>
      <c r="F2126" s="7"/>
      <c r="G2126" s="7"/>
      <c r="H2126" s="7"/>
      <c r="I2126" s="7"/>
      <c r="J2126" s="7"/>
      <c r="K2126" s="7"/>
      <c r="L2126" s="7"/>
      <c r="M2126" s="7"/>
      <c r="N2126" s="7"/>
      <c r="O2126" s="7"/>
      <c r="P2126" s="7"/>
    </row>
    <row r="2127" spans="1:16" x14ac:dyDescent="0.2">
      <c r="A2127" s="7" t="s">
        <v>111</v>
      </c>
      <c r="B2127" s="7"/>
      <c r="C2127" s="7"/>
      <c r="D2127" s="7"/>
      <c r="E2127" s="7"/>
      <c r="F2127" s="7"/>
      <c r="G2127" s="7"/>
      <c r="H2127" s="7"/>
      <c r="I2127" s="7"/>
      <c r="J2127" s="7"/>
      <c r="K2127" s="7"/>
      <c r="L2127" s="7"/>
      <c r="M2127" s="7"/>
      <c r="N2127" s="7"/>
      <c r="O2127" s="7"/>
      <c r="P2127" s="7"/>
    </row>
    <row r="2128" spans="1:16" x14ac:dyDescent="0.2">
      <c r="A2128" s="7" t="s">
        <v>112</v>
      </c>
      <c r="B2128" s="7"/>
      <c r="C2128" s="7"/>
      <c r="D2128" s="7"/>
      <c r="E2128" s="7"/>
      <c r="F2128" s="7"/>
      <c r="G2128" s="7"/>
      <c r="H2128" s="7"/>
      <c r="I2128" s="7"/>
      <c r="J2128" s="7"/>
      <c r="K2128" s="7"/>
      <c r="L2128" s="7"/>
      <c r="M2128" s="7"/>
      <c r="N2128" s="7"/>
      <c r="O2128" s="7"/>
      <c r="P2128" s="7"/>
    </row>
    <row r="2129" spans="1:16" x14ac:dyDescent="0.2">
      <c r="A2129" s="7" t="s">
        <v>113</v>
      </c>
      <c r="B2129" s="7"/>
      <c r="C2129" s="7"/>
      <c r="D2129" s="7"/>
      <c r="E2129" s="7"/>
      <c r="F2129" s="7"/>
      <c r="G2129" s="7"/>
      <c r="H2129" s="7"/>
      <c r="I2129" s="7"/>
      <c r="J2129" s="7"/>
      <c r="K2129" s="7"/>
      <c r="L2129" s="7"/>
      <c r="M2129" s="7"/>
      <c r="N2129" s="7"/>
      <c r="O2129" s="7"/>
      <c r="P2129" s="7"/>
    </row>
    <row r="2130" spans="1:16" x14ac:dyDescent="0.2">
      <c r="A2130" s="7" t="s">
        <v>114</v>
      </c>
      <c r="B2130" s="7"/>
      <c r="C2130" s="7"/>
      <c r="D2130" s="7"/>
      <c r="E2130" s="7"/>
      <c r="F2130" s="7"/>
      <c r="G2130" s="7"/>
      <c r="H2130" s="7"/>
      <c r="I2130" s="7"/>
      <c r="J2130" s="7"/>
      <c r="K2130" s="7"/>
      <c r="L2130" s="7"/>
      <c r="M2130" s="7"/>
      <c r="N2130" s="7"/>
      <c r="O2130" s="7"/>
      <c r="P2130" s="7"/>
    </row>
  </sheetData>
  <mergeCells count="378">
    <mergeCell ref="D19:D20"/>
    <mergeCell ref="N19:N20"/>
    <mergeCell ref="O19:O20"/>
    <mergeCell ref="B54:D54"/>
    <mergeCell ref="B55:D55"/>
    <mergeCell ref="B60:D60"/>
    <mergeCell ref="A3:K3"/>
    <mergeCell ref="B10:O10"/>
    <mergeCell ref="B11:O11"/>
    <mergeCell ref="D14:O14"/>
    <mergeCell ref="F18:H18"/>
    <mergeCell ref="J18:L18"/>
    <mergeCell ref="N18:O18"/>
    <mergeCell ref="D98:D99"/>
    <mergeCell ref="N98:N99"/>
    <mergeCell ref="O98:O99"/>
    <mergeCell ref="B133:D133"/>
    <mergeCell ref="B134:D134"/>
    <mergeCell ref="B139:D139"/>
    <mergeCell ref="B61:D61"/>
    <mergeCell ref="A82:K82"/>
    <mergeCell ref="B89:O89"/>
    <mergeCell ref="B90:O90"/>
    <mergeCell ref="D93:O93"/>
    <mergeCell ref="F97:H97"/>
    <mergeCell ref="J97:L97"/>
    <mergeCell ref="N97:O97"/>
    <mergeCell ref="D177:D178"/>
    <mergeCell ref="N177:N178"/>
    <mergeCell ref="O177:O178"/>
    <mergeCell ref="B212:D212"/>
    <mergeCell ref="B213:D213"/>
    <mergeCell ref="B218:D218"/>
    <mergeCell ref="B140:D140"/>
    <mergeCell ref="A161:K161"/>
    <mergeCell ref="B168:O168"/>
    <mergeCell ref="B169:O169"/>
    <mergeCell ref="D172:O172"/>
    <mergeCell ref="F176:H176"/>
    <mergeCell ref="J176:L176"/>
    <mergeCell ref="N176:O176"/>
    <mergeCell ref="D256:D257"/>
    <mergeCell ref="N256:N257"/>
    <mergeCell ref="O256:O257"/>
    <mergeCell ref="B291:D291"/>
    <mergeCell ref="B292:D292"/>
    <mergeCell ref="B297:D297"/>
    <mergeCell ref="B219:D219"/>
    <mergeCell ref="A240:K240"/>
    <mergeCell ref="B247:O247"/>
    <mergeCell ref="B248:O248"/>
    <mergeCell ref="D251:O251"/>
    <mergeCell ref="F255:H255"/>
    <mergeCell ref="J255:L255"/>
    <mergeCell ref="N255:O255"/>
    <mergeCell ref="D335:D336"/>
    <mergeCell ref="N335:N336"/>
    <mergeCell ref="O335:O336"/>
    <mergeCell ref="B370:D370"/>
    <mergeCell ref="B371:D371"/>
    <mergeCell ref="B376:D376"/>
    <mergeCell ref="B298:D298"/>
    <mergeCell ref="A319:K319"/>
    <mergeCell ref="B326:O326"/>
    <mergeCell ref="B327:O327"/>
    <mergeCell ref="D330:O330"/>
    <mergeCell ref="F334:H334"/>
    <mergeCell ref="J334:L334"/>
    <mergeCell ref="N334:O334"/>
    <mergeCell ref="D414:D415"/>
    <mergeCell ref="N414:N415"/>
    <mergeCell ref="O414:O415"/>
    <mergeCell ref="B449:D449"/>
    <mergeCell ref="B450:D450"/>
    <mergeCell ref="B455:D455"/>
    <mergeCell ref="B377:D377"/>
    <mergeCell ref="A398:K398"/>
    <mergeCell ref="B405:O405"/>
    <mergeCell ref="B406:O406"/>
    <mergeCell ref="D409:O409"/>
    <mergeCell ref="F413:H413"/>
    <mergeCell ref="J413:L413"/>
    <mergeCell ref="N413:O413"/>
    <mergeCell ref="D493:D494"/>
    <mergeCell ref="N493:N494"/>
    <mergeCell ref="O493:O494"/>
    <mergeCell ref="B528:D528"/>
    <mergeCell ref="B529:D529"/>
    <mergeCell ref="B534:D534"/>
    <mergeCell ref="B456:D456"/>
    <mergeCell ref="A477:K477"/>
    <mergeCell ref="B484:O484"/>
    <mergeCell ref="B485:O485"/>
    <mergeCell ref="D488:O488"/>
    <mergeCell ref="F492:H492"/>
    <mergeCell ref="J492:L492"/>
    <mergeCell ref="N492:O492"/>
    <mergeCell ref="D572:D573"/>
    <mergeCell ref="N572:N573"/>
    <mergeCell ref="O572:O573"/>
    <mergeCell ref="B607:D607"/>
    <mergeCell ref="B608:D608"/>
    <mergeCell ref="B613:D613"/>
    <mergeCell ref="B535:D535"/>
    <mergeCell ref="A556:K556"/>
    <mergeCell ref="B563:O563"/>
    <mergeCell ref="B564:O564"/>
    <mergeCell ref="D567:O567"/>
    <mergeCell ref="F571:H571"/>
    <mergeCell ref="J571:L571"/>
    <mergeCell ref="N571:O571"/>
    <mergeCell ref="D651:D652"/>
    <mergeCell ref="N651:N652"/>
    <mergeCell ref="O651:O652"/>
    <mergeCell ref="B686:D686"/>
    <mergeCell ref="B687:D687"/>
    <mergeCell ref="B692:D692"/>
    <mergeCell ref="B614:D614"/>
    <mergeCell ref="A635:K635"/>
    <mergeCell ref="B642:O642"/>
    <mergeCell ref="B643:O643"/>
    <mergeCell ref="D646:O646"/>
    <mergeCell ref="F650:H650"/>
    <mergeCell ref="J650:L650"/>
    <mergeCell ref="N650:O650"/>
    <mergeCell ref="D730:D731"/>
    <mergeCell ref="N730:N731"/>
    <mergeCell ref="O730:O731"/>
    <mergeCell ref="B765:D765"/>
    <mergeCell ref="B766:D766"/>
    <mergeCell ref="B771:D771"/>
    <mergeCell ref="B693:D693"/>
    <mergeCell ref="A714:K714"/>
    <mergeCell ref="B721:O721"/>
    <mergeCell ref="B722:O722"/>
    <mergeCell ref="D725:O725"/>
    <mergeCell ref="F729:H729"/>
    <mergeCell ref="J729:L729"/>
    <mergeCell ref="N729:O729"/>
    <mergeCell ref="D809:D810"/>
    <mergeCell ref="N809:N810"/>
    <mergeCell ref="O809:O810"/>
    <mergeCell ref="B844:D844"/>
    <mergeCell ref="B845:D845"/>
    <mergeCell ref="B850:D850"/>
    <mergeCell ref="B772:D772"/>
    <mergeCell ref="A793:K793"/>
    <mergeCell ref="B800:O800"/>
    <mergeCell ref="B801:O801"/>
    <mergeCell ref="D804:O804"/>
    <mergeCell ref="F808:H808"/>
    <mergeCell ref="J808:L808"/>
    <mergeCell ref="N808:O808"/>
    <mergeCell ref="D888:D889"/>
    <mergeCell ref="N888:N889"/>
    <mergeCell ref="O888:O889"/>
    <mergeCell ref="B923:D923"/>
    <mergeCell ref="B924:D924"/>
    <mergeCell ref="B929:D929"/>
    <mergeCell ref="B851:D851"/>
    <mergeCell ref="A872:K872"/>
    <mergeCell ref="B879:O879"/>
    <mergeCell ref="B880:O880"/>
    <mergeCell ref="D883:O883"/>
    <mergeCell ref="F887:H887"/>
    <mergeCell ref="J887:L887"/>
    <mergeCell ref="N887:O887"/>
    <mergeCell ref="D967:D968"/>
    <mergeCell ref="N967:N968"/>
    <mergeCell ref="O967:O968"/>
    <mergeCell ref="B1002:D1002"/>
    <mergeCell ref="B1003:D1003"/>
    <mergeCell ref="B1008:D1008"/>
    <mergeCell ref="B930:D930"/>
    <mergeCell ref="A951:K951"/>
    <mergeCell ref="B958:O958"/>
    <mergeCell ref="B959:O959"/>
    <mergeCell ref="D962:O962"/>
    <mergeCell ref="F966:H966"/>
    <mergeCell ref="J966:L966"/>
    <mergeCell ref="N966:O966"/>
    <mergeCell ref="D1046:D1047"/>
    <mergeCell ref="N1046:N1047"/>
    <mergeCell ref="O1046:O1047"/>
    <mergeCell ref="B1081:D1081"/>
    <mergeCell ref="B1082:D1082"/>
    <mergeCell ref="B1087:D1087"/>
    <mergeCell ref="B1009:D1009"/>
    <mergeCell ref="A1030:K1030"/>
    <mergeCell ref="B1037:O1037"/>
    <mergeCell ref="B1038:O1038"/>
    <mergeCell ref="D1041:O1041"/>
    <mergeCell ref="F1045:H1045"/>
    <mergeCell ref="J1045:L1045"/>
    <mergeCell ref="N1045:O1045"/>
    <mergeCell ref="D1125:D1126"/>
    <mergeCell ref="N1125:N1126"/>
    <mergeCell ref="O1125:O1126"/>
    <mergeCell ref="B1160:D1160"/>
    <mergeCell ref="B1161:D1161"/>
    <mergeCell ref="B1166:D1166"/>
    <mergeCell ref="B1088:D1088"/>
    <mergeCell ref="A1109:K1109"/>
    <mergeCell ref="B1116:O1116"/>
    <mergeCell ref="B1117:O1117"/>
    <mergeCell ref="D1120:O1120"/>
    <mergeCell ref="F1124:H1124"/>
    <mergeCell ref="J1124:L1124"/>
    <mergeCell ref="N1124:O1124"/>
    <mergeCell ref="D1204:D1205"/>
    <mergeCell ref="N1204:N1205"/>
    <mergeCell ref="O1204:O1205"/>
    <mergeCell ref="B1239:D1239"/>
    <mergeCell ref="B1240:D1240"/>
    <mergeCell ref="B1245:D1245"/>
    <mergeCell ref="B1167:D1167"/>
    <mergeCell ref="A1188:K1188"/>
    <mergeCell ref="B1195:O1195"/>
    <mergeCell ref="B1196:O1196"/>
    <mergeCell ref="D1199:O1199"/>
    <mergeCell ref="F1203:H1203"/>
    <mergeCell ref="J1203:L1203"/>
    <mergeCell ref="N1203:O1203"/>
    <mergeCell ref="D1283:D1284"/>
    <mergeCell ref="N1283:N1284"/>
    <mergeCell ref="O1283:O1284"/>
    <mergeCell ref="B1318:D1318"/>
    <mergeCell ref="B1319:D1319"/>
    <mergeCell ref="B1324:D1324"/>
    <mergeCell ref="B1246:D1246"/>
    <mergeCell ref="A1267:K1267"/>
    <mergeCell ref="B1274:O1274"/>
    <mergeCell ref="B1275:O1275"/>
    <mergeCell ref="D1278:O1278"/>
    <mergeCell ref="F1282:H1282"/>
    <mergeCell ref="J1282:L1282"/>
    <mergeCell ref="N1282:O1282"/>
    <mergeCell ref="D1362:D1363"/>
    <mergeCell ref="N1362:N1363"/>
    <mergeCell ref="O1362:O1363"/>
    <mergeCell ref="B1397:D1397"/>
    <mergeCell ref="B1398:D1398"/>
    <mergeCell ref="B1403:D1403"/>
    <mergeCell ref="B1325:D1325"/>
    <mergeCell ref="A1346:K1346"/>
    <mergeCell ref="B1353:O1353"/>
    <mergeCell ref="B1354:O1354"/>
    <mergeCell ref="D1357:O1357"/>
    <mergeCell ref="F1361:H1361"/>
    <mergeCell ref="J1361:L1361"/>
    <mergeCell ref="N1361:O1361"/>
    <mergeCell ref="D1441:D1442"/>
    <mergeCell ref="N1441:N1442"/>
    <mergeCell ref="O1441:O1442"/>
    <mergeCell ref="B1476:D1476"/>
    <mergeCell ref="B1477:D1477"/>
    <mergeCell ref="B1482:D1482"/>
    <mergeCell ref="B1404:D1404"/>
    <mergeCell ref="A1425:K1425"/>
    <mergeCell ref="B1432:O1432"/>
    <mergeCell ref="B1433:O1433"/>
    <mergeCell ref="D1436:O1436"/>
    <mergeCell ref="F1440:H1440"/>
    <mergeCell ref="J1440:L1440"/>
    <mergeCell ref="N1440:O1440"/>
    <mergeCell ref="D1520:D1521"/>
    <mergeCell ref="N1520:N1521"/>
    <mergeCell ref="O1520:O1521"/>
    <mergeCell ref="B1555:D1555"/>
    <mergeCell ref="B1556:D1556"/>
    <mergeCell ref="B1561:D1561"/>
    <mergeCell ref="B1483:D1483"/>
    <mergeCell ref="A1504:K1504"/>
    <mergeCell ref="B1511:O1511"/>
    <mergeCell ref="B1512:O1512"/>
    <mergeCell ref="D1515:O1515"/>
    <mergeCell ref="F1519:H1519"/>
    <mergeCell ref="J1519:L1519"/>
    <mergeCell ref="N1519:O1519"/>
    <mergeCell ref="D1599:D1600"/>
    <mergeCell ref="N1599:N1600"/>
    <mergeCell ref="O1599:O1600"/>
    <mergeCell ref="B1634:D1634"/>
    <mergeCell ref="B1635:D1635"/>
    <mergeCell ref="B1640:D1640"/>
    <mergeCell ref="B1562:D1562"/>
    <mergeCell ref="A1583:K1583"/>
    <mergeCell ref="B1590:O1590"/>
    <mergeCell ref="B1591:O1591"/>
    <mergeCell ref="D1594:O1594"/>
    <mergeCell ref="F1598:H1598"/>
    <mergeCell ref="J1598:L1598"/>
    <mergeCell ref="N1598:O1598"/>
    <mergeCell ref="D1678:D1679"/>
    <mergeCell ref="N1678:N1679"/>
    <mergeCell ref="O1678:O1679"/>
    <mergeCell ref="B1713:D1713"/>
    <mergeCell ref="B1714:D1714"/>
    <mergeCell ref="B1719:D1719"/>
    <mergeCell ref="B1641:D1641"/>
    <mergeCell ref="A1662:K1662"/>
    <mergeCell ref="B1669:O1669"/>
    <mergeCell ref="B1670:O1670"/>
    <mergeCell ref="D1673:O1673"/>
    <mergeCell ref="F1677:H1677"/>
    <mergeCell ref="J1677:L1677"/>
    <mergeCell ref="N1677:O1677"/>
    <mergeCell ref="D1757:D1758"/>
    <mergeCell ref="N1757:N1758"/>
    <mergeCell ref="O1757:O1758"/>
    <mergeCell ref="B1792:D1792"/>
    <mergeCell ref="B1793:D1793"/>
    <mergeCell ref="B1798:D1798"/>
    <mergeCell ref="B1720:D1720"/>
    <mergeCell ref="A1741:K1741"/>
    <mergeCell ref="B1748:O1748"/>
    <mergeCell ref="B1749:O1749"/>
    <mergeCell ref="D1752:O1752"/>
    <mergeCell ref="F1756:H1756"/>
    <mergeCell ref="J1756:L1756"/>
    <mergeCell ref="N1756:O1756"/>
    <mergeCell ref="D1836:D1837"/>
    <mergeCell ref="N1836:N1837"/>
    <mergeCell ref="O1836:O1837"/>
    <mergeCell ref="B1871:D1871"/>
    <mergeCell ref="B1872:D1872"/>
    <mergeCell ref="B1877:D1877"/>
    <mergeCell ref="B1799:D1799"/>
    <mergeCell ref="A1820:K1820"/>
    <mergeCell ref="B1827:O1827"/>
    <mergeCell ref="B1828:O1828"/>
    <mergeCell ref="D1831:O1831"/>
    <mergeCell ref="F1835:H1835"/>
    <mergeCell ref="J1835:L1835"/>
    <mergeCell ref="N1835:O1835"/>
    <mergeCell ref="D1915:D1916"/>
    <mergeCell ref="N1915:N1916"/>
    <mergeCell ref="O1915:O1916"/>
    <mergeCell ref="B1950:D1950"/>
    <mergeCell ref="B1951:D1951"/>
    <mergeCell ref="B1956:D1956"/>
    <mergeCell ref="B1878:D1878"/>
    <mergeCell ref="A1899:K1899"/>
    <mergeCell ref="B1906:O1906"/>
    <mergeCell ref="B1907:O1907"/>
    <mergeCell ref="D1910:O1910"/>
    <mergeCell ref="F1914:H1914"/>
    <mergeCell ref="J1914:L1914"/>
    <mergeCell ref="N1914:O1914"/>
    <mergeCell ref="D1994:D1995"/>
    <mergeCell ref="N1994:N1995"/>
    <mergeCell ref="O1994:O1995"/>
    <mergeCell ref="B2027:D2027"/>
    <mergeCell ref="B2028:D2028"/>
    <mergeCell ref="B2033:D2033"/>
    <mergeCell ref="B1957:D1957"/>
    <mergeCell ref="A1978:K1978"/>
    <mergeCell ref="B1985:O1985"/>
    <mergeCell ref="B1986:O1986"/>
    <mergeCell ref="D1989:O1989"/>
    <mergeCell ref="F1993:H1993"/>
    <mergeCell ref="J1993:L1993"/>
    <mergeCell ref="N1993:O1993"/>
    <mergeCell ref="B2113:D2113"/>
    <mergeCell ref="D2071:D2072"/>
    <mergeCell ref="N2071:N2072"/>
    <mergeCell ref="O2071:O2072"/>
    <mergeCell ref="B2106:D2106"/>
    <mergeCell ref="B2107:D2107"/>
    <mergeCell ref="B2112:D2112"/>
    <mergeCell ref="B2034:D2034"/>
    <mergeCell ref="A2055:K2055"/>
    <mergeCell ref="B2062:O2062"/>
    <mergeCell ref="B2063:O2063"/>
    <mergeCell ref="D2066:O2066"/>
    <mergeCell ref="F2070:H2070"/>
    <mergeCell ref="J2070:L2070"/>
    <mergeCell ref="N2070:O2070"/>
  </mergeCells>
  <pageMargins left="0.70866141732283472" right="0.70866141732283472" top="0.39370078740157483" bottom="0.39370078740157483" header="0.31496062992125984" footer="0.31496062992125984"/>
  <pageSetup scale="55" fitToHeight="100" orientation="portrait" r:id="rId1"/>
  <rowBreaks count="27" manualBreakCount="27">
    <brk id="79" max="16383" man="1"/>
    <brk id="158" max="16383" man="1"/>
    <brk id="237" max="16383" man="1"/>
    <brk id="316" max="16383" man="1"/>
    <brk id="395" max="16383" man="1"/>
    <brk id="474" max="16383" man="1"/>
    <brk id="553" max="16383" man="1"/>
    <brk id="632" max="16383" man="1"/>
    <brk id="711" max="16383" man="1"/>
    <brk id="790" max="16383" man="1"/>
    <brk id="869" max="16383" man="1"/>
    <brk id="948" max="16383" man="1"/>
    <brk id="1027" max="16383" man="1"/>
    <brk id="1106" max="16383" man="1"/>
    <brk id="1185" max="16383" man="1"/>
    <brk id="1264" max="16383" man="1"/>
    <brk id="1343" max="16383" man="1"/>
    <brk id="1422" max="16383" man="1"/>
    <brk id="1501" max="16383" man="1"/>
    <brk id="1580" max="16383" man="1"/>
    <brk id="1659" max="16383" man="1"/>
    <brk id="1738" max="16383" man="1"/>
    <brk id="1817" max="16383" man="1"/>
    <brk id="1896" max="16383" man="1"/>
    <brk id="1975" max="16383" man="1"/>
    <brk id="2052" max="16383" man="1"/>
    <brk id="2131"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1:G16"/>
  <sheetViews>
    <sheetView showGridLines="0" topLeftCell="A31" zoomScaleNormal="100" workbookViewId="0">
      <selection activeCell="G12" sqref="G12"/>
    </sheetView>
  </sheetViews>
  <sheetFormatPr defaultRowHeight="12.75" x14ac:dyDescent="0.2"/>
  <cols>
    <col min="1" max="1" width="2.7109375" customWidth="1"/>
    <col min="2" max="2" width="81.85546875" customWidth="1"/>
    <col min="6" max="6" width="12.7109375" bestFit="1" customWidth="1"/>
    <col min="7" max="7" width="10.7109375" customWidth="1"/>
  </cols>
  <sheetData>
    <row r="1" spans="2:7" x14ac:dyDescent="0.2">
      <c r="F1" s="16" t="s">
        <v>444</v>
      </c>
      <c r="G1" s="250" t="str">
        <f>'LDC Info'!$E$18</f>
        <v>EB-2012-0107</v>
      </c>
    </row>
    <row r="2" spans="2:7" x14ac:dyDescent="0.2">
      <c r="F2" s="16" t="s">
        <v>445</v>
      </c>
      <c r="G2" s="251"/>
    </row>
    <row r="3" spans="2:7" x14ac:dyDescent="0.2">
      <c r="F3" s="16" t="s">
        <v>446</v>
      </c>
      <c r="G3" s="251"/>
    </row>
    <row r="4" spans="2:7" x14ac:dyDescent="0.2">
      <c r="F4" s="16" t="s">
        <v>447</v>
      </c>
      <c r="G4" s="251"/>
    </row>
    <row r="5" spans="2:7" x14ac:dyDescent="0.2">
      <c r="F5" s="16" t="s">
        <v>448</v>
      </c>
      <c r="G5" s="252"/>
    </row>
    <row r="6" spans="2:7" x14ac:dyDescent="0.2">
      <c r="F6" s="16"/>
      <c r="G6" s="250"/>
    </row>
    <row r="7" spans="2:7" x14ac:dyDescent="0.2">
      <c r="F7" s="16" t="s">
        <v>449</v>
      </c>
      <c r="G7" s="252"/>
    </row>
    <row r="13" spans="2:7" ht="18" x14ac:dyDescent="0.25">
      <c r="B13" s="1385" t="s">
        <v>696</v>
      </c>
      <c r="C13" s="1385"/>
      <c r="D13" s="1385"/>
      <c r="E13" s="1385"/>
      <c r="F13" s="1385"/>
      <c r="G13" s="1385"/>
    </row>
    <row r="14" spans="2:7" ht="18" x14ac:dyDescent="0.25">
      <c r="B14" s="1385" t="s">
        <v>180</v>
      </c>
      <c r="C14" s="1385"/>
      <c r="D14" s="1385"/>
      <c r="E14" s="1385"/>
      <c r="F14" s="1385"/>
      <c r="G14" s="1385"/>
    </row>
    <row r="16" spans="2:7" ht="51" customHeight="1" x14ac:dyDescent="0.2">
      <c r="B16" s="1242" t="s">
        <v>429</v>
      </c>
      <c r="C16" s="1242"/>
      <c r="D16" s="1242"/>
      <c r="E16" s="1242"/>
      <c r="F16" s="1242"/>
      <c r="G16" s="1242"/>
    </row>
  </sheetData>
  <mergeCells count="3">
    <mergeCell ref="B16:G16"/>
    <mergeCell ref="B13:G13"/>
    <mergeCell ref="B14:G14"/>
  </mergeCells>
  <phoneticPr fontId="17" type="noConversion"/>
  <pageMargins left="0.75" right="0.75" top="1" bottom="1" header="0.5" footer="0.5"/>
  <pageSetup scale="7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6"/>
  <sheetViews>
    <sheetView showGridLines="0" zoomScale="95" zoomScaleNormal="95" workbookViewId="0">
      <selection sqref="A1:N65"/>
    </sheetView>
  </sheetViews>
  <sheetFormatPr defaultRowHeight="12.75" x14ac:dyDescent="0.2"/>
  <cols>
    <col min="1" max="1" width="7.7109375" style="1" customWidth="1"/>
    <col min="2" max="2" width="6.42578125" style="1" customWidth="1"/>
    <col min="3" max="3" width="37.85546875" customWidth="1"/>
    <col min="4" max="4" width="14" customWidth="1"/>
    <col min="5" max="5" width="14.42578125" customWidth="1"/>
    <col min="6" max="6" width="13" customWidth="1"/>
    <col min="7" max="7" width="11.7109375" customWidth="1"/>
    <col min="8" max="8" width="14.140625" bestFit="1" customWidth="1"/>
    <col min="9" max="9" width="1.7109375" style="3" customWidth="1"/>
    <col min="10" max="10" width="14.28515625" customWidth="1"/>
    <col min="11" max="11" width="13.42578125" customWidth="1"/>
    <col min="12" max="12" width="11.85546875" customWidth="1"/>
    <col min="13" max="13" width="14.5703125" bestFit="1" customWidth="1"/>
    <col min="14" max="14" width="14.140625" bestFit="1" customWidth="1"/>
    <col min="15" max="15" width="13.57031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v>41200</v>
      </c>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v>2010</v>
      </c>
      <c r="H12" s="6"/>
    </row>
    <row r="14" spans="1:14" x14ac:dyDescent="0.2">
      <c r="D14" s="15"/>
      <c r="E14" s="1264" t="s">
        <v>405</v>
      </c>
      <c r="F14" s="1265"/>
      <c r="G14" s="1265"/>
      <c r="H14" s="1266"/>
      <c r="J14" s="181"/>
      <c r="K14" s="180" t="s">
        <v>406</v>
      </c>
      <c r="L14" s="180"/>
      <c r="M14" s="182"/>
      <c r="N14" s="3"/>
    </row>
    <row r="15" spans="1:14" ht="25.5" x14ac:dyDescent="0.2">
      <c r="A15" s="751" t="s">
        <v>393</v>
      </c>
      <c r="B15" s="174" t="s">
        <v>394</v>
      </c>
      <c r="C15" s="175" t="s">
        <v>395</v>
      </c>
      <c r="D15" s="751" t="s">
        <v>440</v>
      </c>
      <c r="E15" s="751" t="s">
        <v>396</v>
      </c>
      <c r="F15" s="174" t="s">
        <v>397</v>
      </c>
      <c r="G15" s="174" t="s">
        <v>403</v>
      </c>
      <c r="H15" s="751" t="s">
        <v>404</v>
      </c>
      <c r="I15" s="176"/>
      <c r="J15" s="177" t="s">
        <v>396</v>
      </c>
      <c r="K15" s="178" t="s">
        <v>397</v>
      </c>
      <c r="L15" s="178" t="s">
        <v>403</v>
      </c>
      <c r="M15" s="179" t="s">
        <v>404</v>
      </c>
      <c r="N15" s="751" t="s">
        <v>443</v>
      </c>
    </row>
    <row r="16" spans="1:14" ht="25.5" x14ac:dyDescent="0.2">
      <c r="A16" s="347">
        <v>12</v>
      </c>
      <c r="B16" s="347">
        <v>1611</v>
      </c>
      <c r="C16" s="351" t="s">
        <v>548</v>
      </c>
      <c r="D16" s="215"/>
      <c r="E16" s="246">
        <f>'App.2-B_Fixed Asset 2009'!H16</f>
        <v>5607852</v>
      </c>
      <c r="F16" s="246">
        <v>2873278</v>
      </c>
      <c r="G16" s="246"/>
      <c r="H16" s="10">
        <f>E16+F16+G16</f>
        <v>8481130</v>
      </c>
      <c r="I16" s="4"/>
      <c r="J16" s="248">
        <f>'App.2-B_Fixed Asset 2009'!M16</f>
        <v>-4119463</v>
      </c>
      <c r="K16" s="246">
        <v>-834160</v>
      </c>
      <c r="L16" s="246"/>
      <c r="M16" s="10">
        <f>J16+K16+L16</f>
        <v>-4953623</v>
      </c>
      <c r="N16" s="11">
        <f>H16+M16</f>
        <v>3527507</v>
      </c>
    </row>
    <row r="17" spans="1:14" ht="25.5" x14ac:dyDescent="0.2">
      <c r="A17" s="347" t="s">
        <v>415</v>
      </c>
      <c r="B17" s="347">
        <v>1612</v>
      </c>
      <c r="C17" s="351" t="s">
        <v>702</v>
      </c>
      <c r="D17" s="215"/>
      <c r="E17" s="246">
        <f>'App.2-B_Fixed Asset 2009'!H17</f>
        <v>283160</v>
      </c>
      <c r="F17" s="246"/>
      <c r="G17" s="246"/>
      <c r="H17" s="10">
        <f>E17+F17+G17</f>
        <v>283160</v>
      </c>
      <c r="I17" s="4"/>
      <c r="J17" s="248">
        <f>'App.2-B_Fixed Asset 2009'!M17</f>
        <v>-264958</v>
      </c>
      <c r="K17" s="246">
        <v>-1192</v>
      </c>
      <c r="L17" s="246"/>
      <c r="M17" s="10">
        <f>J17+K17+L17</f>
        <v>-266150</v>
      </c>
      <c r="N17" s="11">
        <f>H17+M17</f>
        <v>17010</v>
      </c>
    </row>
    <row r="18" spans="1:14" x14ac:dyDescent="0.2">
      <c r="A18" s="348" t="s">
        <v>407</v>
      </c>
      <c r="B18" s="348">
        <v>1805</v>
      </c>
      <c r="C18" s="352" t="s">
        <v>408</v>
      </c>
      <c r="D18" s="215"/>
      <c r="E18" s="246">
        <f>'App.2-B_Fixed Asset 2009'!H18</f>
        <v>445814</v>
      </c>
      <c r="F18" s="246">
        <v>44003</v>
      </c>
      <c r="G18" s="246"/>
      <c r="H18" s="10">
        <f>E18+F18+G18</f>
        <v>489817</v>
      </c>
      <c r="I18" s="4"/>
      <c r="J18" s="248">
        <f>'App.2-B_Fixed Asset 2009'!M18</f>
        <v>0</v>
      </c>
      <c r="K18" s="246"/>
      <c r="L18" s="246"/>
      <c r="M18" s="10">
        <f>J18+K18+L18</f>
        <v>0</v>
      </c>
      <c r="N18" s="11">
        <f>H18+M18</f>
        <v>489817</v>
      </c>
    </row>
    <row r="19" spans="1:14" x14ac:dyDescent="0.2">
      <c r="A19" s="347">
        <v>47</v>
      </c>
      <c r="B19" s="347">
        <v>1808</v>
      </c>
      <c r="C19" s="353" t="s">
        <v>409</v>
      </c>
      <c r="D19" s="215"/>
      <c r="E19" s="246">
        <f>'App.2-B_Fixed Asset 2009'!H19</f>
        <v>0</v>
      </c>
      <c r="F19" s="246"/>
      <c r="G19" s="246"/>
      <c r="H19" s="10">
        <f t="shared" ref="H19:H53" si="0">E19+F19+G19</f>
        <v>0</v>
      </c>
      <c r="I19" s="4"/>
      <c r="J19" s="248">
        <f>'App.2-B_Fixed Asset 2009'!M19</f>
        <v>0</v>
      </c>
      <c r="K19" s="246"/>
      <c r="L19" s="246"/>
      <c r="M19" s="10">
        <f t="shared" ref="M19:M53" si="1">J19+K19+L19</f>
        <v>0</v>
      </c>
      <c r="N19" s="11">
        <f t="shared" ref="N19:N53" si="2">H19+M19</f>
        <v>0</v>
      </c>
    </row>
    <row r="20" spans="1:14" x14ac:dyDescent="0.2">
      <c r="A20" s="347">
        <v>13</v>
      </c>
      <c r="B20" s="347">
        <v>1810</v>
      </c>
      <c r="C20" s="353" t="s">
        <v>442</v>
      </c>
      <c r="D20" s="215"/>
      <c r="E20" s="246">
        <f>'App.2-B_Fixed Asset 2009'!H20</f>
        <v>0</v>
      </c>
      <c r="F20" s="246"/>
      <c r="G20" s="246"/>
      <c r="H20" s="10">
        <f t="shared" si="0"/>
        <v>0</v>
      </c>
      <c r="I20" s="4"/>
      <c r="J20" s="248">
        <f>'App.2-B_Fixed Asset 2009'!M20</f>
        <v>0</v>
      </c>
      <c r="K20" s="246"/>
      <c r="L20" s="246"/>
      <c r="M20" s="10">
        <f t="shared" si="1"/>
        <v>0</v>
      </c>
      <c r="N20" s="11">
        <f t="shared" si="2"/>
        <v>0</v>
      </c>
    </row>
    <row r="21" spans="1:14" x14ac:dyDescent="0.2">
      <c r="A21" s="347">
        <v>47</v>
      </c>
      <c r="B21" s="347">
        <v>1815</v>
      </c>
      <c r="C21" s="353" t="s">
        <v>410</v>
      </c>
      <c r="D21" s="215"/>
      <c r="E21" s="246">
        <f>'App.2-B_Fixed Asset 2009'!H21</f>
        <v>0</v>
      </c>
      <c r="F21" s="246"/>
      <c r="G21" s="246"/>
      <c r="H21" s="10">
        <f t="shared" si="0"/>
        <v>0</v>
      </c>
      <c r="I21" s="4"/>
      <c r="J21" s="248">
        <f>'App.2-B_Fixed Asset 2009'!M21</f>
        <v>0</v>
      </c>
      <c r="K21" s="246"/>
      <c r="L21" s="246"/>
      <c r="M21" s="10">
        <f t="shared" si="1"/>
        <v>0</v>
      </c>
      <c r="N21" s="11">
        <f t="shared" si="2"/>
        <v>0</v>
      </c>
    </row>
    <row r="22" spans="1:14" x14ac:dyDescent="0.2">
      <c r="A22" s="347">
        <v>47</v>
      </c>
      <c r="B22" s="347">
        <v>1820</v>
      </c>
      <c r="C22" s="354" t="s">
        <v>356</v>
      </c>
      <c r="D22" s="215"/>
      <c r="E22" s="246">
        <f>'App.2-B_Fixed Asset 2009'!H22</f>
        <v>5768029</v>
      </c>
      <c r="F22" s="246">
        <v>338057</v>
      </c>
      <c r="G22" s="246"/>
      <c r="H22" s="10">
        <f t="shared" si="0"/>
        <v>6106086</v>
      </c>
      <c r="I22" s="4"/>
      <c r="J22" s="248">
        <f>'App.2-B_Fixed Asset 2009'!M22</f>
        <v>-2916728</v>
      </c>
      <c r="K22" s="246">
        <v>-142936</v>
      </c>
      <c r="L22" s="246"/>
      <c r="M22" s="10">
        <f t="shared" si="1"/>
        <v>-3059664</v>
      </c>
      <c r="N22" s="11">
        <f t="shared" si="2"/>
        <v>3046422</v>
      </c>
    </row>
    <row r="23" spans="1:14" x14ac:dyDescent="0.2">
      <c r="A23" s="347">
        <v>47</v>
      </c>
      <c r="B23" s="347">
        <v>1825</v>
      </c>
      <c r="C23" s="353" t="s">
        <v>411</v>
      </c>
      <c r="D23" s="215"/>
      <c r="E23" s="246">
        <f>'App.2-B_Fixed Asset 2009'!H23</f>
        <v>0</v>
      </c>
      <c r="F23" s="246"/>
      <c r="G23" s="246"/>
      <c r="H23" s="10">
        <f t="shared" si="0"/>
        <v>0</v>
      </c>
      <c r="I23" s="4"/>
      <c r="J23" s="248">
        <f>'App.2-B_Fixed Asset 2009'!M23</f>
        <v>0</v>
      </c>
      <c r="K23" s="246"/>
      <c r="L23" s="246"/>
      <c r="M23" s="10">
        <f t="shared" si="1"/>
        <v>0</v>
      </c>
      <c r="N23" s="11">
        <f t="shared" si="2"/>
        <v>0</v>
      </c>
    </row>
    <row r="24" spans="1:14" x14ac:dyDescent="0.2">
      <c r="A24" s="347">
        <v>47</v>
      </c>
      <c r="B24" s="347">
        <v>1830</v>
      </c>
      <c r="C24" s="353" t="s">
        <v>412</v>
      </c>
      <c r="D24" s="215"/>
      <c r="E24" s="246">
        <f>'App.2-B_Fixed Asset 2009'!H24</f>
        <v>1240576</v>
      </c>
      <c r="F24" s="246">
        <v>541412</v>
      </c>
      <c r="G24" s="246"/>
      <c r="H24" s="10">
        <f t="shared" si="0"/>
        <v>1781988</v>
      </c>
      <c r="I24" s="4"/>
      <c r="J24" s="248">
        <f>'App.2-B_Fixed Asset 2009'!M24</f>
        <v>-106344</v>
      </c>
      <c r="K24" s="246">
        <v>-60413</v>
      </c>
      <c r="L24" s="246"/>
      <c r="M24" s="10">
        <f t="shared" si="1"/>
        <v>-166757</v>
      </c>
      <c r="N24" s="11">
        <f t="shared" si="2"/>
        <v>1615231</v>
      </c>
    </row>
    <row r="25" spans="1:14" x14ac:dyDescent="0.2">
      <c r="A25" s="347">
        <v>47</v>
      </c>
      <c r="B25" s="347">
        <v>1835</v>
      </c>
      <c r="C25" s="353" t="s">
        <v>357</v>
      </c>
      <c r="D25" s="215"/>
      <c r="E25" s="246">
        <f>'App.2-B_Fixed Asset 2009'!H25</f>
        <v>26429206</v>
      </c>
      <c r="F25" s="246">
        <v>647473</v>
      </c>
      <c r="G25" s="246"/>
      <c r="H25" s="10">
        <f t="shared" si="0"/>
        <v>27076679</v>
      </c>
      <c r="I25" s="4"/>
      <c r="J25" s="248">
        <f>'App.2-B_Fixed Asset 2009'!M25</f>
        <v>-15692333</v>
      </c>
      <c r="K25" s="246">
        <v>-837134</v>
      </c>
      <c r="L25" s="246"/>
      <c r="M25" s="10">
        <f t="shared" si="1"/>
        <v>-16529467</v>
      </c>
      <c r="N25" s="11">
        <f t="shared" si="2"/>
        <v>10547212</v>
      </c>
    </row>
    <row r="26" spans="1:14" x14ac:dyDescent="0.2">
      <c r="A26" s="347">
        <v>47</v>
      </c>
      <c r="B26" s="347">
        <v>1840</v>
      </c>
      <c r="C26" s="353" t="s">
        <v>358</v>
      </c>
      <c r="D26" s="215"/>
      <c r="E26" s="246">
        <f>'App.2-B_Fixed Asset 2009'!H26</f>
        <v>756555</v>
      </c>
      <c r="F26" s="246">
        <v>202029</v>
      </c>
      <c r="G26" s="246"/>
      <c r="H26" s="10">
        <f t="shared" si="0"/>
        <v>958584</v>
      </c>
      <c r="I26" s="4"/>
      <c r="J26" s="248">
        <f>'App.2-B_Fixed Asset 2009'!M26</f>
        <v>-32724</v>
      </c>
      <c r="K26" s="246">
        <v>-32266</v>
      </c>
      <c r="L26" s="246"/>
      <c r="M26" s="10">
        <f t="shared" si="1"/>
        <v>-64990</v>
      </c>
      <c r="N26" s="11">
        <f t="shared" si="2"/>
        <v>893594</v>
      </c>
    </row>
    <row r="27" spans="1:14" x14ac:dyDescent="0.2">
      <c r="A27" s="347">
        <v>47</v>
      </c>
      <c r="B27" s="347">
        <v>1845</v>
      </c>
      <c r="C27" s="353" t="s">
        <v>359</v>
      </c>
      <c r="D27" s="215"/>
      <c r="E27" s="246">
        <f>'App.2-B_Fixed Asset 2009'!H27</f>
        <v>19374143</v>
      </c>
      <c r="F27" s="246">
        <v>330177</v>
      </c>
      <c r="G27" s="246"/>
      <c r="H27" s="10">
        <f t="shared" si="0"/>
        <v>19704320</v>
      </c>
      <c r="I27" s="4"/>
      <c r="J27" s="248">
        <f>'App.2-B_Fixed Asset 2009'!M27</f>
        <v>-10710863</v>
      </c>
      <c r="K27" s="246">
        <f>-622494+20</f>
        <v>-622474</v>
      </c>
      <c r="L27" s="246"/>
      <c r="M27" s="10">
        <f t="shared" si="1"/>
        <v>-11333337</v>
      </c>
      <c r="N27" s="11">
        <f t="shared" si="2"/>
        <v>8370983</v>
      </c>
    </row>
    <row r="28" spans="1:14" x14ac:dyDescent="0.2">
      <c r="A28" s="347">
        <v>47</v>
      </c>
      <c r="B28" s="347">
        <v>1850</v>
      </c>
      <c r="C28" s="353" t="s">
        <v>413</v>
      </c>
      <c r="D28" s="215"/>
      <c r="E28" s="246">
        <f>'App.2-B_Fixed Asset 2009'!H28</f>
        <v>13736285</v>
      </c>
      <c r="F28" s="246">
        <v>948489</v>
      </c>
      <c r="G28" s="246"/>
      <c r="H28" s="10">
        <f t="shared" si="0"/>
        <v>14684774</v>
      </c>
      <c r="I28" s="4"/>
      <c r="J28" s="248">
        <f>'App.2-B_Fixed Asset 2009'!M28</f>
        <v>-7666281</v>
      </c>
      <c r="K28" s="246">
        <v>-430107</v>
      </c>
      <c r="L28" s="246"/>
      <c r="M28" s="10">
        <f t="shared" si="1"/>
        <v>-8096388</v>
      </c>
      <c r="N28" s="11">
        <f t="shared" si="2"/>
        <v>6588386</v>
      </c>
    </row>
    <row r="29" spans="1:14" x14ac:dyDescent="0.2">
      <c r="A29" s="347">
        <v>47</v>
      </c>
      <c r="B29" s="347">
        <v>1855</v>
      </c>
      <c r="C29" s="353" t="s">
        <v>360</v>
      </c>
      <c r="D29" s="215"/>
      <c r="E29" s="246">
        <f>'App.2-B_Fixed Asset 2009'!H29</f>
        <v>327336</v>
      </c>
      <c r="F29" s="246">
        <v>104428</v>
      </c>
      <c r="G29" s="246"/>
      <c r="H29" s="10">
        <f t="shared" si="0"/>
        <v>431764</v>
      </c>
      <c r="I29" s="4"/>
      <c r="J29" s="248">
        <f>'App.2-B_Fixed Asset 2009'!M29</f>
        <v>-22642</v>
      </c>
      <c r="K29" s="246">
        <v>-15318</v>
      </c>
      <c r="L29" s="246"/>
      <c r="M29" s="10">
        <f t="shared" si="1"/>
        <v>-37960</v>
      </c>
      <c r="N29" s="11">
        <f t="shared" si="2"/>
        <v>393804</v>
      </c>
    </row>
    <row r="30" spans="1:14" x14ac:dyDescent="0.2">
      <c r="A30" s="347">
        <v>47</v>
      </c>
      <c r="B30" s="347">
        <v>1860</v>
      </c>
      <c r="C30" s="353" t="s">
        <v>414</v>
      </c>
      <c r="D30" s="215"/>
      <c r="E30" s="246">
        <f>'App.2-B_Fixed Asset 2009'!H30</f>
        <v>7253505</v>
      </c>
      <c r="F30" s="246">
        <v>174353</v>
      </c>
      <c r="G30" s="246"/>
      <c r="H30" s="10">
        <f t="shared" si="0"/>
        <v>7427858</v>
      </c>
      <c r="I30" s="4"/>
      <c r="J30" s="248">
        <f>'App.2-B_Fixed Asset 2009'!M30</f>
        <v>-4398394</v>
      </c>
      <c r="K30" s="246">
        <v>-241877</v>
      </c>
      <c r="L30" s="246"/>
      <c r="M30" s="10">
        <f t="shared" si="1"/>
        <v>-4640271</v>
      </c>
      <c r="N30" s="11">
        <f t="shared" si="2"/>
        <v>2787587</v>
      </c>
    </row>
    <row r="31" spans="1:14" x14ac:dyDescent="0.2">
      <c r="A31" s="347">
        <v>8</v>
      </c>
      <c r="B31" s="348">
        <v>1860</v>
      </c>
      <c r="C31" s="352" t="s">
        <v>361</v>
      </c>
      <c r="D31" s="215"/>
      <c r="E31" s="246">
        <f>'App.2-B_Fixed Asset 2009'!H31</f>
        <v>0</v>
      </c>
      <c r="F31" s="246"/>
      <c r="G31" s="246"/>
      <c r="H31" s="10">
        <f t="shared" si="0"/>
        <v>0</v>
      </c>
      <c r="I31" s="4"/>
      <c r="J31" s="248">
        <f>'App.2-B_Fixed Asset 2009'!M31</f>
        <v>0</v>
      </c>
      <c r="K31" s="246"/>
      <c r="L31" s="246"/>
      <c r="M31" s="10">
        <f t="shared" si="1"/>
        <v>0</v>
      </c>
      <c r="N31" s="11">
        <f t="shared" si="2"/>
        <v>0</v>
      </c>
    </row>
    <row r="32" spans="1:14" x14ac:dyDescent="0.2">
      <c r="A32" s="348" t="s">
        <v>407</v>
      </c>
      <c r="B32" s="348">
        <v>1905</v>
      </c>
      <c r="C32" s="352" t="s">
        <v>408</v>
      </c>
      <c r="D32" s="215"/>
      <c r="E32" s="246">
        <f>'App.2-B_Fixed Asset 2009'!H32</f>
        <v>0</v>
      </c>
      <c r="F32" s="246"/>
      <c r="G32" s="246"/>
      <c r="H32" s="10">
        <f t="shared" si="0"/>
        <v>0</v>
      </c>
      <c r="I32" s="4"/>
      <c r="J32" s="248">
        <f>'App.2-B_Fixed Asset 2009'!M32</f>
        <v>0</v>
      </c>
      <c r="K32" s="246"/>
      <c r="L32" s="246"/>
      <c r="M32" s="10">
        <f t="shared" si="1"/>
        <v>0</v>
      </c>
      <c r="N32" s="11">
        <f t="shared" si="2"/>
        <v>0</v>
      </c>
    </row>
    <row r="33" spans="1:14" x14ac:dyDescent="0.2">
      <c r="A33" s="347">
        <v>47</v>
      </c>
      <c r="B33" s="347">
        <v>1908</v>
      </c>
      <c r="C33" s="353" t="s">
        <v>416</v>
      </c>
      <c r="D33" s="215"/>
      <c r="E33" s="246">
        <f>'App.2-B_Fixed Asset 2009'!H33</f>
        <v>4878665</v>
      </c>
      <c r="F33" s="246">
        <v>1046662</v>
      </c>
      <c r="G33" s="246"/>
      <c r="H33" s="10">
        <f t="shared" si="0"/>
        <v>5925327</v>
      </c>
      <c r="I33" s="4"/>
      <c r="J33" s="248">
        <f>'App.2-B_Fixed Asset 2009'!M33</f>
        <v>-1777296</v>
      </c>
      <c r="K33" s="246">
        <v>-78841</v>
      </c>
      <c r="L33" s="246"/>
      <c r="M33" s="10">
        <f t="shared" si="1"/>
        <v>-1856137</v>
      </c>
      <c r="N33" s="11">
        <f t="shared" si="2"/>
        <v>4069190</v>
      </c>
    </row>
    <row r="34" spans="1:14" x14ac:dyDescent="0.2">
      <c r="A34" s="347">
        <v>13</v>
      </c>
      <c r="B34" s="347">
        <v>1910</v>
      </c>
      <c r="C34" s="353" t="s">
        <v>442</v>
      </c>
      <c r="D34" s="215"/>
      <c r="E34" s="246">
        <f>'App.2-B_Fixed Asset 2009'!H34</f>
        <v>0</v>
      </c>
      <c r="F34" s="246"/>
      <c r="G34" s="246"/>
      <c r="H34" s="10">
        <f t="shared" si="0"/>
        <v>0</v>
      </c>
      <c r="I34" s="4"/>
      <c r="J34" s="248">
        <f>'App.2-B_Fixed Asset 2009'!M34</f>
        <v>0</v>
      </c>
      <c r="K34" s="246"/>
      <c r="L34" s="246"/>
      <c r="M34" s="10">
        <f t="shared" si="1"/>
        <v>0</v>
      </c>
      <c r="N34" s="11">
        <f t="shared" si="2"/>
        <v>0</v>
      </c>
    </row>
    <row r="35" spans="1:14" x14ac:dyDescent="0.2">
      <c r="A35" s="347">
        <v>8</v>
      </c>
      <c r="B35" s="347">
        <v>1915</v>
      </c>
      <c r="C35" s="353" t="s">
        <v>362</v>
      </c>
      <c r="D35" s="215"/>
      <c r="E35" s="246">
        <f>'App.2-B_Fixed Asset 2009'!H35</f>
        <v>828300</v>
      </c>
      <c r="F35" s="246">
        <v>20862</v>
      </c>
      <c r="G35" s="246"/>
      <c r="H35" s="10">
        <f t="shared" si="0"/>
        <v>849162</v>
      </c>
      <c r="I35" s="4"/>
      <c r="J35" s="248">
        <f>'App.2-B_Fixed Asset 2009'!M35</f>
        <v>-631110</v>
      </c>
      <c r="K35" s="246">
        <v>-29470</v>
      </c>
      <c r="L35" s="246"/>
      <c r="M35" s="10">
        <f t="shared" si="1"/>
        <v>-660580</v>
      </c>
      <c r="N35" s="11">
        <f t="shared" si="2"/>
        <v>188582</v>
      </c>
    </row>
    <row r="36" spans="1:14" x14ac:dyDescent="0.2">
      <c r="A36" s="347">
        <v>8</v>
      </c>
      <c r="B36" s="347">
        <v>1915</v>
      </c>
      <c r="C36" s="353" t="s">
        <v>363</v>
      </c>
      <c r="D36" s="215"/>
      <c r="E36" s="246">
        <f>'App.2-B_Fixed Asset 2009'!H36</f>
        <v>0</v>
      </c>
      <c r="F36" s="246"/>
      <c r="G36" s="246"/>
      <c r="H36" s="10">
        <f t="shared" si="0"/>
        <v>0</v>
      </c>
      <c r="I36" s="4"/>
      <c r="J36" s="248">
        <f>'App.2-B_Fixed Asset 2009'!M36</f>
        <v>0</v>
      </c>
      <c r="K36" s="246"/>
      <c r="L36" s="246"/>
      <c r="M36" s="10">
        <f t="shared" si="1"/>
        <v>0</v>
      </c>
      <c r="N36" s="11">
        <f t="shared" si="2"/>
        <v>0</v>
      </c>
    </row>
    <row r="37" spans="1:14" x14ac:dyDescent="0.2">
      <c r="A37" s="347">
        <v>10</v>
      </c>
      <c r="B37" s="347">
        <v>1920</v>
      </c>
      <c r="C37" s="353" t="s">
        <v>364</v>
      </c>
      <c r="D37" s="215"/>
      <c r="E37" s="246">
        <f>'App.2-B_Fixed Asset 2009'!H37</f>
        <v>4367945</v>
      </c>
      <c r="F37" s="246">
        <v>371078</v>
      </c>
      <c r="G37" s="246">
        <v>-2755</v>
      </c>
      <c r="H37" s="10">
        <f t="shared" si="0"/>
        <v>4736268</v>
      </c>
      <c r="I37" s="4"/>
      <c r="J37" s="248">
        <f>'App.2-B_Fixed Asset 2009'!M37</f>
        <v>-3078092</v>
      </c>
      <c r="K37" s="246">
        <v>-435629</v>
      </c>
      <c r="L37" s="246">
        <v>336</v>
      </c>
      <c r="M37" s="10">
        <f t="shared" si="1"/>
        <v>-3513385</v>
      </c>
      <c r="N37" s="11">
        <f t="shared" si="2"/>
        <v>1222883</v>
      </c>
    </row>
    <row r="38" spans="1:14" ht="25.5" x14ac:dyDescent="0.2">
      <c r="A38" s="347">
        <v>45</v>
      </c>
      <c r="B38" s="349">
        <v>1920</v>
      </c>
      <c r="C38" s="354" t="s">
        <v>366</v>
      </c>
      <c r="D38" s="215"/>
      <c r="E38" s="246">
        <f>'App.2-B_Fixed Asset 2009'!H38</f>
        <v>0</v>
      </c>
      <c r="F38" s="246"/>
      <c r="G38" s="246"/>
      <c r="H38" s="10">
        <f t="shared" si="0"/>
        <v>0</v>
      </c>
      <c r="I38" s="4"/>
      <c r="J38" s="248">
        <f>'App.2-B_Fixed Asset 2009'!M38</f>
        <v>0</v>
      </c>
      <c r="K38" s="246"/>
      <c r="L38" s="246"/>
      <c r="M38" s="10">
        <f t="shared" si="1"/>
        <v>0</v>
      </c>
      <c r="N38" s="11">
        <f t="shared" si="2"/>
        <v>0</v>
      </c>
    </row>
    <row r="39" spans="1:14" ht="25.5" x14ac:dyDescent="0.2">
      <c r="A39" s="347">
        <v>45.1</v>
      </c>
      <c r="B39" s="349">
        <v>1920</v>
      </c>
      <c r="C39" s="354" t="s">
        <v>365</v>
      </c>
      <c r="D39" s="215"/>
      <c r="E39" s="246">
        <f>'App.2-B_Fixed Asset 2009'!H39</f>
        <v>0</v>
      </c>
      <c r="F39" s="246"/>
      <c r="G39" s="246"/>
      <c r="H39" s="10">
        <f t="shared" si="0"/>
        <v>0</v>
      </c>
      <c r="I39" s="4"/>
      <c r="J39" s="248">
        <f>'App.2-B_Fixed Asset 2009'!M39</f>
        <v>0</v>
      </c>
      <c r="K39" s="246"/>
      <c r="L39" s="246"/>
      <c r="M39" s="10">
        <f t="shared" si="1"/>
        <v>0</v>
      </c>
      <c r="N39" s="11">
        <f t="shared" si="2"/>
        <v>0</v>
      </c>
    </row>
    <row r="40" spans="1:14" x14ac:dyDescent="0.2">
      <c r="A40" s="347">
        <v>10</v>
      </c>
      <c r="B40" s="347">
        <v>1930</v>
      </c>
      <c r="C40" s="353" t="s">
        <v>430</v>
      </c>
      <c r="D40" s="215"/>
      <c r="E40" s="246">
        <f>'App.2-B_Fixed Asset 2009'!H40</f>
        <v>3389989</v>
      </c>
      <c r="F40" s="246">
        <v>936832</v>
      </c>
      <c r="G40" s="246">
        <v>-54993</v>
      </c>
      <c r="H40" s="10">
        <f t="shared" si="0"/>
        <v>4271828</v>
      </c>
      <c r="I40" s="4"/>
      <c r="J40" s="248">
        <f>'App.2-B_Fixed Asset 2009'!M40</f>
        <v>-2539969</v>
      </c>
      <c r="K40" s="246">
        <v>-253691</v>
      </c>
      <c r="L40" s="246">
        <v>54993</v>
      </c>
      <c r="M40" s="10">
        <f t="shared" si="1"/>
        <v>-2738667</v>
      </c>
      <c r="N40" s="11">
        <f t="shared" si="2"/>
        <v>1533161</v>
      </c>
    </row>
    <row r="41" spans="1:14" x14ac:dyDescent="0.2">
      <c r="A41" s="347">
        <v>8</v>
      </c>
      <c r="B41" s="347">
        <v>1935</v>
      </c>
      <c r="C41" s="353" t="s">
        <v>431</v>
      </c>
      <c r="D41" s="215"/>
      <c r="E41" s="246">
        <f>'App.2-B_Fixed Asset 2009'!H41</f>
        <v>81138</v>
      </c>
      <c r="F41" s="246"/>
      <c r="G41" s="246"/>
      <c r="H41" s="10">
        <f t="shared" si="0"/>
        <v>81138</v>
      </c>
      <c r="I41" s="4"/>
      <c r="J41" s="248">
        <f>'App.2-B_Fixed Asset 2009'!M41</f>
        <v>-61448</v>
      </c>
      <c r="K41" s="246">
        <v>-5046</v>
      </c>
      <c r="L41" s="246"/>
      <c r="M41" s="10">
        <f t="shared" si="1"/>
        <v>-66494</v>
      </c>
      <c r="N41" s="11">
        <f t="shared" si="2"/>
        <v>14644</v>
      </c>
    </row>
    <row r="42" spans="1:14" x14ac:dyDescent="0.2">
      <c r="A42" s="347">
        <v>8</v>
      </c>
      <c r="B42" s="347">
        <v>1940</v>
      </c>
      <c r="C42" s="353" t="s">
        <v>432</v>
      </c>
      <c r="D42" s="215"/>
      <c r="E42" s="246">
        <f>'App.2-B_Fixed Asset 2009'!H42</f>
        <v>777871</v>
      </c>
      <c r="F42" s="246">
        <v>71363</v>
      </c>
      <c r="G42" s="246">
        <v>1</v>
      </c>
      <c r="H42" s="10">
        <f t="shared" si="0"/>
        <v>849235</v>
      </c>
      <c r="I42" s="4"/>
      <c r="J42" s="248">
        <f>'App.2-B_Fixed Asset 2009'!M42</f>
        <v>-583230</v>
      </c>
      <c r="K42" s="246">
        <v>-33378</v>
      </c>
      <c r="L42" s="246"/>
      <c r="M42" s="10">
        <f t="shared" si="1"/>
        <v>-616608</v>
      </c>
      <c r="N42" s="11">
        <f t="shared" si="2"/>
        <v>232627</v>
      </c>
    </row>
    <row r="43" spans="1:14" x14ac:dyDescent="0.2">
      <c r="A43" s="347">
        <v>8</v>
      </c>
      <c r="B43" s="347">
        <v>1945</v>
      </c>
      <c r="C43" s="353" t="s">
        <v>433</v>
      </c>
      <c r="D43" s="215"/>
      <c r="E43" s="246">
        <f>'App.2-B_Fixed Asset 2009'!H43</f>
        <v>229399</v>
      </c>
      <c r="F43" s="246">
        <v>17483</v>
      </c>
      <c r="G43" s="246">
        <v>-1</v>
      </c>
      <c r="H43" s="10">
        <f t="shared" si="0"/>
        <v>246881</v>
      </c>
      <c r="I43" s="4"/>
      <c r="J43" s="248">
        <f>'App.2-B_Fixed Asset 2009'!M43</f>
        <v>-210614</v>
      </c>
      <c r="K43" s="246">
        <v>-4838</v>
      </c>
      <c r="L43" s="246"/>
      <c r="M43" s="10">
        <f t="shared" si="1"/>
        <v>-215452</v>
      </c>
      <c r="N43" s="11">
        <f t="shared" si="2"/>
        <v>31429</v>
      </c>
    </row>
    <row r="44" spans="1:14" x14ac:dyDescent="0.2">
      <c r="A44" s="347">
        <v>8</v>
      </c>
      <c r="B44" s="347">
        <v>1950</v>
      </c>
      <c r="C44" s="353" t="s">
        <v>367</v>
      </c>
      <c r="D44" s="215"/>
      <c r="E44" s="246">
        <f>'App.2-B_Fixed Asset 2009'!H44</f>
        <v>0</v>
      </c>
      <c r="F44" s="246"/>
      <c r="G44" s="246"/>
      <c r="H44" s="10">
        <f t="shared" si="0"/>
        <v>0</v>
      </c>
      <c r="I44" s="4"/>
      <c r="J44" s="248">
        <f>'App.2-B_Fixed Asset 2009'!M44</f>
        <v>0</v>
      </c>
      <c r="K44" s="246"/>
      <c r="L44" s="246"/>
      <c r="M44" s="10">
        <f t="shared" si="1"/>
        <v>0</v>
      </c>
      <c r="N44" s="11">
        <f t="shared" si="2"/>
        <v>0</v>
      </c>
    </row>
    <row r="45" spans="1:14" x14ac:dyDescent="0.2">
      <c r="A45" s="347">
        <v>8</v>
      </c>
      <c r="B45" s="347">
        <v>1955</v>
      </c>
      <c r="C45" s="353" t="s">
        <v>434</v>
      </c>
      <c r="D45" s="215"/>
      <c r="E45" s="246">
        <f>'App.2-B_Fixed Asset 2009'!H45</f>
        <v>162458</v>
      </c>
      <c r="F45" s="246">
        <v>85883</v>
      </c>
      <c r="G45" s="246">
        <v>-1</v>
      </c>
      <c r="H45" s="10">
        <f t="shared" si="0"/>
        <v>248340</v>
      </c>
      <c r="I45" s="4"/>
      <c r="J45" s="248">
        <f>'App.2-B_Fixed Asset 2009'!M45</f>
        <v>-142058</v>
      </c>
      <c r="K45" s="246">
        <v>-6693</v>
      </c>
      <c r="L45" s="246"/>
      <c r="M45" s="10">
        <f t="shared" si="1"/>
        <v>-148751</v>
      </c>
      <c r="N45" s="11">
        <f t="shared" si="2"/>
        <v>99589</v>
      </c>
    </row>
    <row r="46" spans="1:14" x14ac:dyDescent="0.2">
      <c r="A46" s="350">
        <v>8</v>
      </c>
      <c r="B46" s="350">
        <v>1955</v>
      </c>
      <c r="C46" s="355" t="s">
        <v>368</v>
      </c>
      <c r="D46" s="215"/>
      <c r="E46" s="246">
        <f>'App.2-B_Fixed Asset 2009'!H46</f>
        <v>0</v>
      </c>
      <c r="F46" s="246"/>
      <c r="G46" s="246"/>
      <c r="H46" s="10">
        <f t="shared" si="0"/>
        <v>0</v>
      </c>
      <c r="I46" s="4"/>
      <c r="J46" s="248">
        <f>'App.2-B_Fixed Asset 2009'!M46</f>
        <v>0</v>
      </c>
      <c r="K46" s="246"/>
      <c r="L46" s="246"/>
      <c r="M46" s="10">
        <f t="shared" si="1"/>
        <v>0</v>
      </c>
      <c r="N46" s="11">
        <f t="shared" si="2"/>
        <v>0</v>
      </c>
    </row>
    <row r="47" spans="1:14" x14ac:dyDescent="0.2">
      <c r="A47" s="349">
        <v>8</v>
      </c>
      <c r="B47" s="349">
        <v>1960</v>
      </c>
      <c r="C47" s="354" t="s">
        <v>369</v>
      </c>
      <c r="D47" s="215"/>
      <c r="E47" s="246">
        <f>'App.2-B_Fixed Asset 2009'!H47</f>
        <v>784532</v>
      </c>
      <c r="F47" s="246"/>
      <c r="G47" s="246"/>
      <c r="H47" s="10">
        <f t="shared" si="0"/>
        <v>784532</v>
      </c>
      <c r="I47" s="4"/>
      <c r="J47" s="248">
        <f>'App.2-B_Fixed Asset 2009'!M47</f>
        <v>-654237</v>
      </c>
      <c r="K47" s="246">
        <v>-31719</v>
      </c>
      <c r="L47" s="246"/>
      <c r="M47" s="10">
        <f t="shared" si="1"/>
        <v>-685956</v>
      </c>
      <c r="N47" s="11">
        <f t="shared" si="2"/>
        <v>98576</v>
      </c>
    </row>
    <row r="48" spans="1:14" ht="25.5" x14ac:dyDescent="0.2">
      <c r="A48" s="347">
        <v>47</v>
      </c>
      <c r="B48" s="347">
        <v>1975</v>
      </c>
      <c r="C48" s="353" t="s">
        <v>435</v>
      </c>
      <c r="D48" s="215"/>
      <c r="E48" s="246">
        <f>'App.2-B_Fixed Asset 2009'!H48</f>
        <v>0</v>
      </c>
      <c r="F48" s="246"/>
      <c r="G48" s="246"/>
      <c r="H48" s="10">
        <f t="shared" si="0"/>
        <v>0</v>
      </c>
      <c r="I48" s="4"/>
      <c r="J48" s="248">
        <f>'App.2-B_Fixed Asset 2009'!M48</f>
        <v>0</v>
      </c>
      <c r="K48" s="246"/>
      <c r="L48" s="246"/>
      <c r="M48" s="10">
        <f t="shared" si="1"/>
        <v>0</v>
      </c>
      <c r="N48" s="11">
        <f t="shared" si="2"/>
        <v>0</v>
      </c>
    </row>
    <row r="49" spans="1:15" x14ac:dyDescent="0.2">
      <c r="A49" s="347">
        <v>47</v>
      </c>
      <c r="B49" s="347">
        <v>1980</v>
      </c>
      <c r="C49" s="353" t="s">
        <v>436</v>
      </c>
      <c r="D49" s="215"/>
      <c r="E49" s="246">
        <f>'App.2-B_Fixed Asset 2009'!H49</f>
        <v>1210302</v>
      </c>
      <c r="F49" s="246"/>
      <c r="G49" s="246"/>
      <c r="H49" s="10">
        <f t="shared" si="0"/>
        <v>1210302</v>
      </c>
      <c r="I49" s="4"/>
      <c r="J49" s="248">
        <f>'App.2-B_Fixed Asset 2009'!M49</f>
        <v>-694219</v>
      </c>
      <c r="K49" s="246">
        <v>-49833</v>
      </c>
      <c r="L49" s="246"/>
      <c r="M49" s="10">
        <f t="shared" si="1"/>
        <v>-744052</v>
      </c>
      <c r="N49" s="11">
        <f t="shared" si="2"/>
        <v>466250</v>
      </c>
    </row>
    <row r="50" spans="1:15" x14ac:dyDescent="0.2">
      <c r="A50" s="347">
        <v>47</v>
      </c>
      <c r="B50" s="347">
        <v>1985</v>
      </c>
      <c r="C50" s="353" t="s">
        <v>437</v>
      </c>
      <c r="D50" s="215"/>
      <c r="E50" s="246">
        <f>'App.2-B_Fixed Asset 2009'!H50</f>
        <v>0</v>
      </c>
      <c r="F50" s="246"/>
      <c r="G50" s="246"/>
      <c r="H50" s="10">
        <f t="shared" si="0"/>
        <v>0</v>
      </c>
      <c r="I50" s="4"/>
      <c r="J50" s="248">
        <f>'App.2-B_Fixed Asset 2009'!M50</f>
        <v>0</v>
      </c>
      <c r="K50" s="246"/>
      <c r="L50" s="246"/>
      <c r="M50" s="10">
        <f t="shared" si="1"/>
        <v>0</v>
      </c>
      <c r="N50" s="11">
        <f t="shared" si="2"/>
        <v>0</v>
      </c>
    </row>
    <row r="51" spans="1:15" x14ac:dyDescent="0.2">
      <c r="A51" s="347">
        <v>47</v>
      </c>
      <c r="B51" s="347">
        <v>1995</v>
      </c>
      <c r="C51" s="353" t="s">
        <v>438</v>
      </c>
      <c r="D51" s="215"/>
      <c r="E51" s="246">
        <f>'App.2-B_Fixed Asset 2009'!H51</f>
        <v>-5352187</v>
      </c>
      <c r="F51" s="246">
        <v>-453161</v>
      </c>
      <c r="G51" s="246"/>
      <c r="H51" s="10">
        <f t="shared" si="0"/>
        <v>-5805348</v>
      </c>
      <c r="I51" s="4"/>
      <c r="J51" s="248">
        <f>'App.2-B_Fixed Asset 2009'!M51</f>
        <v>968204</v>
      </c>
      <c r="K51" s="246">
        <v>207168</v>
      </c>
      <c r="L51" s="246"/>
      <c r="M51" s="10">
        <f t="shared" si="1"/>
        <v>1175372</v>
      </c>
      <c r="N51" s="11">
        <f t="shared" si="2"/>
        <v>-4629976</v>
      </c>
      <c r="O51" s="841"/>
    </row>
    <row r="52" spans="1:15" ht="25.5" x14ac:dyDescent="0.2">
      <c r="A52" s="347"/>
      <c r="B52" s="347">
        <v>1970</v>
      </c>
      <c r="C52" s="354" t="s">
        <v>864</v>
      </c>
      <c r="D52" s="215"/>
      <c r="E52" s="246">
        <f>'App.2-B_Fixed Asset 2009'!H52</f>
        <v>464917</v>
      </c>
      <c r="F52" s="246"/>
      <c r="G52" s="246"/>
      <c r="H52" s="10">
        <f t="shared" si="0"/>
        <v>464917</v>
      </c>
      <c r="J52" s="248">
        <f>'App.2-B_Fixed Asset 2009'!M52</f>
        <v>-464917</v>
      </c>
      <c r="K52" s="246"/>
      <c r="L52" s="246"/>
      <c r="M52" s="10">
        <f t="shared" si="1"/>
        <v>-464917</v>
      </c>
      <c r="N52" s="11">
        <f t="shared" si="2"/>
        <v>0</v>
      </c>
    </row>
    <row r="53" spans="1:15" x14ac:dyDescent="0.2">
      <c r="A53" s="5"/>
      <c r="B53" s="5">
        <v>1990</v>
      </c>
      <c r="C53" s="168" t="s">
        <v>982</v>
      </c>
      <c r="D53" s="215"/>
      <c r="E53" s="246">
        <f>'App.2-B_Fixed Asset 2009'!H53</f>
        <v>591499</v>
      </c>
      <c r="F53" s="246">
        <v>-25223</v>
      </c>
      <c r="G53" s="246"/>
      <c r="H53" s="10">
        <f t="shared" si="0"/>
        <v>566276</v>
      </c>
      <c r="J53" s="248">
        <f>'App.2-B_Fixed Asset 2009'!M53</f>
        <v>0</v>
      </c>
      <c r="K53" s="246"/>
      <c r="L53" s="246"/>
      <c r="M53" s="10">
        <f t="shared" si="1"/>
        <v>0</v>
      </c>
      <c r="N53" s="11">
        <f t="shared" si="2"/>
        <v>566276</v>
      </c>
    </row>
    <row r="54" spans="1:15" x14ac:dyDescent="0.2">
      <c r="A54" s="5"/>
      <c r="B54" s="5"/>
      <c r="C54" s="2"/>
      <c r="D54" s="215"/>
      <c r="E54" s="246">
        <f>'App.2-B_Fixed Asset 2009'!H54</f>
        <v>0</v>
      </c>
      <c r="F54" s="247"/>
      <c r="G54" s="247"/>
      <c r="H54" s="2"/>
      <c r="J54" s="248">
        <f>'App.2-B_Fixed Asset 2009'!M54</f>
        <v>0</v>
      </c>
      <c r="K54" s="247"/>
      <c r="L54" s="247"/>
      <c r="M54" s="2"/>
      <c r="N54" s="2"/>
    </row>
    <row r="55" spans="1:15" x14ac:dyDescent="0.2">
      <c r="A55" s="5"/>
      <c r="B55" s="5"/>
      <c r="C55" s="9" t="s">
        <v>439</v>
      </c>
      <c r="D55" s="9"/>
      <c r="E55" s="14">
        <f>SUM(E16:E54)</f>
        <v>93637289</v>
      </c>
      <c r="F55" s="14">
        <f t="shared" ref="F55:H55" si="3">SUM(F16:F54)</f>
        <v>8275478</v>
      </c>
      <c r="G55" s="14">
        <f t="shared" si="3"/>
        <v>-57749</v>
      </c>
      <c r="H55" s="14">
        <f t="shared" si="3"/>
        <v>101855018</v>
      </c>
      <c r="I55" s="14"/>
      <c r="J55" s="14">
        <f>SUM(J16:J54)</f>
        <v>-55799716</v>
      </c>
      <c r="K55" s="14">
        <f t="shared" ref="K55:N55" si="4">SUM(K16:K54)</f>
        <v>-3939847</v>
      </c>
      <c r="L55" s="14">
        <f t="shared" si="4"/>
        <v>55329</v>
      </c>
      <c r="M55" s="14">
        <f t="shared" si="4"/>
        <v>-59684234</v>
      </c>
      <c r="N55" s="14">
        <f t="shared" si="4"/>
        <v>42170784</v>
      </c>
    </row>
    <row r="57" spans="1:15" x14ac:dyDescent="0.2">
      <c r="D57" s="3"/>
      <c r="E57" s="922" t="s">
        <v>977</v>
      </c>
      <c r="F57" s="856">
        <f>-F51</f>
        <v>453161</v>
      </c>
      <c r="N57" s="841"/>
    </row>
    <row r="58" spans="1:15" x14ac:dyDescent="0.2">
      <c r="A58" s="924"/>
      <c r="B58" s="924"/>
      <c r="D58" s="3"/>
      <c r="E58" s="922" t="s">
        <v>978</v>
      </c>
      <c r="F58" s="858">
        <f>-F53</f>
        <v>25223</v>
      </c>
      <c r="G58" s="169" t="s">
        <v>984</v>
      </c>
    </row>
    <row r="59" spans="1:15" x14ac:dyDescent="0.2">
      <c r="A59" s="924"/>
      <c r="B59" s="924"/>
      <c r="E59" s="922" t="s">
        <v>981</v>
      </c>
      <c r="F59" s="856">
        <f>SUM(F55:F58)</f>
        <v>8753862</v>
      </c>
    </row>
    <row r="60" spans="1:15" x14ac:dyDescent="0.2">
      <c r="E60" s="925" t="s">
        <v>979</v>
      </c>
      <c r="F60" s="857">
        <v>-981909</v>
      </c>
    </row>
    <row r="61" spans="1:15" x14ac:dyDescent="0.2">
      <c r="E61" s="922" t="s">
        <v>980</v>
      </c>
      <c r="F61" s="857">
        <v>352445</v>
      </c>
    </row>
    <row r="62" spans="1:15" ht="13.5" thickBot="1" x14ac:dyDescent="0.25">
      <c r="A62" s="924"/>
      <c r="B62" s="924"/>
      <c r="E62" s="927" t="s">
        <v>987</v>
      </c>
      <c r="F62" s="855">
        <f>SUM(F59:F61)</f>
        <v>8124398</v>
      </c>
      <c r="G62" s="169" t="s">
        <v>983</v>
      </c>
    </row>
    <row r="63" spans="1:15" ht="13.5" thickTop="1" x14ac:dyDescent="0.2">
      <c r="A63" s="924"/>
      <c r="B63" s="924"/>
      <c r="F63" s="857"/>
    </row>
    <row r="64" spans="1:15" ht="13.5" thickBot="1" x14ac:dyDescent="0.25">
      <c r="A64" s="924"/>
      <c r="B64" s="924"/>
      <c r="E64" s="922" t="s">
        <v>986</v>
      </c>
      <c r="F64" s="926">
        <f>+F62-F58</f>
        <v>8099175</v>
      </c>
      <c r="G64" s="169" t="s">
        <v>985</v>
      </c>
    </row>
    <row r="65" spans="1:14" ht="13.5" thickTop="1" x14ac:dyDescent="0.2">
      <c r="A65" s="924"/>
      <c r="B65" s="924"/>
    </row>
    <row r="66" spans="1:14" x14ac:dyDescent="0.2">
      <c r="A66" s="155" t="s">
        <v>16</v>
      </c>
    </row>
    <row r="68" spans="1:14" x14ac:dyDescent="0.2">
      <c r="A68" s="1">
        <v>1</v>
      </c>
      <c r="B68" s="1263" t="s">
        <v>337</v>
      </c>
      <c r="C68" s="1263"/>
      <c r="D68" s="1263"/>
      <c r="E68" s="1263"/>
      <c r="F68" s="1263"/>
      <c r="G68" s="1263"/>
      <c r="H68" s="1263"/>
      <c r="I68" s="1263"/>
      <c r="J68" s="1263"/>
      <c r="K68" s="1263"/>
      <c r="L68" s="1263"/>
      <c r="M68" s="1263"/>
      <c r="N68" s="1263"/>
    </row>
    <row r="69" spans="1:14" x14ac:dyDescent="0.2">
      <c r="B69" s="1263"/>
      <c r="C69" s="1263"/>
      <c r="D69" s="1263"/>
      <c r="E69" s="1263"/>
      <c r="F69" s="1263"/>
      <c r="G69" s="1263"/>
      <c r="H69" s="1263"/>
      <c r="I69" s="1263"/>
      <c r="J69" s="1263"/>
      <c r="K69" s="1263"/>
      <c r="L69" s="1263"/>
      <c r="M69" s="1263"/>
      <c r="N69" s="1263"/>
    </row>
    <row r="70" spans="1:14" ht="12.75" customHeight="1" x14ac:dyDescent="0.2"/>
    <row r="71" spans="1:14" x14ac:dyDescent="0.2">
      <c r="A71" s="1">
        <v>2</v>
      </c>
      <c r="B71" s="1267" t="s">
        <v>66</v>
      </c>
      <c r="C71" s="1267"/>
      <c r="D71" s="1267"/>
      <c r="E71" s="1267"/>
      <c r="F71" s="1267"/>
      <c r="G71" s="1267"/>
      <c r="H71" s="1267"/>
      <c r="I71" s="1267"/>
      <c r="J71" s="1267"/>
      <c r="K71" s="1267"/>
      <c r="L71" s="1267"/>
      <c r="M71" s="1267"/>
      <c r="N71" s="1267"/>
    </row>
    <row r="72" spans="1:14" x14ac:dyDescent="0.2">
      <c r="B72" s="1267"/>
      <c r="C72" s="1267"/>
      <c r="D72" s="1267"/>
      <c r="E72" s="1267"/>
      <c r="F72" s="1267"/>
      <c r="G72" s="1267"/>
      <c r="H72" s="1267"/>
      <c r="I72" s="1267"/>
      <c r="J72" s="1267"/>
      <c r="K72" s="1267"/>
      <c r="L72" s="1267"/>
      <c r="M72" s="1267"/>
      <c r="N72" s="1267"/>
    </row>
    <row r="74" spans="1:14" x14ac:dyDescent="0.2">
      <c r="A74" s="1">
        <v>3</v>
      </c>
      <c r="B74" s="1242" t="s">
        <v>341</v>
      </c>
      <c r="C74" s="1242"/>
      <c r="D74" s="1242"/>
      <c r="E74" s="1242"/>
      <c r="F74" s="1242"/>
      <c r="G74" s="1242"/>
      <c r="H74" s="1242"/>
      <c r="I74" s="1242"/>
      <c r="J74" s="1242"/>
      <c r="K74" s="1242"/>
      <c r="L74" s="1242"/>
      <c r="M74" s="1242"/>
      <c r="N74" s="1242"/>
    </row>
    <row r="76" spans="1:14" x14ac:dyDescent="0.2">
      <c r="A76" s="1">
        <v>4</v>
      </c>
      <c r="B76" s="750" t="s">
        <v>648</v>
      </c>
    </row>
  </sheetData>
  <mergeCells count="6">
    <mergeCell ref="B74:N74"/>
    <mergeCell ref="A9:N9"/>
    <mergeCell ref="A10:N10"/>
    <mergeCell ref="E14:H14"/>
    <mergeCell ref="B68:N69"/>
    <mergeCell ref="B71:N72"/>
  </mergeCells>
  <printOptions horizontalCentered="1"/>
  <pageMargins left="0.5" right="0.5" top="0.5" bottom="0.5" header="0.511811023622047" footer="0.511811023622047"/>
  <pageSetup scale="58" fitToHeight="2" orientation="landscape" r:id="rId1"/>
  <headerFooter alignWithMargins="0"/>
  <rowBreaks count="1" manualBreakCount="1">
    <brk id="6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O75"/>
  <sheetViews>
    <sheetView showGridLines="0" topLeftCell="B1" zoomScale="95" zoomScaleNormal="95" workbookViewId="0">
      <selection activeCell="B1" sqref="A1:XFD1048576"/>
    </sheetView>
  </sheetViews>
  <sheetFormatPr defaultRowHeight="12.75" x14ac:dyDescent="0.2"/>
  <cols>
    <col min="1" max="1" width="7.7109375" style="1" customWidth="1"/>
    <col min="2" max="2" width="6.42578125" style="1" customWidth="1"/>
    <col min="3" max="3" width="37.85546875" customWidth="1"/>
    <col min="4" max="4" width="14" customWidth="1"/>
    <col min="5" max="5" width="14.42578125" customWidth="1"/>
    <col min="6" max="6" width="13" customWidth="1"/>
    <col min="7" max="7" width="11.7109375" customWidth="1"/>
    <col min="8" max="8" width="14.140625" bestFit="1" customWidth="1"/>
    <col min="9" max="9" width="1.7109375" style="3" customWidth="1"/>
    <col min="10" max="10" width="14.28515625" customWidth="1"/>
    <col min="11" max="11" width="13.42578125" customWidth="1"/>
    <col min="12" max="12" width="11.85546875" customWidth="1"/>
    <col min="13" max="13" width="14.5703125" bestFit="1" customWidth="1"/>
    <col min="14" max="14" width="14.140625" bestFit="1" customWidth="1"/>
    <col min="15" max="15" width="13.57031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v>41200</v>
      </c>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v>2011</v>
      </c>
      <c r="H12" s="6"/>
    </row>
    <row r="14" spans="1:14" x14ac:dyDescent="0.2">
      <c r="D14" s="15"/>
      <c r="E14" s="1264" t="s">
        <v>405</v>
      </c>
      <c r="F14" s="1265"/>
      <c r="G14" s="1265"/>
      <c r="H14" s="1266"/>
      <c r="J14" s="181"/>
      <c r="K14" s="180" t="s">
        <v>406</v>
      </c>
      <c r="L14" s="180"/>
      <c r="M14" s="182"/>
      <c r="N14" s="3"/>
    </row>
    <row r="15" spans="1:14" ht="25.5" x14ac:dyDescent="0.2">
      <c r="A15" s="751" t="s">
        <v>393</v>
      </c>
      <c r="B15" s="174" t="s">
        <v>394</v>
      </c>
      <c r="C15" s="175" t="s">
        <v>395</v>
      </c>
      <c r="D15" s="751" t="s">
        <v>440</v>
      </c>
      <c r="E15" s="751" t="s">
        <v>396</v>
      </c>
      <c r="F15" s="174" t="s">
        <v>397</v>
      </c>
      <c r="G15" s="174" t="s">
        <v>403</v>
      </c>
      <c r="H15" s="751" t="s">
        <v>404</v>
      </c>
      <c r="I15" s="176"/>
      <c r="J15" s="177" t="s">
        <v>396</v>
      </c>
      <c r="K15" s="178" t="s">
        <v>397</v>
      </c>
      <c r="L15" s="178" t="s">
        <v>403</v>
      </c>
      <c r="M15" s="179" t="s">
        <v>404</v>
      </c>
      <c r="N15" s="751" t="s">
        <v>443</v>
      </c>
    </row>
    <row r="16" spans="1:14" ht="25.5" x14ac:dyDescent="0.2">
      <c r="A16" s="347">
        <v>12</v>
      </c>
      <c r="B16" s="347">
        <v>1611</v>
      </c>
      <c r="C16" s="351" t="s">
        <v>548</v>
      </c>
      <c r="D16" s="215"/>
      <c r="E16" s="246">
        <f>'App.2-B_Fixed Asset 2010'!H16</f>
        <v>8481130</v>
      </c>
      <c r="F16" s="246">
        <v>1019754</v>
      </c>
      <c r="G16" s="246"/>
      <c r="H16" s="10">
        <f>E16+F16+G16</f>
        <v>9500884</v>
      </c>
      <c r="I16" s="4"/>
      <c r="J16" s="248">
        <f>'App.2-B_Fixed Asset 2010'!M16</f>
        <v>-4953623</v>
      </c>
      <c r="K16" s="246">
        <v>-1053505</v>
      </c>
      <c r="L16" s="246"/>
      <c r="M16" s="10">
        <f>J16+K16+L16</f>
        <v>-6007128</v>
      </c>
      <c r="N16" s="11">
        <f>H16+M16</f>
        <v>3493756</v>
      </c>
    </row>
    <row r="17" spans="1:14" ht="25.5" x14ac:dyDescent="0.2">
      <c r="A17" s="347" t="s">
        <v>415</v>
      </c>
      <c r="B17" s="347">
        <v>1612</v>
      </c>
      <c r="C17" s="351" t="s">
        <v>702</v>
      </c>
      <c r="D17" s="215"/>
      <c r="E17" s="246">
        <f>'App.2-B_Fixed Asset 2010'!H17</f>
        <v>283160</v>
      </c>
      <c r="F17" s="246"/>
      <c r="G17" s="246"/>
      <c r="H17" s="10">
        <f>E17+F17+G17</f>
        <v>283160</v>
      </c>
      <c r="I17" s="4"/>
      <c r="J17" s="248">
        <f>'App.2-B_Fixed Asset 2010'!M17</f>
        <v>-266150</v>
      </c>
      <c r="K17" s="246">
        <v>-1192</v>
      </c>
      <c r="L17" s="246"/>
      <c r="M17" s="10">
        <f>J17+K17+L17</f>
        <v>-267342</v>
      </c>
      <c r="N17" s="11">
        <f>H17+M17</f>
        <v>15818</v>
      </c>
    </row>
    <row r="18" spans="1:14" x14ac:dyDescent="0.2">
      <c r="A18" s="348" t="s">
        <v>407</v>
      </c>
      <c r="B18" s="348">
        <v>1805</v>
      </c>
      <c r="C18" s="352" t="s">
        <v>408</v>
      </c>
      <c r="D18" s="215"/>
      <c r="E18" s="246">
        <f>'App.2-B_Fixed Asset 2010'!H18</f>
        <v>489817</v>
      </c>
      <c r="F18" s="246">
        <v>7672</v>
      </c>
      <c r="G18" s="246"/>
      <c r="H18" s="10">
        <f>E18+F18+G18</f>
        <v>497489</v>
      </c>
      <c r="I18" s="4"/>
      <c r="J18" s="248">
        <f>'App.2-B_Fixed Asset 2010'!M18</f>
        <v>0</v>
      </c>
      <c r="K18" s="246"/>
      <c r="L18" s="246"/>
      <c r="M18" s="10">
        <f>J18+K18+L18</f>
        <v>0</v>
      </c>
      <c r="N18" s="11">
        <f>H18+M18</f>
        <v>497489</v>
      </c>
    </row>
    <row r="19" spans="1:14" x14ac:dyDescent="0.2">
      <c r="A19" s="347">
        <v>47</v>
      </c>
      <c r="B19" s="347">
        <v>1808</v>
      </c>
      <c r="C19" s="353" t="s">
        <v>409</v>
      </c>
      <c r="D19" s="215"/>
      <c r="E19" s="246">
        <f>'App.2-B_Fixed Asset 2010'!H19</f>
        <v>0</v>
      </c>
      <c r="F19" s="246"/>
      <c r="G19" s="246"/>
      <c r="H19" s="10">
        <f t="shared" ref="H19:H53" si="0">E19+F19+G19</f>
        <v>0</v>
      </c>
      <c r="I19" s="4"/>
      <c r="J19" s="248">
        <f>'App.2-B_Fixed Asset 2010'!M19</f>
        <v>0</v>
      </c>
      <c r="K19" s="246"/>
      <c r="L19" s="246"/>
      <c r="M19" s="10">
        <f t="shared" ref="M19:M53" si="1">J19+K19+L19</f>
        <v>0</v>
      </c>
      <c r="N19" s="11">
        <f t="shared" ref="N19:N53" si="2">H19+M19</f>
        <v>0</v>
      </c>
    </row>
    <row r="20" spans="1:14" x14ac:dyDescent="0.2">
      <c r="A20" s="347">
        <v>13</v>
      </c>
      <c r="B20" s="347">
        <v>1810</v>
      </c>
      <c r="C20" s="353" t="s">
        <v>442</v>
      </c>
      <c r="D20" s="215"/>
      <c r="E20" s="246">
        <f>'App.2-B_Fixed Asset 2010'!H20</f>
        <v>0</v>
      </c>
      <c r="F20" s="246"/>
      <c r="G20" s="246"/>
      <c r="H20" s="10">
        <f t="shared" si="0"/>
        <v>0</v>
      </c>
      <c r="I20" s="4"/>
      <c r="J20" s="248">
        <f>'App.2-B_Fixed Asset 2010'!M20</f>
        <v>0</v>
      </c>
      <c r="K20" s="246"/>
      <c r="L20" s="246"/>
      <c r="M20" s="10">
        <f t="shared" si="1"/>
        <v>0</v>
      </c>
      <c r="N20" s="11">
        <f t="shared" si="2"/>
        <v>0</v>
      </c>
    </row>
    <row r="21" spans="1:14" x14ac:dyDescent="0.2">
      <c r="A21" s="347">
        <v>47</v>
      </c>
      <c r="B21" s="347">
        <v>1815</v>
      </c>
      <c r="C21" s="353" t="s">
        <v>410</v>
      </c>
      <c r="D21" s="215"/>
      <c r="E21" s="246">
        <f>'App.2-B_Fixed Asset 2010'!H21</f>
        <v>0</v>
      </c>
      <c r="F21" s="246"/>
      <c r="G21" s="246"/>
      <c r="H21" s="10">
        <f t="shared" si="0"/>
        <v>0</v>
      </c>
      <c r="I21" s="4"/>
      <c r="J21" s="248">
        <f>'App.2-B_Fixed Asset 2010'!M21</f>
        <v>0</v>
      </c>
      <c r="K21" s="246"/>
      <c r="L21" s="246"/>
      <c r="M21" s="10">
        <f t="shared" si="1"/>
        <v>0</v>
      </c>
      <c r="N21" s="11">
        <f t="shared" si="2"/>
        <v>0</v>
      </c>
    </row>
    <row r="22" spans="1:14" x14ac:dyDescent="0.2">
      <c r="A22" s="347">
        <v>47</v>
      </c>
      <c r="B22" s="347">
        <v>1820</v>
      </c>
      <c r="C22" s="354" t="s">
        <v>356</v>
      </c>
      <c r="D22" s="215"/>
      <c r="E22" s="246">
        <f>'App.2-B_Fixed Asset 2010'!H22</f>
        <v>6106086</v>
      </c>
      <c r="F22" s="246">
        <v>349496</v>
      </c>
      <c r="G22" s="246"/>
      <c r="H22" s="10">
        <f t="shared" si="0"/>
        <v>6455582</v>
      </c>
      <c r="I22" s="4"/>
      <c r="J22" s="248">
        <f>'App.2-B_Fixed Asset 2010'!M22</f>
        <v>-3059664</v>
      </c>
      <c r="K22" s="246">
        <v>-155763</v>
      </c>
      <c r="L22" s="246"/>
      <c r="M22" s="10">
        <f t="shared" si="1"/>
        <v>-3215427</v>
      </c>
      <c r="N22" s="11">
        <f t="shared" si="2"/>
        <v>3240155</v>
      </c>
    </row>
    <row r="23" spans="1:14" x14ac:dyDescent="0.2">
      <c r="A23" s="347">
        <v>47</v>
      </c>
      <c r="B23" s="347">
        <v>1825</v>
      </c>
      <c r="C23" s="353" t="s">
        <v>411</v>
      </c>
      <c r="D23" s="215"/>
      <c r="E23" s="246">
        <f>'App.2-B_Fixed Asset 2010'!H23</f>
        <v>0</v>
      </c>
      <c r="F23" s="246"/>
      <c r="G23" s="246"/>
      <c r="H23" s="10">
        <f t="shared" si="0"/>
        <v>0</v>
      </c>
      <c r="I23" s="4"/>
      <c r="J23" s="248">
        <f>'App.2-B_Fixed Asset 2010'!M23</f>
        <v>0</v>
      </c>
      <c r="K23" s="246"/>
      <c r="L23" s="246"/>
      <c r="M23" s="10">
        <f t="shared" si="1"/>
        <v>0</v>
      </c>
      <c r="N23" s="11">
        <f t="shared" si="2"/>
        <v>0</v>
      </c>
    </row>
    <row r="24" spans="1:14" x14ac:dyDescent="0.2">
      <c r="A24" s="347">
        <v>47</v>
      </c>
      <c r="B24" s="347">
        <v>1830</v>
      </c>
      <c r="C24" s="353" t="s">
        <v>412</v>
      </c>
      <c r="D24" s="215"/>
      <c r="E24" s="246">
        <f>'App.2-B_Fixed Asset 2010'!H24</f>
        <v>1781988</v>
      </c>
      <c r="F24" s="246">
        <v>475690</v>
      </c>
      <c r="G24" s="246"/>
      <c r="H24" s="10">
        <f t="shared" si="0"/>
        <v>2257678</v>
      </c>
      <c r="I24" s="4"/>
      <c r="J24" s="248">
        <f>'App.2-B_Fixed Asset 2010'!M24</f>
        <v>-166757</v>
      </c>
      <c r="K24" s="246">
        <v>-78639</v>
      </c>
      <c r="L24" s="246"/>
      <c r="M24" s="10">
        <f t="shared" si="1"/>
        <v>-245396</v>
      </c>
      <c r="N24" s="11">
        <f t="shared" si="2"/>
        <v>2012282</v>
      </c>
    </row>
    <row r="25" spans="1:14" x14ac:dyDescent="0.2">
      <c r="A25" s="347">
        <v>47</v>
      </c>
      <c r="B25" s="347">
        <v>1835</v>
      </c>
      <c r="C25" s="353" t="s">
        <v>357</v>
      </c>
      <c r="D25" s="215"/>
      <c r="E25" s="246">
        <f>'App.2-B_Fixed Asset 2010'!H25</f>
        <v>27076679</v>
      </c>
      <c r="F25" s="246">
        <v>409256</v>
      </c>
      <c r="G25" s="246"/>
      <c r="H25" s="10">
        <f t="shared" si="0"/>
        <v>27485935</v>
      </c>
      <c r="I25" s="4"/>
      <c r="J25" s="248">
        <f>'App.2-B_Fixed Asset 2010'!M25</f>
        <v>-16529467</v>
      </c>
      <c r="K25" s="246">
        <v>-837355</v>
      </c>
      <c r="L25" s="246"/>
      <c r="M25" s="10">
        <f t="shared" si="1"/>
        <v>-17366822</v>
      </c>
      <c r="N25" s="11">
        <f t="shared" si="2"/>
        <v>10119113</v>
      </c>
    </row>
    <row r="26" spans="1:14" x14ac:dyDescent="0.2">
      <c r="A26" s="347">
        <v>47</v>
      </c>
      <c r="B26" s="347">
        <v>1840</v>
      </c>
      <c r="C26" s="353" t="s">
        <v>358</v>
      </c>
      <c r="D26" s="215"/>
      <c r="E26" s="246">
        <f>'App.2-B_Fixed Asset 2010'!H26</f>
        <v>958584</v>
      </c>
      <c r="F26" s="246">
        <v>191772</v>
      </c>
      <c r="G26" s="246"/>
      <c r="H26" s="10">
        <f t="shared" si="0"/>
        <v>1150356</v>
      </c>
      <c r="I26" s="4"/>
      <c r="J26" s="248">
        <f>'App.2-B_Fixed Asset 2010'!M26</f>
        <v>-64990</v>
      </c>
      <c r="K26" s="246">
        <v>-40803</v>
      </c>
      <c r="L26" s="246"/>
      <c r="M26" s="10">
        <f t="shared" si="1"/>
        <v>-105793</v>
      </c>
      <c r="N26" s="11">
        <f t="shared" si="2"/>
        <v>1044563</v>
      </c>
    </row>
    <row r="27" spans="1:14" x14ac:dyDescent="0.2">
      <c r="A27" s="347">
        <v>47</v>
      </c>
      <c r="B27" s="347">
        <v>1845</v>
      </c>
      <c r="C27" s="353" t="s">
        <v>359</v>
      </c>
      <c r="D27" s="215"/>
      <c r="E27" s="246">
        <f>'App.2-B_Fixed Asset 2010'!H27</f>
        <v>19704320</v>
      </c>
      <c r="F27" s="246">
        <v>595739</v>
      </c>
      <c r="G27" s="246"/>
      <c r="H27" s="10">
        <f t="shared" si="0"/>
        <v>20300059</v>
      </c>
      <c r="I27" s="4"/>
      <c r="J27" s="248">
        <f>'App.2-B_Fixed Asset 2010'!M27</f>
        <v>-11333337</v>
      </c>
      <c r="K27" s="246">
        <v>-640773</v>
      </c>
      <c r="L27" s="246"/>
      <c r="M27" s="10">
        <f t="shared" si="1"/>
        <v>-11974110</v>
      </c>
      <c r="N27" s="11">
        <f t="shared" si="2"/>
        <v>8325949</v>
      </c>
    </row>
    <row r="28" spans="1:14" x14ac:dyDescent="0.2">
      <c r="A28" s="347">
        <v>47</v>
      </c>
      <c r="B28" s="347">
        <v>1850</v>
      </c>
      <c r="C28" s="353" t="s">
        <v>413</v>
      </c>
      <c r="D28" s="215"/>
      <c r="E28" s="246">
        <f>'App.2-B_Fixed Asset 2010'!H28</f>
        <v>14684774</v>
      </c>
      <c r="F28" s="246">
        <v>723360</v>
      </c>
      <c r="G28" s="246">
        <v>-40591</v>
      </c>
      <c r="H28" s="10">
        <f t="shared" si="0"/>
        <v>15367543</v>
      </c>
      <c r="I28" s="4"/>
      <c r="J28" s="248">
        <f>'App.2-B_Fixed Asset 2010'!M28</f>
        <v>-8096388</v>
      </c>
      <c r="K28" s="246">
        <v>-454254</v>
      </c>
      <c r="L28" s="246">
        <v>878</v>
      </c>
      <c r="M28" s="10">
        <f t="shared" si="1"/>
        <v>-8549764</v>
      </c>
      <c r="N28" s="11">
        <f t="shared" si="2"/>
        <v>6817779</v>
      </c>
    </row>
    <row r="29" spans="1:14" x14ac:dyDescent="0.2">
      <c r="A29" s="347">
        <v>47</v>
      </c>
      <c r="B29" s="347">
        <v>1855</v>
      </c>
      <c r="C29" s="353" t="s">
        <v>360</v>
      </c>
      <c r="D29" s="215"/>
      <c r="E29" s="246">
        <f>'App.2-B_Fixed Asset 2010'!H29</f>
        <v>431764</v>
      </c>
      <c r="F29" s="246">
        <v>123324</v>
      </c>
      <c r="G29" s="246"/>
      <c r="H29" s="10">
        <f t="shared" si="0"/>
        <v>555088</v>
      </c>
      <c r="I29" s="4"/>
      <c r="J29" s="248">
        <f>'App.2-B_Fixed Asset 2010'!M29</f>
        <v>-37960</v>
      </c>
      <c r="K29" s="246">
        <v>-19165</v>
      </c>
      <c r="L29" s="246"/>
      <c r="M29" s="10">
        <f t="shared" si="1"/>
        <v>-57125</v>
      </c>
      <c r="N29" s="11">
        <f t="shared" si="2"/>
        <v>497963</v>
      </c>
    </row>
    <row r="30" spans="1:14" x14ac:dyDescent="0.2">
      <c r="A30" s="347">
        <v>47</v>
      </c>
      <c r="B30" s="347">
        <v>1860</v>
      </c>
      <c r="C30" s="353" t="s">
        <v>414</v>
      </c>
      <c r="D30" s="215"/>
      <c r="E30" s="246">
        <f>'App.2-B_Fixed Asset 2010'!H30</f>
        <v>7427858</v>
      </c>
      <c r="F30" s="246">
        <v>434954</v>
      </c>
      <c r="G30" s="246"/>
      <c r="H30" s="10">
        <f t="shared" si="0"/>
        <v>7862812</v>
      </c>
      <c r="I30" s="4"/>
      <c r="J30" s="248">
        <f>'App.2-B_Fixed Asset 2010'!M30</f>
        <v>-4640271</v>
      </c>
      <c r="K30" s="246">
        <v>-200029</v>
      </c>
      <c r="L30" s="246"/>
      <c r="M30" s="10">
        <f t="shared" si="1"/>
        <v>-4840300</v>
      </c>
      <c r="N30" s="11">
        <f t="shared" si="2"/>
        <v>3022512</v>
      </c>
    </row>
    <row r="31" spans="1:14" x14ac:dyDescent="0.2">
      <c r="A31" s="347">
        <v>8</v>
      </c>
      <c r="B31" s="348">
        <v>1860</v>
      </c>
      <c r="C31" s="352" t="s">
        <v>361</v>
      </c>
      <c r="D31" s="215"/>
      <c r="E31" s="246">
        <f>'App.2-B_Fixed Asset 2010'!H31</f>
        <v>0</v>
      </c>
      <c r="F31" s="246"/>
      <c r="G31" s="246"/>
      <c r="H31" s="10">
        <f t="shared" si="0"/>
        <v>0</v>
      </c>
      <c r="I31" s="4"/>
      <c r="J31" s="248">
        <f>'App.2-B_Fixed Asset 2010'!M31</f>
        <v>0</v>
      </c>
      <c r="K31" s="246"/>
      <c r="L31" s="246"/>
      <c r="M31" s="10">
        <f t="shared" si="1"/>
        <v>0</v>
      </c>
      <c r="N31" s="11">
        <f t="shared" si="2"/>
        <v>0</v>
      </c>
    </row>
    <row r="32" spans="1:14" x14ac:dyDescent="0.2">
      <c r="A32" s="348" t="s">
        <v>407</v>
      </c>
      <c r="B32" s="348">
        <v>1905</v>
      </c>
      <c r="C32" s="352" t="s">
        <v>408</v>
      </c>
      <c r="D32" s="215"/>
      <c r="E32" s="246">
        <f>'App.2-B_Fixed Asset 2010'!H32</f>
        <v>0</v>
      </c>
      <c r="F32" s="246"/>
      <c r="G32" s="246"/>
      <c r="H32" s="10">
        <f t="shared" si="0"/>
        <v>0</v>
      </c>
      <c r="I32" s="4"/>
      <c r="J32" s="248">
        <f>'App.2-B_Fixed Asset 2010'!M32</f>
        <v>0</v>
      </c>
      <c r="K32" s="246"/>
      <c r="L32" s="246"/>
      <c r="M32" s="10">
        <f t="shared" si="1"/>
        <v>0</v>
      </c>
      <c r="N32" s="11">
        <f t="shared" si="2"/>
        <v>0</v>
      </c>
    </row>
    <row r="33" spans="1:14" x14ac:dyDescent="0.2">
      <c r="A33" s="347">
        <v>47</v>
      </c>
      <c r="B33" s="347">
        <v>1908</v>
      </c>
      <c r="C33" s="353" t="s">
        <v>416</v>
      </c>
      <c r="D33" s="215"/>
      <c r="E33" s="246">
        <f>'App.2-B_Fixed Asset 2010'!H33</f>
        <v>5925327</v>
      </c>
      <c r="F33" s="246">
        <v>84567</v>
      </c>
      <c r="G33" s="246"/>
      <c r="H33" s="10">
        <f t="shared" si="0"/>
        <v>6009894</v>
      </c>
      <c r="I33" s="4"/>
      <c r="J33" s="248">
        <f>'App.2-B_Fixed Asset 2010'!M33</f>
        <v>-1856137</v>
      </c>
      <c r="K33" s="246">
        <v>-87268</v>
      </c>
      <c r="L33" s="246"/>
      <c r="M33" s="10">
        <f t="shared" si="1"/>
        <v>-1943405</v>
      </c>
      <c r="N33" s="11">
        <f t="shared" si="2"/>
        <v>4066489</v>
      </c>
    </row>
    <row r="34" spans="1:14" x14ac:dyDescent="0.2">
      <c r="A34" s="347">
        <v>13</v>
      </c>
      <c r="B34" s="347">
        <v>1910</v>
      </c>
      <c r="C34" s="353" t="s">
        <v>442</v>
      </c>
      <c r="D34" s="215"/>
      <c r="E34" s="246">
        <f>'App.2-B_Fixed Asset 2010'!H34</f>
        <v>0</v>
      </c>
      <c r="F34" s="246"/>
      <c r="G34" s="246"/>
      <c r="H34" s="10">
        <f t="shared" si="0"/>
        <v>0</v>
      </c>
      <c r="I34" s="4"/>
      <c r="J34" s="248">
        <f>'App.2-B_Fixed Asset 2010'!M34</f>
        <v>0</v>
      </c>
      <c r="K34" s="246"/>
      <c r="L34" s="246"/>
      <c r="M34" s="10">
        <f t="shared" si="1"/>
        <v>0</v>
      </c>
      <c r="N34" s="11">
        <f t="shared" si="2"/>
        <v>0</v>
      </c>
    </row>
    <row r="35" spans="1:14" x14ac:dyDescent="0.2">
      <c r="A35" s="347">
        <v>8</v>
      </c>
      <c r="B35" s="347">
        <v>1915</v>
      </c>
      <c r="C35" s="353" t="s">
        <v>362</v>
      </c>
      <c r="D35" s="215"/>
      <c r="E35" s="246">
        <f>'App.2-B_Fixed Asset 2010'!H35</f>
        <v>849162</v>
      </c>
      <c r="F35" s="246">
        <v>27471</v>
      </c>
      <c r="G35" s="246"/>
      <c r="H35" s="10">
        <f t="shared" si="0"/>
        <v>876633</v>
      </c>
      <c r="I35" s="4"/>
      <c r="J35" s="248">
        <f>'App.2-B_Fixed Asset 2010'!M35</f>
        <v>-660580</v>
      </c>
      <c r="K35" s="246">
        <v>-30557</v>
      </c>
      <c r="L35" s="246"/>
      <c r="M35" s="10">
        <f t="shared" si="1"/>
        <v>-691137</v>
      </c>
      <c r="N35" s="11">
        <f t="shared" si="2"/>
        <v>185496</v>
      </c>
    </row>
    <row r="36" spans="1:14" x14ac:dyDescent="0.2">
      <c r="A36" s="347">
        <v>8</v>
      </c>
      <c r="B36" s="347">
        <v>1915</v>
      </c>
      <c r="C36" s="353" t="s">
        <v>363</v>
      </c>
      <c r="D36" s="215"/>
      <c r="E36" s="246">
        <f>'App.2-B_Fixed Asset 2010'!H36</f>
        <v>0</v>
      </c>
      <c r="F36" s="246"/>
      <c r="G36" s="246"/>
      <c r="H36" s="10">
        <f t="shared" si="0"/>
        <v>0</v>
      </c>
      <c r="I36" s="4"/>
      <c r="J36" s="248">
        <f>'App.2-B_Fixed Asset 2010'!M36</f>
        <v>0</v>
      </c>
      <c r="K36" s="246"/>
      <c r="L36" s="246"/>
      <c r="M36" s="10">
        <f t="shared" si="1"/>
        <v>0</v>
      </c>
      <c r="N36" s="11">
        <f t="shared" si="2"/>
        <v>0</v>
      </c>
    </row>
    <row r="37" spans="1:14" x14ac:dyDescent="0.2">
      <c r="A37" s="347">
        <v>10</v>
      </c>
      <c r="B37" s="347">
        <v>1920</v>
      </c>
      <c r="C37" s="353" t="s">
        <v>364</v>
      </c>
      <c r="D37" s="215"/>
      <c r="E37" s="246">
        <f>'App.2-B_Fixed Asset 2010'!H37</f>
        <v>4736268</v>
      </c>
      <c r="F37" s="246">
        <v>363112</v>
      </c>
      <c r="G37" s="246"/>
      <c r="H37" s="10">
        <f t="shared" si="0"/>
        <v>5099380</v>
      </c>
      <c r="I37" s="4"/>
      <c r="J37" s="248">
        <f>'App.2-B_Fixed Asset 2010'!M37</f>
        <v>-3513385</v>
      </c>
      <c r="K37" s="246">
        <v>-440505</v>
      </c>
      <c r="L37" s="246"/>
      <c r="M37" s="10">
        <f t="shared" si="1"/>
        <v>-3953890</v>
      </c>
      <c r="N37" s="11">
        <f t="shared" si="2"/>
        <v>1145490</v>
      </c>
    </row>
    <row r="38" spans="1:14" ht="25.5" x14ac:dyDescent="0.2">
      <c r="A38" s="347">
        <v>45</v>
      </c>
      <c r="B38" s="349">
        <v>1920</v>
      </c>
      <c r="C38" s="354" t="s">
        <v>366</v>
      </c>
      <c r="D38" s="215"/>
      <c r="E38" s="246">
        <f>'App.2-B_Fixed Asset 2010'!H38</f>
        <v>0</v>
      </c>
      <c r="F38" s="246"/>
      <c r="G38" s="246"/>
      <c r="H38" s="10">
        <f t="shared" si="0"/>
        <v>0</v>
      </c>
      <c r="I38" s="4"/>
      <c r="J38" s="248">
        <f>'App.2-B_Fixed Asset 2010'!M38</f>
        <v>0</v>
      </c>
      <c r="K38" s="246"/>
      <c r="L38" s="246"/>
      <c r="M38" s="10">
        <f t="shared" si="1"/>
        <v>0</v>
      </c>
      <c r="N38" s="11">
        <f t="shared" si="2"/>
        <v>0</v>
      </c>
    </row>
    <row r="39" spans="1:14" ht="25.5" x14ac:dyDescent="0.2">
      <c r="A39" s="347">
        <v>45.1</v>
      </c>
      <c r="B39" s="349">
        <v>1920</v>
      </c>
      <c r="C39" s="354" t="s">
        <v>365</v>
      </c>
      <c r="D39" s="215"/>
      <c r="E39" s="246">
        <f>'App.2-B_Fixed Asset 2010'!H39</f>
        <v>0</v>
      </c>
      <c r="F39" s="246"/>
      <c r="G39" s="246"/>
      <c r="H39" s="10">
        <f t="shared" si="0"/>
        <v>0</v>
      </c>
      <c r="I39" s="4"/>
      <c r="J39" s="248">
        <f>'App.2-B_Fixed Asset 2010'!M39</f>
        <v>0</v>
      </c>
      <c r="K39" s="246"/>
      <c r="L39" s="246"/>
      <c r="M39" s="10">
        <f t="shared" si="1"/>
        <v>0</v>
      </c>
      <c r="N39" s="11">
        <f t="shared" si="2"/>
        <v>0</v>
      </c>
    </row>
    <row r="40" spans="1:14" x14ac:dyDescent="0.2">
      <c r="A40" s="347">
        <v>10</v>
      </c>
      <c r="B40" s="347">
        <v>1930</v>
      </c>
      <c r="C40" s="353" t="s">
        <v>430</v>
      </c>
      <c r="D40" s="215"/>
      <c r="E40" s="246">
        <f>'App.2-B_Fixed Asset 2010'!H40</f>
        <v>4271828</v>
      </c>
      <c r="F40" s="246">
        <v>314885</v>
      </c>
      <c r="G40" s="246">
        <v>-245459</v>
      </c>
      <c r="H40" s="10">
        <f t="shared" si="0"/>
        <v>4341254</v>
      </c>
      <c r="I40" s="4"/>
      <c r="J40" s="248">
        <f>'App.2-B_Fixed Asset 2010'!M40</f>
        <v>-2738667</v>
      </c>
      <c r="K40" s="246">
        <v>-316324</v>
      </c>
      <c r="L40" s="246">
        <v>239069</v>
      </c>
      <c r="M40" s="10">
        <f t="shared" si="1"/>
        <v>-2815922</v>
      </c>
      <c r="N40" s="11">
        <f t="shared" si="2"/>
        <v>1525332</v>
      </c>
    </row>
    <row r="41" spans="1:14" x14ac:dyDescent="0.2">
      <c r="A41" s="347">
        <v>8</v>
      </c>
      <c r="B41" s="347">
        <v>1935</v>
      </c>
      <c r="C41" s="353" t="s">
        <v>431</v>
      </c>
      <c r="D41" s="215"/>
      <c r="E41" s="246">
        <f>'App.2-B_Fixed Asset 2010'!H41</f>
        <v>81138</v>
      </c>
      <c r="F41" s="246"/>
      <c r="G41" s="246"/>
      <c r="H41" s="10">
        <f t="shared" si="0"/>
        <v>81138</v>
      </c>
      <c r="I41" s="4"/>
      <c r="J41" s="248">
        <f>'App.2-B_Fixed Asset 2010'!M41</f>
        <v>-66494</v>
      </c>
      <c r="K41" s="246">
        <v>-4790</v>
      </c>
      <c r="L41" s="246"/>
      <c r="M41" s="10">
        <f t="shared" si="1"/>
        <v>-71284</v>
      </c>
      <c r="N41" s="11">
        <f t="shared" si="2"/>
        <v>9854</v>
      </c>
    </row>
    <row r="42" spans="1:14" x14ac:dyDescent="0.2">
      <c r="A42" s="347">
        <v>8</v>
      </c>
      <c r="B42" s="347">
        <v>1940</v>
      </c>
      <c r="C42" s="353" t="s">
        <v>432</v>
      </c>
      <c r="D42" s="215"/>
      <c r="E42" s="246">
        <f>'App.2-B_Fixed Asset 2010'!H42</f>
        <v>849235</v>
      </c>
      <c r="F42" s="246">
        <v>38586</v>
      </c>
      <c r="G42" s="246"/>
      <c r="H42" s="10">
        <f t="shared" si="0"/>
        <v>887821</v>
      </c>
      <c r="I42" s="4"/>
      <c r="J42" s="248">
        <f>'App.2-B_Fixed Asset 2010'!M42</f>
        <v>-616608</v>
      </c>
      <c r="K42" s="246">
        <v>-37149</v>
      </c>
      <c r="L42" s="246"/>
      <c r="M42" s="10">
        <f>J42+K42+L42</f>
        <v>-653757</v>
      </c>
      <c r="N42" s="11">
        <f t="shared" si="2"/>
        <v>234064</v>
      </c>
    </row>
    <row r="43" spans="1:14" x14ac:dyDescent="0.2">
      <c r="A43" s="347">
        <v>8</v>
      </c>
      <c r="B43" s="347">
        <v>1945</v>
      </c>
      <c r="C43" s="353" t="s">
        <v>433</v>
      </c>
      <c r="D43" s="215"/>
      <c r="E43" s="246">
        <f>'App.2-B_Fixed Asset 2010'!H43</f>
        <v>246881</v>
      </c>
      <c r="F43" s="246">
        <v>66199</v>
      </c>
      <c r="G43" s="246"/>
      <c r="H43" s="10">
        <f t="shared" si="0"/>
        <v>313080</v>
      </c>
      <c r="I43" s="4"/>
      <c r="J43" s="248">
        <f>'App.2-B_Fixed Asset 2010'!M43</f>
        <v>-215452</v>
      </c>
      <c r="K43" s="246">
        <v>-8479</v>
      </c>
      <c r="L43" s="246"/>
      <c r="M43" s="10">
        <f t="shared" si="1"/>
        <v>-223931</v>
      </c>
      <c r="N43" s="11">
        <f t="shared" si="2"/>
        <v>89149</v>
      </c>
    </row>
    <row r="44" spans="1:14" x14ac:dyDescent="0.2">
      <c r="A44" s="347">
        <v>8</v>
      </c>
      <c r="B44" s="347">
        <v>1950</v>
      </c>
      <c r="C44" s="353" t="s">
        <v>367</v>
      </c>
      <c r="D44" s="215"/>
      <c r="E44" s="246">
        <f>'App.2-B_Fixed Asset 2010'!H44</f>
        <v>0</v>
      </c>
      <c r="F44" s="246"/>
      <c r="G44" s="246"/>
      <c r="H44" s="10">
        <f t="shared" si="0"/>
        <v>0</v>
      </c>
      <c r="I44" s="4"/>
      <c r="J44" s="248">
        <f>'App.2-B_Fixed Asset 2010'!M44</f>
        <v>0</v>
      </c>
      <c r="K44" s="246"/>
      <c r="L44" s="246"/>
      <c r="M44" s="10">
        <f t="shared" si="1"/>
        <v>0</v>
      </c>
      <c r="N44" s="11">
        <f t="shared" si="2"/>
        <v>0</v>
      </c>
    </row>
    <row r="45" spans="1:14" x14ac:dyDescent="0.2">
      <c r="A45" s="347">
        <v>8</v>
      </c>
      <c r="B45" s="347">
        <v>1955</v>
      </c>
      <c r="C45" s="353" t="s">
        <v>434</v>
      </c>
      <c r="D45" s="215"/>
      <c r="E45" s="246">
        <f>'App.2-B_Fixed Asset 2010'!H45</f>
        <v>248340</v>
      </c>
      <c r="F45" s="246">
        <v>4635</v>
      </c>
      <c r="G45" s="246"/>
      <c r="H45" s="10">
        <f t="shared" si="0"/>
        <v>252975</v>
      </c>
      <c r="I45" s="4"/>
      <c r="J45" s="248">
        <f>'App.2-B_Fixed Asset 2010'!M45</f>
        <v>-148751</v>
      </c>
      <c r="K45" s="246">
        <v>-13142</v>
      </c>
      <c r="L45" s="246"/>
      <c r="M45" s="10">
        <f t="shared" si="1"/>
        <v>-161893</v>
      </c>
      <c r="N45" s="11">
        <f t="shared" si="2"/>
        <v>91082</v>
      </c>
    </row>
    <row r="46" spans="1:14" x14ac:dyDescent="0.2">
      <c r="A46" s="350">
        <v>8</v>
      </c>
      <c r="B46" s="350">
        <v>1955</v>
      </c>
      <c r="C46" s="355" t="s">
        <v>368</v>
      </c>
      <c r="D46" s="215"/>
      <c r="E46" s="246">
        <f>'App.2-B_Fixed Asset 2010'!H46</f>
        <v>0</v>
      </c>
      <c r="F46" s="246"/>
      <c r="G46" s="246"/>
      <c r="H46" s="10">
        <f t="shared" si="0"/>
        <v>0</v>
      </c>
      <c r="I46" s="4"/>
      <c r="J46" s="248">
        <f>'App.2-B_Fixed Asset 2010'!M46</f>
        <v>0</v>
      </c>
      <c r="K46" s="246"/>
      <c r="L46" s="246"/>
      <c r="M46" s="10">
        <f t="shared" si="1"/>
        <v>0</v>
      </c>
      <c r="N46" s="11">
        <f t="shared" si="2"/>
        <v>0</v>
      </c>
    </row>
    <row r="47" spans="1:14" x14ac:dyDescent="0.2">
      <c r="A47" s="349">
        <v>8</v>
      </c>
      <c r="B47" s="349">
        <v>1960</v>
      </c>
      <c r="C47" s="354" t="s">
        <v>369</v>
      </c>
      <c r="D47" s="215"/>
      <c r="E47" s="246">
        <f>'App.2-B_Fixed Asset 2010'!H47</f>
        <v>784532</v>
      </c>
      <c r="F47" s="246"/>
      <c r="G47" s="246"/>
      <c r="H47" s="10">
        <f t="shared" si="0"/>
        <v>784532</v>
      </c>
      <c r="I47" s="4"/>
      <c r="J47" s="248">
        <f>'App.2-B_Fixed Asset 2010'!M47</f>
        <v>-685956</v>
      </c>
      <c r="K47" s="246">
        <v>-26369</v>
      </c>
      <c r="L47" s="246"/>
      <c r="M47" s="10">
        <f t="shared" si="1"/>
        <v>-712325</v>
      </c>
      <c r="N47" s="11">
        <f t="shared" si="2"/>
        <v>72207</v>
      </c>
    </row>
    <row r="48" spans="1:14" ht="25.5" x14ac:dyDescent="0.2">
      <c r="A48" s="347">
        <v>47</v>
      </c>
      <c r="B48" s="347">
        <v>1975</v>
      </c>
      <c r="C48" s="353" t="s">
        <v>435</v>
      </c>
      <c r="D48" s="215"/>
      <c r="E48" s="246">
        <f>'App.2-B_Fixed Asset 2010'!H48</f>
        <v>0</v>
      </c>
      <c r="F48" s="246"/>
      <c r="G48" s="246"/>
      <c r="H48" s="10">
        <f t="shared" si="0"/>
        <v>0</v>
      </c>
      <c r="I48" s="4"/>
      <c r="J48" s="248">
        <f>'App.2-B_Fixed Asset 2010'!M48</f>
        <v>0</v>
      </c>
      <c r="K48" s="246"/>
      <c r="L48" s="246"/>
      <c r="M48" s="10">
        <f t="shared" si="1"/>
        <v>0</v>
      </c>
      <c r="N48" s="11">
        <f t="shared" si="2"/>
        <v>0</v>
      </c>
    </row>
    <row r="49" spans="1:15" x14ac:dyDescent="0.2">
      <c r="A49" s="347">
        <v>47</v>
      </c>
      <c r="B49" s="347">
        <v>1980</v>
      </c>
      <c r="C49" s="353" t="s">
        <v>436</v>
      </c>
      <c r="D49" s="215"/>
      <c r="E49" s="246">
        <f>'App.2-B_Fixed Asset 2010'!H49</f>
        <v>1210302</v>
      </c>
      <c r="F49" s="246">
        <v>28398</v>
      </c>
      <c r="G49" s="246"/>
      <c r="H49" s="10">
        <f t="shared" si="0"/>
        <v>1238700</v>
      </c>
      <c r="I49" s="4"/>
      <c r="J49" s="248">
        <f>'App.2-B_Fixed Asset 2010'!M49</f>
        <v>-744052</v>
      </c>
      <c r="K49" s="246">
        <v>-50642</v>
      </c>
      <c r="L49" s="246"/>
      <c r="M49" s="10">
        <f>J49+K49+L49</f>
        <v>-794694</v>
      </c>
      <c r="N49" s="11">
        <f t="shared" si="2"/>
        <v>444006</v>
      </c>
    </row>
    <row r="50" spans="1:15" x14ac:dyDescent="0.2">
      <c r="A50" s="347">
        <v>47</v>
      </c>
      <c r="B50" s="347">
        <v>1985</v>
      </c>
      <c r="C50" s="353" t="s">
        <v>437</v>
      </c>
      <c r="D50" s="215"/>
      <c r="E50" s="246">
        <f>'App.2-B_Fixed Asset 2010'!H50</f>
        <v>0</v>
      </c>
      <c r="F50" s="246"/>
      <c r="G50" s="246"/>
      <c r="H50" s="10">
        <f t="shared" si="0"/>
        <v>0</v>
      </c>
      <c r="I50" s="4"/>
      <c r="J50" s="248">
        <f>'App.2-B_Fixed Asset 2010'!M50</f>
        <v>0</v>
      </c>
      <c r="K50" s="246"/>
      <c r="L50" s="246"/>
      <c r="M50" s="10">
        <f t="shared" si="1"/>
        <v>0</v>
      </c>
      <c r="N50" s="11">
        <f t="shared" si="2"/>
        <v>0</v>
      </c>
    </row>
    <row r="51" spans="1:15" x14ac:dyDescent="0.2">
      <c r="A51" s="347">
        <v>47</v>
      </c>
      <c r="B51" s="347">
        <v>1995</v>
      </c>
      <c r="C51" s="353" t="s">
        <v>438</v>
      </c>
      <c r="D51" s="215"/>
      <c r="E51" s="246">
        <f>'App.2-B_Fixed Asset 2010'!H51</f>
        <v>-5805348</v>
      </c>
      <c r="F51" s="246">
        <v>-682425</v>
      </c>
      <c r="G51" s="246"/>
      <c r="H51" s="10">
        <f t="shared" si="0"/>
        <v>-6487773</v>
      </c>
      <c r="I51" s="4"/>
      <c r="J51" s="248">
        <f>'App.2-B_Fixed Asset 2010'!M51</f>
        <v>1175372</v>
      </c>
      <c r="K51" s="246">
        <v>237487</v>
      </c>
      <c r="L51" s="246"/>
      <c r="M51" s="10">
        <f t="shared" si="1"/>
        <v>1412859</v>
      </c>
      <c r="N51" s="11">
        <f t="shared" si="2"/>
        <v>-5074914</v>
      </c>
      <c r="O51" s="841"/>
    </row>
    <row r="52" spans="1:15" ht="25.5" x14ac:dyDescent="0.2">
      <c r="A52" s="5"/>
      <c r="B52" s="347">
        <v>1970</v>
      </c>
      <c r="C52" s="354" t="s">
        <v>864</v>
      </c>
      <c r="D52" s="215"/>
      <c r="E52" s="246">
        <f>'App.2-B_Fixed Asset 2010'!H52</f>
        <v>464917</v>
      </c>
      <c r="F52" s="246"/>
      <c r="G52" s="246"/>
      <c r="H52" s="10">
        <f t="shared" si="0"/>
        <v>464917</v>
      </c>
      <c r="J52" s="248">
        <f>'App.2-B_Fixed Asset 2010'!M52</f>
        <v>-464917</v>
      </c>
      <c r="K52" s="246"/>
      <c r="L52" s="246"/>
      <c r="M52" s="10">
        <f t="shared" si="1"/>
        <v>-464917</v>
      </c>
      <c r="N52" s="11">
        <f t="shared" si="2"/>
        <v>0</v>
      </c>
    </row>
    <row r="53" spans="1:15" x14ac:dyDescent="0.2">
      <c r="A53" s="5"/>
      <c r="B53" s="5">
        <v>1990</v>
      </c>
      <c r="C53" s="168" t="s">
        <v>982</v>
      </c>
      <c r="D53" s="215"/>
      <c r="E53" s="246">
        <f>'App.2-B_Fixed Asset 2010'!H53</f>
        <v>566276</v>
      </c>
      <c r="F53" s="246">
        <v>1221</v>
      </c>
      <c r="G53" s="247"/>
      <c r="H53" s="10">
        <f t="shared" si="0"/>
        <v>567497</v>
      </c>
      <c r="J53" s="248">
        <f>'App.2-B_Fixed Asset 2010'!M53</f>
        <v>0</v>
      </c>
      <c r="K53" s="247"/>
      <c r="L53" s="247"/>
      <c r="M53" s="10">
        <f t="shared" si="1"/>
        <v>0</v>
      </c>
      <c r="N53" s="11">
        <f t="shared" si="2"/>
        <v>567497</v>
      </c>
    </row>
    <row r="54" spans="1:15" x14ac:dyDescent="0.2">
      <c r="A54" s="5"/>
      <c r="B54" s="5"/>
      <c r="C54" s="9" t="s">
        <v>439</v>
      </c>
      <c r="D54" s="9"/>
      <c r="E54" s="14">
        <f>SUM(E16:E53)</f>
        <v>101855018</v>
      </c>
      <c r="F54" s="14">
        <f t="shared" ref="F54:H54" si="3">SUM(F16:F53)</f>
        <v>4577666</v>
      </c>
      <c r="G54" s="14">
        <f t="shared" si="3"/>
        <v>-286050</v>
      </c>
      <c r="H54" s="14">
        <f t="shared" si="3"/>
        <v>106146634</v>
      </c>
      <c r="I54" s="14"/>
      <c r="J54" s="14">
        <f>SUM(J16:J53)</f>
        <v>-59684234</v>
      </c>
      <c r="K54" s="14">
        <f t="shared" ref="K54:N54" si="4">SUM(K16:K53)</f>
        <v>-4259216</v>
      </c>
      <c r="L54" s="14">
        <f t="shared" si="4"/>
        <v>239947</v>
      </c>
      <c r="M54" s="14">
        <f t="shared" si="4"/>
        <v>-63703503</v>
      </c>
      <c r="N54" s="14">
        <f t="shared" si="4"/>
        <v>42443131</v>
      </c>
    </row>
    <row r="56" spans="1:15" x14ac:dyDescent="0.2">
      <c r="D56" s="3"/>
      <c r="E56" s="922" t="s">
        <v>977</v>
      </c>
      <c r="F56" s="856">
        <f>-F51</f>
        <v>682425</v>
      </c>
      <c r="N56" s="841"/>
    </row>
    <row r="57" spans="1:15" x14ac:dyDescent="0.2">
      <c r="A57" s="924"/>
      <c r="B57" s="924"/>
      <c r="D57" s="3"/>
      <c r="E57" s="922" t="s">
        <v>978</v>
      </c>
      <c r="F57" s="858">
        <f>-F53</f>
        <v>-1221</v>
      </c>
      <c r="G57" s="169" t="s">
        <v>984</v>
      </c>
    </row>
    <row r="58" spans="1:15" x14ac:dyDescent="0.2">
      <c r="A58" s="924"/>
      <c r="B58" s="924"/>
      <c r="E58" s="922" t="s">
        <v>981</v>
      </c>
      <c r="F58" s="856">
        <f>SUM(F54:F57)</f>
        <v>5258870</v>
      </c>
    </row>
    <row r="59" spans="1:15" x14ac:dyDescent="0.2">
      <c r="E59" s="925" t="s">
        <v>979</v>
      </c>
      <c r="F59" s="857">
        <v>-352445</v>
      </c>
    </row>
    <row r="60" spans="1:15" x14ac:dyDescent="0.2">
      <c r="E60" s="922" t="s">
        <v>980</v>
      </c>
      <c r="F60" s="857">
        <v>472126</v>
      </c>
    </row>
    <row r="61" spans="1:15" ht="13.5" thickBot="1" x14ac:dyDescent="0.25">
      <c r="A61" s="924"/>
      <c r="B61" s="924"/>
      <c r="E61" s="927" t="s">
        <v>987</v>
      </c>
      <c r="F61" s="855">
        <f>SUM(F58:F60)</f>
        <v>5378551</v>
      </c>
      <c r="G61" s="169" t="s">
        <v>983</v>
      </c>
    </row>
    <row r="62" spans="1:15" ht="13.5" thickTop="1" x14ac:dyDescent="0.2">
      <c r="A62" s="924"/>
      <c r="B62" s="924"/>
      <c r="F62" s="857"/>
    </row>
    <row r="63" spans="1:15" ht="13.5" thickBot="1" x14ac:dyDescent="0.25">
      <c r="A63" s="924"/>
      <c r="B63" s="924"/>
      <c r="E63" s="922" t="s">
        <v>986</v>
      </c>
      <c r="F63" s="926">
        <f>+F61-F57</f>
        <v>5379772</v>
      </c>
      <c r="G63" s="169" t="s">
        <v>985</v>
      </c>
    </row>
    <row r="64" spans="1:15" ht="13.5" thickTop="1" x14ac:dyDescent="0.2">
      <c r="A64" s="924"/>
      <c r="B64" s="924"/>
    </row>
    <row r="65" spans="1:14" x14ac:dyDescent="0.2">
      <c r="A65" s="155" t="s">
        <v>16</v>
      </c>
    </row>
    <row r="67" spans="1:14" x14ac:dyDescent="0.2">
      <c r="A67" s="1">
        <v>1</v>
      </c>
      <c r="B67" s="1263" t="s">
        <v>337</v>
      </c>
      <c r="C67" s="1263"/>
      <c r="D67" s="1263"/>
      <c r="E67" s="1263"/>
      <c r="F67" s="1263"/>
      <c r="G67" s="1263"/>
      <c r="H67" s="1263"/>
      <c r="I67" s="1263"/>
      <c r="J67" s="1263"/>
      <c r="K67" s="1263"/>
      <c r="L67" s="1263"/>
      <c r="M67" s="1263"/>
      <c r="N67" s="1263"/>
    </row>
    <row r="68" spans="1:14" x14ac:dyDescent="0.2">
      <c r="B68" s="1263"/>
      <c r="C68" s="1263"/>
      <c r="D68" s="1263"/>
      <c r="E68" s="1263"/>
      <c r="F68" s="1263"/>
      <c r="G68" s="1263"/>
      <c r="H68" s="1263"/>
      <c r="I68" s="1263"/>
      <c r="J68" s="1263"/>
      <c r="K68" s="1263"/>
      <c r="L68" s="1263"/>
      <c r="M68" s="1263"/>
      <c r="N68" s="1263"/>
    </row>
    <row r="69" spans="1:14" ht="12.75" customHeight="1" x14ac:dyDescent="0.2"/>
    <row r="70" spans="1:14" x14ac:dyDescent="0.2">
      <c r="A70" s="1">
        <v>2</v>
      </c>
      <c r="B70" s="1267" t="s">
        <v>66</v>
      </c>
      <c r="C70" s="1267"/>
      <c r="D70" s="1267"/>
      <c r="E70" s="1267"/>
      <c r="F70" s="1267"/>
      <c r="G70" s="1267"/>
      <c r="H70" s="1267"/>
      <c r="I70" s="1267"/>
      <c r="J70" s="1267"/>
      <c r="K70" s="1267"/>
      <c r="L70" s="1267"/>
      <c r="M70" s="1267"/>
      <c r="N70" s="1267"/>
    </row>
    <row r="71" spans="1:14" x14ac:dyDescent="0.2">
      <c r="B71" s="1267"/>
      <c r="C71" s="1267"/>
      <c r="D71" s="1267"/>
      <c r="E71" s="1267"/>
      <c r="F71" s="1267"/>
      <c r="G71" s="1267"/>
      <c r="H71" s="1267"/>
      <c r="I71" s="1267"/>
      <c r="J71" s="1267"/>
      <c r="K71" s="1267"/>
      <c r="L71" s="1267"/>
      <c r="M71" s="1267"/>
      <c r="N71" s="1267"/>
    </row>
    <row r="73" spans="1:14" x14ac:dyDescent="0.2">
      <c r="A73" s="1">
        <v>3</v>
      </c>
      <c r="B73" s="1242" t="s">
        <v>341</v>
      </c>
      <c r="C73" s="1242"/>
      <c r="D73" s="1242"/>
      <c r="E73" s="1242"/>
      <c r="F73" s="1242"/>
      <c r="G73" s="1242"/>
      <c r="H73" s="1242"/>
      <c r="I73" s="1242"/>
      <c r="J73" s="1242"/>
      <c r="K73" s="1242"/>
      <c r="L73" s="1242"/>
      <c r="M73" s="1242"/>
      <c r="N73" s="1242"/>
    </row>
    <row r="75" spans="1:14" x14ac:dyDescent="0.2">
      <c r="A75" s="1">
        <v>4</v>
      </c>
      <c r="B75" s="750" t="s">
        <v>648</v>
      </c>
    </row>
  </sheetData>
  <mergeCells count="6">
    <mergeCell ref="B73:N73"/>
    <mergeCell ref="A9:N9"/>
    <mergeCell ref="A10:N10"/>
    <mergeCell ref="E14:H14"/>
    <mergeCell ref="B67:N68"/>
    <mergeCell ref="B70:N71"/>
  </mergeCells>
  <printOptions horizontalCentered="1"/>
  <pageMargins left="0.5" right="0.5" top="0.5" bottom="0.5" header="0.511811023622047" footer="0.511811023622047"/>
  <pageSetup scale="58" orientation="landscape" r:id="rId1"/>
  <headerFooter alignWithMargins="0"/>
  <rowBreaks count="1" manualBreakCount="1">
    <brk id="6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O74"/>
  <sheetViews>
    <sheetView showGridLines="0" zoomScale="95" zoomScaleNormal="95" workbookViewId="0">
      <selection sqref="A1:XFD1048576"/>
    </sheetView>
  </sheetViews>
  <sheetFormatPr defaultRowHeight="12.75" x14ac:dyDescent="0.2"/>
  <cols>
    <col min="1" max="1" width="7.7109375" style="1" customWidth="1"/>
    <col min="2" max="2" width="6.42578125" style="1" customWidth="1"/>
    <col min="3" max="3" width="37.85546875" customWidth="1"/>
    <col min="4" max="4" width="14" customWidth="1"/>
    <col min="5" max="5" width="14.5703125" customWidth="1"/>
    <col min="6" max="6" width="17.42578125" customWidth="1"/>
    <col min="7" max="7" width="14.42578125" customWidth="1"/>
    <col min="8" max="8" width="14.140625" bestFit="1" customWidth="1"/>
    <col min="9" max="9" width="1.7109375" style="3" customWidth="1"/>
    <col min="10" max="10" width="14.28515625" customWidth="1"/>
    <col min="11" max="11" width="13.42578125" customWidth="1"/>
    <col min="12" max="12" width="13" customWidth="1"/>
    <col min="13" max="13" width="14.5703125" bestFit="1" customWidth="1"/>
    <col min="14" max="14" width="14.140625" bestFit="1" customWidth="1"/>
    <col min="15" max="15" width="13.5703125" bestFit="1" customWidth="1"/>
  </cols>
  <sheetData>
    <row r="1" spans="1:14" x14ac:dyDescent="0.2">
      <c r="M1" s="16" t="s">
        <v>444</v>
      </c>
      <c r="N1" s="250" t="str">
        <f>'LDC Info'!$E$18</f>
        <v>EB-2012-0107</v>
      </c>
    </row>
    <row r="2" spans="1:14" x14ac:dyDescent="0.2">
      <c r="M2" s="16" t="s">
        <v>445</v>
      </c>
      <c r="N2" s="251">
        <v>2</v>
      </c>
    </row>
    <row r="3" spans="1:14" x14ac:dyDescent="0.2">
      <c r="M3" s="16" t="s">
        <v>446</v>
      </c>
      <c r="N3" s="251">
        <v>3</v>
      </c>
    </row>
    <row r="4" spans="1:14" x14ac:dyDescent="0.2">
      <c r="M4" s="16" t="s">
        <v>447</v>
      </c>
      <c r="N4" s="251">
        <v>2</v>
      </c>
    </row>
    <row r="5" spans="1:14" x14ac:dyDescent="0.2">
      <c r="M5" s="16" t="s">
        <v>1036</v>
      </c>
      <c r="N5" s="252">
        <v>2</v>
      </c>
    </row>
    <row r="6" spans="1:14" ht="9" customHeight="1" x14ac:dyDescent="0.2">
      <c r="M6" s="16"/>
      <c r="N6" s="250"/>
    </row>
    <row r="7" spans="1:14" x14ac:dyDescent="0.2">
      <c r="M7" s="16" t="s">
        <v>449</v>
      </c>
      <c r="N7" s="934">
        <v>41200</v>
      </c>
    </row>
    <row r="8" spans="1:14" ht="9" customHeight="1" x14ac:dyDescent="0.2"/>
    <row r="9" spans="1:14" ht="20.25" customHeight="1" x14ac:dyDescent="0.2">
      <c r="A9" s="1262" t="s">
        <v>55</v>
      </c>
      <c r="B9" s="1262"/>
      <c r="C9" s="1262"/>
      <c r="D9" s="1262"/>
      <c r="E9" s="1262"/>
      <c r="F9" s="1262"/>
      <c r="G9" s="1262"/>
      <c r="H9" s="1262"/>
      <c r="I9" s="1262"/>
      <c r="J9" s="1262"/>
      <c r="K9" s="1262"/>
      <c r="L9" s="1262"/>
      <c r="M9" s="1262"/>
      <c r="N9" s="1262"/>
    </row>
    <row r="10" spans="1:14" ht="18" x14ac:dyDescent="0.2">
      <c r="A10" s="1262" t="s">
        <v>441</v>
      </c>
      <c r="B10" s="1262"/>
      <c r="C10" s="1262"/>
      <c r="D10" s="1262"/>
      <c r="E10" s="1262"/>
      <c r="F10" s="1262"/>
      <c r="G10" s="1262"/>
      <c r="H10" s="1262"/>
      <c r="I10" s="1262"/>
      <c r="J10" s="1262"/>
      <c r="K10" s="1262"/>
      <c r="L10" s="1262"/>
      <c r="M10" s="1262"/>
      <c r="N10" s="1262"/>
    </row>
    <row r="12" spans="1:14" ht="15" x14ac:dyDescent="0.25">
      <c r="C12" s="148"/>
      <c r="F12" s="151" t="s">
        <v>173</v>
      </c>
      <c r="G12" s="326" t="s">
        <v>916</v>
      </c>
      <c r="H12" s="6"/>
    </row>
    <row r="14" spans="1:14" x14ac:dyDescent="0.2">
      <c r="D14" s="15"/>
      <c r="E14" s="1264" t="s">
        <v>405</v>
      </c>
      <c r="F14" s="1265"/>
      <c r="G14" s="1265"/>
      <c r="H14" s="1266"/>
      <c r="J14" s="181"/>
      <c r="K14" s="180" t="s">
        <v>406</v>
      </c>
      <c r="L14" s="180"/>
      <c r="M14" s="182"/>
      <c r="N14" s="3"/>
    </row>
    <row r="15" spans="1:14" ht="51" x14ac:dyDescent="0.2">
      <c r="A15" s="799" t="s">
        <v>393</v>
      </c>
      <c r="B15" s="174" t="s">
        <v>394</v>
      </c>
      <c r="C15" s="175" t="s">
        <v>395</v>
      </c>
      <c r="D15" s="799" t="s">
        <v>440</v>
      </c>
      <c r="E15" s="799" t="s">
        <v>396</v>
      </c>
      <c r="F15" s="174" t="s">
        <v>397</v>
      </c>
      <c r="G15" s="953" t="s">
        <v>1023</v>
      </c>
      <c r="H15" s="799" t="s">
        <v>404</v>
      </c>
      <c r="I15" s="176"/>
      <c r="J15" s="177" t="s">
        <v>396</v>
      </c>
      <c r="K15" s="178" t="s">
        <v>397</v>
      </c>
      <c r="L15" s="953" t="s">
        <v>1023</v>
      </c>
      <c r="M15" s="179" t="s">
        <v>404</v>
      </c>
      <c r="N15" s="799" t="s">
        <v>443</v>
      </c>
    </row>
    <row r="16" spans="1:14" ht="25.5" x14ac:dyDescent="0.2">
      <c r="A16" s="347">
        <v>12</v>
      </c>
      <c r="B16" s="347">
        <v>1611</v>
      </c>
      <c r="C16" s="351" t="s">
        <v>548</v>
      </c>
      <c r="D16" s="215"/>
      <c r="E16" s="246">
        <f>'App.2-B_Fixed Asset 2011'!H16</f>
        <v>9500884</v>
      </c>
      <c r="F16" s="435">
        <v>2290004</v>
      </c>
      <c r="G16" s="246">
        <v>3537240</v>
      </c>
      <c r="H16" s="10">
        <f>E16+F16+G16</f>
        <v>15328128</v>
      </c>
      <c r="I16" s="4"/>
      <c r="J16" s="248">
        <f>'App.2-B_Fixed Asset 2011'!M16</f>
        <v>-6007128</v>
      </c>
      <c r="K16" s="246">
        <v>-1298870</v>
      </c>
      <c r="L16" s="246">
        <v>-1037528</v>
      </c>
      <c r="M16" s="10">
        <f>J16+K16+L16</f>
        <v>-8343526</v>
      </c>
      <c r="N16" s="11">
        <f>H16+M16</f>
        <v>6984602</v>
      </c>
    </row>
    <row r="17" spans="1:14" ht="25.5" x14ac:dyDescent="0.2">
      <c r="A17" s="347" t="s">
        <v>415</v>
      </c>
      <c r="B17" s="347">
        <v>1612</v>
      </c>
      <c r="C17" s="351" t="s">
        <v>702</v>
      </c>
      <c r="D17" s="215"/>
      <c r="E17" s="246">
        <f>'App.2-B_Fixed Asset 2011'!H17</f>
        <v>283160</v>
      </c>
      <c r="F17" s="436"/>
      <c r="G17" s="246"/>
      <c r="H17" s="10">
        <f>E17+F17+G17</f>
        <v>283160</v>
      </c>
      <c r="I17" s="4"/>
      <c r="J17" s="248">
        <f>'App.2-B_Fixed Asset 2011'!M17</f>
        <v>-267342</v>
      </c>
      <c r="K17" s="246">
        <v>-1192</v>
      </c>
      <c r="L17" s="246"/>
      <c r="M17" s="10">
        <f>J17+K17+L17</f>
        <v>-268534</v>
      </c>
      <c r="N17" s="11">
        <f>H17+M17</f>
        <v>14626</v>
      </c>
    </row>
    <row r="18" spans="1:14" x14ac:dyDescent="0.2">
      <c r="A18" s="348" t="s">
        <v>407</v>
      </c>
      <c r="B18" s="348">
        <v>1805</v>
      </c>
      <c r="C18" s="352" t="s">
        <v>408</v>
      </c>
      <c r="D18" s="215"/>
      <c r="E18" s="246">
        <f>'App.2-B_Fixed Asset 2011'!H18</f>
        <v>497489</v>
      </c>
      <c r="F18" s="436"/>
      <c r="G18" s="246"/>
      <c r="H18" s="10">
        <f>E18+F18+G18</f>
        <v>497489</v>
      </c>
      <c r="I18" s="4"/>
      <c r="J18" s="248">
        <f>'App.2-B_Fixed Asset 2011'!M18</f>
        <v>0</v>
      </c>
      <c r="K18" s="246"/>
      <c r="L18" s="246"/>
      <c r="M18" s="10">
        <f>J18+K18+L18</f>
        <v>0</v>
      </c>
      <c r="N18" s="11">
        <f>H18+M18</f>
        <v>497489</v>
      </c>
    </row>
    <row r="19" spans="1:14" x14ac:dyDescent="0.2">
      <c r="A19" s="347">
        <v>47</v>
      </c>
      <c r="B19" s="347">
        <v>1808</v>
      </c>
      <c r="C19" s="353" t="s">
        <v>409</v>
      </c>
      <c r="D19" s="215"/>
      <c r="E19" s="246">
        <f>'App.2-B_Fixed Asset 2011'!H19</f>
        <v>0</v>
      </c>
      <c r="F19" s="436"/>
      <c r="G19" s="246"/>
      <c r="H19" s="10">
        <f t="shared" ref="H19:H53" si="0">E19+F19+G19</f>
        <v>0</v>
      </c>
      <c r="I19" s="4"/>
      <c r="J19" s="248">
        <f>'App.2-B_Fixed Asset 2011'!M19</f>
        <v>0</v>
      </c>
      <c r="K19" s="246"/>
      <c r="L19" s="246"/>
      <c r="M19" s="10">
        <f t="shared" ref="M19:M53" si="1">J19+K19+L19</f>
        <v>0</v>
      </c>
      <c r="N19" s="11">
        <f t="shared" ref="N19:N53" si="2">H19+M19</f>
        <v>0</v>
      </c>
    </row>
    <row r="20" spans="1:14" x14ac:dyDescent="0.2">
      <c r="A20" s="347">
        <v>13</v>
      </c>
      <c r="B20" s="347">
        <v>1810</v>
      </c>
      <c r="C20" s="353" t="s">
        <v>442</v>
      </c>
      <c r="D20" s="215"/>
      <c r="E20" s="246">
        <f>'App.2-B_Fixed Asset 2011'!H20</f>
        <v>0</v>
      </c>
      <c r="F20" s="436"/>
      <c r="G20" s="246"/>
      <c r="H20" s="10">
        <f t="shared" si="0"/>
        <v>0</v>
      </c>
      <c r="I20" s="4"/>
      <c r="J20" s="248">
        <f>'App.2-B_Fixed Asset 2011'!M20</f>
        <v>0</v>
      </c>
      <c r="K20" s="246"/>
      <c r="L20" s="246"/>
      <c r="M20" s="10">
        <f t="shared" si="1"/>
        <v>0</v>
      </c>
      <c r="N20" s="11">
        <f t="shared" si="2"/>
        <v>0</v>
      </c>
    </row>
    <row r="21" spans="1:14" x14ac:dyDescent="0.2">
      <c r="A21" s="347">
        <v>47</v>
      </c>
      <c r="B21" s="347">
        <v>1815</v>
      </c>
      <c r="C21" s="353" t="s">
        <v>410</v>
      </c>
      <c r="D21" s="215"/>
      <c r="E21" s="246">
        <f>'App.2-B_Fixed Asset 2011'!H21</f>
        <v>0</v>
      </c>
      <c r="F21" s="436"/>
      <c r="G21" s="246"/>
      <c r="H21" s="10">
        <f t="shared" si="0"/>
        <v>0</v>
      </c>
      <c r="I21" s="4"/>
      <c r="J21" s="248">
        <f>'App.2-B_Fixed Asset 2011'!M21</f>
        <v>0</v>
      </c>
      <c r="K21" s="246"/>
      <c r="L21" s="246"/>
      <c r="M21" s="10">
        <f t="shared" si="1"/>
        <v>0</v>
      </c>
      <c r="N21" s="11">
        <f t="shared" si="2"/>
        <v>0</v>
      </c>
    </row>
    <row r="22" spans="1:14" x14ac:dyDescent="0.2">
      <c r="A22" s="347">
        <v>47</v>
      </c>
      <c r="B22" s="347">
        <v>1820</v>
      </c>
      <c r="C22" s="354" t="s">
        <v>356</v>
      </c>
      <c r="D22" s="215"/>
      <c r="E22" s="246">
        <f>'App.2-B_Fixed Asset 2011'!H22</f>
        <v>6455582</v>
      </c>
      <c r="F22" s="436">
        <v>343530</v>
      </c>
      <c r="G22" s="246"/>
      <c r="H22" s="10">
        <f t="shared" si="0"/>
        <v>6799112</v>
      </c>
      <c r="I22" s="4"/>
      <c r="J22" s="248">
        <f>'App.2-B_Fixed Asset 2011'!M22</f>
        <v>-3215427</v>
      </c>
      <c r="K22" s="246">
        <v>-167280</v>
      </c>
      <c r="L22" s="246"/>
      <c r="M22" s="10">
        <f t="shared" si="1"/>
        <v>-3382707</v>
      </c>
      <c r="N22" s="11">
        <f t="shared" si="2"/>
        <v>3416405</v>
      </c>
    </row>
    <row r="23" spans="1:14" x14ac:dyDescent="0.2">
      <c r="A23" s="347">
        <v>47</v>
      </c>
      <c r="B23" s="347">
        <v>1825</v>
      </c>
      <c r="C23" s="353" t="s">
        <v>411</v>
      </c>
      <c r="D23" s="215"/>
      <c r="E23" s="246">
        <f>'App.2-B_Fixed Asset 2011'!H23</f>
        <v>0</v>
      </c>
      <c r="F23" s="436"/>
      <c r="G23" s="246"/>
      <c r="H23" s="10">
        <f t="shared" si="0"/>
        <v>0</v>
      </c>
      <c r="I23" s="4"/>
      <c r="J23" s="248">
        <f>'App.2-B_Fixed Asset 2011'!M23</f>
        <v>0</v>
      </c>
      <c r="K23" s="246"/>
      <c r="L23" s="246"/>
      <c r="M23" s="10">
        <f t="shared" si="1"/>
        <v>0</v>
      </c>
      <c r="N23" s="11">
        <f t="shared" si="2"/>
        <v>0</v>
      </c>
    </row>
    <row r="24" spans="1:14" x14ac:dyDescent="0.2">
      <c r="A24" s="347">
        <v>47</v>
      </c>
      <c r="B24" s="347">
        <v>1830</v>
      </c>
      <c r="C24" s="353" t="s">
        <v>412</v>
      </c>
      <c r="D24" s="215"/>
      <c r="E24" s="246">
        <f>'App.2-B_Fixed Asset 2011'!H24</f>
        <v>2257678</v>
      </c>
      <c r="F24" s="436">
        <v>1104207</v>
      </c>
      <c r="G24" s="246"/>
      <c r="H24" s="10">
        <f t="shared" si="0"/>
        <v>3361885</v>
      </c>
      <c r="I24" s="4"/>
      <c r="J24" s="248">
        <f>'App.2-B_Fixed Asset 2011'!M24</f>
        <v>-245396</v>
      </c>
      <c r="K24" s="246">
        <v>-112391</v>
      </c>
      <c r="L24" s="246"/>
      <c r="M24" s="10">
        <f t="shared" si="1"/>
        <v>-357787</v>
      </c>
      <c r="N24" s="11">
        <f t="shared" si="2"/>
        <v>3004098</v>
      </c>
    </row>
    <row r="25" spans="1:14" x14ac:dyDescent="0.2">
      <c r="A25" s="347">
        <v>47</v>
      </c>
      <c r="B25" s="347">
        <v>1835</v>
      </c>
      <c r="C25" s="353" t="s">
        <v>357</v>
      </c>
      <c r="D25" s="215"/>
      <c r="E25" s="246">
        <f>'App.2-B_Fixed Asset 2011'!H25</f>
        <v>27485935</v>
      </c>
      <c r="F25" s="436">
        <v>905870</v>
      </c>
      <c r="G25" s="246"/>
      <c r="H25" s="10">
        <f t="shared" si="0"/>
        <v>28391805</v>
      </c>
      <c r="I25" s="4"/>
      <c r="J25" s="248">
        <f>'App.2-B_Fixed Asset 2011'!M25</f>
        <v>-17366822</v>
      </c>
      <c r="K25" s="246">
        <v>-848154</v>
      </c>
      <c r="L25" s="246"/>
      <c r="M25" s="10">
        <f t="shared" si="1"/>
        <v>-18214976</v>
      </c>
      <c r="N25" s="11">
        <f t="shared" si="2"/>
        <v>10176829</v>
      </c>
    </row>
    <row r="26" spans="1:14" x14ac:dyDescent="0.2">
      <c r="A26" s="347">
        <v>47</v>
      </c>
      <c r="B26" s="347">
        <v>1840</v>
      </c>
      <c r="C26" s="353" t="s">
        <v>358</v>
      </c>
      <c r="D26" s="215"/>
      <c r="E26" s="246">
        <f>'App.2-B_Fixed Asset 2011'!H26</f>
        <v>1150356</v>
      </c>
      <c r="F26" s="436">
        <v>142899</v>
      </c>
      <c r="G26" s="246"/>
      <c r="H26" s="10">
        <f t="shared" si="0"/>
        <v>1293255</v>
      </c>
      <c r="I26" s="4"/>
      <c r="J26" s="248">
        <f>'App.2-B_Fixed Asset 2011'!M26</f>
        <v>-105793</v>
      </c>
      <c r="K26" s="246">
        <v>-48872</v>
      </c>
      <c r="L26" s="246"/>
      <c r="M26" s="10">
        <f t="shared" si="1"/>
        <v>-154665</v>
      </c>
      <c r="N26" s="11">
        <f t="shared" si="2"/>
        <v>1138590</v>
      </c>
    </row>
    <row r="27" spans="1:14" x14ac:dyDescent="0.2">
      <c r="A27" s="347">
        <v>47</v>
      </c>
      <c r="B27" s="347">
        <v>1845</v>
      </c>
      <c r="C27" s="353" t="s">
        <v>359</v>
      </c>
      <c r="D27" s="215"/>
      <c r="E27" s="246">
        <f>'App.2-B_Fixed Asset 2011'!H27</f>
        <v>20300059</v>
      </c>
      <c r="F27" s="436">
        <v>1033864</v>
      </c>
      <c r="G27" s="246"/>
      <c r="H27" s="10">
        <f t="shared" si="0"/>
        <v>21333923</v>
      </c>
      <c r="I27" s="4"/>
      <c r="J27" s="248">
        <f>'App.2-B_Fixed Asset 2011'!M27</f>
        <v>-11974110</v>
      </c>
      <c r="K27" s="246">
        <v>-673092</v>
      </c>
      <c r="L27" s="246"/>
      <c r="M27" s="10">
        <f t="shared" si="1"/>
        <v>-12647202</v>
      </c>
      <c r="N27" s="11">
        <f t="shared" si="2"/>
        <v>8686721</v>
      </c>
    </row>
    <row r="28" spans="1:14" x14ac:dyDescent="0.2">
      <c r="A28" s="347">
        <v>47</v>
      </c>
      <c r="B28" s="347">
        <v>1850</v>
      </c>
      <c r="C28" s="353" t="s">
        <v>413</v>
      </c>
      <c r="D28" s="215"/>
      <c r="E28" s="246">
        <f>'App.2-B_Fixed Asset 2011'!H28</f>
        <v>15367543</v>
      </c>
      <c r="F28" s="436">
        <v>809618</v>
      </c>
      <c r="G28" s="246"/>
      <c r="H28" s="10">
        <f t="shared" si="0"/>
        <v>16177161</v>
      </c>
      <c r="I28" s="4"/>
      <c r="J28" s="248">
        <f>'App.2-B_Fixed Asset 2011'!M28</f>
        <v>-8549764</v>
      </c>
      <c r="K28" s="246">
        <v>-481046</v>
      </c>
      <c r="L28" s="246"/>
      <c r="M28" s="10">
        <f t="shared" si="1"/>
        <v>-9030810</v>
      </c>
      <c r="N28" s="11">
        <f t="shared" si="2"/>
        <v>7146351</v>
      </c>
    </row>
    <row r="29" spans="1:14" x14ac:dyDescent="0.2">
      <c r="A29" s="347">
        <v>47</v>
      </c>
      <c r="B29" s="347">
        <v>1855</v>
      </c>
      <c r="C29" s="353" t="s">
        <v>360</v>
      </c>
      <c r="D29" s="215"/>
      <c r="E29" s="246">
        <f>'App.2-B_Fixed Asset 2011'!H29</f>
        <v>555088</v>
      </c>
      <c r="F29" s="436">
        <v>48636</v>
      </c>
      <c r="G29" s="246"/>
      <c r="H29" s="10">
        <f t="shared" si="0"/>
        <v>603724</v>
      </c>
      <c r="I29" s="4"/>
      <c r="J29" s="248">
        <f>'App.2-B_Fixed Asset 2011'!M29</f>
        <v>-57125</v>
      </c>
      <c r="K29" s="246">
        <v>-23176</v>
      </c>
      <c r="L29" s="246"/>
      <c r="M29" s="10">
        <f t="shared" si="1"/>
        <v>-80301</v>
      </c>
      <c r="N29" s="11">
        <f t="shared" si="2"/>
        <v>523423</v>
      </c>
    </row>
    <row r="30" spans="1:14" x14ac:dyDescent="0.2">
      <c r="A30" s="347">
        <v>47</v>
      </c>
      <c r="B30" s="347">
        <v>1860</v>
      </c>
      <c r="C30" s="353" t="s">
        <v>414</v>
      </c>
      <c r="D30" s="215"/>
      <c r="E30" s="246">
        <f>'App.2-B_Fixed Asset 2011'!H30</f>
        <v>7862812</v>
      </c>
      <c r="F30" s="436">
        <v>28450</v>
      </c>
      <c r="G30" s="246">
        <v>-6719816</v>
      </c>
      <c r="H30" s="10">
        <f t="shared" si="0"/>
        <v>1171446</v>
      </c>
      <c r="I30" s="4"/>
      <c r="J30" s="248">
        <f>'App.2-B_Fixed Asset 2011'!M30</f>
        <v>-4840300</v>
      </c>
      <c r="K30" s="246">
        <v>-204766</v>
      </c>
      <c r="L30" s="246">
        <v>4793170</v>
      </c>
      <c r="M30" s="10">
        <f t="shared" si="1"/>
        <v>-251896</v>
      </c>
      <c r="N30" s="11">
        <f t="shared" si="2"/>
        <v>919550</v>
      </c>
    </row>
    <row r="31" spans="1:14" x14ac:dyDescent="0.2">
      <c r="A31" s="347">
        <v>8</v>
      </c>
      <c r="B31" s="348">
        <v>1860</v>
      </c>
      <c r="C31" s="352" t="s">
        <v>361</v>
      </c>
      <c r="D31" s="215"/>
      <c r="E31" s="246">
        <f>'App.2-B_Fixed Asset 2011'!H31</f>
        <v>0</v>
      </c>
      <c r="F31" s="436"/>
      <c r="G31" s="246">
        <v>4661948</v>
      </c>
      <c r="H31" s="10">
        <f t="shared" si="0"/>
        <v>4661948</v>
      </c>
      <c r="I31" s="4"/>
      <c r="J31" s="248">
        <f>'App.2-B_Fixed Asset 2011'!M31</f>
        <v>0</v>
      </c>
      <c r="K31" s="246"/>
      <c r="L31" s="246">
        <v>-729238</v>
      </c>
      <c r="M31" s="10">
        <f t="shared" si="1"/>
        <v>-729238</v>
      </c>
      <c r="N31" s="11">
        <f t="shared" si="2"/>
        <v>3932710</v>
      </c>
    </row>
    <row r="32" spans="1:14" x14ac:dyDescent="0.2">
      <c r="A32" s="348" t="s">
        <v>407</v>
      </c>
      <c r="B32" s="348">
        <v>1905</v>
      </c>
      <c r="C32" s="352" t="s">
        <v>408</v>
      </c>
      <c r="D32" s="215"/>
      <c r="E32" s="246">
        <f>'App.2-B_Fixed Asset 2011'!H32</f>
        <v>0</v>
      </c>
      <c r="F32" s="436"/>
      <c r="G32" s="246"/>
      <c r="H32" s="10">
        <f t="shared" si="0"/>
        <v>0</v>
      </c>
      <c r="I32" s="4"/>
      <c r="J32" s="248">
        <f>'App.2-B_Fixed Asset 2011'!M32</f>
        <v>0</v>
      </c>
      <c r="K32" s="246">
        <v>0</v>
      </c>
      <c r="L32" s="812">
        <v>0</v>
      </c>
      <c r="M32" s="10">
        <f t="shared" si="1"/>
        <v>0</v>
      </c>
      <c r="N32" s="11">
        <f t="shared" si="2"/>
        <v>0</v>
      </c>
    </row>
    <row r="33" spans="1:14" x14ac:dyDescent="0.2">
      <c r="A33" s="347">
        <v>1</v>
      </c>
      <c r="B33" s="347">
        <v>1908</v>
      </c>
      <c r="C33" s="353" t="s">
        <v>416</v>
      </c>
      <c r="D33" s="215"/>
      <c r="E33" s="246">
        <f>'App.2-B_Fixed Asset 2011'!H33</f>
        <v>6009894</v>
      </c>
      <c r="F33" s="436">
        <v>2178441</v>
      </c>
      <c r="G33" s="246"/>
      <c r="H33" s="10">
        <f t="shared" si="0"/>
        <v>8188335</v>
      </c>
      <c r="I33" s="4"/>
      <c r="J33" s="248">
        <f>'App.2-B_Fixed Asset 2011'!M33</f>
        <v>-1943405</v>
      </c>
      <c r="K33" s="246">
        <v>-106560</v>
      </c>
      <c r="L33" s="246"/>
      <c r="M33" s="10">
        <f t="shared" si="1"/>
        <v>-2049965</v>
      </c>
      <c r="N33" s="11">
        <f t="shared" si="2"/>
        <v>6138370</v>
      </c>
    </row>
    <row r="34" spans="1:14" x14ac:dyDescent="0.2">
      <c r="A34" s="347">
        <v>13</v>
      </c>
      <c r="B34" s="347">
        <v>1910</v>
      </c>
      <c r="C34" s="353" t="s">
        <v>442</v>
      </c>
      <c r="D34" s="215"/>
      <c r="E34" s="246">
        <f>'App.2-B_Fixed Asset 2011'!H34</f>
        <v>0</v>
      </c>
      <c r="F34" s="436"/>
      <c r="G34" s="246"/>
      <c r="H34" s="10">
        <f t="shared" si="0"/>
        <v>0</v>
      </c>
      <c r="I34" s="4"/>
      <c r="J34" s="248">
        <f>'App.2-B_Fixed Asset 2011'!M34</f>
        <v>0</v>
      </c>
      <c r="K34" s="246"/>
      <c r="L34" s="246"/>
      <c r="M34" s="10">
        <f t="shared" si="1"/>
        <v>0</v>
      </c>
      <c r="N34" s="11">
        <f t="shared" si="2"/>
        <v>0</v>
      </c>
    </row>
    <row r="35" spans="1:14" x14ac:dyDescent="0.2">
      <c r="A35" s="347">
        <v>8</v>
      </c>
      <c r="B35" s="347">
        <v>1915</v>
      </c>
      <c r="C35" s="353" t="s">
        <v>362</v>
      </c>
      <c r="D35" s="215"/>
      <c r="E35" s="246">
        <f>'App.2-B_Fixed Asset 2011'!H35</f>
        <v>876633</v>
      </c>
      <c r="F35" s="436">
        <v>117811</v>
      </c>
      <c r="G35" s="246"/>
      <c r="H35" s="10">
        <f t="shared" si="0"/>
        <v>994444</v>
      </c>
      <c r="I35" s="4"/>
      <c r="J35" s="248">
        <f>'App.2-B_Fixed Asset 2011'!M35</f>
        <v>-691137</v>
      </c>
      <c r="K35" s="246">
        <v>-38332</v>
      </c>
      <c r="L35" s="246"/>
      <c r="M35" s="10">
        <f t="shared" si="1"/>
        <v>-729469</v>
      </c>
      <c r="N35" s="11">
        <f t="shared" si="2"/>
        <v>264975</v>
      </c>
    </row>
    <row r="36" spans="1:14" x14ac:dyDescent="0.2">
      <c r="A36" s="347">
        <v>8</v>
      </c>
      <c r="B36" s="347">
        <v>1915</v>
      </c>
      <c r="C36" s="353" t="s">
        <v>363</v>
      </c>
      <c r="D36" s="215"/>
      <c r="E36" s="246">
        <f>'App.2-B_Fixed Asset 2011'!H36</f>
        <v>0</v>
      </c>
      <c r="F36" s="436"/>
      <c r="G36" s="246"/>
      <c r="H36" s="10">
        <f t="shared" si="0"/>
        <v>0</v>
      </c>
      <c r="I36" s="4"/>
      <c r="J36" s="248">
        <f>'App.2-B_Fixed Asset 2011'!M36</f>
        <v>0</v>
      </c>
      <c r="K36" s="246"/>
      <c r="L36" s="246"/>
      <c r="M36" s="10">
        <f t="shared" si="1"/>
        <v>0</v>
      </c>
      <c r="N36" s="11">
        <f t="shared" si="2"/>
        <v>0</v>
      </c>
    </row>
    <row r="37" spans="1:14" x14ac:dyDescent="0.2">
      <c r="A37" s="347">
        <v>10</v>
      </c>
      <c r="B37" s="347">
        <v>1920</v>
      </c>
      <c r="C37" s="353" t="s">
        <v>364</v>
      </c>
      <c r="D37" s="215"/>
      <c r="E37" s="246">
        <f>'App.2-B_Fixed Asset 2011'!H37</f>
        <v>5099380</v>
      </c>
      <c r="F37" s="436">
        <v>1122129</v>
      </c>
      <c r="G37" s="246">
        <v>330711</v>
      </c>
      <c r="H37" s="10">
        <f t="shared" si="0"/>
        <v>6552220</v>
      </c>
      <c r="I37" s="4"/>
      <c r="J37" s="248">
        <f>'App.2-B_Fixed Asset 2011'!M37</f>
        <v>-3953890</v>
      </c>
      <c r="K37" s="246">
        <v>-521653</v>
      </c>
      <c r="L37" s="246">
        <v>-174816</v>
      </c>
      <c r="M37" s="10">
        <f t="shared" si="1"/>
        <v>-4650359</v>
      </c>
      <c r="N37" s="11">
        <f t="shared" si="2"/>
        <v>1901861</v>
      </c>
    </row>
    <row r="38" spans="1:14" ht="25.5" x14ac:dyDescent="0.2">
      <c r="A38" s="347">
        <v>45</v>
      </c>
      <c r="B38" s="349">
        <v>1920</v>
      </c>
      <c r="C38" s="354" t="s">
        <v>366</v>
      </c>
      <c r="D38" s="215"/>
      <c r="E38" s="246">
        <f>'App.2-B_Fixed Asset 2011'!H38</f>
        <v>0</v>
      </c>
      <c r="F38" s="436"/>
      <c r="G38" s="246"/>
      <c r="H38" s="10">
        <f t="shared" si="0"/>
        <v>0</v>
      </c>
      <c r="I38" s="4"/>
      <c r="J38" s="248">
        <f>'App.2-B_Fixed Asset 2011'!M38</f>
        <v>0</v>
      </c>
      <c r="K38" s="246"/>
      <c r="L38" s="246"/>
      <c r="M38" s="10">
        <f t="shared" si="1"/>
        <v>0</v>
      </c>
      <c r="N38" s="11">
        <f t="shared" si="2"/>
        <v>0</v>
      </c>
    </row>
    <row r="39" spans="1:14" ht="25.5" x14ac:dyDescent="0.2">
      <c r="A39" s="347">
        <v>45.1</v>
      </c>
      <c r="B39" s="349">
        <v>1920</v>
      </c>
      <c r="C39" s="354" t="s">
        <v>365</v>
      </c>
      <c r="D39" s="215"/>
      <c r="E39" s="246">
        <f>'App.2-B_Fixed Asset 2011'!H39</f>
        <v>0</v>
      </c>
      <c r="F39" s="436"/>
      <c r="G39" s="246"/>
      <c r="H39" s="10">
        <f t="shared" si="0"/>
        <v>0</v>
      </c>
      <c r="I39" s="4"/>
      <c r="J39" s="248">
        <f>'App.2-B_Fixed Asset 2011'!M39</f>
        <v>0</v>
      </c>
      <c r="K39" s="246"/>
      <c r="L39" s="246"/>
      <c r="M39" s="10">
        <f t="shared" si="1"/>
        <v>0</v>
      </c>
      <c r="N39" s="11">
        <f t="shared" si="2"/>
        <v>0</v>
      </c>
    </row>
    <row r="40" spans="1:14" x14ac:dyDescent="0.2">
      <c r="A40" s="347">
        <v>10</v>
      </c>
      <c r="B40" s="347">
        <v>1930</v>
      </c>
      <c r="C40" s="353" t="s">
        <v>430</v>
      </c>
      <c r="D40" s="215"/>
      <c r="E40" s="246">
        <f>'App.2-B_Fixed Asset 2011'!H40</f>
        <v>4341254</v>
      </c>
      <c r="F40" s="436">
        <v>623434</v>
      </c>
      <c r="G40" s="246"/>
      <c r="H40" s="10">
        <f t="shared" si="0"/>
        <v>4964688</v>
      </c>
      <c r="I40" s="4"/>
      <c r="J40" s="248">
        <f>'App.2-B_Fixed Asset 2011'!M40</f>
        <v>-2815922</v>
      </c>
      <c r="K40" s="246">
        <v>-354096</v>
      </c>
      <c r="L40" s="246"/>
      <c r="M40" s="10">
        <f t="shared" si="1"/>
        <v>-3170018</v>
      </c>
      <c r="N40" s="11">
        <f t="shared" si="2"/>
        <v>1794670</v>
      </c>
    </row>
    <row r="41" spans="1:14" x14ac:dyDescent="0.2">
      <c r="A41" s="347">
        <v>8</v>
      </c>
      <c r="B41" s="347">
        <v>1935</v>
      </c>
      <c r="C41" s="353" t="s">
        <v>431</v>
      </c>
      <c r="D41" s="215"/>
      <c r="E41" s="246">
        <f>'App.2-B_Fixed Asset 2011'!H41</f>
        <v>81138</v>
      </c>
      <c r="F41" s="436"/>
      <c r="G41" s="246"/>
      <c r="H41" s="10">
        <f t="shared" si="0"/>
        <v>81138</v>
      </c>
      <c r="I41" s="4"/>
      <c r="J41" s="248">
        <f>'App.2-B_Fixed Asset 2011'!M41</f>
        <v>-71284</v>
      </c>
      <c r="K41" s="246">
        <v>-4790</v>
      </c>
      <c r="L41" s="246"/>
      <c r="M41" s="10">
        <f t="shared" si="1"/>
        <v>-76074</v>
      </c>
      <c r="N41" s="11">
        <f t="shared" si="2"/>
        <v>5064</v>
      </c>
    </row>
    <row r="42" spans="1:14" x14ac:dyDescent="0.2">
      <c r="A42" s="347">
        <v>8</v>
      </c>
      <c r="B42" s="347">
        <v>1940</v>
      </c>
      <c r="C42" s="353" t="s">
        <v>432</v>
      </c>
      <c r="D42" s="215"/>
      <c r="E42" s="246">
        <f>'App.2-B_Fixed Asset 2011'!H42</f>
        <v>887821</v>
      </c>
      <c r="F42" s="436">
        <v>55534</v>
      </c>
      <c r="G42" s="246">
        <v>54087</v>
      </c>
      <c r="H42" s="10">
        <f t="shared" si="0"/>
        <v>997442</v>
      </c>
      <c r="I42" s="4"/>
      <c r="J42" s="248">
        <f>'App.2-B_Fixed Asset 2011'!M42</f>
        <v>-653757</v>
      </c>
      <c r="K42" s="246">
        <v>-41929</v>
      </c>
      <c r="L42" s="246">
        <v>-12692</v>
      </c>
      <c r="M42" s="10">
        <f>J42+K42+L42</f>
        <v>-708378</v>
      </c>
      <c r="N42" s="11">
        <f t="shared" si="2"/>
        <v>289064</v>
      </c>
    </row>
    <row r="43" spans="1:14" x14ac:dyDescent="0.2">
      <c r="A43" s="347">
        <v>8</v>
      </c>
      <c r="B43" s="347">
        <v>1945</v>
      </c>
      <c r="C43" s="353" t="s">
        <v>433</v>
      </c>
      <c r="D43" s="215"/>
      <c r="E43" s="246">
        <f>'App.2-B_Fixed Asset 2011'!H43</f>
        <v>313080</v>
      </c>
      <c r="F43" s="436">
        <v>60084</v>
      </c>
      <c r="G43" s="246"/>
      <c r="H43" s="10">
        <f t="shared" si="0"/>
        <v>373164</v>
      </c>
      <c r="I43" s="4"/>
      <c r="J43" s="248">
        <f>'App.2-B_Fixed Asset 2011'!M43</f>
        <v>-223931</v>
      </c>
      <c r="K43" s="246">
        <v>-14899</v>
      </c>
      <c r="L43" s="246"/>
      <c r="M43" s="10">
        <f t="shared" si="1"/>
        <v>-238830</v>
      </c>
      <c r="N43" s="11">
        <f t="shared" si="2"/>
        <v>134334</v>
      </c>
    </row>
    <row r="44" spans="1:14" x14ac:dyDescent="0.2">
      <c r="A44" s="347">
        <v>8</v>
      </c>
      <c r="B44" s="347">
        <v>1950</v>
      </c>
      <c r="C44" s="353" t="s">
        <v>367</v>
      </c>
      <c r="D44" s="215"/>
      <c r="E44" s="246">
        <f>'App.2-B_Fixed Asset 2011'!H44</f>
        <v>0</v>
      </c>
      <c r="F44" s="436"/>
      <c r="G44" s="246"/>
      <c r="H44" s="10">
        <f t="shared" si="0"/>
        <v>0</v>
      </c>
      <c r="I44" s="4"/>
      <c r="J44" s="248">
        <f>'App.2-B_Fixed Asset 2011'!M44</f>
        <v>0</v>
      </c>
      <c r="K44" s="246"/>
      <c r="L44" s="246"/>
      <c r="M44" s="10">
        <f t="shared" si="1"/>
        <v>0</v>
      </c>
      <c r="N44" s="11">
        <f t="shared" si="2"/>
        <v>0</v>
      </c>
    </row>
    <row r="45" spans="1:14" x14ac:dyDescent="0.2">
      <c r="A45" s="347">
        <v>8</v>
      </c>
      <c r="B45" s="347">
        <v>1955</v>
      </c>
      <c r="C45" s="353" t="s">
        <v>434</v>
      </c>
      <c r="D45" s="215"/>
      <c r="E45" s="246">
        <f>'App.2-B_Fixed Asset 2011'!H45</f>
        <v>252975</v>
      </c>
      <c r="F45" s="436"/>
      <c r="G45" s="246"/>
      <c r="H45" s="10">
        <f t="shared" si="0"/>
        <v>252975</v>
      </c>
      <c r="I45" s="4"/>
      <c r="J45" s="248">
        <f>'App.2-B_Fixed Asset 2011'!M45</f>
        <v>-161893</v>
      </c>
      <c r="K45" s="246">
        <v>-13167</v>
      </c>
      <c r="L45" s="246"/>
      <c r="M45" s="10">
        <f t="shared" si="1"/>
        <v>-175060</v>
      </c>
      <c r="N45" s="11">
        <f t="shared" si="2"/>
        <v>77915</v>
      </c>
    </row>
    <row r="46" spans="1:14" x14ac:dyDescent="0.2">
      <c r="A46" s="350">
        <v>8</v>
      </c>
      <c r="B46" s="350">
        <v>1955</v>
      </c>
      <c r="C46" s="355" t="s">
        <v>368</v>
      </c>
      <c r="D46" s="215"/>
      <c r="E46" s="246">
        <f>'App.2-B_Fixed Asset 2011'!H46</f>
        <v>0</v>
      </c>
      <c r="F46" s="436"/>
      <c r="G46" s="246"/>
      <c r="H46" s="10">
        <f t="shared" si="0"/>
        <v>0</v>
      </c>
      <c r="I46" s="4"/>
      <c r="J46" s="248">
        <f>'App.2-B_Fixed Asset 2011'!M46</f>
        <v>0</v>
      </c>
      <c r="K46" s="246"/>
      <c r="L46" s="246"/>
      <c r="M46" s="10">
        <f t="shared" si="1"/>
        <v>0</v>
      </c>
      <c r="N46" s="11">
        <f t="shared" si="2"/>
        <v>0</v>
      </c>
    </row>
    <row r="47" spans="1:14" x14ac:dyDescent="0.2">
      <c r="A47" s="349">
        <v>8</v>
      </c>
      <c r="B47" s="349">
        <v>1960</v>
      </c>
      <c r="C47" s="354" t="s">
        <v>369</v>
      </c>
      <c r="D47" s="215"/>
      <c r="E47" s="246">
        <f>'App.2-B_Fixed Asset 2011'!H47</f>
        <v>784532</v>
      </c>
      <c r="F47" s="436"/>
      <c r="G47" s="246"/>
      <c r="H47" s="10">
        <f t="shared" si="0"/>
        <v>784532</v>
      </c>
      <c r="I47" s="4"/>
      <c r="J47" s="248">
        <f>'App.2-B_Fixed Asset 2011'!M47</f>
        <v>-712325</v>
      </c>
      <c r="K47" s="246">
        <v>-5689</v>
      </c>
      <c r="L47" s="246"/>
      <c r="M47" s="10">
        <f t="shared" si="1"/>
        <v>-718014</v>
      </c>
      <c r="N47" s="11">
        <f t="shared" si="2"/>
        <v>66518</v>
      </c>
    </row>
    <row r="48" spans="1:14" ht="25.5" x14ac:dyDescent="0.2">
      <c r="A48" s="347">
        <v>47</v>
      </c>
      <c r="B48" s="347">
        <v>1975</v>
      </c>
      <c r="C48" s="353" t="s">
        <v>435</v>
      </c>
      <c r="D48" s="215"/>
      <c r="E48" s="246">
        <f>'App.2-B_Fixed Asset 2011'!H48</f>
        <v>0</v>
      </c>
      <c r="F48" s="436"/>
      <c r="G48" s="246"/>
      <c r="H48" s="10">
        <f t="shared" si="0"/>
        <v>0</v>
      </c>
      <c r="I48" s="4"/>
      <c r="J48" s="248">
        <f>'App.2-B_Fixed Asset 2011'!M48</f>
        <v>0</v>
      </c>
      <c r="K48" s="246"/>
      <c r="L48" s="246"/>
      <c r="M48" s="10">
        <f t="shared" si="1"/>
        <v>0</v>
      </c>
      <c r="N48" s="11">
        <f t="shared" si="2"/>
        <v>0</v>
      </c>
    </row>
    <row r="49" spans="1:15" x14ac:dyDescent="0.2">
      <c r="A49" s="347">
        <v>47</v>
      </c>
      <c r="B49" s="347">
        <v>1980</v>
      </c>
      <c r="C49" s="353" t="s">
        <v>436</v>
      </c>
      <c r="D49" s="215"/>
      <c r="E49" s="246">
        <f>'App.2-B_Fixed Asset 2011'!H49</f>
        <v>1238700</v>
      </c>
      <c r="F49" s="436"/>
      <c r="G49" s="246"/>
      <c r="H49" s="10">
        <f t="shared" si="0"/>
        <v>1238700</v>
      </c>
      <c r="I49" s="4"/>
      <c r="J49" s="248">
        <f>'App.2-B_Fixed Asset 2011'!M49</f>
        <v>-794694</v>
      </c>
      <c r="K49" s="246">
        <v>-40294</v>
      </c>
      <c r="L49" s="246"/>
      <c r="M49" s="10">
        <f>J49+K49+L49</f>
        <v>-834988</v>
      </c>
      <c r="N49" s="11">
        <f t="shared" si="2"/>
        <v>403712</v>
      </c>
    </row>
    <row r="50" spans="1:15" x14ac:dyDescent="0.2">
      <c r="A50" s="347">
        <v>47</v>
      </c>
      <c r="B50" s="347">
        <v>1985</v>
      </c>
      <c r="C50" s="353" t="s">
        <v>437</v>
      </c>
      <c r="D50" s="215"/>
      <c r="E50" s="246">
        <f>'App.2-B_Fixed Asset 2011'!H50</f>
        <v>0</v>
      </c>
      <c r="F50" s="436"/>
      <c r="G50" s="246"/>
      <c r="H50" s="10">
        <f t="shared" si="0"/>
        <v>0</v>
      </c>
      <c r="I50" s="4"/>
      <c r="J50" s="248">
        <f>'App.2-B_Fixed Asset 2011'!M50</f>
        <v>0</v>
      </c>
      <c r="K50" s="246"/>
      <c r="L50" s="246"/>
      <c r="M50" s="10">
        <f t="shared" si="1"/>
        <v>0</v>
      </c>
      <c r="N50" s="11">
        <f t="shared" si="2"/>
        <v>0</v>
      </c>
    </row>
    <row r="51" spans="1:15" x14ac:dyDescent="0.2">
      <c r="A51" s="347">
        <v>47</v>
      </c>
      <c r="B51" s="347">
        <v>1995</v>
      </c>
      <c r="C51" s="353" t="s">
        <v>438</v>
      </c>
      <c r="D51" s="215"/>
      <c r="E51" s="246">
        <f>'App.2-B_Fixed Asset 2011'!H51</f>
        <v>-6487773</v>
      </c>
      <c r="F51" s="436">
        <v>-491240</v>
      </c>
      <c r="G51" s="246"/>
      <c r="H51" s="10">
        <f t="shared" si="0"/>
        <v>-6979013</v>
      </c>
      <c r="I51" s="4"/>
      <c r="J51" s="248">
        <f>'App.2-B_Fixed Asset 2011'!M51</f>
        <v>1412859</v>
      </c>
      <c r="K51" s="246">
        <v>270579</v>
      </c>
      <c r="L51" s="246"/>
      <c r="M51" s="10">
        <f t="shared" si="1"/>
        <v>1683438</v>
      </c>
      <c r="N51" s="11">
        <f t="shared" si="2"/>
        <v>-5295575</v>
      </c>
      <c r="O51" s="841"/>
    </row>
    <row r="52" spans="1:15" ht="25.5" x14ac:dyDescent="0.2">
      <c r="A52" s="5"/>
      <c r="B52" s="347">
        <v>1970</v>
      </c>
      <c r="C52" s="354" t="s">
        <v>864</v>
      </c>
      <c r="D52" s="215"/>
      <c r="E52" s="246">
        <f>'App.2-B_Fixed Asset 2011'!H52</f>
        <v>464917</v>
      </c>
      <c r="F52" s="436"/>
      <c r="G52" s="246"/>
      <c r="H52" s="10">
        <f t="shared" si="0"/>
        <v>464917</v>
      </c>
      <c r="J52" s="248">
        <f>'App.2-B_Fixed Asset 2011'!M52</f>
        <v>-464917</v>
      </c>
      <c r="K52" s="246">
        <v>0</v>
      </c>
      <c r="L52" s="246"/>
      <c r="M52" s="10">
        <f t="shared" si="1"/>
        <v>-464917</v>
      </c>
      <c r="N52" s="11">
        <f t="shared" si="2"/>
        <v>0</v>
      </c>
    </row>
    <row r="53" spans="1:15" x14ac:dyDescent="0.2">
      <c r="A53" s="5"/>
      <c r="B53" s="5">
        <v>1990</v>
      </c>
      <c r="C53" s="168" t="s">
        <v>982</v>
      </c>
      <c r="D53" s="215"/>
      <c r="E53" s="246">
        <f>'App.2-B_Fixed Asset 2011'!H53</f>
        <v>567497</v>
      </c>
      <c r="F53" s="436"/>
      <c r="G53" s="247"/>
      <c r="H53" s="10">
        <f t="shared" si="0"/>
        <v>567497</v>
      </c>
      <c r="J53" s="248">
        <f>'App.2-B_Fixed Asset 2011'!M53</f>
        <v>0</v>
      </c>
      <c r="K53" s="247"/>
      <c r="L53" s="247"/>
      <c r="M53" s="10">
        <f t="shared" si="1"/>
        <v>0</v>
      </c>
      <c r="N53" s="11">
        <f t="shared" si="2"/>
        <v>567497</v>
      </c>
    </row>
    <row r="54" spans="1:15" x14ac:dyDescent="0.2">
      <c r="A54" s="5"/>
      <c r="B54" s="5"/>
      <c r="C54" s="9" t="s">
        <v>439</v>
      </c>
      <c r="D54" s="9"/>
      <c r="E54" s="14">
        <f>SUM(E16:E53)</f>
        <v>106146634</v>
      </c>
      <c r="F54" s="14">
        <f t="shared" ref="F54:H54" si="3">SUM(F16:F53)</f>
        <v>10373271</v>
      </c>
      <c r="G54" s="14">
        <f t="shared" si="3"/>
        <v>1864170</v>
      </c>
      <c r="H54" s="14">
        <f t="shared" si="3"/>
        <v>118384075</v>
      </c>
      <c r="I54" s="14"/>
      <c r="J54" s="14">
        <f>SUM(J16:J53)</f>
        <v>-63703503</v>
      </c>
      <c r="K54" s="14">
        <f t="shared" ref="K54:N54" si="4">SUM(K16:K53)</f>
        <v>-4729669</v>
      </c>
      <c r="L54" s="14">
        <f t="shared" si="4"/>
        <v>2838896</v>
      </c>
      <c r="M54" s="14">
        <f t="shared" si="4"/>
        <v>-65594276</v>
      </c>
      <c r="N54" s="14">
        <f t="shared" si="4"/>
        <v>52789799</v>
      </c>
    </row>
    <row r="55" spans="1:15" x14ac:dyDescent="0.2">
      <c r="I55"/>
    </row>
    <row r="56" spans="1:15" x14ac:dyDescent="0.2">
      <c r="D56" s="3"/>
      <c r="E56" s="922" t="s">
        <v>977</v>
      </c>
      <c r="F56" s="856">
        <f>-F51</f>
        <v>491240</v>
      </c>
      <c r="N56" s="841"/>
    </row>
    <row r="57" spans="1:15" x14ac:dyDescent="0.2">
      <c r="A57" s="924"/>
      <c r="B57" s="924"/>
      <c r="D57" s="3"/>
      <c r="E57" s="922" t="s">
        <v>978</v>
      </c>
      <c r="F57" s="858">
        <f>-F53</f>
        <v>0</v>
      </c>
      <c r="G57" s="169"/>
    </row>
    <row r="58" spans="1:15" x14ac:dyDescent="0.2">
      <c r="A58" s="924"/>
      <c r="B58" s="924"/>
      <c r="E58" s="922" t="s">
        <v>981</v>
      </c>
      <c r="F58" s="856">
        <f>SUM(F54:F57)</f>
        <v>10864511</v>
      </c>
    </row>
    <row r="59" spans="1:15" x14ac:dyDescent="0.2">
      <c r="E59" s="925" t="s">
        <v>979</v>
      </c>
      <c r="F59" s="857">
        <v>-472126</v>
      </c>
    </row>
    <row r="60" spans="1:15" x14ac:dyDescent="0.2">
      <c r="A60" s="924"/>
      <c r="B60" s="924"/>
      <c r="E60" s="925" t="s">
        <v>988</v>
      </c>
      <c r="F60" s="857">
        <v>19</v>
      </c>
    </row>
    <row r="61" spans="1:15" x14ac:dyDescent="0.2">
      <c r="E61" s="922" t="s">
        <v>980</v>
      </c>
      <c r="F61" s="857">
        <v>0</v>
      </c>
    </row>
    <row r="62" spans="1:15" ht="13.5" thickBot="1" x14ac:dyDescent="0.25">
      <c r="A62" s="924"/>
      <c r="B62" s="924"/>
      <c r="E62" s="927" t="s">
        <v>987</v>
      </c>
      <c r="F62" s="855">
        <f>SUM(F58:F61)</f>
        <v>10392404</v>
      </c>
      <c r="G62" s="169"/>
    </row>
    <row r="63" spans="1:15" ht="13.5" thickTop="1" x14ac:dyDescent="0.2">
      <c r="A63" s="924"/>
      <c r="B63" s="924"/>
      <c r="F63" s="857"/>
    </row>
    <row r="64" spans="1:15" x14ac:dyDescent="0.2">
      <c r="A64" s="155" t="s">
        <v>16</v>
      </c>
      <c r="F64" s="752"/>
    </row>
    <row r="65" spans="1:14" x14ac:dyDescent="0.2">
      <c r="K65" s="884"/>
    </row>
    <row r="66" spans="1:14" x14ac:dyDescent="0.2">
      <c r="A66" s="1">
        <v>1</v>
      </c>
      <c r="B66" s="1263" t="s">
        <v>337</v>
      </c>
      <c r="C66" s="1263"/>
      <c r="D66" s="1263"/>
      <c r="E66" s="1263"/>
      <c r="F66" s="1263"/>
      <c r="G66" s="1263"/>
      <c r="H66" s="1263"/>
      <c r="I66" s="1263"/>
      <c r="J66" s="1263"/>
      <c r="K66" s="1263"/>
      <c r="L66" s="1263"/>
      <c r="M66" s="1263"/>
      <c r="N66" s="1263"/>
    </row>
    <row r="67" spans="1:14" x14ac:dyDescent="0.2">
      <c r="B67" s="1263"/>
      <c r="C67" s="1263"/>
      <c r="D67" s="1263"/>
      <c r="E67" s="1263"/>
      <c r="F67" s="1263"/>
      <c r="G67" s="1263"/>
      <c r="H67" s="1263"/>
      <c r="I67" s="1263"/>
      <c r="J67" s="1263"/>
      <c r="K67" s="1263"/>
      <c r="L67" s="1263"/>
      <c r="M67" s="1263"/>
      <c r="N67" s="1263"/>
    </row>
    <row r="68" spans="1:14" ht="12.75" customHeight="1" x14ac:dyDescent="0.2"/>
    <row r="69" spans="1:14" x14ac:dyDescent="0.2">
      <c r="A69" s="1">
        <v>2</v>
      </c>
      <c r="B69" s="1267" t="s">
        <v>66</v>
      </c>
      <c r="C69" s="1267"/>
      <c r="D69" s="1267"/>
      <c r="E69" s="1267"/>
      <c r="F69" s="1267"/>
      <c r="G69" s="1267"/>
      <c r="H69" s="1267"/>
      <c r="I69" s="1267"/>
      <c r="J69" s="1267"/>
      <c r="K69" s="1267"/>
      <c r="L69" s="1267"/>
      <c r="M69" s="1267"/>
      <c r="N69" s="1267"/>
    </row>
    <row r="70" spans="1:14" x14ac:dyDescent="0.2">
      <c r="B70" s="1267"/>
      <c r="C70" s="1267"/>
      <c r="D70" s="1267"/>
      <c r="E70" s="1267"/>
      <c r="F70" s="1267"/>
      <c r="G70" s="1267"/>
      <c r="H70" s="1267"/>
      <c r="I70" s="1267"/>
      <c r="J70" s="1267"/>
      <c r="K70" s="1267"/>
      <c r="L70" s="1267"/>
      <c r="M70" s="1267"/>
      <c r="N70" s="1267"/>
    </row>
    <row r="72" spans="1:14" x14ac:dyDescent="0.2">
      <c r="A72" s="1">
        <v>3</v>
      </c>
      <c r="B72" s="1242" t="s">
        <v>341</v>
      </c>
      <c r="C72" s="1242"/>
      <c r="D72" s="1242"/>
      <c r="E72" s="1242"/>
      <c r="F72" s="1242"/>
      <c r="G72" s="1242"/>
      <c r="H72" s="1242"/>
      <c r="I72" s="1242"/>
      <c r="J72" s="1242"/>
      <c r="K72" s="1242"/>
      <c r="L72" s="1242"/>
      <c r="M72" s="1242"/>
      <c r="N72" s="1242"/>
    </row>
    <row r="74" spans="1:14" x14ac:dyDescent="0.2">
      <c r="A74" s="1">
        <v>4</v>
      </c>
      <c r="B74" s="798" t="s">
        <v>648</v>
      </c>
    </row>
  </sheetData>
  <mergeCells count="6">
    <mergeCell ref="B72:N72"/>
    <mergeCell ref="A9:N9"/>
    <mergeCell ref="A10:N10"/>
    <mergeCell ref="E14:H14"/>
    <mergeCell ref="B66:N67"/>
    <mergeCell ref="B69:N70"/>
  </mergeCells>
  <printOptions horizontalCentered="1"/>
  <pageMargins left="0.5" right="0.5" top="0.5" bottom="0.5" header="0.511811023622047" footer="0.511811023622047"/>
  <pageSetup scale="58" orientation="landscape" r:id="rId1"/>
  <headerFooter alignWithMargins="0"/>
  <rowBreaks count="1" manualBreakCount="1">
    <brk id="62"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R89"/>
  <sheetViews>
    <sheetView showGridLines="0" topLeftCell="A4" zoomScale="95" zoomScaleNormal="95" workbookViewId="0">
      <selection activeCell="A4" sqref="A1:XFD1048576"/>
    </sheetView>
  </sheetViews>
  <sheetFormatPr defaultRowHeight="12.75" x14ac:dyDescent="0.2"/>
  <cols>
    <col min="1" max="1" width="7.7109375" style="1" customWidth="1"/>
    <col min="2" max="2" width="6.42578125" style="1" customWidth="1"/>
    <col min="3" max="3" width="37.85546875" customWidth="1"/>
    <col min="4" max="4" width="14.5703125" customWidth="1"/>
    <col min="5" max="5" width="17.42578125" customWidth="1"/>
    <col min="6" max="6" width="13" customWidth="1"/>
    <col min="7" max="7" width="13.28515625" bestFit="1" customWidth="1"/>
    <col min="8" max="8" width="14.140625" bestFit="1" customWidth="1"/>
    <col min="9" max="9" width="1.7109375" style="3" customWidth="1"/>
    <col min="10" max="10" width="14.28515625" customWidth="1"/>
    <col min="11" max="11" width="13.42578125" customWidth="1"/>
    <col min="12" max="12" width="12.85546875" bestFit="1" customWidth="1"/>
    <col min="13" max="13" width="14.5703125" bestFit="1" customWidth="1"/>
    <col min="14" max="14" width="14.140625" bestFit="1" customWidth="1"/>
    <col min="16" max="16" width="11.85546875" bestFit="1" customWidth="1"/>
    <col min="17" max="17" width="12.85546875" bestFit="1" customWidth="1"/>
    <col min="18" max="18" width="11.85546875" bestFit="1" customWidth="1"/>
  </cols>
  <sheetData>
    <row r="1" spans="1:18" x14ac:dyDescent="0.2">
      <c r="M1" s="16" t="s">
        <v>444</v>
      </c>
      <c r="N1" s="250" t="str">
        <f>'LDC Info'!$E$18</f>
        <v>EB-2012-0107</v>
      </c>
    </row>
    <row r="2" spans="1:18" x14ac:dyDescent="0.2">
      <c r="M2" s="16" t="s">
        <v>445</v>
      </c>
      <c r="N2" s="251">
        <v>2</v>
      </c>
    </row>
    <row r="3" spans="1:18" x14ac:dyDescent="0.2">
      <c r="M3" s="16" t="s">
        <v>446</v>
      </c>
      <c r="N3" s="251">
        <v>3</v>
      </c>
    </row>
    <row r="4" spans="1:18" x14ac:dyDescent="0.2">
      <c r="M4" s="16" t="s">
        <v>447</v>
      </c>
      <c r="N4" s="251">
        <v>2</v>
      </c>
    </row>
    <row r="5" spans="1:18" x14ac:dyDescent="0.2">
      <c r="M5" s="16" t="s">
        <v>1036</v>
      </c>
      <c r="N5" s="252">
        <v>2</v>
      </c>
    </row>
    <row r="6" spans="1:18" ht="9" customHeight="1" x14ac:dyDescent="0.2">
      <c r="M6" s="16"/>
      <c r="N6" s="250"/>
    </row>
    <row r="7" spans="1:18" x14ac:dyDescent="0.2">
      <c r="M7" s="16" t="s">
        <v>449</v>
      </c>
      <c r="N7" s="934">
        <v>41200</v>
      </c>
    </row>
    <row r="8" spans="1:18" ht="9" customHeight="1" x14ac:dyDescent="0.2"/>
    <row r="9" spans="1:18" ht="20.25" customHeight="1" x14ac:dyDescent="0.2">
      <c r="A9" s="1262" t="s">
        <v>55</v>
      </c>
      <c r="B9" s="1262"/>
      <c r="C9" s="1262"/>
      <c r="D9" s="1262"/>
      <c r="E9" s="1262"/>
      <c r="F9" s="1262"/>
      <c r="G9" s="1262"/>
      <c r="H9" s="1262"/>
      <c r="I9" s="1262"/>
      <c r="J9" s="1262"/>
      <c r="K9" s="1262"/>
      <c r="L9" s="1262"/>
      <c r="M9" s="1262"/>
      <c r="N9" s="1262"/>
    </row>
    <row r="10" spans="1:18" ht="18" x14ac:dyDescent="0.2">
      <c r="A10" s="1262" t="s">
        <v>441</v>
      </c>
      <c r="B10" s="1262"/>
      <c r="C10" s="1262"/>
      <c r="D10" s="1262"/>
      <c r="E10" s="1262"/>
      <c r="F10" s="1262"/>
      <c r="G10" s="1262"/>
      <c r="H10" s="1262"/>
      <c r="I10" s="1262"/>
      <c r="J10" s="1262"/>
      <c r="K10" s="1262"/>
      <c r="L10" s="1262"/>
      <c r="M10" s="1262"/>
      <c r="N10" s="1262"/>
    </row>
    <row r="12" spans="1:18" ht="15" x14ac:dyDescent="0.25">
      <c r="C12" s="148"/>
      <c r="F12" s="151" t="s">
        <v>173</v>
      </c>
      <c r="G12" s="326" t="s">
        <v>915</v>
      </c>
      <c r="H12" s="6"/>
    </row>
    <row r="14" spans="1:18" x14ac:dyDescent="0.2">
      <c r="D14" s="15"/>
      <c r="E14" s="1264" t="s">
        <v>405</v>
      </c>
      <c r="F14" s="1265"/>
      <c r="G14" s="1265"/>
      <c r="H14" s="1266"/>
      <c r="J14" s="181"/>
      <c r="K14" s="180" t="s">
        <v>406</v>
      </c>
      <c r="L14" s="180"/>
      <c r="M14" s="182"/>
      <c r="N14" s="3"/>
    </row>
    <row r="15" spans="1:18" ht="38.25" x14ac:dyDescent="0.2">
      <c r="A15" s="799" t="s">
        <v>393</v>
      </c>
      <c r="B15" s="174" t="s">
        <v>394</v>
      </c>
      <c r="C15" s="175" t="s">
        <v>395</v>
      </c>
      <c r="D15" s="799" t="s">
        <v>440</v>
      </c>
      <c r="E15" s="799" t="s">
        <v>1024</v>
      </c>
      <c r="F15" s="174" t="s">
        <v>397</v>
      </c>
      <c r="G15" s="952" t="s">
        <v>1026</v>
      </c>
      <c r="H15" s="799" t="s">
        <v>1025</v>
      </c>
      <c r="I15" s="176"/>
      <c r="J15" s="177" t="s">
        <v>1024</v>
      </c>
      <c r="K15" s="178" t="s">
        <v>397</v>
      </c>
      <c r="L15" s="179" t="s">
        <v>1026</v>
      </c>
      <c r="M15" s="179" t="s">
        <v>1025</v>
      </c>
      <c r="N15" s="799" t="s">
        <v>443</v>
      </c>
    </row>
    <row r="16" spans="1:18" ht="25.5" x14ac:dyDescent="0.2">
      <c r="A16" s="347">
        <v>12</v>
      </c>
      <c r="B16" s="347">
        <v>1611</v>
      </c>
      <c r="C16" s="351" t="s">
        <v>548</v>
      </c>
      <c r="D16" s="215"/>
      <c r="E16" s="246">
        <f>'App.2-B_Fixed Asset 2011'!H16</f>
        <v>9500884</v>
      </c>
      <c r="F16" s="435">
        <v>2012306</v>
      </c>
      <c r="G16" s="246">
        <f>J16+3129969</f>
        <v>-2877159</v>
      </c>
      <c r="H16" s="10">
        <f>E16+F16+G16</f>
        <v>8636031</v>
      </c>
      <c r="I16" s="4"/>
      <c r="J16" s="248">
        <f>'App.2-B_Fixed Asset 2011'!M16</f>
        <v>-6007128</v>
      </c>
      <c r="K16" s="246">
        <v>-1501021</v>
      </c>
      <c r="L16" s="246">
        <f>-J16-630257</f>
        <v>5376871</v>
      </c>
      <c r="M16" s="10">
        <f>J16+K16+L16</f>
        <v>-2131278</v>
      </c>
      <c r="N16" s="11">
        <f>H16+M16</f>
        <v>6504753</v>
      </c>
      <c r="P16" s="752"/>
      <c r="Q16" s="752"/>
      <c r="R16" s="752"/>
    </row>
    <row r="17" spans="1:18" ht="25.5" x14ac:dyDescent="0.2">
      <c r="A17" s="347" t="s">
        <v>415</v>
      </c>
      <c r="B17" s="347">
        <v>1612</v>
      </c>
      <c r="C17" s="351" t="s">
        <v>702</v>
      </c>
      <c r="D17" s="215"/>
      <c r="E17" s="246">
        <f>'App.2-B_Fixed Asset 2011'!H17</f>
        <v>283160</v>
      </c>
      <c r="F17" s="436"/>
      <c r="G17" s="246">
        <f>J17</f>
        <v>-267342</v>
      </c>
      <c r="H17" s="10">
        <f>E17+F17+G17</f>
        <v>15818</v>
      </c>
      <c r="I17" s="4"/>
      <c r="J17" s="248">
        <f>'App.2-B_Fixed Asset 2011'!M17</f>
        <v>-267342</v>
      </c>
      <c r="K17" s="246">
        <v>-1217</v>
      </c>
      <c r="L17" s="246">
        <f t="shared" ref="L17:L53" si="0">-J17</f>
        <v>267342</v>
      </c>
      <c r="M17" s="10">
        <f>J17+K17+L17</f>
        <v>-1217</v>
      </c>
      <c r="N17" s="11">
        <f>H17+M17</f>
        <v>14601</v>
      </c>
      <c r="P17" s="752"/>
    </row>
    <row r="18" spans="1:18" x14ac:dyDescent="0.2">
      <c r="A18" s="348" t="s">
        <v>407</v>
      </c>
      <c r="B18" s="348">
        <v>1805</v>
      </c>
      <c r="C18" s="352" t="s">
        <v>408</v>
      </c>
      <c r="D18" s="215"/>
      <c r="E18" s="246">
        <f>'App.2-B_Fixed Asset 2011'!H18</f>
        <v>497489</v>
      </c>
      <c r="F18" s="436"/>
      <c r="G18" s="246">
        <f t="shared" ref="G18:G53" si="1">J18</f>
        <v>0</v>
      </c>
      <c r="H18" s="10">
        <f>E18+F18+G18</f>
        <v>497489</v>
      </c>
      <c r="I18" s="4"/>
      <c r="J18" s="248">
        <f>'App.2-B_Fixed Asset 2011'!M18</f>
        <v>0</v>
      </c>
      <c r="K18" s="246"/>
      <c r="L18" s="246">
        <f t="shared" si="0"/>
        <v>0</v>
      </c>
      <c r="M18" s="10">
        <f>J18+K18+L18</f>
        <v>0</v>
      </c>
      <c r="N18" s="11">
        <f>H18+M18</f>
        <v>497489</v>
      </c>
      <c r="P18" s="752"/>
    </row>
    <row r="19" spans="1:18" x14ac:dyDescent="0.2">
      <c r="A19" s="347">
        <v>47</v>
      </c>
      <c r="B19" s="347">
        <v>1808</v>
      </c>
      <c r="C19" s="353" t="s">
        <v>409</v>
      </c>
      <c r="D19" s="215"/>
      <c r="E19" s="246">
        <f>'App.2-B_Fixed Asset 2011'!H19</f>
        <v>0</v>
      </c>
      <c r="F19" s="436"/>
      <c r="G19" s="246">
        <f t="shared" si="1"/>
        <v>0</v>
      </c>
      <c r="H19" s="10">
        <f t="shared" ref="H19:H53" si="2">E19+F19+G19</f>
        <v>0</v>
      </c>
      <c r="I19" s="4"/>
      <c r="J19" s="248">
        <f>'App.2-B_Fixed Asset 2011'!M19</f>
        <v>0</v>
      </c>
      <c r="K19" s="246"/>
      <c r="L19" s="246">
        <f t="shared" si="0"/>
        <v>0</v>
      </c>
      <c r="M19" s="10">
        <f t="shared" ref="M19:M53" si="3">J19+K19+L19</f>
        <v>0</v>
      </c>
      <c r="N19" s="11">
        <f t="shared" ref="N19:N53" si="4">H19+M19</f>
        <v>0</v>
      </c>
      <c r="P19" s="752"/>
    </row>
    <row r="20" spans="1:18" x14ac:dyDescent="0.2">
      <c r="A20" s="347">
        <v>13</v>
      </c>
      <c r="B20" s="347">
        <v>1810</v>
      </c>
      <c r="C20" s="353" t="s">
        <v>442</v>
      </c>
      <c r="D20" s="215"/>
      <c r="E20" s="246">
        <f>'App.2-B_Fixed Asset 2011'!H20</f>
        <v>0</v>
      </c>
      <c r="F20" s="436"/>
      <c r="G20" s="246">
        <f t="shared" si="1"/>
        <v>0</v>
      </c>
      <c r="H20" s="10">
        <f t="shared" si="2"/>
        <v>0</v>
      </c>
      <c r="I20" s="4"/>
      <c r="J20" s="248">
        <f>'App.2-B_Fixed Asset 2011'!M20</f>
        <v>0</v>
      </c>
      <c r="K20" s="246"/>
      <c r="L20" s="246">
        <f t="shared" si="0"/>
        <v>0</v>
      </c>
      <c r="M20" s="10">
        <f t="shared" si="3"/>
        <v>0</v>
      </c>
      <c r="N20" s="11">
        <f t="shared" si="4"/>
        <v>0</v>
      </c>
      <c r="P20" s="752"/>
    </row>
    <row r="21" spans="1:18" x14ac:dyDescent="0.2">
      <c r="A21" s="347">
        <v>47</v>
      </c>
      <c r="B21" s="347">
        <v>1815</v>
      </c>
      <c r="C21" s="353" t="s">
        <v>410</v>
      </c>
      <c r="D21" s="215"/>
      <c r="E21" s="246">
        <f>'App.2-B_Fixed Asset 2011'!H21</f>
        <v>0</v>
      </c>
      <c r="F21" s="436"/>
      <c r="G21" s="246">
        <f t="shared" si="1"/>
        <v>0</v>
      </c>
      <c r="H21" s="10">
        <f t="shared" si="2"/>
        <v>0</v>
      </c>
      <c r="I21" s="4"/>
      <c r="J21" s="248">
        <f>'App.2-B_Fixed Asset 2011'!M21</f>
        <v>0</v>
      </c>
      <c r="K21" s="246"/>
      <c r="L21" s="246">
        <f t="shared" si="0"/>
        <v>0</v>
      </c>
      <c r="M21" s="10">
        <f t="shared" si="3"/>
        <v>0</v>
      </c>
      <c r="N21" s="11">
        <f t="shared" si="4"/>
        <v>0</v>
      </c>
      <c r="P21" s="752"/>
    </row>
    <row r="22" spans="1:18" x14ac:dyDescent="0.2">
      <c r="A22" s="347">
        <v>47</v>
      </c>
      <c r="B22" s="347">
        <v>1820</v>
      </c>
      <c r="C22" s="354" t="s">
        <v>356</v>
      </c>
      <c r="D22" s="215"/>
      <c r="E22" s="246">
        <f>'App.2-B_Fixed Asset 2011'!H22</f>
        <v>6455582</v>
      </c>
      <c r="F22" s="436">
        <v>301888</v>
      </c>
      <c r="G22" s="246">
        <f>J22</f>
        <v>-3215427</v>
      </c>
      <c r="H22" s="10">
        <f t="shared" si="2"/>
        <v>3542043</v>
      </c>
      <c r="I22" s="4"/>
      <c r="J22" s="248">
        <f>'App.2-B_Fixed Asset 2011'!M22</f>
        <v>-3215427</v>
      </c>
      <c r="K22" s="246">
        <v>-192435</v>
      </c>
      <c r="L22" s="246">
        <f t="shared" si="0"/>
        <v>3215427</v>
      </c>
      <c r="M22" s="10">
        <f t="shared" si="3"/>
        <v>-192435</v>
      </c>
      <c r="N22" s="11">
        <f t="shared" si="4"/>
        <v>3349608</v>
      </c>
      <c r="P22" s="752"/>
    </row>
    <row r="23" spans="1:18" x14ac:dyDescent="0.2">
      <c r="A23" s="347">
        <v>47</v>
      </c>
      <c r="B23" s="347">
        <v>1825</v>
      </c>
      <c r="C23" s="353" t="s">
        <v>411</v>
      </c>
      <c r="D23" s="215"/>
      <c r="E23" s="246">
        <f>'App.2-B_Fixed Asset 2011'!H23</f>
        <v>0</v>
      </c>
      <c r="F23" s="436"/>
      <c r="G23" s="246">
        <f t="shared" si="1"/>
        <v>0</v>
      </c>
      <c r="H23" s="10">
        <f t="shared" si="2"/>
        <v>0</v>
      </c>
      <c r="I23" s="4"/>
      <c r="J23" s="248">
        <f>'App.2-B_Fixed Asset 2011'!M23</f>
        <v>0</v>
      </c>
      <c r="K23" s="246"/>
      <c r="L23" s="246">
        <f t="shared" si="0"/>
        <v>0</v>
      </c>
      <c r="M23" s="10">
        <f t="shared" si="3"/>
        <v>0</v>
      </c>
      <c r="N23" s="11">
        <f t="shared" si="4"/>
        <v>0</v>
      </c>
      <c r="P23" s="752"/>
    </row>
    <row r="24" spans="1:18" x14ac:dyDescent="0.2">
      <c r="A24" s="347">
        <v>47</v>
      </c>
      <c r="B24" s="347">
        <v>1830</v>
      </c>
      <c r="C24" s="353" t="s">
        <v>412</v>
      </c>
      <c r="D24" s="215"/>
      <c r="E24" s="246">
        <f>'App.2-B_Fixed Asset 2011'!H24</f>
        <v>2257678</v>
      </c>
      <c r="F24" s="436">
        <v>985044</v>
      </c>
      <c r="G24" s="246">
        <f>J24-383893</f>
        <v>-629289</v>
      </c>
      <c r="H24" s="10">
        <f t="shared" si="2"/>
        <v>2613433</v>
      </c>
      <c r="I24" s="4"/>
      <c r="J24" s="248">
        <f>'App.2-B_Fixed Asset 2011'!M24</f>
        <v>-245396</v>
      </c>
      <c r="K24" s="246">
        <v>-49209</v>
      </c>
      <c r="L24" s="246">
        <f t="shared" si="0"/>
        <v>245396</v>
      </c>
      <c r="M24" s="10">
        <f t="shared" si="3"/>
        <v>-49209</v>
      </c>
      <c r="N24" s="11">
        <f t="shared" si="4"/>
        <v>2564224</v>
      </c>
      <c r="P24" s="752"/>
    </row>
    <row r="25" spans="1:18" x14ac:dyDescent="0.2">
      <c r="A25" s="347">
        <v>47</v>
      </c>
      <c r="B25" s="347">
        <v>1835</v>
      </c>
      <c r="C25" s="353" t="s">
        <v>357</v>
      </c>
      <c r="D25" s="215"/>
      <c r="E25" s="246">
        <f>'App.2-B_Fixed Asset 2011'!H25</f>
        <v>27485935</v>
      </c>
      <c r="F25" s="436">
        <v>810478</v>
      </c>
      <c r="G25" s="246">
        <f>J25-1327678</f>
        <v>-18694500</v>
      </c>
      <c r="H25" s="10">
        <f t="shared" si="2"/>
        <v>9601913</v>
      </c>
      <c r="I25" s="4"/>
      <c r="J25" s="248">
        <f>'App.2-B_Fixed Asset 2011'!M25</f>
        <v>-17366822</v>
      </c>
      <c r="K25" s="246">
        <v>-271963</v>
      </c>
      <c r="L25" s="246">
        <f t="shared" si="0"/>
        <v>17366822</v>
      </c>
      <c r="M25" s="10">
        <f t="shared" si="3"/>
        <v>-271963</v>
      </c>
      <c r="N25" s="11">
        <f t="shared" si="4"/>
        <v>9329950</v>
      </c>
      <c r="P25" s="752"/>
    </row>
    <row r="26" spans="1:18" x14ac:dyDescent="0.2">
      <c r="A26" s="347">
        <v>47</v>
      </c>
      <c r="B26" s="347">
        <v>1840</v>
      </c>
      <c r="C26" s="353" t="s">
        <v>358</v>
      </c>
      <c r="D26" s="215"/>
      <c r="E26" s="246">
        <f>'App.2-B_Fixed Asset 2011'!H26</f>
        <v>1150356</v>
      </c>
      <c r="F26" s="436">
        <v>127029</v>
      </c>
      <c r="G26" s="246">
        <f>J26-246510</f>
        <v>-352303</v>
      </c>
      <c r="H26" s="10">
        <f t="shared" si="2"/>
        <v>925082</v>
      </c>
      <c r="I26" s="4"/>
      <c r="J26" s="248">
        <f>'App.2-B_Fixed Asset 2011'!M26</f>
        <v>-105793</v>
      </c>
      <c r="K26" s="246">
        <v>-17358</v>
      </c>
      <c r="L26" s="246">
        <f t="shared" si="0"/>
        <v>105793</v>
      </c>
      <c r="M26" s="10">
        <f t="shared" si="3"/>
        <v>-17358</v>
      </c>
      <c r="N26" s="11">
        <f t="shared" si="4"/>
        <v>907724</v>
      </c>
      <c r="P26" s="752"/>
    </row>
    <row r="27" spans="1:18" x14ac:dyDescent="0.2">
      <c r="A27" s="347">
        <v>47</v>
      </c>
      <c r="B27" s="347">
        <v>1845</v>
      </c>
      <c r="C27" s="353" t="s">
        <v>359</v>
      </c>
      <c r="D27" s="215"/>
      <c r="E27" s="246">
        <f>'App.2-B_Fixed Asset 2011'!H27</f>
        <v>20300059</v>
      </c>
      <c r="F27" s="436">
        <v>915874</v>
      </c>
      <c r="G27" s="246">
        <f>J27-1634926</f>
        <v>-13609036</v>
      </c>
      <c r="H27" s="10">
        <f t="shared" si="2"/>
        <v>7606897</v>
      </c>
      <c r="I27" s="4"/>
      <c r="J27" s="248">
        <f>'App.2-B_Fixed Asset 2011'!M27</f>
        <v>-11974110</v>
      </c>
      <c r="K27" s="246">
        <v>-323912.58310400031</v>
      </c>
      <c r="L27" s="246">
        <f t="shared" si="0"/>
        <v>11974110</v>
      </c>
      <c r="M27" s="10">
        <f t="shared" si="3"/>
        <v>-323912.5831039995</v>
      </c>
      <c r="N27" s="11">
        <f t="shared" si="4"/>
        <v>7282984.4168960005</v>
      </c>
      <c r="P27" s="752"/>
    </row>
    <row r="28" spans="1:18" x14ac:dyDescent="0.2">
      <c r="A28" s="347">
        <v>47</v>
      </c>
      <c r="B28" s="347">
        <v>1850</v>
      </c>
      <c r="C28" s="353" t="s">
        <v>413</v>
      </c>
      <c r="D28" s="215"/>
      <c r="E28" s="246">
        <f>'App.2-B_Fixed Asset 2011'!H28</f>
        <v>15367543</v>
      </c>
      <c r="F28" s="436">
        <v>715088</v>
      </c>
      <c r="G28" s="246">
        <f>J28-1204709</f>
        <v>-9754473</v>
      </c>
      <c r="H28" s="10">
        <f t="shared" si="2"/>
        <v>6328158</v>
      </c>
      <c r="I28" s="4"/>
      <c r="J28" s="248">
        <f>'App.2-B_Fixed Asset 2011'!M28</f>
        <v>-8549764</v>
      </c>
      <c r="K28" s="246">
        <v>-195949.44835417726</v>
      </c>
      <c r="L28" s="246">
        <f t="shared" si="0"/>
        <v>8549764</v>
      </c>
      <c r="M28" s="10">
        <f t="shared" si="3"/>
        <v>-195949.44835417718</v>
      </c>
      <c r="N28" s="11">
        <f t="shared" si="4"/>
        <v>6132208.5516458228</v>
      </c>
      <c r="P28" s="752"/>
    </row>
    <row r="29" spans="1:18" x14ac:dyDescent="0.2">
      <c r="A29" s="347">
        <v>47</v>
      </c>
      <c r="B29" s="347">
        <v>1855</v>
      </c>
      <c r="C29" s="353" t="s">
        <v>360</v>
      </c>
      <c r="D29" s="215"/>
      <c r="E29" s="246">
        <f>'App.2-B_Fixed Asset 2011'!H29</f>
        <v>555088</v>
      </c>
      <c r="F29" s="436">
        <v>43116</v>
      </c>
      <c r="G29" s="246">
        <f>J29-127480</f>
        <v>-184605</v>
      </c>
      <c r="H29" s="10">
        <f t="shared" si="2"/>
        <v>413599</v>
      </c>
      <c r="I29" s="4"/>
      <c r="J29" s="248">
        <f>'App.2-B_Fixed Asset 2011'!M29</f>
        <v>-57125</v>
      </c>
      <c r="K29" s="246">
        <v>-17370.68283787879</v>
      </c>
      <c r="L29" s="246">
        <f t="shared" si="0"/>
        <v>57125</v>
      </c>
      <c r="M29" s="10">
        <f t="shared" si="3"/>
        <v>-17370.68283787879</v>
      </c>
      <c r="N29" s="11">
        <f t="shared" si="4"/>
        <v>396228.31716212118</v>
      </c>
      <c r="P29" s="752"/>
    </row>
    <row r="30" spans="1:18" x14ac:dyDescent="0.2">
      <c r="A30" s="347">
        <v>47</v>
      </c>
      <c r="B30" s="347">
        <v>1860</v>
      </c>
      <c r="C30" s="353" t="s">
        <v>414</v>
      </c>
      <c r="D30" s="215"/>
      <c r="E30" s="246">
        <f>'App.2-B_Fixed Asset 2011'!H30</f>
        <v>7862812</v>
      </c>
      <c r="F30" s="436">
        <v>25000</v>
      </c>
      <c r="G30" s="246">
        <f>J30-2113444-120137</f>
        <v>-7073881</v>
      </c>
      <c r="H30" s="10">
        <f t="shared" si="2"/>
        <v>813931</v>
      </c>
      <c r="I30" s="4"/>
      <c r="J30" s="248">
        <f>'App.2-B_Fixed Asset 2011'!M30</f>
        <v>-4840300</v>
      </c>
      <c r="K30" s="246">
        <v>-204580</v>
      </c>
      <c r="L30" s="246">
        <f>-J30+155559</f>
        <v>4995859</v>
      </c>
      <c r="M30" s="10">
        <f t="shared" si="3"/>
        <v>-49021</v>
      </c>
      <c r="N30" s="11">
        <f t="shared" si="4"/>
        <v>764910</v>
      </c>
      <c r="P30" s="752"/>
    </row>
    <row r="31" spans="1:18" x14ac:dyDescent="0.2">
      <c r="A31" s="347">
        <v>8</v>
      </c>
      <c r="B31" s="348">
        <v>1860</v>
      </c>
      <c r="C31" s="352" t="s">
        <v>361</v>
      </c>
      <c r="D31" s="215"/>
      <c r="E31" s="246">
        <f>'App.2-B_Fixed Asset 2011'!H31</f>
        <v>0</v>
      </c>
      <c r="F31" s="436"/>
      <c r="G31" s="246">
        <v>4241682</v>
      </c>
      <c r="H31" s="10">
        <f t="shared" si="2"/>
        <v>4241682</v>
      </c>
      <c r="I31" s="4"/>
      <c r="J31" s="248">
        <f>'App.2-B_Fixed Asset 2011'!M31</f>
        <v>0</v>
      </c>
      <c r="K31" s="246"/>
      <c r="L31" s="246">
        <v>-308972</v>
      </c>
      <c r="M31" s="10">
        <f t="shared" si="3"/>
        <v>-308972</v>
      </c>
      <c r="N31" s="11">
        <f t="shared" si="4"/>
        <v>3932710</v>
      </c>
      <c r="P31" s="752"/>
      <c r="Q31" s="752"/>
      <c r="R31" s="752"/>
    </row>
    <row r="32" spans="1:18" x14ac:dyDescent="0.2">
      <c r="A32" s="348" t="s">
        <v>407</v>
      </c>
      <c r="B32" s="348">
        <v>1905</v>
      </c>
      <c r="C32" s="352" t="s">
        <v>408</v>
      </c>
      <c r="D32" s="215"/>
      <c r="E32" s="246">
        <f>'App.2-B_Fixed Asset 2011'!H32</f>
        <v>0</v>
      </c>
      <c r="F32" s="436"/>
      <c r="G32" s="246">
        <f t="shared" si="1"/>
        <v>0</v>
      </c>
      <c r="H32" s="10">
        <f t="shared" si="2"/>
        <v>0</v>
      </c>
      <c r="I32" s="4"/>
      <c r="J32" s="248">
        <f>'App.2-B_Fixed Asset 2011'!M32</f>
        <v>0</v>
      </c>
      <c r="K32" s="246">
        <v>0</v>
      </c>
      <c r="L32" s="246">
        <f t="shared" si="0"/>
        <v>0</v>
      </c>
      <c r="M32" s="10">
        <f t="shared" si="3"/>
        <v>0</v>
      </c>
      <c r="N32" s="11">
        <f t="shared" si="4"/>
        <v>0</v>
      </c>
      <c r="P32" s="752"/>
    </row>
    <row r="33" spans="1:18" x14ac:dyDescent="0.2">
      <c r="A33" s="347">
        <v>47</v>
      </c>
      <c r="B33" s="347">
        <v>1908</v>
      </c>
      <c r="C33" s="353" t="s">
        <v>416</v>
      </c>
      <c r="D33" s="215"/>
      <c r="E33" s="246">
        <f>'App.2-B_Fixed Asset 2011'!H33</f>
        <v>6009894</v>
      </c>
      <c r="F33" s="436">
        <v>1910100</v>
      </c>
      <c r="G33" s="246">
        <f>J33</f>
        <v>-1943405</v>
      </c>
      <c r="H33" s="10">
        <f t="shared" si="2"/>
        <v>5976589</v>
      </c>
      <c r="I33" s="4"/>
      <c r="J33" s="248">
        <f>'App.2-B_Fixed Asset 2011'!M33</f>
        <v>-1943405</v>
      </c>
      <c r="K33" s="246">
        <v>-129237</v>
      </c>
      <c r="L33" s="246">
        <f t="shared" si="0"/>
        <v>1943405</v>
      </c>
      <c r="M33" s="10">
        <f t="shared" si="3"/>
        <v>-129237</v>
      </c>
      <c r="N33" s="11">
        <f t="shared" si="4"/>
        <v>5847352</v>
      </c>
      <c r="P33" s="752"/>
    </row>
    <row r="34" spans="1:18" x14ac:dyDescent="0.2">
      <c r="A34" s="347">
        <v>13</v>
      </c>
      <c r="B34" s="347">
        <v>1910</v>
      </c>
      <c r="C34" s="353" t="s">
        <v>442</v>
      </c>
      <c r="D34" s="215"/>
      <c r="E34" s="246">
        <f>'App.2-B_Fixed Asset 2011'!H34</f>
        <v>0</v>
      </c>
      <c r="F34" s="436"/>
      <c r="G34" s="246">
        <f t="shared" si="1"/>
        <v>0</v>
      </c>
      <c r="H34" s="10">
        <f t="shared" si="2"/>
        <v>0</v>
      </c>
      <c r="I34" s="4"/>
      <c r="J34" s="248">
        <f>'App.2-B_Fixed Asset 2011'!M34</f>
        <v>0</v>
      </c>
      <c r="K34" s="246"/>
      <c r="L34" s="246">
        <f t="shared" si="0"/>
        <v>0</v>
      </c>
      <c r="M34" s="10">
        <f t="shared" si="3"/>
        <v>0</v>
      </c>
      <c r="N34" s="11">
        <f t="shared" si="4"/>
        <v>0</v>
      </c>
      <c r="P34" s="752"/>
    </row>
    <row r="35" spans="1:18" x14ac:dyDescent="0.2">
      <c r="A35" s="347">
        <v>8</v>
      </c>
      <c r="B35" s="347">
        <v>1915</v>
      </c>
      <c r="C35" s="353" t="s">
        <v>362</v>
      </c>
      <c r="D35" s="215"/>
      <c r="E35" s="246">
        <f>'App.2-B_Fixed Asset 2011'!H35</f>
        <v>876633</v>
      </c>
      <c r="F35" s="436">
        <v>108014</v>
      </c>
      <c r="G35" s="246">
        <f>J35</f>
        <v>-691137</v>
      </c>
      <c r="H35" s="10">
        <f t="shared" si="2"/>
        <v>293510</v>
      </c>
      <c r="I35" s="4"/>
      <c r="J35" s="248">
        <f>'App.2-B_Fixed Asset 2011'!M35</f>
        <v>-691137</v>
      </c>
      <c r="K35" s="246">
        <v>-47868</v>
      </c>
      <c r="L35" s="246">
        <f t="shared" si="0"/>
        <v>691137</v>
      </c>
      <c r="M35" s="10">
        <f t="shared" si="3"/>
        <v>-47868</v>
      </c>
      <c r="N35" s="11">
        <f t="shared" si="4"/>
        <v>245642</v>
      </c>
      <c r="P35" s="752"/>
    </row>
    <row r="36" spans="1:18" x14ac:dyDescent="0.2">
      <c r="A36" s="347">
        <v>8</v>
      </c>
      <c r="B36" s="347">
        <v>1915</v>
      </c>
      <c r="C36" s="353" t="s">
        <v>363</v>
      </c>
      <c r="D36" s="215"/>
      <c r="E36" s="246">
        <f>'App.2-B_Fixed Asset 2011'!H36</f>
        <v>0</v>
      </c>
      <c r="F36" s="436"/>
      <c r="G36" s="246">
        <f t="shared" si="1"/>
        <v>0</v>
      </c>
      <c r="H36" s="10">
        <f t="shared" si="2"/>
        <v>0</v>
      </c>
      <c r="I36" s="4"/>
      <c r="J36" s="248">
        <f>'App.2-B_Fixed Asset 2011'!M36</f>
        <v>0</v>
      </c>
      <c r="K36" s="246"/>
      <c r="L36" s="246">
        <f t="shared" si="0"/>
        <v>0</v>
      </c>
      <c r="M36" s="10">
        <f t="shared" si="3"/>
        <v>0</v>
      </c>
      <c r="N36" s="11">
        <f t="shared" si="4"/>
        <v>0</v>
      </c>
      <c r="P36" s="752"/>
    </row>
    <row r="37" spans="1:18" x14ac:dyDescent="0.2">
      <c r="A37" s="347">
        <v>10</v>
      </c>
      <c r="B37" s="347">
        <v>1920</v>
      </c>
      <c r="C37" s="353" t="s">
        <v>364</v>
      </c>
      <c r="D37" s="215"/>
      <c r="E37" s="246">
        <f>'App.2-B_Fixed Asset 2011'!H37</f>
        <v>5099380</v>
      </c>
      <c r="F37" s="436">
        <v>994250</v>
      </c>
      <c r="G37" s="246">
        <f>J37+222038</f>
        <v>-3731852</v>
      </c>
      <c r="H37" s="10">
        <f t="shared" si="2"/>
        <v>2361778</v>
      </c>
      <c r="I37" s="4"/>
      <c r="J37" s="248">
        <f>'App.2-B_Fixed Asset 2011'!M37</f>
        <v>-3953890</v>
      </c>
      <c r="K37" s="246">
        <v>-479539</v>
      </c>
      <c r="L37" s="246">
        <f>-J37-66142</f>
        <v>3887748</v>
      </c>
      <c r="M37" s="10">
        <f t="shared" si="3"/>
        <v>-545681</v>
      </c>
      <c r="N37" s="11">
        <f t="shared" si="4"/>
        <v>1816097</v>
      </c>
      <c r="P37" s="752"/>
      <c r="Q37" s="752"/>
      <c r="R37" s="752"/>
    </row>
    <row r="38" spans="1:18" ht="25.5" x14ac:dyDescent="0.2">
      <c r="A38" s="347">
        <v>45</v>
      </c>
      <c r="B38" s="349">
        <v>1920</v>
      </c>
      <c r="C38" s="354" t="s">
        <v>366</v>
      </c>
      <c r="D38" s="215"/>
      <c r="E38" s="246">
        <f>'App.2-B_Fixed Asset 2011'!H38</f>
        <v>0</v>
      </c>
      <c r="F38" s="436"/>
      <c r="G38" s="246">
        <f t="shared" si="1"/>
        <v>0</v>
      </c>
      <c r="H38" s="10">
        <f t="shared" si="2"/>
        <v>0</v>
      </c>
      <c r="I38" s="4"/>
      <c r="J38" s="248">
        <f>'App.2-B_Fixed Asset 2011'!M38</f>
        <v>0</v>
      </c>
      <c r="K38" s="246"/>
      <c r="L38" s="246">
        <f t="shared" si="0"/>
        <v>0</v>
      </c>
      <c r="M38" s="10">
        <f t="shared" si="3"/>
        <v>0</v>
      </c>
      <c r="N38" s="11">
        <f t="shared" si="4"/>
        <v>0</v>
      </c>
      <c r="P38" s="752"/>
    </row>
    <row r="39" spans="1:18" ht="25.5" x14ac:dyDescent="0.2">
      <c r="A39" s="347">
        <v>45.1</v>
      </c>
      <c r="B39" s="349">
        <v>1920</v>
      </c>
      <c r="C39" s="354" t="s">
        <v>365</v>
      </c>
      <c r="D39" s="215"/>
      <c r="E39" s="246">
        <f>'App.2-B_Fixed Asset 2011'!H39</f>
        <v>0</v>
      </c>
      <c r="F39" s="436"/>
      <c r="G39" s="246">
        <f t="shared" si="1"/>
        <v>0</v>
      </c>
      <c r="H39" s="10">
        <f t="shared" si="2"/>
        <v>0</v>
      </c>
      <c r="I39" s="4"/>
      <c r="J39" s="248">
        <f>'App.2-B_Fixed Asset 2011'!M39</f>
        <v>0</v>
      </c>
      <c r="K39" s="246"/>
      <c r="L39" s="246">
        <f t="shared" si="0"/>
        <v>0</v>
      </c>
      <c r="M39" s="10">
        <f t="shared" si="3"/>
        <v>0</v>
      </c>
      <c r="N39" s="11">
        <f t="shared" si="4"/>
        <v>0</v>
      </c>
      <c r="P39" s="752"/>
    </row>
    <row r="40" spans="1:18" x14ac:dyDescent="0.2">
      <c r="A40" s="347">
        <v>10</v>
      </c>
      <c r="B40" s="347">
        <v>1930</v>
      </c>
      <c r="C40" s="353" t="s">
        <v>430</v>
      </c>
      <c r="D40" s="215"/>
      <c r="E40" s="246">
        <f>'App.2-B_Fixed Asset 2011'!H40</f>
        <v>4341254</v>
      </c>
      <c r="F40" s="436">
        <v>554434</v>
      </c>
      <c r="G40" s="246">
        <f>J40</f>
        <v>-2815922</v>
      </c>
      <c r="H40" s="10">
        <f t="shared" si="2"/>
        <v>2079766</v>
      </c>
      <c r="I40" s="4"/>
      <c r="J40" s="248">
        <f>'App.2-B_Fixed Asset 2011'!M40</f>
        <v>-2815922</v>
      </c>
      <c r="K40" s="246">
        <v>-268098</v>
      </c>
      <c r="L40" s="246">
        <f t="shared" si="0"/>
        <v>2815922</v>
      </c>
      <c r="M40" s="10">
        <f t="shared" si="3"/>
        <v>-268098</v>
      </c>
      <c r="N40" s="11">
        <f t="shared" si="4"/>
        <v>1811668</v>
      </c>
      <c r="P40" s="752"/>
    </row>
    <row r="41" spans="1:18" x14ac:dyDescent="0.2">
      <c r="A41" s="347">
        <v>8</v>
      </c>
      <c r="B41" s="347">
        <v>1935</v>
      </c>
      <c r="C41" s="353" t="s">
        <v>431</v>
      </c>
      <c r="D41" s="215"/>
      <c r="E41" s="246">
        <f>'App.2-B_Fixed Asset 2011'!H41</f>
        <v>81138</v>
      </c>
      <c r="F41" s="436"/>
      <c r="G41" s="246">
        <f t="shared" ref="G41:G43" si="5">J41</f>
        <v>-71284</v>
      </c>
      <c r="H41" s="10">
        <f t="shared" si="2"/>
        <v>9854</v>
      </c>
      <c r="I41" s="4"/>
      <c r="J41" s="248">
        <f>'App.2-B_Fixed Asset 2011'!M41</f>
        <v>-71284</v>
      </c>
      <c r="K41" s="246">
        <v>-4927</v>
      </c>
      <c r="L41" s="246">
        <f t="shared" si="0"/>
        <v>71284</v>
      </c>
      <c r="M41" s="10">
        <f t="shared" si="3"/>
        <v>-4927</v>
      </c>
      <c r="N41" s="11">
        <f t="shared" si="4"/>
        <v>4927</v>
      </c>
      <c r="P41" s="752"/>
    </row>
    <row r="42" spans="1:18" x14ac:dyDescent="0.2">
      <c r="A42" s="347">
        <v>8</v>
      </c>
      <c r="B42" s="347">
        <v>1940</v>
      </c>
      <c r="C42" s="353" t="s">
        <v>432</v>
      </c>
      <c r="D42" s="215"/>
      <c r="E42" s="246">
        <f>'App.2-B_Fixed Asset 2011'!H42</f>
        <v>887821</v>
      </c>
      <c r="F42" s="436">
        <v>48800</v>
      </c>
      <c r="G42" s="246">
        <f>J42+46804</f>
        <v>-606953</v>
      </c>
      <c r="H42" s="10">
        <f t="shared" si="2"/>
        <v>329668</v>
      </c>
      <c r="I42" s="4"/>
      <c r="J42" s="248">
        <f>'App.2-B_Fixed Asset 2011'!M42</f>
        <v>-653757</v>
      </c>
      <c r="K42" s="246">
        <v>-54338</v>
      </c>
      <c r="L42" s="246">
        <f>-J42-5409</f>
        <v>648348</v>
      </c>
      <c r="M42" s="10">
        <f>J42+K42+L42</f>
        <v>-59747</v>
      </c>
      <c r="N42" s="11">
        <f t="shared" si="4"/>
        <v>269921</v>
      </c>
      <c r="P42" s="752"/>
      <c r="Q42" s="752"/>
      <c r="R42" s="752"/>
    </row>
    <row r="43" spans="1:18" x14ac:dyDescent="0.2">
      <c r="A43" s="347">
        <v>8</v>
      </c>
      <c r="B43" s="347">
        <v>1945</v>
      </c>
      <c r="C43" s="353" t="s">
        <v>433</v>
      </c>
      <c r="D43" s="215"/>
      <c r="E43" s="246">
        <f>'App.2-B_Fixed Asset 2011'!H43</f>
        <v>313080</v>
      </c>
      <c r="F43" s="436">
        <v>52852</v>
      </c>
      <c r="G43" s="246">
        <f t="shared" si="5"/>
        <v>-223931</v>
      </c>
      <c r="H43" s="10">
        <f t="shared" si="2"/>
        <v>142001</v>
      </c>
      <c r="I43" s="4"/>
      <c r="J43" s="248">
        <f>'App.2-B_Fixed Asset 2011'!M43</f>
        <v>-223931</v>
      </c>
      <c r="K43" s="246">
        <v>-19568</v>
      </c>
      <c r="L43" s="246">
        <f t="shared" si="0"/>
        <v>223931</v>
      </c>
      <c r="M43" s="10">
        <f t="shared" si="3"/>
        <v>-19568</v>
      </c>
      <c r="N43" s="11">
        <f t="shared" si="4"/>
        <v>122433</v>
      </c>
      <c r="P43" s="752"/>
    </row>
    <row r="44" spans="1:18" x14ac:dyDescent="0.2">
      <c r="A44" s="347">
        <v>8</v>
      </c>
      <c r="B44" s="347">
        <v>1950</v>
      </c>
      <c r="C44" s="353" t="s">
        <v>367</v>
      </c>
      <c r="D44" s="215"/>
      <c r="E44" s="246">
        <f>'App.2-B_Fixed Asset 2011'!H44</f>
        <v>0</v>
      </c>
      <c r="F44" s="436"/>
      <c r="G44" s="246">
        <f t="shared" si="1"/>
        <v>0</v>
      </c>
      <c r="H44" s="10">
        <f t="shared" si="2"/>
        <v>0</v>
      </c>
      <c r="I44" s="4"/>
      <c r="J44" s="248">
        <f>'App.2-B_Fixed Asset 2011'!M44</f>
        <v>0</v>
      </c>
      <c r="K44" s="246"/>
      <c r="L44" s="246">
        <f t="shared" si="0"/>
        <v>0</v>
      </c>
      <c r="M44" s="10">
        <f t="shared" si="3"/>
        <v>0</v>
      </c>
      <c r="N44" s="11">
        <f t="shared" si="4"/>
        <v>0</v>
      </c>
      <c r="P44" s="752"/>
    </row>
    <row r="45" spans="1:18" x14ac:dyDescent="0.2">
      <c r="A45" s="347">
        <v>8</v>
      </c>
      <c r="B45" s="347">
        <v>1955</v>
      </c>
      <c r="C45" s="353" t="s">
        <v>434</v>
      </c>
      <c r="D45" s="215"/>
      <c r="E45" s="246">
        <f>'App.2-B_Fixed Asset 2011'!H45</f>
        <v>252975</v>
      </c>
      <c r="F45" s="436"/>
      <c r="G45" s="246">
        <f>J45</f>
        <v>-161893</v>
      </c>
      <c r="H45" s="10">
        <f t="shared" si="2"/>
        <v>91082</v>
      </c>
      <c r="I45" s="4"/>
      <c r="J45" s="248">
        <f>'App.2-B_Fixed Asset 2011'!M45</f>
        <v>-161893</v>
      </c>
      <c r="K45" s="246">
        <v>-16526</v>
      </c>
      <c r="L45" s="246">
        <f t="shared" si="0"/>
        <v>161893</v>
      </c>
      <c r="M45" s="10">
        <f t="shared" si="3"/>
        <v>-16526</v>
      </c>
      <c r="N45" s="11">
        <f t="shared" si="4"/>
        <v>74556</v>
      </c>
      <c r="P45" s="752"/>
    </row>
    <row r="46" spans="1:18" x14ac:dyDescent="0.2">
      <c r="A46" s="350">
        <v>8</v>
      </c>
      <c r="B46" s="350">
        <v>1955</v>
      </c>
      <c r="C46" s="355" t="s">
        <v>368</v>
      </c>
      <c r="D46" s="215"/>
      <c r="E46" s="246">
        <f>'App.2-B_Fixed Asset 2011'!H46</f>
        <v>0</v>
      </c>
      <c r="F46" s="436"/>
      <c r="G46" s="246">
        <f t="shared" si="1"/>
        <v>0</v>
      </c>
      <c r="H46" s="10">
        <f t="shared" si="2"/>
        <v>0</v>
      </c>
      <c r="I46" s="4"/>
      <c r="J46" s="248">
        <f>'App.2-B_Fixed Asset 2011'!M46</f>
        <v>0</v>
      </c>
      <c r="K46" s="246"/>
      <c r="L46" s="246">
        <f t="shared" si="0"/>
        <v>0</v>
      </c>
      <c r="M46" s="10">
        <f t="shared" si="3"/>
        <v>0</v>
      </c>
      <c r="N46" s="11">
        <f t="shared" si="4"/>
        <v>0</v>
      </c>
      <c r="P46" s="752"/>
    </row>
    <row r="47" spans="1:18" x14ac:dyDescent="0.2">
      <c r="A47" s="349">
        <v>8</v>
      </c>
      <c r="B47" s="349">
        <v>1960</v>
      </c>
      <c r="C47" s="354" t="s">
        <v>369</v>
      </c>
      <c r="D47" s="215"/>
      <c r="E47" s="246">
        <f>'App.2-B_Fixed Asset 2011'!H47</f>
        <v>784532</v>
      </c>
      <c r="F47" s="436"/>
      <c r="G47" s="246">
        <f>J47</f>
        <v>-712325</v>
      </c>
      <c r="H47" s="10">
        <f t="shared" si="2"/>
        <v>72207</v>
      </c>
      <c r="I47" s="4"/>
      <c r="J47" s="248">
        <f>'App.2-B_Fixed Asset 2011'!M47</f>
        <v>-712325</v>
      </c>
      <c r="K47" s="246">
        <v>-5158</v>
      </c>
      <c r="L47" s="246">
        <f t="shared" si="0"/>
        <v>712325</v>
      </c>
      <c r="M47" s="10">
        <f t="shared" si="3"/>
        <v>-5158</v>
      </c>
      <c r="N47" s="11">
        <f t="shared" si="4"/>
        <v>67049</v>
      </c>
      <c r="P47" s="752"/>
    </row>
    <row r="48" spans="1:18" ht="25.5" x14ac:dyDescent="0.2">
      <c r="A48" s="347">
        <v>47</v>
      </c>
      <c r="B48" s="347">
        <v>1975</v>
      </c>
      <c r="C48" s="353" t="s">
        <v>435</v>
      </c>
      <c r="D48" s="215"/>
      <c r="E48" s="246">
        <f>'App.2-B_Fixed Asset 2011'!H48</f>
        <v>0</v>
      </c>
      <c r="F48" s="436"/>
      <c r="G48" s="246">
        <f t="shared" si="1"/>
        <v>0</v>
      </c>
      <c r="H48" s="10">
        <f t="shared" si="2"/>
        <v>0</v>
      </c>
      <c r="I48" s="4"/>
      <c r="J48" s="248">
        <f>'App.2-B_Fixed Asset 2011'!M48</f>
        <v>0</v>
      </c>
      <c r="K48" s="246"/>
      <c r="L48" s="246">
        <f t="shared" si="0"/>
        <v>0</v>
      </c>
      <c r="M48" s="10">
        <f t="shared" si="3"/>
        <v>0</v>
      </c>
      <c r="N48" s="11">
        <f t="shared" si="4"/>
        <v>0</v>
      </c>
      <c r="P48" s="752"/>
    </row>
    <row r="49" spans="1:16" x14ac:dyDescent="0.2">
      <c r="A49" s="347">
        <v>47</v>
      </c>
      <c r="B49" s="347">
        <v>1980</v>
      </c>
      <c r="C49" s="353" t="s">
        <v>436</v>
      </c>
      <c r="D49" s="215"/>
      <c r="E49" s="246">
        <f>'App.2-B_Fixed Asset 2011'!H49</f>
        <v>1238700</v>
      </c>
      <c r="F49" s="436"/>
      <c r="G49" s="246">
        <f>J49</f>
        <v>-794694</v>
      </c>
      <c r="H49" s="10">
        <f t="shared" si="2"/>
        <v>444006</v>
      </c>
      <c r="I49" s="4"/>
      <c r="J49" s="248">
        <f>'App.2-B_Fixed Asset 2011'!M49</f>
        <v>-794694</v>
      </c>
      <c r="K49" s="246">
        <v>-38354</v>
      </c>
      <c r="L49" s="246">
        <f t="shared" si="0"/>
        <v>794694</v>
      </c>
      <c r="M49" s="10">
        <f>J49+K49+L49</f>
        <v>-38354</v>
      </c>
      <c r="N49" s="11">
        <f t="shared" si="4"/>
        <v>405652</v>
      </c>
      <c r="P49" s="752"/>
    </row>
    <row r="50" spans="1:16" x14ac:dyDescent="0.2">
      <c r="A50" s="347">
        <v>47</v>
      </c>
      <c r="B50" s="347">
        <v>1985</v>
      </c>
      <c r="C50" s="353" t="s">
        <v>437</v>
      </c>
      <c r="D50" s="215"/>
      <c r="E50" s="246">
        <f>'App.2-B_Fixed Asset 2011'!H50</f>
        <v>0</v>
      </c>
      <c r="F50" s="436"/>
      <c r="G50" s="246">
        <f t="shared" si="1"/>
        <v>0</v>
      </c>
      <c r="H50" s="10">
        <f t="shared" si="2"/>
        <v>0</v>
      </c>
      <c r="I50" s="4"/>
      <c r="J50" s="248">
        <f>'App.2-B_Fixed Asset 2011'!M50</f>
        <v>0</v>
      </c>
      <c r="K50" s="246"/>
      <c r="L50" s="246">
        <f t="shared" si="0"/>
        <v>0</v>
      </c>
      <c r="M50" s="10">
        <f t="shared" si="3"/>
        <v>0</v>
      </c>
      <c r="N50" s="11">
        <f t="shared" si="4"/>
        <v>0</v>
      </c>
      <c r="P50" s="752"/>
    </row>
    <row r="51" spans="1:16" x14ac:dyDescent="0.2">
      <c r="A51" s="347">
        <v>47</v>
      </c>
      <c r="B51" s="347">
        <v>1995</v>
      </c>
      <c r="C51" s="353" t="s">
        <v>438</v>
      </c>
      <c r="D51" s="215"/>
      <c r="E51" s="246">
        <f>'App.2-B_Fixed Asset 2011'!H51</f>
        <v>-6487773</v>
      </c>
      <c r="F51" s="436">
        <v>-491240</v>
      </c>
      <c r="G51" s="246">
        <f>-E51</f>
        <v>6487773</v>
      </c>
      <c r="H51" s="10">
        <f t="shared" si="2"/>
        <v>-491240</v>
      </c>
      <c r="I51" s="4"/>
      <c r="J51" s="248">
        <f>'App.2-B_Fixed Asset 2011'!M51</f>
        <v>1412859</v>
      </c>
      <c r="K51" s="436">
        <v>5974</v>
      </c>
      <c r="L51" s="246">
        <f t="shared" si="0"/>
        <v>-1412859</v>
      </c>
      <c r="M51" s="10">
        <f t="shared" si="3"/>
        <v>5974</v>
      </c>
      <c r="N51" s="11">
        <f t="shared" si="4"/>
        <v>-485266</v>
      </c>
      <c r="P51" s="752"/>
    </row>
    <row r="52" spans="1:16" ht="25.5" x14ac:dyDescent="0.2">
      <c r="A52" s="5"/>
      <c r="B52" s="347">
        <v>1970</v>
      </c>
      <c r="C52" s="354" t="s">
        <v>864</v>
      </c>
      <c r="D52" s="215"/>
      <c r="E52" s="246">
        <f>'App.2-B_Fixed Asset 2011'!H52</f>
        <v>464917</v>
      </c>
      <c r="F52" s="436"/>
      <c r="G52" s="246">
        <f t="shared" si="1"/>
        <v>-464917</v>
      </c>
      <c r="H52" s="10">
        <f t="shared" si="2"/>
        <v>0</v>
      </c>
      <c r="J52" s="248">
        <f>'App.2-B_Fixed Asset 2011'!M52</f>
        <v>-464917</v>
      </c>
      <c r="K52" s="246">
        <v>0</v>
      </c>
      <c r="L52" s="246">
        <f t="shared" si="0"/>
        <v>464917</v>
      </c>
      <c r="M52" s="10">
        <f t="shared" si="3"/>
        <v>0</v>
      </c>
      <c r="N52" s="11">
        <f t="shared" si="4"/>
        <v>0</v>
      </c>
      <c r="P52" s="752"/>
    </row>
    <row r="53" spans="1:16" x14ac:dyDescent="0.2">
      <c r="A53" s="5"/>
      <c r="B53" s="5">
        <v>1990</v>
      </c>
      <c r="C53" s="168" t="s">
        <v>982</v>
      </c>
      <c r="D53" s="215"/>
      <c r="E53" s="246">
        <f>'App.2-B_Fixed Asset 2011'!H53</f>
        <v>567497</v>
      </c>
      <c r="F53" s="436"/>
      <c r="G53" s="246">
        <f t="shared" si="1"/>
        <v>0</v>
      </c>
      <c r="H53" s="10">
        <f t="shared" si="2"/>
        <v>567497</v>
      </c>
      <c r="J53" s="248">
        <f>'App.2-B_Fixed Asset 2011'!M53</f>
        <v>0</v>
      </c>
      <c r="K53" s="247"/>
      <c r="L53" s="246">
        <f t="shared" si="0"/>
        <v>0</v>
      </c>
      <c r="M53" s="10">
        <f t="shared" si="3"/>
        <v>0</v>
      </c>
      <c r="N53" s="11">
        <f t="shared" si="4"/>
        <v>567497</v>
      </c>
      <c r="P53" s="752"/>
    </row>
    <row r="54" spans="1:16" x14ac:dyDescent="0.2">
      <c r="A54" s="5"/>
      <c r="B54" s="5"/>
      <c r="C54" s="9" t="s">
        <v>439</v>
      </c>
      <c r="D54" s="9"/>
      <c r="E54" s="14">
        <f>SUM(E16:E53)</f>
        <v>106146634</v>
      </c>
      <c r="F54" s="14">
        <f t="shared" ref="F54:H54" si="6">SUM(F16:F53)</f>
        <v>9113033</v>
      </c>
      <c r="G54" s="14">
        <f t="shared" si="6"/>
        <v>-58146873</v>
      </c>
      <c r="H54" s="14">
        <f t="shared" si="6"/>
        <v>57112794</v>
      </c>
      <c r="I54" s="14"/>
      <c r="J54" s="14">
        <f>SUM(J16:J53)</f>
        <v>-63703503</v>
      </c>
      <c r="K54" s="14">
        <f t="shared" ref="K54:N54" si="7">SUM(K16:K53)</f>
        <v>-3832654.7142960564</v>
      </c>
      <c r="L54" s="14">
        <f t="shared" si="7"/>
        <v>62848282</v>
      </c>
      <c r="M54" s="14">
        <f t="shared" si="7"/>
        <v>-4687875.714296056</v>
      </c>
      <c r="N54" s="14">
        <f t="shared" si="7"/>
        <v>52424918.285703942</v>
      </c>
    </row>
    <row r="56" spans="1:16" x14ac:dyDescent="0.2">
      <c r="D56" s="3"/>
      <c r="E56" s="922" t="s">
        <v>977</v>
      </c>
      <c r="F56" s="856">
        <f>-F51</f>
        <v>491240</v>
      </c>
      <c r="N56" s="841"/>
    </row>
    <row r="57" spans="1:16" x14ac:dyDescent="0.2">
      <c r="A57" s="924"/>
      <c r="B57" s="924"/>
      <c r="D57" s="3"/>
      <c r="E57" s="922" t="s">
        <v>978</v>
      </c>
      <c r="F57" s="858">
        <f>-F53</f>
        <v>0</v>
      </c>
    </row>
    <row r="58" spans="1:16" x14ac:dyDescent="0.2">
      <c r="A58" s="924"/>
      <c r="B58" s="924"/>
      <c r="E58" s="922" t="s">
        <v>981</v>
      </c>
      <c r="F58" s="856">
        <f>SUM(F54:F57)</f>
        <v>9604273</v>
      </c>
    </row>
    <row r="59" spans="1:16" x14ac:dyDescent="0.2">
      <c r="E59" s="925" t="s">
        <v>979</v>
      </c>
      <c r="F59" s="857">
        <v>-472126</v>
      </c>
    </row>
    <row r="60" spans="1:16" x14ac:dyDescent="0.2">
      <c r="E60" s="925" t="s">
        <v>988</v>
      </c>
      <c r="F60" s="857">
        <v>19</v>
      </c>
    </row>
    <row r="61" spans="1:16" x14ac:dyDescent="0.2">
      <c r="A61" s="924"/>
      <c r="B61" s="924"/>
      <c r="E61" s="922" t="s">
        <v>980</v>
      </c>
      <c r="F61" s="857">
        <v>0</v>
      </c>
    </row>
    <row r="62" spans="1:16" ht="13.5" thickBot="1" x14ac:dyDescent="0.25">
      <c r="A62" s="924"/>
      <c r="B62" s="924"/>
      <c r="E62" s="927" t="s">
        <v>987</v>
      </c>
      <c r="F62" s="855">
        <f>SUM(F58:F61)</f>
        <v>9132166</v>
      </c>
    </row>
    <row r="63" spans="1:16" ht="13.5" thickTop="1" x14ac:dyDescent="0.2">
      <c r="A63" s="924"/>
      <c r="B63" s="924"/>
    </row>
    <row r="64" spans="1:16" x14ac:dyDescent="0.2">
      <c r="A64" s="155" t="s">
        <v>16</v>
      </c>
    </row>
    <row r="66" spans="1:14" x14ac:dyDescent="0.2">
      <c r="A66" s="1">
        <v>1</v>
      </c>
      <c r="B66" s="1263" t="s">
        <v>337</v>
      </c>
      <c r="C66" s="1263"/>
      <c r="D66" s="1263"/>
      <c r="E66" s="1263"/>
      <c r="F66" s="1263"/>
      <c r="G66" s="1263"/>
      <c r="H66" s="1263"/>
      <c r="I66" s="1263"/>
      <c r="J66" s="1263"/>
      <c r="K66" s="1263"/>
      <c r="L66" s="1263"/>
      <c r="M66" s="1263"/>
      <c r="N66" s="1263"/>
    </row>
    <row r="67" spans="1:14" x14ac:dyDescent="0.2">
      <c r="B67" s="1263"/>
      <c r="C67" s="1263"/>
      <c r="D67" s="1263"/>
      <c r="E67" s="1263"/>
      <c r="F67" s="1263"/>
      <c r="G67" s="1263"/>
      <c r="H67" s="1263"/>
      <c r="I67" s="1263"/>
      <c r="J67" s="1263"/>
      <c r="K67" s="1263"/>
      <c r="L67" s="1263"/>
      <c r="M67" s="1263"/>
      <c r="N67" s="1263"/>
    </row>
    <row r="68" spans="1:14" ht="12.75" customHeight="1" x14ac:dyDescent="0.2"/>
    <row r="69" spans="1:14" x14ac:dyDescent="0.2">
      <c r="A69" s="1">
        <v>2</v>
      </c>
      <c r="B69" s="1267" t="s">
        <v>66</v>
      </c>
      <c r="C69" s="1267"/>
      <c r="D69" s="1267"/>
      <c r="E69" s="1267"/>
      <c r="F69" s="1267"/>
      <c r="G69" s="1267"/>
      <c r="H69" s="1267"/>
      <c r="I69" s="1267"/>
      <c r="J69" s="1267"/>
      <c r="K69" s="1267"/>
      <c r="L69" s="1267"/>
      <c r="M69" s="1267"/>
      <c r="N69" s="1267"/>
    </row>
    <row r="70" spans="1:14" x14ac:dyDescent="0.2">
      <c r="B70" s="1267"/>
      <c r="C70" s="1267"/>
      <c r="D70" s="1267"/>
      <c r="E70" s="1267"/>
      <c r="F70" s="1267"/>
      <c r="G70" s="1267"/>
      <c r="H70" s="1267"/>
      <c r="I70" s="1267"/>
      <c r="J70" s="1267"/>
      <c r="K70" s="1267"/>
      <c r="L70" s="1267"/>
      <c r="M70" s="1267"/>
      <c r="N70" s="1267"/>
    </row>
    <row r="72" spans="1:14" x14ac:dyDescent="0.2">
      <c r="A72" s="1">
        <v>3</v>
      </c>
      <c r="B72" s="1242" t="s">
        <v>341</v>
      </c>
      <c r="C72" s="1242"/>
      <c r="D72" s="1242"/>
      <c r="E72" s="1242"/>
      <c r="F72" s="1242"/>
      <c r="G72" s="1242"/>
      <c r="H72" s="1242"/>
      <c r="I72" s="1242"/>
      <c r="J72" s="1242"/>
      <c r="K72" s="1242"/>
      <c r="L72" s="1242"/>
      <c r="M72" s="1242"/>
      <c r="N72" s="1242"/>
    </row>
    <row r="74" spans="1:14" x14ac:dyDescent="0.2">
      <c r="A74" s="1">
        <v>4</v>
      </c>
      <c r="B74" s="798" t="s">
        <v>648</v>
      </c>
    </row>
    <row r="79" spans="1:14" x14ac:dyDescent="0.2">
      <c r="D79" s="893"/>
      <c r="E79" s="840"/>
    </row>
    <row r="80" spans="1:14" x14ac:dyDescent="0.2">
      <c r="D80" s="893"/>
      <c r="E80" s="840"/>
    </row>
    <row r="81" spans="4:5" x14ac:dyDescent="0.2">
      <c r="D81" s="893"/>
      <c r="E81" s="840"/>
    </row>
    <row r="82" spans="4:5" x14ac:dyDescent="0.2">
      <c r="D82" s="893"/>
      <c r="E82" s="840"/>
    </row>
    <row r="83" spans="4:5" x14ac:dyDescent="0.2">
      <c r="D83" s="893"/>
      <c r="E83" s="840"/>
    </row>
    <row r="84" spans="4:5" x14ac:dyDescent="0.2">
      <c r="D84" s="893"/>
      <c r="E84" s="840"/>
    </row>
    <row r="85" spans="4:5" x14ac:dyDescent="0.2">
      <c r="D85" s="893"/>
      <c r="E85" s="840"/>
    </row>
    <row r="86" spans="4:5" x14ac:dyDescent="0.2">
      <c r="D86" s="893"/>
      <c r="E86" s="840"/>
    </row>
    <row r="87" spans="4:5" x14ac:dyDescent="0.2">
      <c r="D87" s="893"/>
      <c r="E87" s="840"/>
    </row>
    <row r="88" spans="4:5" x14ac:dyDescent="0.2">
      <c r="D88" s="893"/>
      <c r="E88" s="840"/>
    </row>
    <row r="89" spans="4:5" x14ac:dyDescent="0.2">
      <c r="D89" s="893"/>
      <c r="E89" s="840"/>
    </row>
  </sheetData>
  <mergeCells count="6">
    <mergeCell ref="B72:N72"/>
    <mergeCell ref="A9:N9"/>
    <mergeCell ref="A10:N10"/>
    <mergeCell ref="E14:H14"/>
    <mergeCell ref="B66:N67"/>
    <mergeCell ref="B69:N70"/>
  </mergeCells>
  <printOptions horizontalCentered="1"/>
  <pageMargins left="0.5" right="0.5" top="0.5" bottom="0.5" header="0.511811023622047" footer="0.511811023622047"/>
  <pageSetup scale="59" orientation="landscape" r:id="rId1"/>
  <headerFooter alignWithMargins="0"/>
  <rowBreaks count="1" manualBreakCount="1">
    <brk id="62"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00B050"/>
    <pageSetUpPr fitToPage="1"/>
  </sheetPr>
  <dimension ref="A1:R74"/>
  <sheetViews>
    <sheetView showGridLines="0" zoomScale="95" zoomScaleNormal="95" workbookViewId="0">
      <selection sqref="A1:XFD1048576"/>
    </sheetView>
  </sheetViews>
  <sheetFormatPr defaultRowHeight="12.75" x14ac:dyDescent="0.2"/>
  <cols>
    <col min="1" max="1" width="7.7109375" style="1133" customWidth="1"/>
    <col min="2" max="2" width="6.42578125" style="1133" customWidth="1"/>
    <col min="3" max="3" width="37.85546875" style="946" customWidth="1"/>
    <col min="4" max="4" width="14.5703125" style="946" customWidth="1"/>
    <col min="5" max="5" width="17.42578125" style="946" customWidth="1"/>
    <col min="6" max="6" width="13" style="946" customWidth="1"/>
    <col min="7" max="7" width="13.28515625" style="946" bestFit="1" customWidth="1"/>
    <col min="8" max="8" width="14.140625" style="946" bestFit="1" customWidth="1"/>
    <col min="9" max="9" width="1.7109375" style="951" customWidth="1"/>
    <col min="10" max="10" width="14.28515625" style="946" customWidth="1"/>
    <col min="11" max="11" width="13.42578125" style="946" customWidth="1"/>
    <col min="12" max="12" width="12.85546875" style="946" bestFit="1" customWidth="1"/>
    <col min="13" max="13" width="14.5703125" style="946" bestFit="1" customWidth="1"/>
    <col min="14" max="14" width="14.140625" style="946" hidden="1" customWidth="1"/>
    <col min="15" max="15" width="26.42578125" style="946" hidden="1" customWidth="1"/>
    <col min="16" max="17" width="12.85546875" style="946" hidden="1" customWidth="1"/>
    <col min="18" max="18" width="11.85546875" style="946" hidden="1" customWidth="1"/>
    <col min="19" max="19" width="9.42578125" style="946" bestFit="1" customWidth="1"/>
    <col min="20" max="16384" width="9.140625" style="946"/>
  </cols>
  <sheetData>
    <row r="1" spans="1:18" x14ac:dyDescent="0.2">
      <c r="L1" s="254" t="s">
        <v>444</v>
      </c>
      <c r="M1" s="946" t="s">
        <v>866</v>
      </c>
      <c r="N1" s="947" t="str">
        <f>'[10]LDC Info'!$E$18</f>
        <v>EB-2012-0107</v>
      </c>
    </row>
    <row r="2" spans="1:18" x14ac:dyDescent="0.2">
      <c r="L2" s="254" t="s">
        <v>445</v>
      </c>
      <c r="M2" s="946">
        <v>2</v>
      </c>
      <c r="N2" s="948"/>
    </row>
    <row r="3" spans="1:18" x14ac:dyDescent="0.2">
      <c r="L3" s="254" t="s">
        <v>446</v>
      </c>
      <c r="M3" s="946">
        <v>3</v>
      </c>
      <c r="N3" s="948"/>
    </row>
    <row r="4" spans="1:18" x14ac:dyDescent="0.2">
      <c r="L4" s="254" t="s">
        <v>447</v>
      </c>
      <c r="M4" s="946">
        <v>2</v>
      </c>
      <c r="N4" s="948"/>
    </row>
    <row r="5" spans="1:18" x14ac:dyDescent="0.2">
      <c r="L5" s="254" t="s">
        <v>448</v>
      </c>
      <c r="M5" s="946">
        <v>2</v>
      </c>
      <c r="N5" s="949"/>
    </row>
    <row r="6" spans="1:18" ht="9" customHeight="1" x14ac:dyDescent="0.2">
      <c r="L6" s="254"/>
      <c r="N6" s="947"/>
    </row>
    <row r="7" spans="1:18" x14ac:dyDescent="0.2">
      <c r="L7" s="254" t="s">
        <v>449</v>
      </c>
      <c r="N7" s="949"/>
    </row>
    <row r="8" spans="1:18" ht="9" customHeight="1" x14ac:dyDescent="0.2"/>
    <row r="9" spans="1:18" ht="20.25" customHeight="1" x14ac:dyDescent="0.2">
      <c r="A9" s="1259" t="s">
        <v>55</v>
      </c>
      <c r="B9" s="1259"/>
      <c r="C9" s="1259"/>
      <c r="D9" s="1259"/>
      <c r="E9" s="1259"/>
      <c r="F9" s="1259"/>
      <c r="G9" s="1259"/>
      <c r="H9" s="1259"/>
      <c r="I9" s="1259"/>
      <c r="J9" s="1259"/>
      <c r="K9" s="1259"/>
      <c r="L9" s="1259"/>
      <c r="M9" s="1259"/>
      <c r="N9" s="1259"/>
    </row>
    <row r="10" spans="1:18" ht="18" x14ac:dyDescent="0.2">
      <c r="A10" s="1259" t="s">
        <v>1226</v>
      </c>
      <c r="B10" s="1259"/>
      <c r="C10" s="1259"/>
      <c r="D10" s="1259"/>
      <c r="E10" s="1259"/>
      <c r="F10" s="1259"/>
      <c r="G10" s="1259"/>
      <c r="H10" s="1259"/>
      <c r="I10" s="1259"/>
      <c r="J10" s="1259"/>
      <c r="K10" s="1259"/>
      <c r="L10" s="1259"/>
      <c r="M10" s="1259"/>
      <c r="N10" s="1259"/>
    </row>
    <row r="12" spans="1:18" ht="15" x14ac:dyDescent="0.25">
      <c r="C12" s="275"/>
      <c r="F12" s="1158" t="s">
        <v>173</v>
      </c>
      <c r="G12" s="1159" t="s">
        <v>1227</v>
      </c>
      <c r="H12" s="1160"/>
    </row>
    <row r="14" spans="1:18" x14ac:dyDescent="0.2">
      <c r="D14" s="1122"/>
      <c r="E14" s="1268" t="s">
        <v>1228</v>
      </c>
      <c r="F14" s="1269"/>
      <c r="G14" s="1269"/>
      <c r="H14" s="1270"/>
      <c r="J14" s="1268" t="s">
        <v>1229</v>
      </c>
      <c r="K14" s="1269"/>
      <c r="L14" s="1269"/>
      <c r="M14" s="1270"/>
      <c r="N14" s="951"/>
    </row>
    <row r="15" spans="1:18" ht="51" x14ac:dyDescent="0.2">
      <c r="A15" s="1134" t="s">
        <v>393</v>
      </c>
      <c r="B15" s="1094" t="s">
        <v>394</v>
      </c>
      <c r="C15" s="1136" t="s">
        <v>395</v>
      </c>
      <c r="D15" s="1134" t="s">
        <v>440</v>
      </c>
      <c r="E15" s="1134" t="s">
        <v>1230</v>
      </c>
      <c r="F15" s="1134" t="s">
        <v>1231</v>
      </c>
      <c r="G15" s="1134" t="s">
        <v>1232</v>
      </c>
      <c r="H15" s="1134" t="s">
        <v>1026</v>
      </c>
      <c r="I15" s="1137"/>
      <c r="J15" s="1134" t="s">
        <v>1230</v>
      </c>
      <c r="K15" s="1134" t="s">
        <v>1231</v>
      </c>
      <c r="L15" s="1134" t="s">
        <v>1232</v>
      </c>
      <c r="M15" s="1135" t="s">
        <v>1026</v>
      </c>
      <c r="N15" s="1134" t="s">
        <v>443</v>
      </c>
    </row>
    <row r="16" spans="1:18" ht="25.5" x14ac:dyDescent="0.2">
      <c r="A16" s="1138">
        <v>12</v>
      </c>
      <c r="B16" s="1138">
        <v>1611</v>
      </c>
      <c r="C16" s="994" t="s">
        <v>548</v>
      </c>
      <c r="D16" s="1139"/>
      <c r="E16" s="246">
        <v>-6007127.2399999993</v>
      </c>
      <c r="F16" s="246">
        <v>0</v>
      </c>
      <c r="G16" s="246">
        <v>3129968.61</v>
      </c>
      <c r="H16" s="10">
        <f>E16+F16+G16</f>
        <v>-2877158.6299999994</v>
      </c>
      <c r="I16" s="294"/>
      <c r="J16" s="248">
        <v>6007128</v>
      </c>
      <c r="K16" s="246"/>
      <c r="L16" s="246">
        <v>-630257</v>
      </c>
      <c r="M16" s="10">
        <f>J16+K16+L16</f>
        <v>5376871</v>
      </c>
      <c r="N16" s="1140">
        <f>H16+M16</f>
        <v>2499712.3700000006</v>
      </c>
      <c r="O16" s="746">
        <f>M16-P16</f>
        <v>0</v>
      </c>
      <c r="P16" s="246">
        <v>5376871</v>
      </c>
      <c r="Q16" s="746">
        <f>-J16-L16</f>
        <v>-5376871</v>
      </c>
      <c r="R16" s="746">
        <f>P16-Q16</f>
        <v>10753742</v>
      </c>
    </row>
    <row r="17" spans="1:18" ht="25.5" x14ac:dyDescent="0.2">
      <c r="A17" s="1138" t="s">
        <v>415</v>
      </c>
      <c r="B17" s="1138">
        <v>1612</v>
      </c>
      <c r="C17" s="994" t="s">
        <v>702</v>
      </c>
      <c r="D17" s="1139"/>
      <c r="E17" s="246">
        <v>-267342</v>
      </c>
      <c r="F17" s="246">
        <v>0</v>
      </c>
      <c r="G17" s="246">
        <v>0</v>
      </c>
      <c r="H17" s="10">
        <f>E17+F17+G17</f>
        <v>-267342</v>
      </c>
      <c r="I17" s="294"/>
      <c r="J17" s="248">
        <v>267342</v>
      </c>
      <c r="K17" s="246"/>
      <c r="L17" s="246"/>
      <c r="M17" s="10">
        <f>J17+K17+L17</f>
        <v>267342</v>
      </c>
      <c r="N17" s="1140">
        <f>H17+M17</f>
        <v>0</v>
      </c>
      <c r="O17" s="746">
        <f t="shared" ref="O17:O52" si="0">M17-P17</f>
        <v>0</v>
      </c>
      <c r="P17" s="246">
        <v>267342</v>
      </c>
    </row>
    <row r="18" spans="1:18" x14ac:dyDescent="0.2">
      <c r="A18" s="1141" t="s">
        <v>407</v>
      </c>
      <c r="B18" s="1141">
        <v>1805</v>
      </c>
      <c r="C18" s="996" t="s">
        <v>408</v>
      </c>
      <c r="D18" s="1139"/>
      <c r="E18" s="246"/>
      <c r="F18" s="246"/>
      <c r="G18" s="246"/>
      <c r="H18" s="10">
        <f>E18+F18+G18</f>
        <v>0</v>
      </c>
      <c r="I18" s="294"/>
      <c r="J18" s="248">
        <v>0</v>
      </c>
      <c r="K18" s="246"/>
      <c r="L18" s="246"/>
      <c r="M18" s="10">
        <f>J18+K18+L18</f>
        <v>0</v>
      </c>
      <c r="N18" s="1140">
        <f>H18+M18</f>
        <v>0</v>
      </c>
      <c r="O18" s="746">
        <f t="shared" si="0"/>
        <v>0</v>
      </c>
      <c r="P18" s="246">
        <v>0</v>
      </c>
    </row>
    <row r="19" spans="1:18" x14ac:dyDescent="0.2">
      <c r="A19" s="1138">
        <v>47</v>
      </c>
      <c r="B19" s="1138">
        <v>1808</v>
      </c>
      <c r="C19" s="997" t="s">
        <v>409</v>
      </c>
      <c r="D19" s="1139"/>
      <c r="E19" s="246"/>
      <c r="F19" s="246"/>
      <c r="G19" s="246"/>
      <c r="H19" s="10">
        <f t="shared" ref="H19:H53" si="1">E19+F19+G19</f>
        <v>0</v>
      </c>
      <c r="I19" s="294"/>
      <c r="J19" s="248">
        <v>0</v>
      </c>
      <c r="K19" s="246"/>
      <c r="L19" s="246"/>
      <c r="M19" s="10">
        <f t="shared" ref="M19:M53" si="2">J19+K19+L19</f>
        <v>0</v>
      </c>
      <c r="N19" s="1140">
        <f t="shared" ref="N19:N53" si="3">H19+M19</f>
        <v>0</v>
      </c>
      <c r="O19" s="746">
        <f t="shared" si="0"/>
        <v>0</v>
      </c>
      <c r="P19" s="246">
        <v>0</v>
      </c>
    </row>
    <row r="20" spans="1:18" x14ac:dyDescent="0.2">
      <c r="A20" s="1138">
        <v>13</v>
      </c>
      <c r="B20" s="1138">
        <v>1810</v>
      </c>
      <c r="C20" s="997" t="s">
        <v>442</v>
      </c>
      <c r="D20" s="1139"/>
      <c r="E20" s="246"/>
      <c r="F20" s="246"/>
      <c r="G20" s="246"/>
      <c r="H20" s="10">
        <f t="shared" si="1"/>
        <v>0</v>
      </c>
      <c r="I20" s="294"/>
      <c r="J20" s="248">
        <v>0</v>
      </c>
      <c r="K20" s="246"/>
      <c r="L20" s="246"/>
      <c r="M20" s="10">
        <f t="shared" si="2"/>
        <v>0</v>
      </c>
      <c r="N20" s="1140">
        <f t="shared" si="3"/>
        <v>0</v>
      </c>
      <c r="O20" s="746">
        <f t="shared" si="0"/>
        <v>0</v>
      </c>
      <c r="P20" s="246">
        <v>0</v>
      </c>
    </row>
    <row r="21" spans="1:18" x14ac:dyDescent="0.2">
      <c r="A21" s="1138">
        <v>47</v>
      </c>
      <c r="B21" s="1138">
        <v>1815</v>
      </c>
      <c r="C21" s="997" t="s">
        <v>410</v>
      </c>
      <c r="D21" s="1139"/>
      <c r="E21" s="246"/>
      <c r="F21" s="246"/>
      <c r="G21" s="246"/>
      <c r="H21" s="10">
        <f t="shared" si="1"/>
        <v>0</v>
      </c>
      <c r="I21" s="294"/>
      <c r="J21" s="248">
        <v>0</v>
      </c>
      <c r="K21" s="246"/>
      <c r="L21" s="246"/>
      <c r="M21" s="10">
        <f t="shared" si="2"/>
        <v>0</v>
      </c>
      <c r="N21" s="1140">
        <f t="shared" si="3"/>
        <v>0</v>
      </c>
      <c r="O21" s="746">
        <f t="shared" si="0"/>
        <v>0</v>
      </c>
      <c r="P21" s="246">
        <v>0</v>
      </c>
    </row>
    <row r="22" spans="1:18" x14ac:dyDescent="0.2">
      <c r="A22" s="1138">
        <v>47</v>
      </c>
      <c r="B22" s="1138">
        <v>1820</v>
      </c>
      <c r="C22" s="994" t="s">
        <v>356</v>
      </c>
      <c r="D22" s="1139"/>
      <c r="E22" s="246">
        <v>-3215427</v>
      </c>
      <c r="F22" s="246">
        <v>7.9296569310827181E-12</v>
      </c>
      <c r="G22" s="246">
        <v>0</v>
      </c>
      <c r="H22" s="10">
        <f t="shared" si="1"/>
        <v>-3215427</v>
      </c>
      <c r="I22" s="294"/>
      <c r="J22" s="248">
        <v>3215427</v>
      </c>
      <c r="K22" s="246"/>
      <c r="L22" s="246"/>
      <c r="M22" s="10">
        <f t="shared" si="2"/>
        <v>3215427</v>
      </c>
      <c r="N22" s="1140">
        <f t="shared" si="3"/>
        <v>0</v>
      </c>
      <c r="O22" s="746">
        <f t="shared" si="0"/>
        <v>0</v>
      </c>
      <c r="P22" s="246">
        <v>3215427</v>
      </c>
    </row>
    <row r="23" spans="1:18" x14ac:dyDescent="0.2">
      <c r="A23" s="1138">
        <v>47</v>
      </c>
      <c r="B23" s="1138">
        <v>1825</v>
      </c>
      <c r="C23" s="997" t="s">
        <v>411</v>
      </c>
      <c r="D23" s="1139"/>
      <c r="E23" s="246"/>
      <c r="F23" s="246"/>
      <c r="G23" s="246"/>
      <c r="H23" s="10">
        <f t="shared" si="1"/>
        <v>0</v>
      </c>
      <c r="I23" s="294"/>
      <c r="J23" s="248">
        <v>0</v>
      </c>
      <c r="K23" s="246"/>
      <c r="L23" s="246"/>
      <c r="M23" s="10">
        <f t="shared" si="2"/>
        <v>0</v>
      </c>
      <c r="N23" s="1140">
        <f t="shared" si="3"/>
        <v>0</v>
      </c>
      <c r="O23" s="746">
        <f t="shared" si="0"/>
        <v>0</v>
      </c>
      <c r="P23" s="246">
        <v>0</v>
      </c>
    </row>
    <row r="24" spans="1:18" x14ac:dyDescent="0.2">
      <c r="A24" s="1138">
        <v>47</v>
      </c>
      <c r="B24" s="1138">
        <v>1830</v>
      </c>
      <c r="C24" s="997" t="s">
        <v>412</v>
      </c>
      <c r="D24" s="1139"/>
      <c r="E24" s="246">
        <v>-245396</v>
      </c>
      <c r="F24" s="246">
        <v>-383893.33000000007</v>
      </c>
      <c r="G24" s="246">
        <v>0</v>
      </c>
      <c r="H24" s="10">
        <f t="shared" si="1"/>
        <v>-629289.33000000007</v>
      </c>
      <c r="I24" s="294"/>
      <c r="J24" s="248">
        <v>245396</v>
      </c>
      <c r="K24" s="246"/>
      <c r="L24" s="246"/>
      <c r="M24" s="10">
        <f t="shared" si="2"/>
        <v>245396</v>
      </c>
      <c r="N24" s="1140">
        <f t="shared" si="3"/>
        <v>-383893.33000000007</v>
      </c>
      <c r="O24" s="746">
        <f t="shared" si="0"/>
        <v>0</v>
      </c>
      <c r="P24" s="246">
        <v>245396</v>
      </c>
      <c r="Q24" s="946" t="e">
        <f>GETPIVOTDATA(" Contributed Capital Allocation",'[10]Opening NBV as at Jan 1, 2012'!$M$6,"OEB Account Classification","1830")</f>
        <v>#REF!</v>
      </c>
    </row>
    <row r="25" spans="1:18" x14ac:dyDescent="0.2">
      <c r="A25" s="1138">
        <v>47</v>
      </c>
      <c r="B25" s="1138">
        <v>1835</v>
      </c>
      <c r="C25" s="997" t="s">
        <v>357</v>
      </c>
      <c r="D25" s="1139"/>
      <c r="E25" s="246">
        <v>-17366822</v>
      </c>
      <c r="F25" s="246">
        <v>-1327677.6500000022</v>
      </c>
      <c r="G25" s="246">
        <v>0</v>
      </c>
      <c r="H25" s="10">
        <f t="shared" si="1"/>
        <v>-18694499.650000002</v>
      </c>
      <c r="I25" s="294"/>
      <c r="J25" s="248">
        <v>17366822</v>
      </c>
      <c r="K25" s="246"/>
      <c r="L25" s="246"/>
      <c r="M25" s="10">
        <f t="shared" si="2"/>
        <v>17366822</v>
      </c>
      <c r="N25" s="1140">
        <f t="shared" si="3"/>
        <v>-1327677.6500000022</v>
      </c>
      <c r="O25" s="746">
        <f t="shared" si="0"/>
        <v>0</v>
      </c>
      <c r="P25" s="246">
        <v>17366822</v>
      </c>
      <c r="Q25" s="946" t="e">
        <f>GETPIVOTDATA(" Contributed Capital Allocation",'[10]Opening NBV as at Jan 1, 2012'!$M$6,"OEB Account Classification","1835")</f>
        <v>#REF!</v>
      </c>
    </row>
    <row r="26" spans="1:18" x14ac:dyDescent="0.2">
      <c r="A26" s="1138">
        <v>47</v>
      </c>
      <c r="B26" s="1138">
        <v>1840</v>
      </c>
      <c r="C26" s="997" t="s">
        <v>358</v>
      </c>
      <c r="D26" s="1139"/>
      <c r="E26" s="246">
        <v>-105793</v>
      </c>
      <c r="F26" s="246">
        <v>-246509.94000000009</v>
      </c>
      <c r="G26" s="246">
        <v>0</v>
      </c>
      <c r="H26" s="10">
        <f t="shared" si="1"/>
        <v>-352302.94000000006</v>
      </c>
      <c r="I26" s="294"/>
      <c r="J26" s="248">
        <v>105793</v>
      </c>
      <c r="K26" s="246"/>
      <c r="L26" s="246"/>
      <c r="M26" s="10">
        <f t="shared" si="2"/>
        <v>105793</v>
      </c>
      <c r="N26" s="1140">
        <f t="shared" si="3"/>
        <v>-246509.94000000006</v>
      </c>
      <c r="O26" s="746">
        <f t="shared" si="0"/>
        <v>0</v>
      </c>
      <c r="P26" s="246">
        <v>105793</v>
      </c>
      <c r="Q26" s="946" t="e">
        <f>GETPIVOTDATA(" Contributed Capital Allocation",'[10]Opening NBV as at Jan 1, 2012'!$M$6,"OEB Account Classification","1840")</f>
        <v>#REF!</v>
      </c>
    </row>
    <row r="27" spans="1:18" x14ac:dyDescent="0.2">
      <c r="A27" s="1138">
        <v>47</v>
      </c>
      <c r="B27" s="1138">
        <v>1845</v>
      </c>
      <c r="C27" s="997" t="s">
        <v>359</v>
      </c>
      <c r="D27" s="1139"/>
      <c r="E27" s="246">
        <v>-11974110</v>
      </c>
      <c r="F27" s="246">
        <v>-1634925.5899999966</v>
      </c>
      <c r="G27" s="246">
        <v>0</v>
      </c>
      <c r="H27" s="10">
        <f t="shared" si="1"/>
        <v>-13609035.589999996</v>
      </c>
      <c r="I27" s="294"/>
      <c r="J27" s="248">
        <v>11974110</v>
      </c>
      <c r="K27" s="246"/>
      <c r="L27" s="246"/>
      <c r="M27" s="10">
        <f t="shared" si="2"/>
        <v>11974110</v>
      </c>
      <c r="N27" s="1140">
        <f t="shared" si="3"/>
        <v>-1634925.5899999961</v>
      </c>
      <c r="O27" s="746">
        <f t="shared" si="0"/>
        <v>0</v>
      </c>
      <c r="P27" s="246">
        <v>11974110</v>
      </c>
      <c r="Q27" s="946" t="e">
        <f>GETPIVOTDATA(" Contributed Capital Allocation",'[10]Opening NBV as at Jan 1, 2012'!$M$6,"OEB Account Classification","1845")</f>
        <v>#REF!</v>
      </c>
    </row>
    <row r="28" spans="1:18" x14ac:dyDescent="0.2">
      <c r="A28" s="1138">
        <v>47</v>
      </c>
      <c r="B28" s="1138">
        <v>1850</v>
      </c>
      <c r="C28" s="997" t="s">
        <v>413</v>
      </c>
      <c r="D28" s="1139"/>
      <c r="E28" s="246">
        <v>-8549764.5499999989</v>
      </c>
      <c r="F28" s="246">
        <v>-1204708.8100000015</v>
      </c>
      <c r="G28" s="246">
        <v>0</v>
      </c>
      <c r="H28" s="10">
        <f t="shared" si="1"/>
        <v>-9754473.3599999994</v>
      </c>
      <c r="I28" s="294"/>
      <c r="J28" s="248">
        <v>8549764</v>
      </c>
      <c r="K28" s="246"/>
      <c r="L28" s="246"/>
      <c r="M28" s="10">
        <f t="shared" si="2"/>
        <v>8549764</v>
      </c>
      <c r="N28" s="1140">
        <f t="shared" si="3"/>
        <v>-1204709.3599999994</v>
      </c>
      <c r="O28" s="746">
        <f t="shared" si="0"/>
        <v>0</v>
      </c>
      <c r="P28" s="246">
        <v>8549764</v>
      </c>
      <c r="Q28" s="946" t="e">
        <f>GETPIVOTDATA(" Contributed Capital Allocation",'[10]Opening NBV as at Jan 1, 2012'!$M$6,"OEB Account Classification","1850")</f>
        <v>#REF!</v>
      </c>
    </row>
    <row r="29" spans="1:18" x14ac:dyDescent="0.2">
      <c r="A29" s="1138">
        <v>47</v>
      </c>
      <c r="B29" s="1138">
        <v>1855</v>
      </c>
      <c r="C29" s="997" t="s">
        <v>360</v>
      </c>
      <c r="D29" s="1139"/>
      <c r="E29" s="246">
        <v>-57125</v>
      </c>
      <c r="F29" s="246">
        <v>-127479.97</v>
      </c>
      <c r="G29" s="246">
        <v>0</v>
      </c>
      <c r="H29" s="10">
        <f t="shared" si="1"/>
        <v>-184604.97</v>
      </c>
      <c r="I29" s="294"/>
      <c r="J29" s="248">
        <v>57125</v>
      </c>
      <c r="K29" s="246"/>
      <c r="L29" s="246"/>
      <c r="M29" s="10">
        <f t="shared" si="2"/>
        <v>57125</v>
      </c>
      <c r="N29" s="1140">
        <f t="shared" si="3"/>
        <v>-127479.97</v>
      </c>
      <c r="O29" s="746">
        <f t="shared" si="0"/>
        <v>0</v>
      </c>
      <c r="P29" s="246">
        <v>57125</v>
      </c>
      <c r="Q29" s="946" t="e">
        <f>GETPIVOTDATA(" Contributed Capital Allocation",'[10]Opening NBV as at Jan 1, 2012'!$M$6,"OEB Account Classification","1855")</f>
        <v>#REF!</v>
      </c>
    </row>
    <row r="30" spans="1:18" x14ac:dyDescent="0.2">
      <c r="A30" s="1138">
        <v>47</v>
      </c>
      <c r="B30" s="1138">
        <v>1860</v>
      </c>
      <c r="C30" s="997" t="s">
        <v>414</v>
      </c>
      <c r="D30" s="1139"/>
      <c r="E30" s="246">
        <v>-4840301</v>
      </c>
      <c r="F30" s="246">
        <v>-120136.71999999881</v>
      </c>
      <c r="G30" s="246">
        <v>-2113443.6900000023</v>
      </c>
      <c r="H30" s="10">
        <f t="shared" si="1"/>
        <v>-7073881.4100000011</v>
      </c>
      <c r="I30" s="294"/>
      <c r="J30" s="248">
        <v>4840300</v>
      </c>
      <c r="K30" s="246"/>
      <c r="L30" s="246">
        <v>155559</v>
      </c>
      <c r="M30" s="10">
        <f t="shared" si="2"/>
        <v>4995859</v>
      </c>
      <c r="N30" s="1140">
        <f t="shared" si="3"/>
        <v>-2078022.4100000011</v>
      </c>
      <c r="O30" s="746">
        <f t="shared" si="0"/>
        <v>0</v>
      </c>
      <c r="P30" s="246">
        <v>4995859</v>
      </c>
      <c r="Q30" s="946" t="e">
        <f>-GETPIVOTDATA(" Contributed Capital Allocation",'[10]Opening NBV as at Jan 1, 2012'!$M$6,"OEB Account Classification","1835")</f>
        <v>#REF!</v>
      </c>
    </row>
    <row r="31" spans="1:18" x14ac:dyDescent="0.2">
      <c r="A31" s="1138">
        <v>8</v>
      </c>
      <c r="B31" s="1141">
        <v>1860</v>
      </c>
      <c r="C31" s="996" t="s">
        <v>361</v>
      </c>
      <c r="D31" s="1139"/>
      <c r="E31" s="246"/>
      <c r="F31" s="246"/>
      <c r="G31" s="246">
        <v>4241682</v>
      </c>
      <c r="H31" s="10">
        <f t="shared" si="1"/>
        <v>4241682</v>
      </c>
      <c r="I31" s="294"/>
      <c r="J31" s="248">
        <v>0</v>
      </c>
      <c r="K31" s="246"/>
      <c r="L31" s="246">
        <v>-308972</v>
      </c>
      <c r="M31" s="10">
        <f t="shared" si="2"/>
        <v>-308972</v>
      </c>
      <c r="N31" s="1140">
        <f t="shared" si="3"/>
        <v>3932710</v>
      </c>
      <c r="O31" s="746">
        <f t="shared" si="0"/>
        <v>0</v>
      </c>
      <c r="P31" s="246">
        <v>-308972</v>
      </c>
      <c r="Q31" s="746">
        <f>-L31</f>
        <v>308972</v>
      </c>
      <c r="R31" s="746">
        <f>P31-Q31</f>
        <v>-617944</v>
      </c>
    </row>
    <row r="32" spans="1:18" x14ac:dyDescent="0.2">
      <c r="A32" s="1141" t="s">
        <v>407</v>
      </c>
      <c r="B32" s="1141">
        <v>1905</v>
      </c>
      <c r="C32" s="996" t="s">
        <v>408</v>
      </c>
      <c r="D32" s="1139"/>
      <c r="E32" s="246"/>
      <c r="F32" s="246"/>
      <c r="G32" s="246"/>
      <c r="H32" s="10">
        <f t="shared" si="1"/>
        <v>0</v>
      </c>
      <c r="I32" s="294"/>
      <c r="J32" s="248">
        <v>0</v>
      </c>
      <c r="K32" s="246"/>
      <c r="L32" s="246"/>
      <c r="M32" s="10">
        <f t="shared" si="2"/>
        <v>0</v>
      </c>
      <c r="N32" s="1140">
        <f t="shared" si="3"/>
        <v>0</v>
      </c>
      <c r="O32" s="746">
        <f t="shared" si="0"/>
        <v>0</v>
      </c>
      <c r="P32" s="246">
        <v>0</v>
      </c>
    </row>
    <row r="33" spans="1:18" x14ac:dyDescent="0.2">
      <c r="A33" s="1138">
        <v>47</v>
      </c>
      <c r="B33" s="1138">
        <v>1908</v>
      </c>
      <c r="C33" s="997" t="s">
        <v>416</v>
      </c>
      <c r="D33" s="1139"/>
      <c r="E33" s="246">
        <v>-1943404.9499999997</v>
      </c>
      <c r="F33" s="246">
        <v>-1.8649757294042502E-9</v>
      </c>
      <c r="G33" s="246">
        <v>0</v>
      </c>
      <c r="H33" s="10">
        <f t="shared" si="1"/>
        <v>-1943404.9500000016</v>
      </c>
      <c r="I33" s="294"/>
      <c r="J33" s="248">
        <v>1943405</v>
      </c>
      <c r="K33" s="246"/>
      <c r="L33" s="246"/>
      <c r="M33" s="10">
        <f t="shared" si="2"/>
        <v>1943405</v>
      </c>
      <c r="N33" s="1140">
        <f t="shared" si="3"/>
        <v>4.9999998416751623E-2</v>
      </c>
      <c r="O33" s="746">
        <f t="shared" si="0"/>
        <v>0</v>
      </c>
      <c r="P33" s="246">
        <v>1943405</v>
      </c>
    </row>
    <row r="34" spans="1:18" x14ac:dyDescent="0.2">
      <c r="A34" s="1138">
        <v>13</v>
      </c>
      <c r="B34" s="1138">
        <v>1910</v>
      </c>
      <c r="C34" s="997" t="s">
        <v>442</v>
      </c>
      <c r="D34" s="1139"/>
      <c r="E34" s="246"/>
      <c r="F34" s="246"/>
      <c r="G34" s="246"/>
      <c r="H34" s="10">
        <f t="shared" si="1"/>
        <v>0</v>
      </c>
      <c r="I34" s="294"/>
      <c r="J34" s="248">
        <v>0</v>
      </c>
      <c r="K34" s="246"/>
      <c r="L34" s="246"/>
      <c r="M34" s="10">
        <f t="shared" si="2"/>
        <v>0</v>
      </c>
      <c r="N34" s="1140">
        <f t="shared" si="3"/>
        <v>0</v>
      </c>
      <c r="O34" s="746">
        <f t="shared" si="0"/>
        <v>0</v>
      </c>
      <c r="P34" s="246">
        <v>0</v>
      </c>
    </row>
    <row r="35" spans="1:18" x14ac:dyDescent="0.2">
      <c r="A35" s="1138">
        <v>8</v>
      </c>
      <c r="B35" s="1138">
        <v>1915</v>
      </c>
      <c r="C35" s="997" t="s">
        <v>362</v>
      </c>
      <c r="D35" s="1139"/>
      <c r="E35" s="246">
        <v>-691137</v>
      </c>
      <c r="F35" s="246">
        <v>0</v>
      </c>
      <c r="G35" s="246">
        <v>0</v>
      </c>
      <c r="H35" s="10">
        <f t="shared" si="1"/>
        <v>-691137</v>
      </c>
      <c r="I35" s="294"/>
      <c r="J35" s="248">
        <v>691137</v>
      </c>
      <c r="K35" s="246"/>
      <c r="L35" s="246"/>
      <c r="M35" s="10">
        <f t="shared" si="2"/>
        <v>691137</v>
      </c>
      <c r="N35" s="1140">
        <f t="shared" si="3"/>
        <v>0</v>
      </c>
      <c r="O35" s="746">
        <f t="shared" si="0"/>
        <v>0</v>
      </c>
      <c r="P35" s="246">
        <v>691137</v>
      </c>
    </row>
    <row r="36" spans="1:18" x14ac:dyDescent="0.2">
      <c r="A36" s="1138">
        <v>8</v>
      </c>
      <c r="B36" s="1138">
        <v>1915</v>
      </c>
      <c r="C36" s="997" t="s">
        <v>363</v>
      </c>
      <c r="D36" s="1139"/>
      <c r="E36" s="246"/>
      <c r="F36" s="246">
        <v>0</v>
      </c>
      <c r="G36" s="246">
        <v>0</v>
      </c>
      <c r="H36" s="10">
        <f t="shared" si="1"/>
        <v>0</v>
      </c>
      <c r="I36" s="294"/>
      <c r="J36" s="248">
        <v>0</v>
      </c>
      <c r="K36" s="246"/>
      <c r="L36" s="246"/>
      <c r="M36" s="10">
        <f t="shared" si="2"/>
        <v>0</v>
      </c>
      <c r="N36" s="1140">
        <f t="shared" si="3"/>
        <v>0</v>
      </c>
      <c r="O36" s="746">
        <f t="shared" si="0"/>
        <v>0</v>
      </c>
      <c r="P36" s="246">
        <v>0</v>
      </c>
    </row>
    <row r="37" spans="1:18" x14ac:dyDescent="0.2">
      <c r="A37" s="1138">
        <v>10</v>
      </c>
      <c r="B37" s="1138">
        <v>1920</v>
      </c>
      <c r="C37" s="997" t="s">
        <v>364</v>
      </c>
      <c r="D37" s="1139"/>
      <c r="E37" s="246">
        <v>-3953890</v>
      </c>
      <c r="F37" s="246">
        <v>0</v>
      </c>
      <c r="G37" s="246">
        <v>222037.5</v>
      </c>
      <c r="H37" s="10">
        <f t="shared" si="1"/>
        <v>-3731852.5</v>
      </c>
      <c r="I37" s="294"/>
      <c r="J37" s="248">
        <v>3953890</v>
      </c>
      <c r="K37" s="246"/>
      <c r="L37" s="246">
        <v>-66142</v>
      </c>
      <c r="M37" s="10">
        <f t="shared" si="2"/>
        <v>3887748</v>
      </c>
      <c r="N37" s="1140">
        <f t="shared" si="3"/>
        <v>155895.5</v>
      </c>
      <c r="O37" s="746">
        <f t="shared" si="0"/>
        <v>0</v>
      </c>
      <c r="P37" s="246">
        <v>3887748</v>
      </c>
      <c r="Q37" s="746">
        <f>-J37-L37</f>
        <v>-3887748</v>
      </c>
      <c r="R37" s="746">
        <f>P37-Q37</f>
        <v>7775496</v>
      </c>
    </row>
    <row r="38" spans="1:18" ht="25.5" x14ac:dyDescent="0.2">
      <c r="A38" s="1138">
        <v>45</v>
      </c>
      <c r="B38" s="1142">
        <v>1920</v>
      </c>
      <c r="C38" s="994" t="s">
        <v>366</v>
      </c>
      <c r="D38" s="1139"/>
      <c r="E38" s="246"/>
      <c r="F38" s="246">
        <v>0</v>
      </c>
      <c r="G38" s="246"/>
      <c r="H38" s="10">
        <f t="shared" si="1"/>
        <v>0</v>
      </c>
      <c r="I38" s="294"/>
      <c r="J38" s="248">
        <v>0</v>
      </c>
      <c r="K38" s="246"/>
      <c r="L38" s="246"/>
      <c r="M38" s="10">
        <f t="shared" si="2"/>
        <v>0</v>
      </c>
      <c r="N38" s="1140">
        <f t="shared" si="3"/>
        <v>0</v>
      </c>
      <c r="O38" s="746">
        <f t="shared" si="0"/>
        <v>0</v>
      </c>
      <c r="P38" s="246">
        <v>0</v>
      </c>
    </row>
    <row r="39" spans="1:18" ht="25.5" x14ac:dyDescent="0.2">
      <c r="A39" s="1138">
        <v>45.1</v>
      </c>
      <c r="B39" s="1142">
        <v>1920</v>
      </c>
      <c r="C39" s="994" t="s">
        <v>365</v>
      </c>
      <c r="D39" s="1139"/>
      <c r="E39" s="246"/>
      <c r="F39" s="246">
        <v>0</v>
      </c>
      <c r="G39" s="246"/>
      <c r="H39" s="10">
        <f t="shared" si="1"/>
        <v>0</v>
      </c>
      <c r="I39" s="294"/>
      <c r="J39" s="248">
        <v>0</v>
      </c>
      <c r="K39" s="246"/>
      <c r="L39" s="246"/>
      <c r="M39" s="10">
        <f t="shared" si="2"/>
        <v>0</v>
      </c>
      <c r="N39" s="1140">
        <f t="shared" si="3"/>
        <v>0</v>
      </c>
      <c r="O39" s="746">
        <f t="shared" si="0"/>
        <v>0</v>
      </c>
      <c r="P39" s="246">
        <v>0</v>
      </c>
    </row>
    <row r="40" spans="1:18" x14ac:dyDescent="0.2">
      <c r="A40" s="1138">
        <v>10</v>
      </c>
      <c r="B40" s="1138">
        <v>1930</v>
      </c>
      <c r="C40" s="997" t="s">
        <v>430</v>
      </c>
      <c r="D40" s="1139"/>
      <c r="E40" s="246">
        <v>-2815922</v>
      </c>
      <c r="F40" s="246">
        <v>0</v>
      </c>
      <c r="G40" s="246">
        <v>0</v>
      </c>
      <c r="H40" s="10">
        <f t="shared" si="1"/>
        <v>-2815922</v>
      </c>
      <c r="I40" s="294"/>
      <c r="J40" s="248">
        <v>2815922</v>
      </c>
      <c r="K40" s="246"/>
      <c r="L40" s="246"/>
      <c r="M40" s="10">
        <f t="shared" si="2"/>
        <v>2815922</v>
      </c>
      <c r="N40" s="1140">
        <f t="shared" si="3"/>
        <v>0</v>
      </c>
      <c r="O40" s="746">
        <f t="shared" si="0"/>
        <v>0</v>
      </c>
      <c r="P40" s="246">
        <v>2815922</v>
      </c>
    </row>
    <row r="41" spans="1:18" x14ac:dyDescent="0.2">
      <c r="A41" s="1138">
        <v>8</v>
      </c>
      <c r="B41" s="1138">
        <v>1935</v>
      </c>
      <c r="C41" s="997" t="s">
        <v>431</v>
      </c>
      <c r="D41" s="1139"/>
      <c r="E41" s="246">
        <v>-71284</v>
      </c>
      <c r="F41" s="246">
        <v>0</v>
      </c>
      <c r="G41" s="246">
        <v>0</v>
      </c>
      <c r="H41" s="10">
        <f t="shared" si="1"/>
        <v>-71284</v>
      </c>
      <c r="I41" s="294"/>
      <c r="J41" s="248">
        <v>71284</v>
      </c>
      <c r="K41" s="246"/>
      <c r="L41" s="246"/>
      <c r="M41" s="10">
        <f t="shared" si="2"/>
        <v>71284</v>
      </c>
      <c r="N41" s="1140">
        <f t="shared" si="3"/>
        <v>0</v>
      </c>
      <c r="O41" s="746">
        <f t="shared" si="0"/>
        <v>0</v>
      </c>
      <c r="P41" s="246">
        <v>71284</v>
      </c>
    </row>
    <row r="42" spans="1:18" x14ac:dyDescent="0.2">
      <c r="A42" s="1138">
        <v>8</v>
      </c>
      <c r="B42" s="1138">
        <v>1940</v>
      </c>
      <c r="C42" s="997" t="s">
        <v>432</v>
      </c>
      <c r="D42" s="1139"/>
      <c r="E42" s="246">
        <v>-653757</v>
      </c>
      <c r="F42" s="246">
        <v>0</v>
      </c>
      <c r="G42" s="246">
        <v>46803.950000000004</v>
      </c>
      <c r="H42" s="10">
        <f t="shared" si="1"/>
        <v>-606953.05000000005</v>
      </c>
      <c r="I42" s="294"/>
      <c r="J42" s="248">
        <v>653757</v>
      </c>
      <c r="K42" s="246"/>
      <c r="L42" s="246">
        <v>-5409</v>
      </c>
      <c r="M42" s="10">
        <f>J42+K42+L42</f>
        <v>648348</v>
      </c>
      <c r="N42" s="1140">
        <f t="shared" si="3"/>
        <v>41394.949999999953</v>
      </c>
      <c r="O42" s="746">
        <f t="shared" si="0"/>
        <v>0</v>
      </c>
      <c r="P42" s="246">
        <v>648348</v>
      </c>
      <c r="Q42" s="746">
        <f>-J42-L42</f>
        <v>-648348</v>
      </c>
      <c r="R42" s="746">
        <f>P42-Q42</f>
        <v>1296696</v>
      </c>
    </row>
    <row r="43" spans="1:18" x14ac:dyDescent="0.2">
      <c r="A43" s="1138">
        <v>8</v>
      </c>
      <c r="B43" s="1138">
        <v>1945</v>
      </c>
      <c r="C43" s="997" t="s">
        <v>433</v>
      </c>
      <c r="D43" s="1139"/>
      <c r="E43" s="246">
        <v>-223931</v>
      </c>
      <c r="F43" s="246">
        <v>0</v>
      </c>
      <c r="G43" s="246">
        <v>0</v>
      </c>
      <c r="H43" s="10">
        <f t="shared" si="1"/>
        <v>-223931</v>
      </c>
      <c r="I43" s="294"/>
      <c r="J43" s="248">
        <v>223931</v>
      </c>
      <c r="K43" s="246"/>
      <c r="L43" s="246"/>
      <c r="M43" s="10">
        <f t="shared" si="2"/>
        <v>223931</v>
      </c>
      <c r="N43" s="1140">
        <f t="shared" si="3"/>
        <v>0</v>
      </c>
      <c r="O43" s="746">
        <f t="shared" si="0"/>
        <v>0</v>
      </c>
      <c r="P43" s="246">
        <v>223931</v>
      </c>
    </row>
    <row r="44" spans="1:18" x14ac:dyDescent="0.2">
      <c r="A44" s="1138">
        <v>8</v>
      </c>
      <c r="B44" s="1138">
        <v>1950</v>
      </c>
      <c r="C44" s="997" t="s">
        <v>367</v>
      </c>
      <c r="D44" s="1139"/>
      <c r="E44" s="246"/>
      <c r="F44" s="246"/>
      <c r="G44" s="246"/>
      <c r="H44" s="10">
        <f t="shared" si="1"/>
        <v>0</v>
      </c>
      <c r="I44" s="294"/>
      <c r="J44" s="248">
        <v>0</v>
      </c>
      <c r="K44" s="246"/>
      <c r="L44" s="246"/>
      <c r="M44" s="10">
        <f t="shared" si="2"/>
        <v>0</v>
      </c>
      <c r="N44" s="1140">
        <f t="shared" si="3"/>
        <v>0</v>
      </c>
      <c r="O44" s="746">
        <f t="shared" si="0"/>
        <v>0</v>
      </c>
      <c r="P44" s="246">
        <v>0</v>
      </c>
    </row>
    <row r="45" spans="1:18" x14ac:dyDescent="0.2">
      <c r="A45" s="1138">
        <v>8</v>
      </c>
      <c r="B45" s="1138">
        <v>1955</v>
      </c>
      <c r="C45" s="997" t="s">
        <v>434</v>
      </c>
      <c r="D45" s="1139"/>
      <c r="E45" s="246">
        <v>-161892.78</v>
      </c>
      <c r="F45" s="246">
        <v>0</v>
      </c>
      <c r="G45" s="246">
        <v>0</v>
      </c>
      <c r="H45" s="10">
        <f t="shared" si="1"/>
        <v>-161892.78</v>
      </c>
      <c r="I45" s="294"/>
      <c r="J45" s="248">
        <v>161893</v>
      </c>
      <c r="K45" s="246"/>
      <c r="L45" s="246"/>
      <c r="M45" s="10">
        <f t="shared" si="2"/>
        <v>161893</v>
      </c>
      <c r="N45" s="1140">
        <f t="shared" si="3"/>
        <v>0.22000000000116415</v>
      </c>
      <c r="O45" s="746">
        <f t="shared" si="0"/>
        <v>0</v>
      </c>
      <c r="P45" s="246">
        <v>161893</v>
      </c>
    </row>
    <row r="46" spans="1:18" x14ac:dyDescent="0.2">
      <c r="A46" s="1143">
        <v>8</v>
      </c>
      <c r="B46" s="1143">
        <v>1955</v>
      </c>
      <c r="C46" s="1000" t="s">
        <v>368</v>
      </c>
      <c r="D46" s="1139"/>
      <c r="E46" s="246"/>
      <c r="F46" s="246">
        <v>0</v>
      </c>
      <c r="G46" s="246">
        <v>0</v>
      </c>
      <c r="H46" s="10">
        <f t="shared" si="1"/>
        <v>0</v>
      </c>
      <c r="I46" s="294"/>
      <c r="J46" s="248">
        <v>0</v>
      </c>
      <c r="K46" s="246"/>
      <c r="L46" s="246"/>
      <c r="M46" s="10">
        <f t="shared" si="2"/>
        <v>0</v>
      </c>
      <c r="N46" s="1140">
        <f t="shared" si="3"/>
        <v>0</v>
      </c>
      <c r="O46" s="746">
        <f t="shared" si="0"/>
        <v>0</v>
      </c>
      <c r="P46" s="246">
        <v>0</v>
      </c>
    </row>
    <row r="47" spans="1:18" x14ac:dyDescent="0.2">
      <c r="A47" s="1142">
        <v>8</v>
      </c>
      <c r="B47" s="1142">
        <v>1960</v>
      </c>
      <c r="C47" s="994" t="s">
        <v>369</v>
      </c>
      <c r="D47" s="1139"/>
      <c r="E47" s="246">
        <v>-712325.11</v>
      </c>
      <c r="F47" s="246">
        <v>0</v>
      </c>
      <c r="G47" s="246">
        <v>0</v>
      </c>
      <c r="H47" s="10">
        <f t="shared" si="1"/>
        <v>-712325.11</v>
      </c>
      <c r="I47" s="294"/>
      <c r="J47" s="248">
        <v>712325</v>
      </c>
      <c r="K47" s="246"/>
      <c r="L47" s="246"/>
      <c r="M47" s="10">
        <f t="shared" si="2"/>
        <v>712325</v>
      </c>
      <c r="N47" s="1140">
        <f t="shared" si="3"/>
        <v>-0.10999999998603016</v>
      </c>
      <c r="O47" s="746">
        <f t="shared" si="0"/>
        <v>0</v>
      </c>
      <c r="P47" s="246">
        <v>712325</v>
      </c>
    </row>
    <row r="48" spans="1:18" ht="25.5" x14ac:dyDescent="0.2">
      <c r="A48" s="1138">
        <v>47</v>
      </c>
      <c r="B48" s="1138">
        <v>1975</v>
      </c>
      <c r="C48" s="997" t="s">
        <v>435</v>
      </c>
      <c r="D48" s="1139"/>
      <c r="E48" s="246"/>
      <c r="F48" s="246"/>
      <c r="G48" s="246"/>
      <c r="H48" s="10">
        <f t="shared" si="1"/>
        <v>0</v>
      </c>
      <c r="I48" s="294"/>
      <c r="J48" s="248">
        <v>0</v>
      </c>
      <c r="K48" s="246"/>
      <c r="L48" s="246"/>
      <c r="M48" s="10">
        <f t="shared" si="2"/>
        <v>0</v>
      </c>
      <c r="N48" s="1140">
        <f t="shared" si="3"/>
        <v>0</v>
      </c>
      <c r="O48" s="746">
        <f t="shared" si="0"/>
        <v>0</v>
      </c>
      <c r="P48" s="246">
        <v>0</v>
      </c>
    </row>
    <row r="49" spans="1:16" x14ac:dyDescent="0.2">
      <c r="A49" s="1138">
        <v>47</v>
      </c>
      <c r="B49" s="1138">
        <v>1980</v>
      </c>
      <c r="C49" s="997" t="s">
        <v>436</v>
      </c>
      <c r="D49" s="1139"/>
      <c r="E49" s="246">
        <v>-794694</v>
      </c>
      <c r="F49" s="246">
        <v>0</v>
      </c>
      <c r="G49" s="246">
        <v>0</v>
      </c>
      <c r="H49" s="10">
        <f t="shared" si="1"/>
        <v>-794694</v>
      </c>
      <c r="I49" s="294"/>
      <c r="J49" s="248">
        <v>794694</v>
      </c>
      <c r="K49" s="246"/>
      <c r="L49" s="246"/>
      <c r="M49" s="10">
        <f>J49+K49+L49</f>
        <v>794694</v>
      </c>
      <c r="N49" s="1140">
        <f t="shared" si="3"/>
        <v>0</v>
      </c>
      <c r="O49" s="746">
        <f t="shared" si="0"/>
        <v>0</v>
      </c>
      <c r="P49" s="246">
        <v>794694</v>
      </c>
    </row>
    <row r="50" spans="1:16" x14ac:dyDescent="0.2">
      <c r="A50" s="1138">
        <v>47</v>
      </c>
      <c r="B50" s="1138">
        <v>1985</v>
      </c>
      <c r="C50" s="997" t="s">
        <v>437</v>
      </c>
      <c r="D50" s="1139"/>
      <c r="E50" s="246"/>
      <c r="F50" s="246"/>
      <c r="G50" s="246"/>
      <c r="H50" s="10">
        <f t="shared" si="1"/>
        <v>0</v>
      </c>
      <c r="I50" s="294"/>
      <c r="J50" s="248">
        <v>0</v>
      </c>
      <c r="K50" s="246"/>
      <c r="L50" s="246"/>
      <c r="M50" s="10">
        <f t="shared" si="2"/>
        <v>0</v>
      </c>
      <c r="N50" s="1140">
        <f t="shared" si="3"/>
        <v>0</v>
      </c>
      <c r="O50" s="746">
        <f t="shared" si="0"/>
        <v>0</v>
      </c>
      <c r="P50" s="246">
        <v>0</v>
      </c>
    </row>
    <row r="51" spans="1:16" x14ac:dyDescent="0.2">
      <c r="A51" s="1138">
        <v>47</v>
      </c>
      <c r="B51" s="1138">
        <v>1995</v>
      </c>
      <c r="C51" s="997" t="s">
        <v>438</v>
      </c>
      <c r="D51" s="1139"/>
      <c r="E51" s="246">
        <v>0</v>
      </c>
      <c r="F51" s="246">
        <v>6487773</v>
      </c>
      <c r="G51" s="246">
        <v>0</v>
      </c>
      <c r="H51" s="10">
        <f t="shared" si="1"/>
        <v>6487773</v>
      </c>
      <c r="I51" s="294"/>
      <c r="J51" s="248"/>
      <c r="K51" s="246">
        <v>-1412859</v>
      </c>
      <c r="L51" s="246"/>
      <c r="M51" s="10">
        <f t="shared" si="2"/>
        <v>-1412859</v>
      </c>
      <c r="N51" s="1140">
        <f t="shared" si="3"/>
        <v>5074914</v>
      </c>
      <c r="O51" s="746">
        <f t="shared" si="0"/>
        <v>0</v>
      </c>
      <c r="P51" s="246">
        <v>-1412859</v>
      </c>
    </row>
    <row r="52" spans="1:16" ht="25.5" x14ac:dyDescent="0.2">
      <c r="A52" s="1144"/>
      <c r="B52" s="1138">
        <v>1970</v>
      </c>
      <c r="C52" s="994" t="s">
        <v>864</v>
      </c>
      <c r="D52" s="1139"/>
      <c r="E52" s="246">
        <v>-464917</v>
      </c>
      <c r="F52" s="436"/>
      <c r="G52" s="246"/>
      <c r="H52" s="10">
        <f t="shared" si="1"/>
        <v>-464917</v>
      </c>
      <c r="J52" s="248">
        <v>464917</v>
      </c>
      <c r="K52" s="246"/>
      <c r="L52" s="246"/>
      <c r="M52" s="10">
        <f t="shared" si="2"/>
        <v>464917</v>
      </c>
      <c r="N52" s="1140">
        <f t="shared" si="3"/>
        <v>0</v>
      </c>
      <c r="O52" s="746">
        <f t="shared" si="0"/>
        <v>0</v>
      </c>
      <c r="P52" s="246">
        <v>464917</v>
      </c>
    </row>
    <row r="53" spans="1:16" x14ac:dyDescent="0.2">
      <c r="A53" s="1144"/>
      <c r="B53" s="1144">
        <v>1990</v>
      </c>
      <c r="C53" s="266" t="s">
        <v>982</v>
      </c>
      <c r="D53" s="1139"/>
      <c r="E53" s="246">
        <v>0</v>
      </c>
      <c r="F53" s="436"/>
      <c r="G53" s="246">
        <v>0</v>
      </c>
      <c r="H53" s="10">
        <f t="shared" si="1"/>
        <v>0</v>
      </c>
      <c r="J53" s="248">
        <f>'[10]App.2-B_Fixed Asset Continu11'!M53</f>
        <v>0</v>
      </c>
      <c r="K53" s="1087"/>
      <c r="L53" s="246">
        <f t="shared" ref="L53" si="4">-J53</f>
        <v>0</v>
      </c>
      <c r="M53" s="10">
        <f t="shared" si="2"/>
        <v>0</v>
      </c>
      <c r="N53" s="1140">
        <f t="shared" si="3"/>
        <v>0</v>
      </c>
      <c r="O53" s="746">
        <f>H53-'[10]App.2-B_Fixed Asset 2012 MIFRS'!G53</f>
        <v>0</v>
      </c>
      <c r="P53" s="746">
        <f t="shared" ref="P53" si="5">G53-J53</f>
        <v>0</v>
      </c>
    </row>
    <row r="54" spans="1:16" x14ac:dyDescent="0.2">
      <c r="A54" s="1144"/>
      <c r="B54" s="1144"/>
      <c r="C54" s="1145" t="s">
        <v>439</v>
      </c>
      <c r="D54" s="1145"/>
      <c r="E54" s="1146">
        <f>SUM(E16:E53)</f>
        <v>-65116362.629999995</v>
      </c>
      <c r="F54" s="1146">
        <f t="shared" ref="F54:H54" si="6">SUM(F16:F53)</f>
        <v>1442440.9899999993</v>
      </c>
      <c r="G54" s="1146">
        <f t="shared" si="6"/>
        <v>5527048.3699999982</v>
      </c>
      <c r="H54" s="1146">
        <f t="shared" si="6"/>
        <v>-58146873.270000003</v>
      </c>
      <c r="I54" s="1146"/>
      <c r="J54" s="1146">
        <f>SUM(J16:J53)</f>
        <v>65116362</v>
      </c>
      <c r="K54" s="1146">
        <f t="shared" ref="K54:N54" si="7">SUM(K16:K53)</f>
        <v>-1412859</v>
      </c>
      <c r="L54" s="1146">
        <f t="shared" si="7"/>
        <v>-855221</v>
      </c>
      <c r="M54" s="1146">
        <f t="shared" si="7"/>
        <v>62848282</v>
      </c>
      <c r="N54" s="1146">
        <f t="shared" si="7"/>
        <v>4701408.7299999995</v>
      </c>
    </row>
    <row r="56" spans="1:16" x14ac:dyDescent="0.2">
      <c r="C56" s="1147" t="s">
        <v>1233</v>
      </c>
      <c r="D56" s="1148"/>
      <c r="E56" s="1149"/>
      <c r="F56" s="1150"/>
      <c r="G56" s="1151"/>
      <c r="H56" s="1151"/>
      <c r="I56" s="1148"/>
      <c r="J56" s="1151"/>
      <c r="K56" s="1151"/>
      <c r="L56" s="1151"/>
      <c r="N56" s="841"/>
    </row>
    <row r="57" spans="1:16" x14ac:dyDescent="0.2">
      <c r="C57" s="1152" t="s">
        <v>1234</v>
      </c>
      <c r="D57" s="1148"/>
      <c r="E57" s="1149"/>
      <c r="F57" s="1150"/>
      <c r="G57" s="1151"/>
      <c r="H57" s="1151"/>
      <c r="I57" s="1148"/>
      <c r="J57" s="1151"/>
      <c r="K57" s="1151"/>
      <c r="L57" s="1151"/>
    </row>
    <row r="58" spans="1:16" x14ac:dyDescent="0.2">
      <c r="D58" s="951"/>
      <c r="E58" s="1153"/>
      <c r="F58" s="856"/>
    </row>
    <row r="59" spans="1:16" x14ac:dyDescent="0.2">
      <c r="D59" s="951"/>
      <c r="E59" s="1154"/>
      <c r="F59" s="856"/>
    </row>
    <row r="60" spans="1:16" x14ac:dyDescent="0.2">
      <c r="D60" s="951"/>
      <c r="E60" s="1154"/>
      <c r="F60" s="856"/>
    </row>
    <row r="61" spans="1:16" x14ac:dyDescent="0.2">
      <c r="D61" s="951"/>
      <c r="E61" s="1153"/>
      <c r="F61" s="856"/>
    </row>
    <row r="62" spans="1:16" x14ac:dyDescent="0.2">
      <c r="D62" s="951"/>
      <c r="E62" s="1155"/>
      <c r="F62" s="856"/>
    </row>
    <row r="63" spans="1:16" x14ac:dyDescent="0.2">
      <c r="D63" s="951"/>
      <c r="E63" s="951"/>
      <c r="F63" s="951"/>
    </row>
    <row r="64" spans="1:16" x14ac:dyDescent="0.2">
      <c r="A64" s="1156" t="s">
        <v>16</v>
      </c>
    </row>
    <row r="66" spans="1:14" x14ac:dyDescent="0.2">
      <c r="A66" s="1133">
        <v>1</v>
      </c>
      <c r="B66" s="1271" t="s">
        <v>337</v>
      </c>
      <c r="C66" s="1271"/>
      <c r="D66" s="1271"/>
      <c r="E66" s="1271"/>
      <c r="F66" s="1271"/>
      <c r="G66" s="1271"/>
      <c r="H66" s="1271"/>
      <c r="I66" s="1271"/>
      <c r="J66" s="1271"/>
      <c r="K66" s="1271"/>
      <c r="L66" s="1271"/>
      <c r="M66" s="1271"/>
      <c r="N66" s="1271"/>
    </row>
    <row r="67" spans="1:14" x14ac:dyDescent="0.2">
      <c r="B67" s="1271"/>
      <c r="C67" s="1271"/>
      <c r="D67" s="1271"/>
      <c r="E67" s="1271"/>
      <c r="F67" s="1271"/>
      <c r="G67" s="1271"/>
      <c r="H67" s="1271"/>
      <c r="I67" s="1271"/>
      <c r="J67" s="1271"/>
      <c r="K67" s="1271"/>
      <c r="L67" s="1271"/>
      <c r="M67" s="1271"/>
      <c r="N67" s="1271"/>
    </row>
    <row r="68" spans="1:14" ht="12.75" customHeight="1" x14ac:dyDescent="0.2"/>
    <row r="69" spans="1:14" x14ac:dyDescent="0.2">
      <c r="A69" s="1133">
        <v>2</v>
      </c>
      <c r="B69" s="1258" t="s">
        <v>66</v>
      </c>
      <c r="C69" s="1258"/>
      <c r="D69" s="1258"/>
      <c r="E69" s="1258"/>
      <c r="F69" s="1258"/>
      <c r="G69" s="1258"/>
      <c r="H69" s="1258"/>
      <c r="I69" s="1258"/>
      <c r="J69" s="1258"/>
      <c r="K69" s="1258"/>
      <c r="L69" s="1258"/>
      <c r="M69" s="1258"/>
      <c r="N69" s="1258"/>
    </row>
    <row r="70" spans="1:14" x14ac:dyDescent="0.2">
      <c r="B70" s="1258"/>
      <c r="C70" s="1258"/>
      <c r="D70" s="1258"/>
      <c r="E70" s="1258"/>
      <c r="F70" s="1258"/>
      <c r="G70" s="1258"/>
      <c r="H70" s="1258"/>
      <c r="I70" s="1258"/>
      <c r="J70" s="1258"/>
      <c r="K70" s="1258"/>
      <c r="L70" s="1258"/>
      <c r="M70" s="1258"/>
      <c r="N70" s="1258"/>
    </row>
    <row r="72" spans="1:14" x14ac:dyDescent="0.2">
      <c r="A72" s="1133">
        <v>3</v>
      </c>
      <c r="B72" s="1260" t="s">
        <v>341</v>
      </c>
      <c r="C72" s="1260"/>
      <c r="D72" s="1260"/>
      <c r="E72" s="1260"/>
      <c r="F72" s="1260"/>
      <c r="G72" s="1260"/>
      <c r="H72" s="1260"/>
      <c r="I72" s="1260"/>
      <c r="J72" s="1260"/>
      <c r="K72" s="1260"/>
      <c r="L72" s="1260"/>
      <c r="M72" s="1260"/>
      <c r="N72" s="1260"/>
    </row>
    <row r="74" spans="1:14" x14ac:dyDescent="0.2">
      <c r="A74" s="1133">
        <v>4</v>
      </c>
      <c r="B74" s="1157" t="s">
        <v>648</v>
      </c>
    </row>
  </sheetData>
  <mergeCells count="7">
    <mergeCell ref="B72:N72"/>
    <mergeCell ref="A9:N9"/>
    <mergeCell ref="A10:N10"/>
    <mergeCell ref="E14:H14"/>
    <mergeCell ref="J14:M14"/>
    <mergeCell ref="B66:N67"/>
    <mergeCell ref="B69:N70"/>
  </mergeCells>
  <printOptions horizontalCentered="1"/>
  <pageMargins left="0.5" right="0.5" top="0.5" bottom="0.5" header="0.511811023622047" footer="0.511811023622047"/>
  <pageSetup scale="50" orientation="landscape" r:id="rId1"/>
  <headerFooter alignWithMargins="0"/>
  <rowBreaks count="1" manualBreakCount="1">
    <brk id="6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43</vt:i4>
      </vt:variant>
    </vt:vector>
  </HeadingPairs>
  <TitlesOfParts>
    <vt:vector size="84" baseType="lpstr">
      <vt:lpstr>LDC Info</vt:lpstr>
      <vt:lpstr>Index</vt:lpstr>
      <vt:lpstr>App.2-A_Capital Projects</vt:lpstr>
      <vt:lpstr>App.2-B_Fixed Asset 2009</vt:lpstr>
      <vt:lpstr>App.2-B_Fixed Asset 2010</vt:lpstr>
      <vt:lpstr>App.2-B_Fixed Asset 2011</vt:lpstr>
      <vt:lpstr>App.2-B_Fixed Asset 2012 CGAAP</vt:lpstr>
      <vt:lpstr>App.2-B_Fixed Asset 2012 MIFRS</vt:lpstr>
      <vt:lpstr>App.2-B_Fix Ass 2012 MIFRS Adj </vt:lpstr>
      <vt:lpstr>App.2-B_Fixed Asset 2013 CGAAP</vt:lpstr>
      <vt:lpstr>App.2-B_Fixed Asset 2013 MIFRS</vt:lpstr>
      <vt:lpstr>App.2-CE_CGAAP_DepExp_2011</vt:lpstr>
      <vt:lpstr>App.2-CF_CGAAP_DepExp_2012</vt:lpstr>
      <vt:lpstr>App.2-CG_MIFRS_DepExp_2012</vt:lpstr>
      <vt:lpstr>App.2-CH_MIFRS_DepExp_2013 </vt:lpstr>
      <vt:lpstr>App.2-D_Overhead</vt:lpstr>
      <vt:lpstr>App.2-EB_PP&amp;E Deferral Account</vt:lpstr>
      <vt:lpstr>App.2-F_Other_Oper_Rev </vt:lpstr>
      <vt:lpstr>App.2-G_Detailed_OM&amp;A_Expen </vt:lpstr>
      <vt:lpstr>App.2-H_OM&amp;A_Detailed_Analysis</vt:lpstr>
      <vt:lpstr>App.2-I_OM&amp;A_Summary_Analys</vt:lpstr>
      <vt:lpstr>App.2-J_OM&amp;A_Cost _Drivers</vt:lpstr>
      <vt:lpstr>App 2-K Employee Compensation</vt:lpstr>
      <vt:lpstr>App.2-L_OM&amp;A_per_Cust_FTEE</vt:lpstr>
      <vt:lpstr>App.2-M_Regulatory_Costs</vt:lpstr>
      <vt:lpstr>App.2-N_Corp_Cost_Allocation'13</vt:lpstr>
      <vt:lpstr>App.2-N_Corp_Cost_Allocation'12</vt:lpstr>
      <vt:lpstr>App.2-N_Corp_Cost_Allocation'11</vt:lpstr>
      <vt:lpstr>App.2-N_Corp_Cost_Allocation'10</vt:lpstr>
      <vt:lpstr>App.2-N_Corp_Cost_Allocation'09</vt:lpstr>
      <vt:lpstr>App 2-N 2009 Approved</vt:lpstr>
      <vt:lpstr>App.2-OA Capital Structure  </vt:lpstr>
      <vt:lpstr>App.2-OB_Debt Instruments</vt:lpstr>
      <vt:lpstr>App.2-P_Cost_Allocation</vt:lpstr>
      <vt:lpstr>App.2-R_Loss Factors</vt:lpstr>
      <vt:lpstr>App.2-S_Stranded Meters</vt:lpstr>
      <vt:lpstr>App.2-T_1592_Tax_Variance</vt:lpstr>
      <vt:lpstr>App.2-U_IFRS Transition Costs</vt:lpstr>
      <vt:lpstr>App.2-V_Rev_Reconciliation</vt:lpstr>
      <vt:lpstr>App 2-W Bill Impacts</vt:lpstr>
      <vt:lpstr>App.2-X_CoS_Flowchart</vt:lpstr>
      <vt:lpstr>LDCLIST</vt:lpstr>
      <vt:lpstr>'App 2-K Employee Compensation'!Print_Area</vt:lpstr>
      <vt:lpstr>'App 2-N 2009 Approved'!Print_Area</vt:lpstr>
      <vt:lpstr>'App.2-B_Fix Ass 2012 MIFRS Adj '!Print_Area</vt:lpstr>
      <vt:lpstr>'App.2-B_Fixed Asset 2009'!Print_Area</vt:lpstr>
      <vt:lpstr>'App.2-B_Fixed Asset 2010'!Print_Area</vt:lpstr>
      <vt:lpstr>'App.2-B_Fixed Asset 2011'!Print_Area</vt:lpstr>
      <vt:lpstr>'App.2-B_Fixed Asset 2012 CGAAP'!Print_Area</vt:lpstr>
      <vt:lpstr>'App.2-B_Fixed Asset 2012 MIFRS'!Print_Area</vt:lpstr>
      <vt:lpstr>'App.2-B_Fixed Asset 2013 CGAAP'!Print_Area</vt:lpstr>
      <vt:lpstr>'App.2-B_Fixed Asset 2013 MIFRS'!Print_Area</vt:lpstr>
      <vt:lpstr>'App.2-CE_CGAAP_DepExp_2011'!Print_Area</vt:lpstr>
      <vt:lpstr>'App.2-CF_CGAAP_DepExp_2012'!Print_Area</vt:lpstr>
      <vt:lpstr>'App.2-CG_MIFRS_DepExp_2012'!Print_Area</vt:lpstr>
      <vt:lpstr>'App.2-CH_MIFRS_DepExp_2013 '!Print_Area</vt:lpstr>
      <vt:lpstr>'App.2-D_Overhead'!Print_Area</vt:lpstr>
      <vt:lpstr>'App.2-EB_PP&amp;E Deferral Account'!Print_Area</vt:lpstr>
      <vt:lpstr>'App.2-F_Other_Oper_Rev '!Print_Area</vt:lpstr>
      <vt:lpstr>'App.2-G_Detailed_OM&amp;A_Expen '!Print_Area</vt:lpstr>
      <vt:lpstr>'App.2-H_OM&amp;A_Detailed_Analysis'!Print_Area</vt:lpstr>
      <vt:lpstr>'App.2-I_OM&amp;A_Summary_Analys'!Print_Area</vt:lpstr>
      <vt:lpstr>'App.2-J_OM&amp;A_Cost _Drivers'!Print_Area</vt:lpstr>
      <vt:lpstr>'App.2-L_OM&amp;A_per_Cust_FTEE'!Print_Area</vt:lpstr>
      <vt:lpstr>'App.2-M_Regulatory_Costs'!Print_Area</vt:lpstr>
      <vt:lpstr>'App.2-N_Corp_Cost_Allocation''09'!Print_Area</vt:lpstr>
      <vt:lpstr>'App.2-N_Corp_Cost_Allocation''10'!Print_Area</vt:lpstr>
      <vt:lpstr>'App.2-N_Corp_Cost_Allocation''11'!Print_Area</vt:lpstr>
      <vt:lpstr>'App.2-N_Corp_Cost_Allocation''12'!Print_Area</vt:lpstr>
      <vt:lpstr>'App.2-N_Corp_Cost_Allocation''13'!Print_Area</vt:lpstr>
      <vt:lpstr>'App.2-OA Capital Structure  '!Print_Area</vt:lpstr>
      <vt:lpstr>'App.2-OB_Debt Instruments'!Print_Area</vt:lpstr>
      <vt:lpstr>'App.2-P_Cost_Allocation'!Print_Area</vt:lpstr>
      <vt:lpstr>'App.2-R_Loss Factors'!Print_Area</vt:lpstr>
      <vt:lpstr>'App.2-S_Stranded Meters'!Print_Area</vt:lpstr>
      <vt:lpstr>'App.2-T_1592_Tax_Variance'!Print_Area</vt:lpstr>
      <vt:lpstr>'App.2-U_IFRS Transition Costs'!Print_Area</vt:lpstr>
      <vt:lpstr>'App.2-V_Rev_Reconciliation'!Print_Area</vt:lpstr>
      <vt:lpstr>'App.2-X_CoS_Flowchart'!Print_Area</vt:lpstr>
      <vt:lpstr>Index!Print_Area</vt:lpstr>
      <vt:lpstr>'App.2-A_Capital Projects'!Print_Titles</vt:lpstr>
      <vt:lpstr>'App.2-G_Detailed_OM&amp;A_Expen '!Print_Titles</vt:lpstr>
      <vt:lpstr>'App.2-H_OM&amp;A_Detailed_Analysis'!Print_Titles</vt:lpstr>
      <vt:lpstr>'App.2-T_1592_Tax_Variance'!Print_Titles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Anna Luciani-Marzo</cp:lastModifiedBy>
  <cp:lastPrinted>2012-10-22T17:52:09Z</cp:lastPrinted>
  <dcterms:created xsi:type="dcterms:W3CDTF">2009-03-26T15:32:04Z</dcterms:created>
  <dcterms:modified xsi:type="dcterms:W3CDTF">2012-10-22T19:47:56Z</dcterms:modified>
</cp:coreProperties>
</file>