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19035" windowHeight="11640" tabRatio="937"/>
  </bookViews>
  <sheets>
    <sheet name="1. Info" sheetId="1" r:id="rId1"/>
    <sheet name="2. Table of Contents" sheetId="2" r:id="rId2"/>
    <sheet name="3. Rate Classes" sheetId="3" r:id="rId3"/>
    <sheet name="4. RRR Data" sheetId="4" r:id="rId4"/>
    <sheet name="5. UTRs and Sub-Transmission" sheetId="6" r:id="rId5"/>
    <sheet name="6. Historical Wholesale" sheetId="9" r:id="rId6"/>
    <sheet name="7. Current Wholesale" sheetId="8" r:id="rId7"/>
    <sheet name="8. Forecast Wholesale" sheetId="12" r:id="rId8"/>
    <sheet name="9. Adj Network to Current WS" sheetId="14" r:id="rId9"/>
    <sheet name="10. Adj Conn. to Current WS" sheetId="15" r:id="rId10"/>
    <sheet name="11. Adj Network to Forecast WS" sheetId="16" r:id="rId11"/>
    <sheet name="12. Adj Conn. to Forecast WS" sheetId="17" r:id="rId12"/>
    <sheet name="13. Final 2013 RTS Rates" sheetId="18" r:id="rId13"/>
    <sheet name="hidden1" sheetId="5" state="hidden" r:id="rId14"/>
  </sheets>
  <externalReferences>
    <externalReference r:id="rId15"/>
    <externalReference r:id="rId16"/>
  </externalReferences>
  <definedNames>
    <definedName name="classrange">hidden1!$A$1:$B$22</definedName>
    <definedName name="LDC_LIST">[1]lists!$AM$1:$AM$80</definedName>
    <definedName name="_xlnm.Print_Area" localSheetId="0">'1. Info'!$A$1:$K$38</definedName>
    <definedName name="_xlnm.Print_Area" localSheetId="9">'10. Adj Conn. to Current WS'!$C$1:$R$51</definedName>
    <definedName name="_xlnm.Print_Area" localSheetId="10">'11. Adj Network to Forecast WS'!$B$1:$R$51</definedName>
    <definedName name="_xlnm.Print_Area" localSheetId="11">'12. Adj Conn. to Forecast WS'!$C$1:$R$50</definedName>
    <definedName name="_xlnm.Print_Area" localSheetId="12">'13. Final 2013 RTS Rates'!$B$1:$O$49</definedName>
    <definedName name="_xlnm.Print_Area" localSheetId="2">'3. Rate Classes'!$B$1:$O$42</definedName>
    <definedName name="_xlnm.Print_Area" localSheetId="4">'5. UTRs and Sub-Transmission'!$A$1:$I$57</definedName>
    <definedName name="_xlnm.Print_Area" localSheetId="5">'6. Historical Wholesale'!$A$1:$P$75</definedName>
    <definedName name="_xlnm.Print_Area" localSheetId="6">'7. Current Wholesale'!$A$1:$P$75</definedName>
    <definedName name="_xlnm.Print_Area" localSheetId="7">'8. Forecast Wholesale'!$A$1:$P$75</definedName>
    <definedName name="_xlnm.Print_Area" localSheetId="8">'9. Adj Network to Current WS'!$B$1:$S$51</definedName>
    <definedName name="_xlnm.Print_Titles" localSheetId="5">'6. Historical Wholesale'!$1:$19</definedName>
    <definedName name="_xlnm.Print_Titles" localSheetId="6">'7. Current Wholesale'!$1:$19</definedName>
    <definedName name="_xlnm.Print_Titles" localSheetId="7">'8. Forecast Wholesale'!$1:$19</definedName>
    <definedName name="ratedescription" localSheetId="13">hidden1!$D$1:$D$122</definedName>
    <definedName name="ratedescription">[2]hidden1!$D$1:$D$122</definedName>
    <definedName name="units" localSheetId="13">hidden1!$J$3:$J$8</definedName>
    <definedName name="units">[2]hidden1!$J$3:$J$8</definedName>
  </definedNames>
  <calcPr calcId="145621"/>
</workbook>
</file>

<file path=xl/calcChain.xml><?xml version="1.0" encoding="utf-8"?>
<calcChain xmlns="http://schemas.openxmlformats.org/spreadsheetml/2006/main">
  <c r="M28" i="4" l="1"/>
  <c r="M29" i="4"/>
  <c r="M30" i="4"/>
  <c r="M31" i="4"/>
  <c r="M32" i="4"/>
  <c r="M33" i="4"/>
  <c r="M34" i="4"/>
  <c r="M35" i="4"/>
  <c r="M36" i="4"/>
  <c r="M37" i="4"/>
  <c r="M38" i="4"/>
  <c r="M39" i="4"/>
  <c r="M40" i="4"/>
  <c r="M41" i="4"/>
  <c r="M42" i="4"/>
  <c r="M43" i="4"/>
  <c r="M44" i="4"/>
  <c r="M45" i="4"/>
  <c r="M46" i="4"/>
  <c r="M47" i="4"/>
  <c r="M48" i="4"/>
  <c r="M27" i="4"/>
  <c r="L28" i="4"/>
  <c r="Q25" i="3"/>
  <c r="B26" i="14" s="1"/>
  <c r="Q24" i="3"/>
  <c r="B26" i="18" s="1"/>
  <c r="D26" i="18" s="1"/>
  <c r="L27" i="4"/>
  <c r="L29" i="4"/>
  <c r="Q26" i="3"/>
  <c r="B27" i="14" s="1"/>
  <c r="B29" i="4"/>
  <c r="D29" i="4" s="1"/>
  <c r="Q27" i="3"/>
  <c r="B28" i="14"/>
  <c r="F28" i="14" s="1"/>
  <c r="B30" i="4"/>
  <c r="L30" i="4"/>
  <c r="Q28" i="3"/>
  <c r="B29" i="14"/>
  <c r="D29" i="14" s="1"/>
  <c r="B31" i="4"/>
  <c r="L31" i="4"/>
  <c r="L32" i="4"/>
  <c r="D30" i="4"/>
  <c r="J30" i="4" s="1"/>
  <c r="D31" i="4"/>
  <c r="J31" i="4" s="1"/>
  <c r="L33" i="4"/>
  <c r="L34" i="4"/>
  <c r="L35" i="4"/>
  <c r="L36" i="4"/>
  <c r="L37" i="4"/>
  <c r="L38" i="4"/>
  <c r="L39" i="4"/>
  <c r="L40" i="4"/>
  <c r="L41" i="4"/>
  <c r="L42" i="4"/>
  <c r="L43" i="4"/>
  <c r="L44" i="4"/>
  <c r="L45" i="4"/>
  <c r="L46" i="4"/>
  <c r="L47" i="4"/>
  <c r="L48" i="4"/>
  <c r="Q29" i="3"/>
  <c r="B30" i="14" s="1"/>
  <c r="Q30" i="3"/>
  <c r="B31" i="14" s="1"/>
  <c r="Q31" i="3"/>
  <c r="B32" i="14" s="1"/>
  <c r="Q32" i="3"/>
  <c r="B33" i="14" s="1"/>
  <c r="A1" i="5"/>
  <c r="A2" i="5"/>
  <c r="A3" i="5"/>
  <c r="A4" i="5"/>
  <c r="A5" i="5"/>
  <c r="A7" i="5"/>
  <c r="F27" i="14"/>
  <c r="D27" i="14"/>
  <c r="F29" i="14"/>
  <c r="F31" i="14"/>
  <c r="D31" i="14"/>
  <c r="F33" i="14"/>
  <c r="L33" i="14" s="1"/>
  <c r="D33" i="14"/>
  <c r="D24" i="8"/>
  <c r="E24" i="8"/>
  <c r="D43" i="8"/>
  <c r="E43" i="8"/>
  <c r="E44" i="8" s="1"/>
  <c r="D25" i="8"/>
  <c r="D44" i="8"/>
  <c r="D63" i="8" s="1"/>
  <c r="D26" i="8"/>
  <c r="D45" i="8"/>
  <c r="D27" i="8"/>
  <c r="D46" i="8"/>
  <c r="D28" i="8"/>
  <c r="D47" i="8"/>
  <c r="D29" i="8"/>
  <c r="D48" i="8"/>
  <c r="D30" i="8"/>
  <c r="D49" i="8"/>
  <c r="D31" i="8"/>
  <c r="D50" i="8"/>
  <c r="D32" i="8"/>
  <c r="D51" i="8"/>
  <c r="D33" i="8"/>
  <c r="D52" i="8"/>
  <c r="D34" i="8"/>
  <c r="D53" i="8"/>
  <c r="D35" i="8"/>
  <c r="D54" i="8"/>
  <c r="B26" i="16"/>
  <c r="D26" i="16" s="1"/>
  <c r="B27" i="16"/>
  <c r="D27" i="16" s="1"/>
  <c r="B28" i="16"/>
  <c r="D28" i="16" s="1"/>
  <c r="B29" i="16"/>
  <c r="D29" i="16" s="1"/>
  <c r="B30" i="16"/>
  <c r="D30" i="16" s="1"/>
  <c r="B31" i="16"/>
  <c r="D31" i="16" s="1"/>
  <c r="B32" i="16"/>
  <c r="D32" i="16" s="1"/>
  <c r="B33" i="16"/>
  <c r="D33" i="16"/>
  <c r="R33" i="16" s="1"/>
  <c r="D24" i="12"/>
  <c r="E24" i="12"/>
  <c r="D43" i="12"/>
  <c r="E43" i="12"/>
  <c r="D25" i="12"/>
  <c r="D44" i="12"/>
  <c r="D26" i="12"/>
  <c r="D45" i="12"/>
  <c r="D27" i="12"/>
  <c r="D46" i="12"/>
  <c r="D28" i="12"/>
  <c r="D47" i="12"/>
  <c r="D29" i="12"/>
  <c r="D48" i="12"/>
  <c r="D30" i="12"/>
  <c r="D49" i="12"/>
  <c r="D31" i="12"/>
  <c r="D50" i="12"/>
  <c r="D32" i="12"/>
  <c r="D51" i="12"/>
  <c r="D33" i="12"/>
  <c r="D52" i="12"/>
  <c r="D34" i="12"/>
  <c r="D53" i="12"/>
  <c r="D35" i="12"/>
  <c r="D54" i="12"/>
  <c r="B25" i="17"/>
  <c r="D25" i="17" s="1"/>
  <c r="B25" i="15"/>
  <c r="F25" i="15" s="1"/>
  <c r="B26" i="15"/>
  <c r="F26" i="15" s="1"/>
  <c r="B27" i="15"/>
  <c r="F27" i="15" s="1"/>
  <c r="B28" i="15"/>
  <c r="F28" i="15" s="1"/>
  <c r="B29" i="15"/>
  <c r="F29" i="15" s="1"/>
  <c r="B30" i="15"/>
  <c r="F30" i="15" s="1"/>
  <c r="B31" i="15"/>
  <c r="F31" i="15" s="1"/>
  <c r="B33" i="15"/>
  <c r="F33" i="15" s="1"/>
  <c r="L33" i="15" s="1"/>
  <c r="H24" i="8"/>
  <c r="I24" i="8"/>
  <c r="H43" i="8"/>
  <c r="I43" i="8"/>
  <c r="L24" i="8"/>
  <c r="M24" i="8"/>
  <c r="L43" i="8"/>
  <c r="M43" i="8"/>
  <c r="H25" i="8"/>
  <c r="H44" i="8"/>
  <c r="H56" i="8" s="1"/>
  <c r="L25" i="8"/>
  <c r="L44" i="8"/>
  <c r="H26" i="8"/>
  <c r="H45" i="8"/>
  <c r="H64" i="8" s="1"/>
  <c r="L26" i="8"/>
  <c r="L45" i="8"/>
  <c r="H27" i="8"/>
  <c r="H46" i="8"/>
  <c r="L27" i="8"/>
  <c r="L46" i="8"/>
  <c r="H28" i="8"/>
  <c r="H47" i="8"/>
  <c r="H66" i="8" s="1"/>
  <c r="L28" i="8"/>
  <c r="L47" i="8"/>
  <c r="H29" i="8"/>
  <c r="H48" i="8"/>
  <c r="H67" i="8" s="1"/>
  <c r="L29" i="8"/>
  <c r="L48" i="8"/>
  <c r="H30" i="8"/>
  <c r="H49" i="8"/>
  <c r="L30" i="8"/>
  <c r="L49" i="8"/>
  <c r="H31" i="8"/>
  <c r="H50" i="8"/>
  <c r="H69" i="8" s="1"/>
  <c r="L31" i="8"/>
  <c r="L50" i="8"/>
  <c r="H32" i="8"/>
  <c r="H51" i="8"/>
  <c r="H70" i="8" s="1"/>
  <c r="L32" i="8"/>
  <c r="L51" i="8"/>
  <c r="H33" i="8"/>
  <c r="H52" i="8"/>
  <c r="H71" i="8" s="1"/>
  <c r="L33" i="8"/>
  <c r="L52" i="8"/>
  <c r="H34" i="8"/>
  <c r="H53" i="8"/>
  <c r="H72" i="8" s="1"/>
  <c r="L34" i="8"/>
  <c r="L53" i="8"/>
  <c r="H35" i="8"/>
  <c r="H54" i="8"/>
  <c r="L35" i="8"/>
  <c r="L54" i="8"/>
  <c r="B26" i="17"/>
  <c r="D26" i="17" s="1"/>
  <c r="B27" i="17"/>
  <c r="D27" i="17" s="1"/>
  <c r="B28" i="17"/>
  <c r="D28" i="17" s="1"/>
  <c r="B29" i="17"/>
  <c r="D29" i="17" s="1"/>
  <c r="B30" i="17"/>
  <c r="D30" i="17"/>
  <c r="B31" i="17"/>
  <c r="D31" i="17"/>
  <c r="B33" i="17"/>
  <c r="D33" i="17" s="1"/>
  <c r="R33" i="17" s="1"/>
  <c r="H24" i="12"/>
  <c r="I24" i="12"/>
  <c r="H43" i="12"/>
  <c r="H62" i="12" s="1"/>
  <c r="I43" i="12"/>
  <c r="L24" i="12"/>
  <c r="L37" i="12" s="1"/>
  <c r="M24" i="12"/>
  <c r="L43" i="12"/>
  <c r="L62" i="12" s="1"/>
  <c r="M43" i="12"/>
  <c r="H25" i="12"/>
  <c r="H44" i="12"/>
  <c r="L25" i="12"/>
  <c r="L63" i="12" s="1"/>
  <c r="L44" i="12"/>
  <c r="H26" i="12"/>
  <c r="H45" i="12"/>
  <c r="L26" i="12"/>
  <c r="L45" i="12"/>
  <c r="H27" i="12"/>
  <c r="H46" i="12"/>
  <c r="L27" i="12"/>
  <c r="L46" i="12"/>
  <c r="H28" i="12"/>
  <c r="H47" i="12"/>
  <c r="L28" i="12"/>
  <c r="L47" i="12"/>
  <c r="H29" i="12"/>
  <c r="H48" i="12"/>
  <c r="L29" i="12"/>
  <c r="L48" i="12"/>
  <c r="H30" i="12"/>
  <c r="H49" i="12"/>
  <c r="L30" i="12"/>
  <c r="L49" i="12"/>
  <c r="H31" i="12"/>
  <c r="H50" i="12"/>
  <c r="L31" i="12"/>
  <c r="L69" i="12" s="1"/>
  <c r="L50" i="12"/>
  <c r="H32" i="12"/>
  <c r="H51" i="12"/>
  <c r="L32" i="12"/>
  <c r="L51" i="12"/>
  <c r="H33" i="12"/>
  <c r="H52" i="12"/>
  <c r="L33" i="12"/>
  <c r="L52" i="12"/>
  <c r="H34" i="12"/>
  <c r="H53" i="12"/>
  <c r="L34" i="12"/>
  <c r="L53" i="12"/>
  <c r="H35" i="12"/>
  <c r="H54" i="12"/>
  <c r="L35" i="12"/>
  <c r="L73" i="12" s="1"/>
  <c r="L54" i="12"/>
  <c r="B27" i="18"/>
  <c r="D27" i="18" s="1"/>
  <c r="B28" i="18"/>
  <c r="D28" i="18" s="1"/>
  <c r="B29" i="18"/>
  <c r="D29" i="18" s="1"/>
  <c r="B30" i="18"/>
  <c r="D30" i="18" s="1"/>
  <c r="B31" i="18"/>
  <c r="D31" i="18" s="1"/>
  <c r="B32" i="18"/>
  <c r="D32" i="18" s="1"/>
  <c r="B34" i="18"/>
  <c r="D34" i="18" s="1"/>
  <c r="R33" i="14"/>
  <c r="H37" i="12"/>
  <c r="L65" i="12"/>
  <c r="H37" i="8"/>
  <c r="L37" i="8"/>
  <c r="L56" i="8"/>
  <c r="H62" i="8"/>
  <c r="L62" i="8"/>
  <c r="L63" i="8"/>
  <c r="D64" i="8"/>
  <c r="L64" i="8"/>
  <c r="H65" i="8"/>
  <c r="L65" i="8"/>
  <c r="D66" i="8"/>
  <c r="L66" i="8"/>
  <c r="L67" i="8"/>
  <c r="D68" i="8"/>
  <c r="H68" i="8"/>
  <c r="L68" i="8"/>
  <c r="L69" i="8"/>
  <c r="D70" i="8"/>
  <c r="L70" i="8"/>
  <c r="L71" i="8"/>
  <c r="D72" i="8"/>
  <c r="L72" i="8"/>
  <c r="H73" i="8"/>
  <c r="L73" i="8"/>
  <c r="P24" i="9"/>
  <c r="P25" i="9"/>
  <c r="P37" i="9" s="1"/>
  <c r="P26" i="9"/>
  <c r="P27" i="9"/>
  <c r="P28" i="9"/>
  <c r="P29" i="9"/>
  <c r="P30" i="9"/>
  <c r="P31" i="9"/>
  <c r="P32" i="9"/>
  <c r="P33" i="9"/>
  <c r="P34" i="9"/>
  <c r="P35" i="9"/>
  <c r="D37" i="9"/>
  <c r="E37" i="9" s="1"/>
  <c r="F37" i="9"/>
  <c r="H37" i="9"/>
  <c r="J37" i="9"/>
  <c r="I37" i="9"/>
  <c r="L37" i="9"/>
  <c r="N37" i="9"/>
  <c r="M37" i="9" s="1"/>
  <c r="P43" i="9"/>
  <c r="P56" i="9" s="1"/>
  <c r="P44" i="9"/>
  <c r="P45" i="9"/>
  <c r="P46" i="9"/>
  <c r="P47" i="9"/>
  <c r="P48" i="9"/>
  <c r="P49" i="9"/>
  <c r="P50" i="9"/>
  <c r="P51" i="9"/>
  <c r="P52" i="9"/>
  <c r="P53" i="9"/>
  <c r="P54" i="9"/>
  <c r="D56" i="9"/>
  <c r="E56" i="9" s="1"/>
  <c r="F56" i="9"/>
  <c r="H56" i="9"/>
  <c r="J56" i="9"/>
  <c r="I56" i="9" s="1"/>
  <c r="L56" i="9"/>
  <c r="N56" i="9"/>
  <c r="D62" i="9"/>
  <c r="F62" i="9"/>
  <c r="H62" i="9"/>
  <c r="H75" i="9" s="1"/>
  <c r="J62" i="9"/>
  <c r="L62" i="9"/>
  <c r="M62" i="9" s="1"/>
  <c r="N62" i="9"/>
  <c r="D63" i="9"/>
  <c r="E63" i="9" s="1"/>
  <c r="F63" i="9"/>
  <c r="H63" i="9"/>
  <c r="J63" i="9"/>
  <c r="L63" i="9"/>
  <c r="M63" i="9" s="1"/>
  <c r="N63" i="9"/>
  <c r="D64" i="9"/>
  <c r="F64" i="9"/>
  <c r="H64" i="9"/>
  <c r="J64" i="9"/>
  <c r="L64" i="9"/>
  <c r="N64" i="9"/>
  <c r="M64" i="9" s="1"/>
  <c r="D65" i="9"/>
  <c r="F65" i="9"/>
  <c r="E65" i="9" s="1"/>
  <c r="H65" i="9"/>
  <c r="J65" i="9"/>
  <c r="L65" i="9"/>
  <c r="N65" i="9"/>
  <c r="M65" i="9"/>
  <c r="D66" i="9"/>
  <c r="F66" i="9"/>
  <c r="E66" i="9" s="1"/>
  <c r="H66" i="9"/>
  <c r="J66" i="9"/>
  <c r="I66" i="9" s="1"/>
  <c r="L66" i="9"/>
  <c r="N66" i="9"/>
  <c r="M66" i="9" s="1"/>
  <c r="D67" i="9"/>
  <c r="F67" i="9"/>
  <c r="E67" i="9" s="1"/>
  <c r="H67" i="9"/>
  <c r="J67" i="9"/>
  <c r="L67" i="9"/>
  <c r="M67" i="9" s="1"/>
  <c r="N67" i="9"/>
  <c r="D68" i="9"/>
  <c r="F68" i="9"/>
  <c r="H68" i="9"/>
  <c r="J68" i="9"/>
  <c r="L68" i="9"/>
  <c r="N68" i="9"/>
  <c r="D69" i="9"/>
  <c r="F69" i="9"/>
  <c r="H69" i="9"/>
  <c r="I69" i="9" s="1"/>
  <c r="J69" i="9"/>
  <c r="L69" i="9"/>
  <c r="N69" i="9"/>
  <c r="D70" i="9"/>
  <c r="F70" i="9"/>
  <c r="H70" i="9"/>
  <c r="I70" i="9" s="1"/>
  <c r="J70" i="9"/>
  <c r="L70" i="9"/>
  <c r="N70" i="9"/>
  <c r="D71" i="9"/>
  <c r="F71" i="9"/>
  <c r="H71" i="9"/>
  <c r="J71" i="9"/>
  <c r="L71" i="9"/>
  <c r="M71" i="9" s="1"/>
  <c r="N71" i="9"/>
  <c r="D72" i="9"/>
  <c r="F72" i="9"/>
  <c r="E72" i="9" s="1"/>
  <c r="H72" i="9"/>
  <c r="J72" i="9"/>
  <c r="L72" i="9"/>
  <c r="N72" i="9"/>
  <c r="M72" i="9" s="1"/>
  <c r="D73" i="9"/>
  <c r="F73" i="9"/>
  <c r="E73" i="9" s="1"/>
  <c r="H73" i="9"/>
  <c r="J73" i="9"/>
  <c r="L73" i="9"/>
  <c r="N73" i="9"/>
  <c r="M73" i="9" s="1"/>
  <c r="E41" i="6"/>
  <c r="G41" i="6"/>
  <c r="I41" i="6"/>
  <c r="E57" i="6"/>
  <c r="G57" i="6"/>
  <c r="I57" i="6"/>
  <c r="J27" i="4"/>
  <c r="J28" i="4"/>
  <c r="J29" i="4"/>
  <c r="J32" i="4"/>
  <c r="J35" i="4"/>
  <c r="J36" i="4"/>
  <c r="J37" i="4"/>
  <c r="J38" i="4"/>
  <c r="J39" i="4"/>
  <c r="J40" i="4"/>
  <c r="J41" i="4"/>
  <c r="J42" i="4"/>
  <c r="J43" i="4"/>
  <c r="J44" i="4"/>
  <c r="J45" i="4"/>
  <c r="J46" i="4"/>
  <c r="J47" i="4"/>
  <c r="J48" i="4"/>
  <c r="R24" i="3"/>
  <c r="S24" i="3"/>
  <c r="R25" i="3"/>
  <c r="S25" i="3"/>
  <c r="R26" i="3"/>
  <c r="S26" i="3"/>
  <c r="R27" i="3"/>
  <c r="S27" i="3"/>
  <c r="R28" i="3"/>
  <c r="S28" i="3"/>
  <c r="R29" i="3"/>
  <c r="S29" i="3"/>
  <c r="R30" i="3"/>
  <c r="S30" i="3"/>
  <c r="R31" i="3"/>
  <c r="S31" i="3"/>
  <c r="R32" i="3"/>
  <c r="S32" i="3"/>
  <c r="Q33" i="3"/>
  <c r="R33" i="3"/>
  <c r="S33" i="3"/>
  <c r="Q34" i="3"/>
  <c r="R34" i="3"/>
  <c r="S34" i="3"/>
  <c r="Q35" i="3"/>
  <c r="R35" i="3"/>
  <c r="S35" i="3"/>
  <c r="Q36" i="3"/>
  <c r="R36" i="3"/>
  <c r="S36" i="3"/>
  <c r="Q37" i="3"/>
  <c r="R37" i="3"/>
  <c r="S37" i="3"/>
  <c r="Q38" i="3"/>
  <c r="R38" i="3"/>
  <c r="S38" i="3"/>
  <c r="Q39" i="3"/>
  <c r="R39" i="3"/>
  <c r="S39" i="3"/>
  <c r="Q40" i="3"/>
  <c r="R40" i="3"/>
  <c r="S40" i="3"/>
  <c r="Q41" i="3"/>
  <c r="R41" i="3"/>
  <c r="S41" i="3"/>
  <c r="Q42" i="3"/>
  <c r="R42" i="3"/>
  <c r="S42" i="3"/>
  <c r="Q43" i="3"/>
  <c r="R43" i="3"/>
  <c r="S43" i="3"/>
  <c r="Q44" i="3"/>
  <c r="R44" i="3"/>
  <c r="S44" i="3"/>
  <c r="Q45" i="3"/>
  <c r="R45" i="3"/>
  <c r="S45" i="3"/>
  <c r="S46" i="3"/>
  <c r="E71" i="9" l="1"/>
  <c r="M69" i="9"/>
  <c r="E69" i="9"/>
  <c r="E62" i="9"/>
  <c r="D56" i="8"/>
  <c r="B33" i="18"/>
  <c r="D33" i="18" s="1"/>
  <c r="L72" i="12"/>
  <c r="L71" i="12"/>
  <c r="L70" i="12"/>
  <c r="L68" i="12"/>
  <c r="L67" i="12"/>
  <c r="L75" i="12" s="1"/>
  <c r="L66" i="12"/>
  <c r="L56" i="12"/>
  <c r="L64" i="12"/>
  <c r="J43" i="12"/>
  <c r="B32" i="15"/>
  <c r="F32" i="15" s="1"/>
  <c r="D72" i="12"/>
  <c r="D70" i="12"/>
  <c r="D68" i="12"/>
  <c r="D66" i="12"/>
  <c r="D64" i="12"/>
  <c r="D56" i="12"/>
  <c r="D73" i="8"/>
  <c r="D71" i="8"/>
  <c r="D69" i="8"/>
  <c r="D67" i="8"/>
  <c r="D65" i="8"/>
  <c r="D75" i="8" s="1"/>
  <c r="I73" i="9"/>
  <c r="M70" i="9"/>
  <c r="M68" i="9"/>
  <c r="E68" i="9"/>
  <c r="H63" i="8"/>
  <c r="H75" i="8" s="1"/>
  <c r="H73" i="12"/>
  <c r="H72" i="12"/>
  <c r="H71" i="12"/>
  <c r="H70" i="12"/>
  <c r="H69" i="12"/>
  <c r="H68" i="12"/>
  <c r="H67" i="12"/>
  <c r="H66" i="12"/>
  <c r="H65" i="12"/>
  <c r="H64" i="12"/>
  <c r="H56" i="12"/>
  <c r="N24" i="12"/>
  <c r="J24" i="12"/>
  <c r="B32" i="17"/>
  <c r="D32" i="17" s="1"/>
  <c r="D73" i="12"/>
  <c r="D71" i="12"/>
  <c r="D69" i="12"/>
  <c r="D67" i="12"/>
  <c r="D65" i="12"/>
  <c r="D63" i="12"/>
  <c r="D37" i="12"/>
  <c r="D37" i="8"/>
  <c r="D28" i="14"/>
  <c r="P65" i="9"/>
  <c r="M56" i="9"/>
  <c r="I72" i="9"/>
  <c r="I68" i="9"/>
  <c r="I65" i="9"/>
  <c r="I64" i="9"/>
  <c r="I62" i="9"/>
  <c r="H63" i="12"/>
  <c r="H75" i="12" s="1"/>
  <c r="J43" i="8"/>
  <c r="E70" i="9"/>
  <c r="E64" i="9"/>
  <c r="F43" i="12"/>
  <c r="P73" i="9"/>
  <c r="P69" i="9"/>
  <c r="L75" i="9"/>
  <c r="N75" i="9"/>
  <c r="P71" i="9"/>
  <c r="P67" i="9"/>
  <c r="P63" i="9"/>
  <c r="P75" i="9" s="1"/>
  <c r="N24" i="8"/>
  <c r="I71" i="9"/>
  <c r="I67" i="9"/>
  <c r="I63" i="9"/>
  <c r="D75" i="9"/>
  <c r="F75" i="9"/>
  <c r="D62" i="8"/>
  <c r="D62" i="12"/>
  <c r="F24" i="12"/>
  <c r="B28" i="4"/>
  <c r="D28" i="4" s="1"/>
  <c r="F26" i="14"/>
  <c r="D26" i="14"/>
  <c r="P24" i="12"/>
  <c r="F43" i="8"/>
  <c r="A9" i="5"/>
  <c r="J75" i="9"/>
  <c r="I75" i="9" s="1"/>
  <c r="P72" i="9"/>
  <c r="P70" i="9"/>
  <c r="P68" i="9"/>
  <c r="P66" i="9"/>
  <c r="P64" i="9"/>
  <c r="P62" i="9"/>
  <c r="D75" i="12"/>
  <c r="M25" i="12"/>
  <c r="N25" i="12" s="1"/>
  <c r="N43" i="12"/>
  <c r="M25" i="8"/>
  <c r="B25" i="16"/>
  <c r="D25" i="16" s="1"/>
  <c r="I44" i="12"/>
  <c r="J44" i="12" s="1"/>
  <c r="I44" i="8"/>
  <c r="E25" i="12"/>
  <c r="F25" i="12" s="1"/>
  <c r="J62" i="12"/>
  <c r="I62" i="12" s="1"/>
  <c r="D33" i="15"/>
  <c r="R33" i="15" s="1"/>
  <c r="D32" i="15"/>
  <c r="D31" i="15"/>
  <c r="D30" i="15"/>
  <c r="D29" i="15"/>
  <c r="D28" i="15"/>
  <c r="D27" i="15"/>
  <c r="D26" i="15"/>
  <c r="D25" i="15"/>
  <c r="B46" i="14"/>
  <c r="B48" i="4"/>
  <c r="D48" i="4" s="1"/>
  <c r="A22" i="5"/>
  <c r="B46" i="16"/>
  <c r="B46" i="15"/>
  <c r="B47" i="18"/>
  <c r="B46" i="17"/>
  <c r="B44" i="14"/>
  <c r="B46" i="4"/>
  <c r="D46" i="4" s="1"/>
  <c r="A20" i="5"/>
  <c r="B44" i="16"/>
  <c r="B44" i="15"/>
  <c r="B45" i="18"/>
  <c r="B44" i="17"/>
  <c r="B42" i="14"/>
  <c r="B44" i="4"/>
  <c r="D44" i="4" s="1"/>
  <c r="A18" i="5"/>
  <c r="B42" i="16"/>
  <c r="B42" i="15"/>
  <c r="B43" i="18"/>
  <c r="B42" i="17"/>
  <c r="B40" i="14"/>
  <c r="B42" i="4"/>
  <c r="D42" i="4" s="1"/>
  <c r="A16" i="5"/>
  <c r="B40" i="16"/>
  <c r="B40" i="15"/>
  <c r="B41" i="18"/>
  <c r="B40" i="17"/>
  <c r="B38" i="14"/>
  <c r="B40" i="4"/>
  <c r="D40" i="4" s="1"/>
  <c r="A14" i="5"/>
  <c r="B38" i="16"/>
  <c r="B38" i="15"/>
  <c r="B39" i="18"/>
  <c r="B38" i="17"/>
  <c r="B36" i="14"/>
  <c r="B38" i="4"/>
  <c r="D38" i="4" s="1"/>
  <c r="A12" i="5"/>
  <c r="B36" i="16"/>
  <c r="B36" i="15"/>
  <c r="B37" i="18"/>
  <c r="B36" i="17"/>
  <c r="B34" i="14"/>
  <c r="B36" i="4"/>
  <c r="D36" i="4" s="1"/>
  <c r="A10" i="5"/>
  <c r="B34" i="16"/>
  <c r="B34" i="15"/>
  <c r="B35" i="18"/>
  <c r="B34" i="17"/>
  <c r="B45" i="14"/>
  <c r="A21" i="5"/>
  <c r="B47" i="4"/>
  <c r="D47" i="4" s="1"/>
  <c r="B45" i="15"/>
  <c r="B45" i="16"/>
  <c r="B45" i="17"/>
  <c r="B46" i="18"/>
  <c r="B43" i="14"/>
  <c r="A19" i="5"/>
  <c r="B45" i="4"/>
  <c r="D45" i="4" s="1"/>
  <c r="B43" i="15"/>
  <c r="B43" i="16"/>
  <c r="B43" i="17"/>
  <c r="B44" i="18"/>
  <c r="B41" i="14"/>
  <c r="A17" i="5"/>
  <c r="B43" i="4"/>
  <c r="D43" i="4" s="1"/>
  <c r="B41" i="15"/>
  <c r="B41" i="16"/>
  <c r="B41" i="17"/>
  <c r="B42" i="18"/>
  <c r="B39" i="14"/>
  <c r="A15" i="5"/>
  <c r="B41" i="4"/>
  <c r="D41" i="4" s="1"/>
  <c r="B39" i="15"/>
  <c r="B39" i="16"/>
  <c r="B39" i="17"/>
  <c r="B40" i="18"/>
  <c r="B37" i="14"/>
  <c r="A13" i="5"/>
  <c r="B39" i="4"/>
  <c r="D39" i="4" s="1"/>
  <c r="B37" i="15"/>
  <c r="B37" i="16"/>
  <c r="B37" i="17"/>
  <c r="B38" i="18"/>
  <c r="B35" i="14"/>
  <c r="A11" i="5"/>
  <c r="B37" i="4"/>
  <c r="D37" i="4" s="1"/>
  <c r="B35" i="15"/>
  <c r="B35" i="16"/>
  <c r="B35" i="17"/>
  <c r="B36" i="18"/>
  <c r="L75" i="8"/>
  <c r="J44" i="8"/>
  <c r="I45" i="8"/>
  <c r="M26" i="12"/>
  <c r="I45" i="12"/>
  <c r="M44" i="12"/>
  <c r="I25" i="12"/>
  <c r="N25" i="8"/>
  <c r="M26" i="8"/>
  <c r="N43" i="8"/>
  <c r="M44" i="8"/>
  <c r="M45" i="8" s="1"/>
  <c r="J24" i="8"/>
  <c r="I25" i="8"/>
  <c r="F24" i="8"/>
  <c r="E25" i="8"/>
  <c r="E26" i="8" s="1"/>
  <c r="D32" i="14"/>
  <c r="F32" i="14"/>
  <c r="D30" i="14"/>
  <c r="F30" i="14"/>
  <c r="E26" i="12"/>
  <c r="E44" i="12"/>
  <c r="F44" i="8"/>
  <c r="E45" i="8"/>
  <c r="A8" i="5"/>
  <c r="A6" i="5"/>
  <c r="B35" i="4"/>
  <c r="D35" i="4" s="1"/>
  <c r="B34" i="4"/>
  <c r="D34" i="4" s="1"/>
  <c r="J34" i="4" s="1"/>
  <c r="B33" i="4"/>
  <c r="D33" i="4" s="1"/>
  <c r="J33" i="4" s="1"/>
  <c r="B32" i="4"/>
  <c r="D32" i="4" s="1"/>
  <c r="B27" i="4"/>
  <c r="B25" i="14"/>
  <c r="H26" i="17"/>
  <c r="F62" i="12" l="1"/>
  <c r="N62" i="12"/>
  <c r="J32" i="16"/>
  <c r="M75" i="9"/>
  <c r="E62" i="12"/>
  <c r="E75" i="9"/>
  <c r="P43" i="12"/>
  <c r="H29" i="17"/>
  <c r="J29" i="15"/>
  <c r="L29" i="15" s="1"/>
  <c r="J26" i="15"/>
  <c r="N44" i="8"/>
  <c r="P44" i="8" s="1"/>
  <c r="H27" i="17"/>
  <c r="J29" i="14"/>
  <c r="J29" i="16"/>
  <c r="H33" i="17"/>
  <c r="J26" i="16"/>
  <c r="H25" i="17"/>
  <c r="H25" i="16"/>
  <c r="H25" i="15"/>
  <c r="J25" i="14"/>
  <c r="H25" i="14"/>
  <c r="F25" i="14"/>
  <c r="J25" i="17"/>
  <c r="J25" i="16"/>
  <c r="J25" i="15"/>
  <c r="D25" i="14"/>
  <c r="J27" i="14"/>
  <c r="J27" i="16"/>
  <c r="J28" i="15"/>
  <c r="H28" i="17"/>
  <c r="H29" i="16"/>
  <c r="H33" i="16"/>
  <c r="H31" i="15"/>
  <c r="H29" i="14"/>
  <c r="H33" i="14"/>
  <c r="J31" i="15"/>
  <c r="L31" i="15" s="1"/>
  <c r="J31" i="17"/>
  <c r="J33" i="15"/>
  <c r="J33" i="17"/>
  <c r="F26" i="12"/>
  <c r="E27" i="12"/>
  <c r="H30" i="14"/>
  <c r="H30" i="15"/>
  <c r="J30" i="17"/>
  <c r="J30" i="16"/>
  <c r="J32" i="17"/>
  <c r="H32" i="14"/>
  <c r="H32" i="16"/>
  <c r="F26" i="8"/>
  <c r="E27" i="8"/>
  <c r="J25" i="8"/>
  <c r="I26" i="8"/>
  <c r="N45" i="8"/>
  <c r="M46" i="8"/>
  <c r="N26" i="8"/>
  <c r="M27" i="8"/>
  <c r="J25" i="12"/>
  <c r="I26" i="12"/>
  <c r="J45" i="12"/>
  <c r="I46" i="12"/>
  <c r="F25" i="8"/>
  <c r="F63" i="8" s="1"/>
  <c r="E63" i="8" s="1"/>
  <c r="D36" i="18"/>
  <c r="D35" i="16"/>
  <c r="R35" i="16" s="1"/>
  <c r="J35" i="17"/>
  <c r="J35" i="16"/>
  <c r="J35" i="15"/>
  <c r="J35" i="14"/>
  <c r="H35" i="17"/>
  <c r="H35" i="16"/>
  <c r="H35" i="15"/>
  <c r="H35" i="14"/>
  <c r="F35" i="14"/>
  <c r="L35" i="14" s="1"/>
  <c r="D35" i="14"/>
  <c r="R35" i="14" s="1"/>
  <c r="F37" i="17"/>
  <c r="L37" i="17" s="1"/>
  <c r="D37" i="17"/>
  <c r="R37" i="17" s="1"/>
  <c r="F37" i="15"/>
  <c r="L37" i="15" s="1"/>
  <c r="D37" i="15"/>
  <c r="R37" i="15" s="1"/>
  <c r="D40" i="18"/>
  <c r="D39" i="16"/>
  <c r="R39" i="16" s="1"/>
  <c r="J39" i="17"/>
  <c r="J39" i="16"/>
  <c r="J39" i="15"/>
  <c r="J39" i="14"/>
  <c r="H39" i="17"/>
  <c r="H39" i="16"/>
  <c r="H39" i="15"/>
  <c r="H39" i="14"/>
  <c r="F39" i="14"/>
  <c r="L39" i="14" s="1"/>
  <c r="D39" i="14"/>
  <c r="R39" i="14" s="1"/>
  <c r="D41" i="17"/>
  <c r="R41" i="17" s="1"/>
  <c r="F41" i="15"/>
  <c r="L41" i="15" s="1"/>
  <c r="D41" i="15"/>
  <c r="R41" i="15" s="1"/>
  <c r="F44" i="18"/>
  <c r="H44" i="18"/>
  <c r="D44" i="18"/>
  <c r="D43" i="16"/>
  <c r="R43" i="16" s="1"/>
  <c r="J43" i="17"/>
  <c r="J43" i="16"/>
  <c r="J43" i="15"/>
  <c r="J43" i="14"/>
  <c r="H43" i="17"/>
  <c r="H43" i="16"/>
  <c r="H43" i="15"/>
  <c r="H43" i="14"/>
  <c r="F43" i="14"/>
  <c r="L43" i="14" s="1"/>
  <c r="D43" i="14"/>
  <c r="R43" i="14" s="1"/>
  <c r="D45" i="17"/>
  <c r="R45" i="17" s="1"/>
  <c r="F45" i="15"/>
  <c r="L45" i="15" s="1"/>
  <c r="D45" i="15"/>
  <c r="R45" i="15" s="1"/>
  <c r="D34" i="17"/>
  <c r="R34" i="17" s="1"/>
  <c r="F34" i="15"/>
  <c r="L34" i="15" s="1"/>
  <c r="D34" i="15"/>
  <c r="R34" i="15" s="1"/>
  <c r="H34" i="17"/>
  <c r="J34" i="16"/>
  <c r="J34" i="15"/>
  <c r="J34" i="17"/>
  <c r="H34" i="16"/>
  <c r="H34" i="15"/>
  <c r="J34" i="14"/>
  <c r="H34" i="14"/>
  <c r="F34" i="14"/>
  <c r="L34" i="14" s="1"/>
  <c r="D34" i="14"/>
  <c r="R34" i="14" s="1"/>
  <c r="F37" i="18"/>
  <c r="D37" i="18"/>
  <c r="D36" i="16"/>
  <c r="R36" i="16" s="1"/>
  <c r="F38" i="17"/>
  <c r="L38" i="17" s="1"/>
  <c r="D38" i="17"/>
  <c r="R38" i="17" s="1"/>
  <c r="F38" i="15"/>
  <c r="L38" i="15" s="1"/>
  <c r="D38" i="15"/>
  <c r="R38" i="15" s="1"/>
  <c r="H38" i="17"/>
  <c r="J38" i="16"/>
  <c r="J38" i="15"/>
  <c r="J38" i="17"/>
  <c r="H38" i="16"/>
  <c r="H38" i="15"/>
  <c r="H38" i="14"/>
  <c r="J38" i="14"/>
  <c r="F38" i="14"/>
  <c r="L38" i="14" s="1"/>
  <c r="D38" i="14"/>
  <c r="R38" i="14" s="1"/>
  <c r="D41" i="18"/>
  <c r="F40" i="16"/>
  <c r="L40" i="16" s="1"/>
  <c r="D40" i="16"/>
  <c r="R40" i="16" s="1"/>
  <c r="D42" i="17"/>
  <c r="R42" i="17" s="1"/>
  <c r="F42" i="15"/>
  <c r="L42" i="15" s="1"/>
  <c r="D42" i="15"/>
  <c r="R42" i="15" s="1"/>
  <c r="H42" i="17"/>
  <c r="J42" i="16"/>
  <c r="J42" i="15"/>
  <c r="J42" i="17"/>
  <c r="H42" i="16"/>
  <c r="H42" i="15"/>
  <c r="H42" i="14"/>
  <c r="J42" i="14"/>
  <c r="F42" i="14"/>
  <c r="L42" i="14" s="1"/>
  <c r="D42" i="14"/>
  <c r="R42" i="14" s="1"/>
  <c r="H45" i="18"/>
  <c r="D45" i="18"/>
  <c r="F44" i="16"/>
  <c r="L44" i="16" s="1"/>
  <c r="D44" i="16"/>
  <c r="R44" i="16" s="1"/>
  <c r="D46" i="17"/>
  <c r="R46" i="17" s="1"/>
  <c r="F46" i="15"/>
  <c r="L46" i="15" s="1"/>
  <c r="D46" i="15"/>
  <c r="R46" i="15" s="1"/>
  <c r="H46" i="17"/>
  <c r="J46" i="16"/>
  <c r="J46" i="15"/>
  <c r="J46" i="17"/>
  <c r="H46" i="16"/>
  <c r="H46" i="15"/>
  <c r="H46" i="14"/>
  <c r="J46" i="14"/>
  <c r="F46" i="14"/>
  <c r="L46" i="14" s="1"/>
  <c r="D46" i="14"/>
  <c r="R46" i="14" s="1"/>
  <c r="J28" i="17"/>
  <c r="H26" i="16"/>
  <c r="H28" i="16"/>
  <c r="H26" i="15"/>
  <c r="H28" i="15"/>
  <c r="J26" i="14"/>
  <c r="H27" i="14"/>
  <c r="J26" i="17"/>
  <c r="J27" i="17"/>
  <c r="H27" i="16"/>
  <c r="H27" i="15"/>
  <c r="J28" i="14"/>
  <c r="H26" i="14"/>
  <c r="H28" i="14"/>
  <c r="D27" i="4"/>
  <c r="J27" i="15"/>
  <c r="J28" i="16"/>
  <c r="H31" i="17"/>
  <c r="H31" i="16"/>
  <c r="H29" i="15"/>
  <c r="H33" i="15"/>
  <c r="H31" i="14"/>
  <c r="J31" i="14"/>
  <c r="J31" i="16"/>
  <c r="J33" i="14"/>
  <c r="J33" i="16"/>
  <c r="F45" i="8"/>
  <c r="E46" i="8"/>
  <c r="F44" i="12"/>
  <c r="E45" i="12"/>
  <c r="J29" i="17"/>
  <c r="J30" i="14"/>
  <c r="H30" i="16"/>
  <c r="J30" i="15"/>
  <c r="H30" i="17"/>
  <c r="J32" i="14"/>
  <c r="H32" i="15"/>
  <c r="J32" i="15"/>
  <c r="H32" i="17"/>
  <c r="F62" i="8"/>
  <c r="E62" i="8" s="1"/>
  <c r="J62" i="8"/>
  <c r="I62" i="8" s="1"/>
  <c r="P24" i="8"/>
  <c r="N62" i="8"/>
  <c r="M62" i="8" s="1"/>
  <c r="P43" i="8"/>
  <c r="N63" i="8"/>
  <c r="M63" i="8" s="1"/>
  <c r="N44" i="12"/>
  <c r="M45" i="12"/>
  <c r="N26" i="12"/>
  <c r="M27" i="12"/>
  <c r="I46" i="8"/>
  <c r="J45" i="8"/>
  <c r="P45" i="8" s="1"/>
  <c r="F35" i="17"/>
  <c r="L35" i="17" s="1"/>
  <c r="D35" i="17"/>
  <c r="R35" i="17" s="1"/>
  <c r="F35" i="15"/>
  <c r="L35" i="15" s="1"/>
  <c r="D35" i="15"/>
  <c r="R35" i="15" s="1"/>
  <c r="D38" i="18"/>
  <c r="D37" i="16"/>
  <c r="R37" i="16" s="1"/>
  <c r="J37" i="17"/>
  <c r="J37" i="16"/>
  <c r="J37" i="15"/>
  <c r="H37" i="17"/>
  <c r="J37" i="14"/>
  <c r="H37" i="16"/>
  <c r="H37" i="15"/>
  <c r="H37" i="14"/>
  <c r="F37" i="14"/>
  <c r="L37" i="14" s="1"/>
  <c r="D37" i="14"/>
  <c r="R37" i="14" s="1"/>
  <c r="D39" i="17"/>
  <c r="R39" i="17" s="1"/>
  <c r="F39" i="15"/>
  <c r="L39" i="15" s="1"/>
  <c r="D39" i="15"/>
  <c r="R39" i="15" s="1"/>
  <c r="D42" i="18"/>
  <c r="D41" i="16"/>
  <c r="R41" i="16" s="1"/>
  <c r="J41" i="17"/>
  <c r="J41" i="16"/>
  <c r="J41" i="15"/>
  <c r="H41" i="17"/>
  <c r="J41" i="14"/>
  <c r="H41" i="16"/>
  <c r="H41" i="15"/>
  <c r="H41" i="14"/>
  <c r="F41" i="14"/>
  <c r="L41" i="14" s="1"/>
  <c r="D41" i="14"/>
  <c r="R41" i="14" s="1"/>
  <c r="D43" i="17"/>
  <c r="R43" i="17" s="1"/>
  <c r="F43" i="15"/>
  <c r="L43" i="15" s="1"/>
  <c r="D43" i="15"/>
  <c r="R43" i="15" s="1"/>
  <c r="D46" i="18"/>
  <c r="F45" i="16"/>
  <c r="L45" i="16" s="1"/>
  <c r="D45" i="16"/>
  <c r="R45" i="16" s="1"/>
  <c r="J45" i="17"/>
  <c r="J45" i="16"/>
  <c r="J45" i="15"/>
  <c r="H45" i="17"/>
  <c r="J45" i="14"/>
  <c r="H45" i="16"/>
  <c r="H45" i="15"/>
  <c r="H45" i="14"/>
  <c r="F45" i="14"/>
  <c r="L45" i="14" s="1"/>
  <c r="D45" i="14"/>
  <c r="R45" i="14" s="1"/>
  <c r="D35" i="18"/>
  <c r="F34" i="16"/>
  <c r="L34" i="16" s="1"/>
  <c r="D34" i="16"/>
  <c r="R34" i="16" s="1"/>
  <c r="D36" i="17"/>
  <c r="R36" i="17" s="1"/>
  <c r="F36" i="15"/>
  <c r="L36" i="15" s="1"/>
  <c r="D36" i="15"/>
  <c r="R36" i="15" s="1"/>
  <c r="H36" i="17"/>
  <c r="J36" i="16"/>
  <c r="J36" i="15"/>
  <c r="H36" i="16"/>
  <c r="H36" i="15"/>
  <c r="H36" i="14"/>
  <c r="J36" i="17"/>
  <c r="J36" i="14"/>
  <c r="F36" i="14"/>
  <c r="L36" i="14" s="1"/>
  <c r="D36" i="14"/>
  <c r="R36" i="14" s="1"/>
  <c r="D39" i="18"/>
  <c r="H39" i="18"/>
  <c r="F38" i="16"/>
  <c r="L38" i="16" s="1"/>
  <c r="D38" i="16"/>
  <c r="R38" i="16" s="1"/>
  <c r="D40" i="17"/>
  <c r="R40" i="17" s="1"/>
  <c r="F40" i="15"/>
  <c r="L40" i="15" s="1"/>
  <c r="D40" i="15"/>
  <c r="R40" i="15" s="1"/>
  <c r="H40" i="17"/>
  <c r="J40" i="16"/>
  <c r="J40" i="15"/>
  <c r="H40" i="16"/>
  <c r="H40" i="15"/>
  <c r="H40" i="14"/>
  <c r="J40" i="17"/>
  <c r="J40" i="14"/>
  <c r="F40" i="14"/>
  <c r="L40" i="14" s="1"/>
  <c r="D40" i="14"/>
  <c r="R40" i="14" s="1"/>
  <c r="H43" i="18"/>
  <c r="D43" i="18"/>
  <c r="F42" i="16"/>
  <c r="L42" i="16" s="1"/>
  <c r="D42" i="16"/>
  <c r="R42" i="16" s="1"/>
  <c r="F44" i="17"/>
  <c r="L44" i="17" s="1"/>
  <c r="D44" i="17"/>
  <c r="R44" i="17" s="1"/>
  <c r="F44" i="15"/>
  <c r="L44" i="15" s="1"/>
  <c r="D44" i="15"/>
  <c r="R44" i="15" s="1"/>
  <c r="H44" i="17"/>
  <c r="J44" i="16"/>
  <c r="J44" i="15"/>
  <c r="H44" i="16"/>
  <c r="H44" i="15"/>
  <c r="H44" i="14"/>
  <c r="J44" i="17"/>
  <c r="J44" i="14"/>
  <c r="F44" i="14"/>
  <c r="L44" i="14" s="1"/>
  <c r="D44" i="14"/>
  <c r="R44" i="14" s="1"/>
  <c r="H47" i="18"/>
  <c r="D47" i="18"/>
  <c r="F46" i="16"/>
  <c r="L46" i="16" s="1"/>
  <c r="D46" i="16"/>
  <c r="R46" i="16" s="1"/>
  <c r="N64" i="8" l="1"/>
  <c r="M64" i="8" s="1"/>
  <c r="M62" i="12"/>
  <c r="P62" i="12"/>
  <c r="L32" i="15"/>
  <c r="L32" i="14"/>
  <c r="L31" i="14"/>
  <c r="L30" i="15"/>
  <c r="L30" i="14"/>
  <c r="L29" i="14"/>
  <c r="L28" i="15"/>
  <c r="L28" i="14"/>
  <c r="L27" i="15"/>
  <c r="L27" i="14"/>
  <c r="L26" i="15"/>
  <c r="L26" i="14"/>
  <c r="F40" i="17"/>
  <c r="L40" i="17" s="1"/>
  <c r="F36" i="17"/>
  <c r="L36" i="17" s="1"/>
  <c r="F43" i="17"/>
  <c r="L43" i="17" s="1"/>
  <c r="H35" i="18"/>
  <c r="H46" i="18"/>
  <c r="H42" i="18"/>
  <c r="F39" i="17"/>
  <c r="L39" i="17" s="1"/>
  <c r="H38" i="18"/>
  <c r="F46" i="17"/>
  <c r="L46" i="17" s="1"/>
  <c r="F42" i="17"/>
  <c r="L42" i="17" s="1"/>
  <c r="F41" i="16"/>
  <c r="L41" i="16" s="1"/>
  <c r="F37" i="16"/>
  <c r="L37" i="16" s="1"/>
  <c r="H41" i="18"/>
  <c r="H37" i="18"/>
  <c r="F38" i="18"/>
  <c r="F36" i="16"/>
  <c r="L36" i="16" s="1"/>
  <c r="F47" i="18"/>
  <c r="F43" i="18"/>
  <c r="F39" i="18"/>
  <c r="F35" i="18"/>
  <c r="F46" i="18"/>
  <c r="F42" i="18"/>
  <c r="F34" i="17"/>
  <c r="L34" i="17" s="1"/>
  <c r="F45" i="17"/>
  <c r="L45" i="17" s="1"/>
  <c r="F41" i="17"/>
  <c r="L41" i="17" s="1"/>
  <c r="H40" i="18"/>
  <c r="F45" i="18"/>
  <c r="F41" i="18"/>
  <c r="F40" i="18"/>
  <c r="F39" i="16"/>
  <c r="L39" i="16" s="1"/>
  <c r="F34" i="18"/>
  <c r="F33" i="17"/>
  <c r="L33" i="17" s="1"/>
  <c r="H34" i="18"/>
  <c r="L25" i="14"/>
  <c r="L25" i="15"/>
  <c r="F43" i="16"/>
  <c r="L43" i="16" s="1"/>
  <c r="F35" i="16"/>
  <c r="L35" i="16" s="1"/>
  <c r="F33" i="16"/>
  <c r="L33" i="16" s="1"/>
  <c r="J46" i="8"/>
  <c r="I47" i="8"/>
  <c r="N27" i="12"/>
  <c r="M28" i="12"/>
  <c r="N45" i="12"/>
  <c r="N64" i="12" s="1"/>
  <c r="M64" i="12" s="1"/>
  <c r="M46" i="12"/>
  <c r="F45" i="12"/>
  <c r="F64" i="12" s="1"/>
  <c r="E64" i="12" s="1"/>
  <c r="E46" i="12"/>
  <c r="F46" i="8"/>
  <c r="E47" i="8"/>
  <c r="P45" i="12"/>
  <c r="J63" i="12"/>
  <c r="I63" i="12" s="1"/>
  <c r="P25" i="12"/>
  <c r="J63" i="8"/>
  <c r="P25" i="8"/>
  <c r="E28" i="8"/>
  <c r="F27" i="8"/>
  <c r="P44" i="12"/>
  <c r="N63" i="12"/>
  <c r="M63" i="12" s="1"/>
  <c r="P62" i="8"/>
  <c r="F63" i="12"/>
  <c r="E63" i="12" s="1"/>
  <c r="J46" i="12"/>
  <c r="I47" i="12"/>
  <c r="J26" i="12"/>
  <c r="I27" i="12"/>
  <c r="N27" i="8"/>
  <c r="M28" i="8"/>
  <c r="M47" i="8"/>
  <c r="N46" i="8"/>
  <c r="J26" i="8"/>
  <c r="I27" i="8"/>
  <c r="F64" i="8"/>
  <c r="E64" i="8" s="1"/>
  <c r="F27" i="12"/>
  <c r="E28" i="12"/>
  <c r="L49" i="14" l="1"/>
  <c r="N46" i="14" s="1"/>
  <c r="P63" i="8"/>
  <c r="I63" i="8"/>
  <c r="L49" i="15"/>
  <c r="N34" i="15" s="1"/>
  <c r="N38" i="14"/>
  <c r="J64" i="8"/>
  <c r="P26" i="8"/>
  <c r="N47" i="8"/>
  <c r="M48" i="8"/>
  <c r="F28" i="12"/>
  <c r="E29" i="12"/>
  <c r="I28" i="8"/>
  <c r="J27" i="8"/>
  <c r="M29" i="8"/>
  <c r="N28" i="8"/>
  <c r="J27" i="12"/>
  <c r="I28" i="12"/>
  <c r="J47" i="12"/>
  <c r="I48" i="12"/>
  <c r="F65" i="8"/>
  <c r="E65" i="8" s="1"/>
  <c r="P63" i="12"/>
  <c r="P46" i="8"/>
  <c r="N65" i="8"/>
  <c r="M65" i="8" s="1"/>
  <c r="J64" i="12"/>
  <c r="P26" i="12"/>
  <c r="F28" i="8"/>
  <c r="E29" i="8"/>
  <c r="E48" i="8"/>
  <c r="F47" i="8"/>
  <c r="F46" i="12"/>
  <c r="E47" i="12"/>
  <c r="N46" i="12"/>
  <c r="M47" i="12"/>
  <c r="N28" i="12"/>
  <c r="M29" i="12"/>
  <c r="I48" i="8"/>
  <c r="J47" i="8"/>
  <c r="N33" i="14" l="1"/>
  <c r="N44" i="14"/>
  <c r="N40" i="14"/>
  <c r="N36" i="14"/>
  <c r="N29" i="14"/>
  <c r="N43" i="14"/>
  <c r="N37" i="14"/>
  <c r="N42" i="14"/>
  <c r="N30" i="14"/>
  <c r="N26" i="14"/>
  <c r="N39" i="14"/>
  <c r="N35" i="14"/>
  <c r="N45" i="14"/>
  <c r="N34" i="14"/>
  <c r="N41" i="14"/>
  <c r="N32" i="14"/>
  <c r="N28" i="14"/>
  <c r="N31" i="14"/>
  <c r="N27" i="14"/>
  <c r="N25" i="14"/>
  <c r="N37" i="15"/>
  <c r="N27" i="15"/>
  <c r="N28" i="15"/>
  <c r="N31" i="15"/>
  <c r="N32" i="15"/>
  <c r="N25" i="15"/>
  <c r="N38" i="15"/>
  <c r="N42" i="15"/>
  <c r="P64" i="12"/>
  <c r="I64" i="12"/>
  <c r="P64" i="8"/>
  <c r="I64" i="8"/>
  <c r="N39" i="15"/>
  <c r="N29" i="15"/>
  <c r="N33" i="15"/>
  <c r="N30" i="15"/>
  <c r="N26" i="15"/>
  <c r="N45" i="15"/>
  <c r="N44" i="15"/>
  <c r="N41" i="15"/>
  <c r="N40" i="15"/>
  <c r="N35" i="15"/>
  <c r="N43" i="15"/>
  <c r="N46" i="15"/>
  <c r="N36" i="15"/>
  <c r="P47" i="8"/>
  <c r="N47" i="12"/>
  <c r="N66" i="12" s="1"/>
  <c r="M66" i="12" s="1"/>
  <c r="M48" i="12"/>
  <c r="J48" i="8"/>
  <c r="I49" i="8"/>
  <c r="F48" i="8"/>
  <c r="E49" i="8"/>
  <c r="F66" i="8"/>
  <c r="E66" i="8" s="1"/>
  <c r="N65" i="12"/>
  <c r="M65" i="12" s="1"/>
  <c r="J48" i="12"/>
  <c r="I49" i="12"/>
  <c r="J28" i="12"/>
  <c r="I29" i="12"/>
  <c r="N66" i="8"/>
  <c r="M66" i="8" s="1"/>
  <c r="J28" i="8"/>
  <c r="I29" i="8"/>
  <c r="M49" i="8"/>
  <c r="N48" i="8"/>
  <c r="N29" i="12"/>
  <c r="M30" i="12"/>
  <c r="F47" i="12"/>
  <c r="F66" i="12" s="1"/>
  <c r="E66" i="12" s="1"/>
  <c r="E48" i="12"/>
  <c r="E30" i="8"/>
  <c r="F29" i="8"/>
  <c r="F67" i="8" s="1"/>
  <c r="E67" i="8" s="1"/>
  <c r="J65" i="12"/>
  <c r="I65" i="12" s="1"/>
  <c r="P27" i="12"/>
  <c r="N29" i="8"/>
  <c r="M30" i="8"/>
  <c r="J65" i="8"/>
  <c r="I65" i="8" s="1"/>
  <c r="P27" i="8"/>
  <c r="F29" i="12"/>
  <c r="E30" i="12"/>
  <c r="P46" i="12"/>
  <c r="F65" i="12"/>
  <c r="E65" i="12" s="1"/>
  <c r="P47" i="12" l="1"/>
  <c r="P65" i="12"/>
  <c r="P65" i="8"/>
  <c r="N67" i="8"/>
  <c r="M67" i="8" s="1"/>
  <c r="N30" i="12"/>
  <c r="M31" i="12"/>
  <c r="J66" i="8"/>
  <c r="P28" i="8"/>
  <c r="J49" i="12"/>
  <c r="I50" i="12"/>
  <c r="F30" i="12"/>
  <c r="E31" i="12"/>
  <c r="N30" i="8"/>
  <c r="M31" i="8"/>
  <c r="F30" i="8"/>
  <c r="E31" i="8"/>
  <c r="N49" i="8"/>
  <c r="M50" i="8"/>
  <c r="J29" i="8"/>
  <c r="I30" i="8"/>
  <c r="J66" i="12"/>
  <c r="P28" i="12"/>
  <c r="P48" i="8"/>
  <c r="N48" i="12"/>
  <c r="N67" i="12" s="1"/>
  <c r="M67" i="12" s="1"/>
  <c r="M49" i="12"/>
  <c r="F48" i="12"/>
  <c r="F67" i="12" s="1"/>
  <c r="E67" i="12" s="1"/>
  <c r="E49" i="12"/>
  <c r="J29" i="12"/>
  <c r="I30" i="12"/>
  <c r="F49" i="8"/>
  <c r="E50" i="8"/>
  <c r="I50" i="8"/>
  <c r="J49" i="8"/>
  <c r="P49" i="8" s="1"/>
  <c r="P66" i="12" l="1"/>
  <c r="I66" i="12"/>
  <c r="P66" i="8"/>
  <c r="I66" i="8"/>
  <c r="P48" i="12"/>
  <c r="J67" i="12"/>
  <c r="I67" i="12" s="1"/>
  <c r="P29" i="12"/>
  <c r="N68" i="8"/>
  <c r="M68" i="8" s="1"/>
  <c r="J50" i="8"/>
  <c r="I51" i="8"/>
  <c r="F50" i="8"/>
  <c r="E51" i="8"/>
  <c r="J30" i="12"/>
  <c r="I31" i="12"/>
  <c r="F49" i="12"/>
  <c r="F68" i="12" s="1"/>
  <c r="E68" i="12" s="1"/>
  <c r="E50" i="12"/>
  <c r="J30" i="8"/>
  <c r="I31" i="8"/>
  <c r="M51" i="8"/>
  <c r="N50" i="8"/>
  <c r="F68" i="8"/>
  <c r="E68" i="8" s="1"/>
  <c r="N31" i="8"/>
  <c r="M32" i="8"/>
  <c r="F31" i="12"/>
  <c r="E32" i="12"/>
  <c r="J50" i="12"/>
  <c r="I51" i="12"/>
  <c r="N31" i="12"/>
  <c r="M32" i="12"/>
  <c r="N49" i="12"/>
  <c r="P49" i="12" s="1"/>
  <c r="M50" i="12"/>
  <c r="J67" i="8"/>
  <c r="P29" i="8"/>
  <c r="E32" i="8"/>
  <c r="F31" i="8"/>
  <c r="N69" i="8" l="1"/>
  <c r="M69" i="8" s="1"/>
  <c r="P67" i="8"/>
  <c r="I67" i="8"/>
  <c r="F32" i="12"/>
  <c r="E33" i="12"/>
  <c r="M33" i="8"/>
  <c r="N32" i="8"/>
  <c r="N51" i="8"/>
  <c r="M52" i="8"/>
  <c r="F50" i="12"/>
  <c r="F69" i="12" s="1"/>
  <c r="E69" i="12" s="1"/>
  <c r="E51" i="12"/>
  <c r="J31" i="12"/>
  <c r="I32" i="12"/>
  <c r="E52" i="8"/>
  <c r="F51" i="8"/>
  <c r="I52" i="8"/>
  <c r="J51" i="8"/>
  <c r="P67" i="12"/>
  <c r="F69" i="8"/>
  <c r="E69" i="8" s="1"/>
  <c r="N50" i="12"/>
  <c r="N69" i="12" s="1"/>
  <c r="M69" i="12" s="1"/>
  <c r="M51" i="12"/>
  <c r="N32" i="12"/>
  <c r="M33" i="12"/>
  <c r="P50" i="12"/>
  <c r="I32" i="8"/>
  <c r="J31" i="8"/>
  <c r="J68" i="12"/>
  <c r="I68" i="12" s="1"/>
  <c r="P30" i="12"/>
  <c r="P50" i="8"/>
  <c r="N68" i="12"/>
  <c r="M68" i="12" s="1"/>
  <c r="F32" i="8"/>
  <c r="E33" i="8"/>
  <c r="J51" i="12"/>
  <c r="I52" i="12"/>
  <c r="J68" i="8"/>
  <c r="P30" i="8"/>
  <c r="P68" i="8" l="1"/>
  <c r="I68" i="8"/>
  <c r="P51" i="8"/>
  <c r="E34" i="8"/>
  <c r="F33" i="8"/>
  <c r="J32" i="8"/>
  <c r="I33" i="8"/>
  <c r="N51" i="12"/>
  <c r="N70" i="12" s="1"/>
  <c r="M70" i="12" s="1"/>
  <c r="M52" i="12"/>
  <c r="F51" i="12"/>
  <c r="E52" i="12"/>
  <c r="N52" i="8"/>
  <c r="M53" i="8"/>
  <c r="N70" i="8"/>
  <c r="M70" i="8" s="1"/>
  <c r="F33" i="12"/>
  <c r="E34" i="12"/>
  <c r="F70" i="8"/>
  <c r="E70" i="8" s="1"/>
  <c r="P68" i="12"/>
  <c r="J69" i="8"/>
  <c r="P31" i="8"/>
  <c r="N33" i="12"/>
  <c r="M34" i="12"/>
  <c r="J52" i="8"/>
  <c r="I53" i="8"/>
  <c r="F52" i="8"/>
  <c r="E53" i="8"/>
  <c r="J69" i="12"/>
  <c r="I69" i="12" s="1"/>
  <c r="P31" i="12"/>
  <c r="N33" i="8"/>
  <c r="M34" i="8"/>
  <c r="F70" i="12"/>
  <c r="E70" i="12" s="1"/>
  <c r="J52" i="12"/>
  <c r="I53" i="12"/>
  <c r="J32" i="12"/>
  <c r="I33" i="12"/>
  <c r="P52" i="8" l="1"/>
  <c r="N71" i="8"/>
  <c r="M71" i="8" s="1"/>
  <c r="P69" i="8"/>
  <c r="I69" i="8"/>
  <c r="P51" i="12"/>
  <c r="N34" i="8"/>
  <c r="M35" i="8"/>
  <c r="N35" i="8" s="1"/>
  <c r="F53" i="8"/>
  <c r="E54" i="8"/>
  <c r="F54" i="8" s="1"/>
  <c r="J53" i="8"/>
  <c r="I54" i="8"/>
  <c r="J54" i="8" s="1"/>
  <c r="N34" i="12"/>
  <c r="M35" i="12"/>
  <c r="N35" i="12" s="1"/>
  <c r="F34" i="12"/>
  <c r="E35" i="12"/>
  <c r="F35" i="12" s="1"/>
  <c r="N53" i="8"/>
  <c r="M54" i="8"/>
  <c r="N54" i="8" s="1"/>
  <c r="F52" i="12"/>
  <c r="E53" i="12"/>
  <c r="N52" i="12"/>
  <c r="P52" i="12" s="1"/>
  <c r="M53" i="12"/>
  <c r="J70" i="8"/>
  <c r="P32" i="8"/>
  <c r="F34" i="8"/>
  <c r="F72" i="8" s="1"/>
  <c r="E72" i="8" s="1"/>
  <c r="E35" i="8"/>
  <c r="F35" i="8" s="1"/>
  <c r="J33" i="12"/>
  <c r="I34" i="12"/>
  <c r="J53" i="12"/>
  <c r="I54" i="12"/>
  <c r="J54" i="12" s="1"/>
  <c r="P69" i="12"/>
  <c r="F71" i="12"/>
  <c r="E71" i="12" s="1"/>
  <c r="J33" i="8"/>
  <c r="I34" i="8"/>
  <c r="F71" i="8"/>
  <c r="E71" i="8" s="1"/>
  <c r="J70" i="12"/>
  <c r="P32" i="12"/>
  <c r="P70" i="12" l="1"/>
  <c r="I70" i="12"/>
  <c r="P70" i="8"/>
  <c r="I70" i="8"/>
  <c r="N71" i="12"/>
  <c r="M71" i="12" s="1"/>
  <c r="N56" i="8"/>
  <c r="M56" i="8" s="1"/>
  <c r="F56" i="8"/>
  <c r="E56" i="8" s="1"/>
  <c r="J56" i="12"/>
  <c r="I56" i="12" s="1"/>
  <c r="J34" i="12"/>
  <c r="I35" i="12"/>
  <c r="J35" i="12" s="1"/>
  <c r="N53" i="12"/>
  <c r="P53" i="12" s="1"/>
  <c r="M54" i="12"/>
  <c r="N54" i="12" s="1"/>
  <c r="P54" i="12" s="1"/>
  <c r="F37" i="12"/>
  <c r="E37" i="12" s="1"/>
  <c r="N37" i="12"/>
  <c r="M37" i="12" s="1"/>
  <c r="P54" i="8"/>
  <c r="J56" i="8"/>
  <c r="I56" i="8" s="1"/>
  <c r="N73" i="8"/>
  <c r="M73" i="8" s="1"/>
  <c r="N37" i="8"/>
  <c r="M37" i="8" s="1"/>
  <c r="J71" i="8"/>
  <c r="P33" i="8"/>
  <c r="J71" i="12"/>
  <c r="I71" i="12" s="1"/>
  <c r="P33" i="12"/>
  <c r="P53" i="8"/>
  <c r="N72" i="8"/>
  <c r="M72" i="8" s="1"/>
  <c r="J34" i="8"/>
  <c r="I35" i="8"/>
  <c r="J35" i="8" s="1"/>
  <c r="F73" i="8"/>
  <c r="F37" i="8"/>
  <c r="E37" i="8" s="1"/>
  <c r="F53" i="12"/>
  <c r="F72" i="12" s="1"/>
  <c r="E72" i="12" s="1"/>
  <c r="E54" i="12"/>
  <c r="F54" i="12" s="1"/>
  <c r="N73" i="12" l="1"/>
  <c r="M73" i="12" s="1"/>
  <c r="N72" i="12"/>
  <c r="M72" i="12" s="1"/>
  <c r="P71" i="8"/>
  <c r="I71" i="8"/>
  <c r="F75" i="8"/>
  <c r="E75" i="8" s="1"/>
  <c r="E73" i="8"/>
  <c r="P56" i="8"/>
  <c r="F56" i="12"/>
  <c r="E56" i="12" s="1"/>
  <c r="P71" i="12"/>
  <c r="J73" i="8"/>
  <c r="I73" i="8" s="1"/>
  <c r="P35" i="8"/>
  <c r="J37" i="8"/>
  <c r="I37" i="8" s="1"/>
  <c r="N75" i="8"/>
  <c r="M75" i="8" s="1"/>
  <c r="N75" i="12"/>
  <c r="M75" i="12" s="1"/>
  <c r="F73" i="12"/>
  <c r="J72" i="12"/>
  <c r="P34" i="12"/>
  <c r="P56" i="12"/>
  <c r="P28" i="14"/>
  <c r="R28" i="14" s="1"/>
  <c r="F28" i="16" s="1"/>
  <c r="L28" i="16" s="1"/>
  <c r="P30" i="14"/>
  <c r="R30" i="14" s="1"/>
  <c r="F30" i="16" s="1"/>
  <c r="L30" i="16" s="1"/>
  <c r="P32" i="14"/>
  <c r="R32" i="14" s="1"/>
  <c r="F32" i="16" s="1"/>
  <c r="L32" i="16" s="1"/>
  <c r="P27" i="14"/>
  <c r="R27" i="14" s="1"/>
  <c r="F27" i="16" s="1"/>
  <c r="L27" i="16" s="1"/>
  <c r="P29" i="14"/>
  <c r="R29" i="14" s="1"/>
  <c r="F29" i="16" s="1"/>
  <c r="L29" i="16" s="1"/>
  <c r="P31" i="14"/>
  <c r="R31" i="14" s="1"/>
  <c r="F31" i="16" s="1"/>
  <c r="L31" i="16" s="1"/>
  <c r="P34" i="14"/>
  <c r="P33" i="14"/>
  <c r="P35" i="14"/>
  <c r="P36" i="14"/>
  <c r="P37" i="14"/>
  <c r="P38" i="14"/>
  <c r="P39" i="14"/>
  <c r="P40" i="14"/>
  <c r="P41" i="14"/>
  <c r="P42" i="14"/>
  <c r="P43" i="14"/>
  <c r="P44" i="14"/>
  <c r="P45" i="14"/>
  <c r="P46" i="14"/>
  <c r="J72" i="8"/>
  <c r="P34" i="8"/>
  <c r="N56" i="12"/>
  <c r="M56" i="12" s="1"/>
  <c r="J73" i="12"/>
  <c r="I73" i="12" s="1"/>
  <c r="P35" i="12"/>
  <c r="P37" i="12" s="1"/>
  <c r="J37" i="12"/>
  <c r="I37" i="12" s="1"/>
  <c r="P25" i="14" l="1"/>
  <c r="R25" i="14" s="1"/>
  <c r="F25" i="16" s="1"/>
  <c r="L25" i="16" s="1"/>
  <c r="L49" i="16" s="1"/>
  <c r="N30" i="16" s="1"/>
  <c r="P30" i="16" s="1"/>
  <c r="R30" i="16" s="1"/>
  <c r="F31" i="18" s="1"/>
  <c r="P26" i="14"/>
  <c r="R26" i="14" s="1"/>
  <c r="F26" i="16" s="1"/>
  <c r="L26" i="16" s="1"/>
  <c r="P72" i="8"/>
  <c r="I72" i="8"/>
  <c r="P72" i="12"/>
  <c r="I72" i="12"/>
  <c r="F75" i="12"/>
  <c r="E75" i="12" s="1"/>
  <c r="E73" i="12"/>
  <c r="P37" i="8"/>
  <c r="P73" i="12"/>
  <c r="J75" i="12"/>
  <c r="I75" i="12" s="1"/>
  <c r="P73" i="8"/>
  <c r="P75" i="8" s="1"/>
  <c r="J75" i="8"/>
  <c r="I75" i="8" s="1"/>
  <c r="P75" i="12" l="1"/>
  <c r="N32" i="16"/>
  <c r="P32" i="16" s="1"/>
  <c r="R32" i="16" s="1"/>
  <c r="F33" i="18" s="1"/>
  <c r="N46" i="16"/>
  <c r="P46" i="16" s="1"/>
  <c r="N40" i="16"/>
  <c r="P40" i="16" s="1"/>
  <c r="N27" i="16"/>
  <c r="P27" i="16" s="1"/>
  <c r="R27" i="16" s="1"/>
  <c r="F28" i="18" s="1"/>
  <c r="N43" i="16"/>
  <c r="P43" i="16" s="1"/>
  <c r="N36" i="16"/>
  <c r="P36" i="16" s="1"/>
  <c r="N38" i="16"/>
  <c r="P38" i="16" s="1"/>
  <c r="N37" i="16"/>
  <c r="P37" i="16" s="1"/>
  <c r="N42" i="16"/>
  <c r="P42" i="16" s="1"/>
  <c r="N41" i="16"/>
  <c r="P41" i="16" s="1"/>
  <c r="N33" i="16"/>
  <c r="P33" i="16" s="1"/>
  <c r="N29" i="16"/>
  <c r="P29" i="16" s="1"/>
  <c r="R29" i="16" s="1"/>
  <c r="F30" i="18" s="1"/>
  <c r="N35" i="16"/>
  <c r="P35" i="16" s="1"/>
  <c r="N44" i="16"/>
  <c r="P44" i="16" s="1"/>
  <c r="N39" i="16"/>
  <c r="P39" i="16" s="1"/>
  <c r="N45" i="16"/>
  <c r="P45" i="16" s="1"/>
  <c r="N34" i="16"/>
  <c r="P34" i="16" s="1"/>
  <c r="N31" i="16"/>
  <c r="P31" i="16" s="1"/>
  <c r="R31" i="16" s="1"/>
  <c r="F32" i="18" s="1"/>
  <c r="N28" i="16"/>
  <c r="P28" i="16" s="1"/>
  <c r="R28" i="16" s="1"/>
  <c r="F29" i="18" s="1"/>
  <c r="N26" i="16"/>
  <c r="P26" i="16" s="1"/>
  <c r="R26" i="16" s="1"/>
  <c r="F27" i="18" s="1"/>
  <c r="N25" i="16"/>
  <c r="P25" i="16" s="1"/>
  <c r="R25" i="16" s="1"/>
  <c r="P25" i="15"/>
  <c r="R25" i="15" s="1"/>
  <c r="F25" i="17" s="1"/>
  <c r="L25" i="17" s="1"/>
  <c r="P27" i="15"/>
  <c r="R27" i="15" s="1"/>
  <c r="F27" i="17" s="1"/>
  <c r="L27" i="17" s="1"/>
  <c r="P29" i="15"/>
  <c r="R29" i="15" s="1"/>
  <c r="F29" i="17" s="1"/>
  <c r="L29" i="17" s="1"/>
  <c r="P31" i="15"/>
  <c r="R31" i="15" s="1"/>
  <c r="F31" i="17" s="1"/>
  <c r="L31" i="17" s="1"/>
  <c r="P34" i="15"/>
  <c r="P26" i="15"/>
  <c r="R26" i="15" s="1"/>
  <c r="F26" i="17" s="1"/>
  <c r="L26" i="17" s="1"/>
  <c r="P28" i="15"/>
  <c r="R28" i="15" s="1"/>
  <c r="F28" i="17" s="1"/>
  <c r="L28" i="17" s="1"/>
  <c r="P30" i="15"/>
  <c r="R30" i="15" s="1"/>
  <c r="F30" i="17" s="1"/>
  <c r="L30" i="17" s="1"/>
  <c r="P32" i="15"/>
  <c r="R32" i="15" s="1"/>
  <c r="F32" i="17" s="1"/>
  <c r="L32" i="17" s="1"/>
  <c r="P33" i="15"/>
  <c r="P35" i="15"/>
  <c r="P36" i="15"/>
  <c r="P37" i="15"/>
  <c r="P38" i="15"/>
  <c r="P39" i="15"/>
  <c r="P40" i="15"/>
  <c r="P41" i="15"/>
  <c r="P42" i="15"/>
  <c r="P43" i="15"/>
  <c r="P44" i="15"/>
  <c r="P45" i="15"/>
  <c r="P46" i="15"/>
  <c r="F36" i="18" l="1"/>
  <c r="F26" i="18"/>
  <c r="L49" i="17"/>
  <c r="N39" i="17" l="1"/>
  <c r="P39" i="17" s="1"/>
  <c r="N41" i="17"/>
  <c r="P41" i="17" s="1"/>
  <c r="N36" i="17"/>
  <c r="P36" i="17" s="1"/>
  <c r="N34" i="17"/>
  <c r="P34" i="17" s="1"/>
  <c r="N32" i="17"/>
  <c r="P32" i="17" s="1"/>
  <c r="R32" i="17" s="1"/>
  <c r="H33" i="18" s="1"/>
  <c r="N40" i="17"/>
  <c r="P40" i="17" s="1"/>
  <c r="N33" i="17"/>
  <c r="P33" i="17" s="1"/>
  <c r="N35" i="17"/>
  <c r="P35" i="17" s="1"/>
  <c r="N28" i="17"/>
  <c r="P28" i="17" s="1"/>
  <c r="R28" i="17" s="1"/>
  <c r="H29" i="18" s="1"/>
  <c r="N27" i="17"/>
  <c r="P27" i="17" s="1"/>
  <c r="R27" i="17" s="1"/>
  <c r="H28" i="18" s="1"/>
  <c r="N46" i="17"/>
  <c r="P46" i="17" s="1"/>
  <c r="N37" i="17"/>
  <c r="P37" i="17" s="1"/>
  <c r="N44" i="17"/>
  <c r="P44" i="17" s="1"/>
  <c r="N42" i="17"/>
  <c r="P42" i="17" s="1"/>
  <c r="N29" i="17"/>
  <c r="P29" i="17" s="1"/>
  <c r="R29" i="17" s="1"/>
  <c r="H30" i="18" s="1"/>
  <c r="N38" i="17"/>
  <c r="P38" i="17" s="1"/>
  <c r="N31" i="17"/>
  <c r="P31" i="17" s="1"/>
  <c r="R31" i="17" s="1"/>
  <c r="H32" i="18" s="1"/>
  <c r="N43" i="17"/>
  <c r="P43" i="17" s="1"/>
  <c r="N45" i="17"/>
  <c r="P45" i="17" s="1"/>
  <c r="N30" i="17"/>
  <c r="P30" i="17" s="1"/>
  <c r="R30" i="17" s="1"/>
  <c r="H31" i="18" s="1"/>
  <c r="N25" i="17"/>
  <c r="P25" i="17" s="1"/>
  <c r="R25" i="17" s="1"/>
  <c r="N26" i="17"/>
  <c r="P26" i="17" s="1"/>
  <c r="R26" i="17" s="1"/>
  <c r="H27" i="18" s="1"/>
  <c r="H36" i="18" l="1"/>
  <c r="H26" i="18"/>
</calcChain>
</file>

<file path=xl/sharedStrings.xml><?xml version="1.0" encoding="utf-8"?>
<sst xmlns="http://schemas.openxmlformats.org/spreadsheetml/2006/main" count="591" uniqueCount="256">
  <si>
    <t>Brantford Power Inc.</t>
  </si>
  <si>
    <t>Burlington Hydro Inc.</t>
  </si>
  <si>
    <t>Centre Wellington Hydro Ltd.</t>
  </si>
  <si>
    <t>Cooperative Hydro Embrun Inc.</t>
  </si>
  <si>
    <t>E.L.K. Energy Inc.</t>
  </si>
  <si>
    <t>Enersource Hydro Mississauga Inc.</t>
  </si>
  <si>
    <t>ENWIN Utilities Ltd.</t>
  </si>
  <si>
    <t>Essex Powerlines Corporation</t>
  </si>
  <si>
    <t>Festival Hydro Inc.</t>
  </si>
  <si>
    <t>Fort Frances Power Corporation</t>
  </si>
  <si>
    <t>Haldimand County Hydro Inc.</t>
  </si>
  <si>
    <t>Hydro Hawkesbury Inc.</t>
  </si>
  <si>
    <t>Hydro One Remote Communities Inc.</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</si>
  <si>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</si>
  <si>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</si>
  <si>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</si>
  <si>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</si>
  <si>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</si>
  <si>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</si>
  <si>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</si>
  <si>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</si>
  <si>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</si>
  <si>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</si>
  <si>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</si>
  <si>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</si>
  <si>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</si>
  <si>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 Coast Huron Energy Inc.</t>
  </si>
  <si>
    <t>Westario Power Inc.</t>
  </si>
  <si>
    <t>Whitby Hydro Electric Corporation</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</si>
  <si>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</si>
  <si>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</si>
  <si>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</si>
  <si>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</si>
  <si>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</si>
  <si>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</si>
  <si>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</si>
  <si>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</si>
  <si>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</si>
  <si>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</si>
  <si>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</si>
  <si>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</si>
  <si>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</si>
  <si>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</si>
  <si>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</si>
  <si>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</si>
  <si>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</si>
  <si>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</si>
  <si>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</si>
  <si>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</si>
  <si>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</si>
  <si>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</si>
  <si>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</si>
  <si>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</si>
  <si>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</si>
  <si>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</si>
  <si>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</si>
  <si>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</si>
  <si>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</si>
  <si>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</si>
  <si>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</si>
  <si>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</si>
  <si>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</si>
  <si>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</si>
  <si>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</si>
  <si>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</si>
  <si>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</si>
  <si>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</si>
  <si>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</si>
  <si>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</si>
  <si>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</si>
  <si>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</si>
  <si>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</si>
  <si>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</si>
  <si>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</si>
  <si>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</si>
  <si>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</si>
  <si>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</si>
  <si>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</si>
  <si>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</si>
  <si>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</si>
  <si>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</si>
  <si>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</si>
  <si>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</si>
  <si>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</si>
  <si>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</si>
  <si>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</si>
  <si>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</si>
  <si>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</si>
  <si>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</si>
  <si>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</si>
  <si>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</si>
  <si>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</si>
  <si>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</si>
  <si>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</si>
  <si>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</si>
  <si>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</si>
  <si>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</si>
  <si>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</si>
  <si>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</si>
  <si>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</si>
  <si>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</si>
  <si>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</si>
  <si>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</si>
  <si>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</si>
  <si>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</si>
  <si>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</si>
  <si>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</si>
  <si>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</si>
  <si>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</si>
  <si>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</si>
  <si>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</si>
  <si>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</si>
  <si>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</si>
  <si>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</si>
  <si>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</si>
  <si>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</si>
  <si>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</si>
  <si>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</si>
  <si>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</si>
  <si>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</si>
  <si>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Hydro One Sub-Transmission Rate Rider 6A</t>
  </si>
  <si>
    <t>RSVA Transmission network – 4714 – which affects 1584</t>
  </si>
  <si>
    <t>RSVA Transmission connection – 4716 – which affects 1586</t>
  </si>
  <si>
    <t>RSVA LV – 4750 – which affects 1550</t>
  </si>
  <si>
    <t xml:space="preserve">RARA 1 – 2252 – which affects 1590 </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</si>
  <si>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</si>
  <si>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</si>
  <si>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</si>
  <si>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</si>
  <si>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</si>
  <si>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</si>
  <si>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</si>
  <si>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</si>
  <si>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</si>
  <si>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</si>
  <si>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</si>
  <si>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</si>
  <si>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</si>
  <si>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</si>
  <si>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</si>
  <si>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</si>
  <si>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</si>
  <si>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</si>
  <si>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3. Rate Classes</t>
  </si>
  <si>
    <t>4. RRR Data</t>
  </si>
  <si>
    <t>5. UTRs and Sub-Transmission</t>
  </si>
  <si>
    <t>6. Historical Wholesale</t>
  </si>
  <si>
    <t>7. Current Wholesale</t>
  </si>
  <si>
    <t>8. Forecast Wholesale</t>
  </si>
  <si>
    <t>9. Adj Network to Current WS</t>
  </si>
  <si>
    <t>10. Adj Conn. to Current WS</t>
  </si>
  <si>
    <t>11. Adj Network to Forecast WS</t>
  </si>
  <si>
    <t>12. Adj Conn. to Forecast WS</t>
  </si>
  <si>
    <t>Algoma Power Inc.</t>
  </si>
  <si>
    <t>Fort Albany Power Corporation</t>
  </si>
  <si>
    <t>Greater Sudbury Hydro Inc.</t>
  </si>
  <si>
    <t>Horizon Utilities Corporation</t>
  </si>
  <si>
    <t>Hydro One Brampton Networks Inc.</t>
  </si>
  <si>
    <t>Kenora Hydro Electric Corporation Ltd.</t>
  </si>
  <si>
    <t>Kingston Hydro Corporation</t>
  </si>
  <si>
    <t>Niagara Peninsula Energy Inc.</t>
  </si>
  <si>
    <t>Parry Sound Power Corporation</t>
  </si>
  <si>
    <t>St. Thomas Energy Inc.</t>
  </si>
  <si>
    <t>Veridian Connections Inc.</t>
  </si>
  <si>
    <t>Wasaga Distribution Inc.</t>
  </si>
  <si>
    <t>Waterloo North Hydro Inc.</t>
  </si>
  <si>
    <t>Woodstock Hydro Services Inc.</t>
  </si>
  <si>
    <t>Toronto Hydro-Electric System Limited</t>
  </si>
  <si>
    <t>Hydro One Networks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</si>
  <si>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</si>
  <si>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</si>
  <si>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</si>
  <si>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</si>
  <si>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</si>
  <si>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</si>
  <si>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</si>
  <si>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</si>
  <si>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</si>
  <si>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</si>
  <si>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</si>
  <si>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</si>
  <si>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Wellington North Power Inc.</t>
  </si>
  <si>
    <t>Attawapiskat Power Corporation</t>
  </si>
  <si>
    <t>Bluewater Power Distribution Corp.</t>
  </si>
  <si>
    <t>Brant County Power</t>
  </si>
  <si>
    <t>Cambridge and North Dumfries Hydro</t>
  </si>
  <si>
    <t>Canadian Niagara Power Inc. – Eastern Ontario Power/Fort Erie/Port Colborne</t>
  </si>
  <si>
    <t>COLLUS Power Corp.</t>
  </si>
  <si>
    <t xml:space="preserve">Utility Name   </t>
  </si>
  <si>
    <t>Oakville Hydro Distribution Inc.</t>
  </si>
  <si>
    <t>Entegrus Powerlines Inc.</t>
  </si>
  <si>
    <t>Assigned EB Number</t>
  </si>
  <si>
    <t>Erie Thames Powerlines Corp.</t>
  </si>
  <si>
    <t>Name and Title</t>
  </si>
  <si>
    <t>Phone Number</t>
  </si>
  <si>
    <t>Email Address</t>
  </si>
  <si>
    <t>Date</t>
  </si>
  <si>
    <t>Last COS Re-based Year</t>
  </si>
  <si>
    <t>Hearst Power Distribution Co. Ltd.</t>
  </si>
  <si>
    <t>Note:  Drop-down lists are shaded blue; Input cells are shaded green.</t>
  </si>
  <si>
    <t>Innisfil Hydro Dist. Systems Limited</t>
  </si>
  <si>
    <t>Milton Hydro Distribution Inc.</t>
  </si>
  <si>
    <t>Newmarket – Tay Power Distribution Ltd.</t>
  </si>
  <si>
    <t>Norfolk Power Distribution Ltd.</t>
  </si>
  <si>
    <t>Orillia Power Distribution Corp.</t>
  </si>
  <si>
    <t>Peterborough Distribution Inc.</t>
  </si>
  <si>
    <t>PowerStream Inc.</t>
  </si>
  <si>
    <t>Thunder Bay Hydro Electricity Distribution</t>
  </si>
  <si>
    <t>Welland Hydro Electric System Corp.</t>
  </si>
  <si>
    <t>Rate Class</t>
  </si>
  <si>
    <t>Unit</t>
  </si>
  <si>
    <t>Proposed RTSR Network</t>
  </si>
  <si>
    <t>Proposed RTSR Connection</t>
  </si>
  <si>
    <t>The purpose of this sheet is to update the re-aligned RTS Connection Rates to recover forecast wholesale connection costs.</t>
  </si>
  <si>
    <t>Adjusted RTSR-Connection</t>
  </si>
  <si>
    <t>Loss Adjusted Billed kWh</t>
  </si>
  <si>
    <t>Loss Adjusted Billed kW</t>
  </si>
  <si>
    <t>Billed Amount</t>
  </si>
  <si>
    <t>Billed Amount %</t>
  </si>
  <si>
    <t>The purpose of this sheet is to update the re-align RTS Network Rates to recover forecast wholesale network costs.</t>
  </si>
  <si>
    <t>Adjusted RTSR-Network</t>
  </si>
  <si>
    <t>The purpose of this sheet is to re-align the current RTS Connection Rates to recover current wholesale connection costs.</t>
  </si>
  <si>
    <t>Current RTSR-Connection</t>
  </si>
  <si>
    <t>Current Wholesale Billing</t>
  </si>
  <si>
    <t>Forecast Wholesale Billing</t>
  </si>
  <si>
    <t>The purpose of this sheet is to re-align the current RTS Network Rates to recover current wholesale network costs.</t>
  </si>
  <si>
    <t>Current RTSR-Network</t>
  </si>
  <si>
    <t>The purpose of this sheet is to calculate the expected billing when forecasted 2013 Uniform Transmission Rates are applied against historical 2011 transmission units.</t>
  </si>
  <si>
    <t>IESO</t>
  </si>
  <si>
    <t>Network</t>
  </si>
  <si>
    <t>Total Line</t>
  </si>
  <si>
    <t>Transformation Connection</t>
  </si>
  <si>
    <t>Line Connection</t>
  </si>
  <si>
    <t>Hydro One</t>
  </si>
  <si>
    <t>The purpose of this sheet is to calculate the expected billing when current 2012 Uniform Transmission Rates are applied against historical 2011 transmission units.</t>
  </si>
  <si>
    <t>Uniform Transmission Rates</t>
  </si>
  <si>
    <t>Effective January 1, 2011</t>
  </si>
  <si>
    <t>Effective January 1, 2012</t>
  </si>
  <si>
    <t>Effective January 1, 2013</t>
  </si>
  <si>
    <t>Hydro One Sub-Transmission Rates</t>
  </si>
  <si>
    <t>Non-Loss Adjusted Metered kWh</t>
  </si>
  <si>
    <t>Non-Loss Adjusted Metered kW</t>
  </si>
  <si>
    <t>Applicable Loss Factor</t>
  </si>
  <si>
    <t>Load Factor</t>
  </si>
  <si>
    <t>Billed kW</t>
  </si>
  <si>
    <t>In the green shaded cells, enter the most recent reported RRR billing determinants.  Please ensure that billing determinants are non-loss adjusted.</t>
  </si>
  <si>
    <t>1.  Select the appropriate rate classes that appear on your most recent Board-Approved Tariff of Rates and Charges.
2.  Enter the RTS Network and Connection Rate as it appears on the Tariff of Rates and Charges</t>
  </si>
  <si>
    <t>RTSR-Network</t>
  </si>
  <si>
    <t>RTSR-Connection</t>
  </si>
  <si>
    <t xml:space="preserve">For Cost of Service Applicants, please enter the following Proposed RTS rates into your rates model.
For IRM applicants, please enter these rates into the 2013 IRM Rate Generator, Sheet 11 "Proposed Rates", column I.  Please note that the rate description for the RTSRs has been transfered to Sheet 11, Column A from Sheet 4.
</t>
  </si>
  <si>
    <t>13. Final 2013 RTS Rates</t>
  </si>
  <si>
    <t>Leslie Dugas, Manager of Regulatory Affairs</t>
  </si>
  <si>
    <t>519-337-8201 Ext 2255</t>
  </si>
  <si>
    <t>ldugas@bluewaterpower.com</t>
  </si>
  <si>
    <t>kWh</t>
  </si>
  <si>
    <t>EB-2012-0107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</si>
</sst>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quot;$&quot;#,##0.00"/>
    <numFmt numFmtId="44" formatCode="_-&quot;$&quot;* #,##0.00_-;\-&quot;$&quot;* #,##0.00_-;_-&quot;$&quot;* &quot;-&quot;??_-;_-@_-"/>
    <numFmt numFmtId="43" formatCode="_-* #,##0.00_-;\-* #,##0.00_-;_-* &quot;-&quot;??_-;_-@_-"/>
    <numFmt numFmtId="164" formatCode="_-* #,##0_-;\-* #,##0_-;_-* &quot;-&quot;??_-;_-@_-"/>
    <numFmt numFmtId="165" formatCode="_-* #,##0.0000_-;\-* #,##0.0000_-;_-* &quot;-&quot;??_-;_-@_-"/>
    <numFmt numFmtId="166" formatCode="0.0%"/>
    <numFmt numFmtId="167" formatCode="_-&quot;$&quot;* #,##0.0000_-;\-&quot;$&quot;* #,##0.0000_-;_-&quot;$&quot;* &quot;-&quot;??_-;_-@_-"/>
    <numFmt numFmtId="168" formatCode="_-&quot;$&quot;* #,##0_-;\-&quot;$&quot;* #,##0_-;_-&quot;$&quot;* &quot;-&quot;??_-;_-@_-"/>
    <numFmt numFmtId="169" formatCode="[$-1009]mmmm\ d\,\ yyyy;@"/>
  </numFmts>
  <fonts count="49" x14ac:knownFonts="1">
    <font>
      <sz val="10"/>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8"/>
      <name val="Arial"/>
      <family val="2"/>
    </font>
    <font>
      <b/>
      <sz val="12"/>
      <name val="Arial"/>
      <family val="2"/>
    </font>
    <font>
      <sz val="10"/>
      <name val="Book Antiqua"/>
      <family val="1"/>
    </font>
    <font>
      <b/>
      <sz val="14"/>
      <name val="Book Antiqua"/>
      <family val="1"/>
    </font>
    <font>
      <sz val="13"/>
      <color indexed="8"/>
      <name val="Book Antiqua"/>
      <family val="1"/>
    </font>
    <font>
      <sz val="13"/>
      <name val="Book Antiqua"/>
      <family val="1"/>
    </font>
    <font>
      <b/>
      <sz val="13"/>
      <name val="Book Antiqua"/>
      <family val="1"/>
    </font>
    <font>
      <b/>
      <sz val="16"/>
      <name val="Arial"/>
      <family val="2"/>
    </font>
    <font>
      <sz val="12"/>
      <name val="Book Antiqua"/>
      <family val="1"/>
    </font>
    <font>
      <b/>
      <sz val="10"/>
      <color indexed="18"/>
      <name val="Arial"/>
      <family val="2"/>
    </font>
    <font>
      <sz val="10"/>
      <name val="Arial"/>
      <family val="2"/>
    </font>
    <font>
      <b/>
      <sz val="10"/>
      <color rgb="FF000000"/>
      <name val="Arial"/>
      <family val="2"/>
    </font>
    <font>
      <sz val="10"/>
      <color rgb="FF000000"/>
      <name val="Arial"/>
      <family val="2"/>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right/>
      <top/>
      <bottom style="medium">
        <color indexed="9"/>
      </bottom>
      <diagonal/>
    </border>
    <border>
      <left/>
      <right/>
      <top style="medium">
        <color indexed="9"/>
      </top>
      <bottom style="medium">
        <color indexed="9"/>
      </bottom>
      <diagonal/>
    </border>
    <border>
      <left/>
      <right/>
      <top style="thin">
        <color indexed="64"/>
      </top>
      <bottom style="double">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s>
  <cellStyleXfs count="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180">
    <xf numFmtId="0" fontId="0" fillId="0" borderId="0" xfId="0"/>
    <xf numFmtId="0" fontId="22" fillId="0" borderId="0" xfId="0" applyFont="1" applyProtection="1"/>
    <xf numFmtId="0" fontId="0" fillId="0" borderId="0" xfId="0" applyAlignment="1" applyProtection="1">
      <alignment horizontal="left"/>
      <protection locked="0"/>
    </xf>
    <xf numFmtId="0" fontId="0" fillId="0" borderId="0" xfId="0" applyAlignment="1" applyProtection="1">
      <alignment horizontal="center"/>
      <protection locked="0"/>
    </xf>
    <xf numFmtId="0" fontId="0" fillId="25" borderId="0" xfId="0" applyFill="1"/>
    <xf numFmtId="0" fontId="0" fillId="0" borderId="0" xfId="0" applyFill="1"/>
    <xf numFmtId="0" fontId="0" fillId="0" borderId="0" xfId="0" applyAlignment="1"/>
    <xf numFmtId="0" fontId="23" fillId="0" borderId="0" xfId="0" applyFont="1" applyAlignment="1"/>
    <xf numFmtId="0" fontId="23" fillId="0" borderId="0" xfId="0" applyFont="1"/>
    <xf numFmtId="0" fontId="22" fillId="0" borderId="0" xfId="0" applyFont="1" applyAlignment="1">
      <alignment horizontal="left" indent="1"/>
    </xf>
    <xf numFmtId="0" fontId="0" fillId="0" borderId="0" xfId="0" applyAlignment="1">
      <alignment horizontal="left"/>
    </xf>
    <xf numFmtId="0" fontId="22" fillId="0" borderId="0" xfId="0" applyFont="1" applyFill="1"/>
    <xf numFmtId="0" fontId="22" fillId="0" borderId="0" xfId="0" applyFont="1" applyFill="1" applyAlignment="1">
      <alignment horizontal="left" indent="1"/>
    </xf>
    <xf numFmtId="0" fontId="27" fillId="0" borderId="0" xfId="0" applyFont="1" applyAlignment="1" applyProtection="1">
      <alignment horizontal="center" wrapText="1"/>
    </xf>
    <xf numFmtId="0" fontId="0" fillId="0" borderId="0" xfId="0" applyFill="1" applyAlignment="1"/>
    <xf numFmtId="0" fontId="23" fillId="0" borderId="0" xfId="0" applyFont="1" applyAlignment="1">
      <alignment vertical="center" wrapText="1"/>
    </xf>
    <xf numFmtId="0" fontId="23" fillId="0" borderId="0" xfId="0" applyFont="1" applyAlignment="1">
      <alignment horizontal="center"/>
    </xf>
    <xf numFmtId="0" fontId="0" fillId="24" borderId="0" xfId="0" applyFill="1" applyProtection="1"/>
    <xf numFmtId="0" fontId="0" fillId="24" borderId="0" xfId="0" applyFill="1" applyAlignment="1" applyProtection="1">
      <alignment horizontal="center"/>
    </xf>
    <xf numFmtId="0" fontId="0" fillId="0" borderId="0" xfId="0" applyProtection="1"/>
    <xf numFmtId="0" fontId="28" fillId="24" borderId="0" xfId="0" applyFont="1" applyFill="1" applyProtection="1"/>
    <xf numFmtId="0" fontId="28" fillId="24" borderId="0" xfId="0" applyFont="1" applyFill="1" applyAlignment="1" applyProtection="1">
      <alignment horizontal="center" wrapText="1"/>
    </xf>
    <xf numFmtId="44" fontId="28" fillId="24" borderId="0" xfId="29" applyFont="1" applyFill="1" applyProtection="1"/>
    <xf numFmtId="167" fontId="0" fillId="0" borderId="0" xfId="0" applyNumberFormat="1" applyProtection="1"/>
    <xf numFmtId="167" fontId="28" fillId="24" borderId="0" xfId="29" applyNumberFormat="1" applyFont="1" applyFill="1" applyProtection="1"/>
    <xf numFmtId="167" fontId="0" fillId="24" borderId="0" xfId="0" applyNumberFormat="1" applyFill="1" applyProtection="1"/>
    <xf numFmtId="0" fontId="29" fillId="0" borderId="0" xfId="0" applyFont="1"/>
    <xf numFmtId="0" fontId="22" fillId="0" borderId="0" xfId="0" applyFont="1" applyAlignment="1" applyProtection="1">
      <alignment horizontal="center"/>
    </xf>
    <xf numFmtId="0" fontId="29" fillId="0" borderId="0" xfId="0" applyFont="1" applyProtection="1"/>
    <xf numFmtId="0" fontId="29" fillId="24" borderId="0" xfId="0" applyFont="1" applyFill="1" applyProtection="1"/>
    <xf numFmtId="0" fontId="32" fillId="0" borderId="0" xfId="0" applyFont="1" applyProtection="1"/>
    <xf numFmtId="0" fontId="32" fillId="24" borderId="0" xfId="0" applyFont="1" applyFill="1" applyProtection="1"/>
    <xf numFmtId="44" fontId="33" fillId="24" borderId="0" xfId="29" applyFont="1" applyFill="1" applyProtection="1"/>
    <xf numFmtId="0" fontId="32" fillId="24" borderId="0" xfId="0" applyFont="1" applyFill="1" applyAlignment="1" applyProtection="1">
      <alignment horizontal="center"/>
    </xf>
    <xf numFmtId="167" fontId="32" fillId="24" borderId="0" xfId="0" applyNumberFormat="1" applyFont="1" applyFill="1" applyProtection="1"/>
    <xf numFmtId="0" fontId="31" fillId="24" borderId="0" xfId="0" applyFont="1" applyFill="1" applyAlignment="1" applyProtection="1">
      <alignment horizontal="left"/>
    </xf>
    <xf numFmtId="0" fontId="32" fillId="24" borderId="0" xfId="0" applyFont="1" applyFill="1"/>
    <xf numFmtId="0" fontId="0" fillId="24" borderId="0" xfId="0" applyFill="1"/>
    <xf numFmtId="167" fontId="33" fillId="24" borderId="0" xfId="29" applyNumberFormat="1" applyFont="1" applyFill="1" applyProtection="1"/>
    <xf numFmtId="167" fontId="33" fillId="24" borderId="10" xfId="29" applyNumberFormat="1" applyFont="1" applyFill="1" applyBorder="1" applyProtection="1"/>
    <xf numFmtId="0" fontId="34" fillId="24" borderId="0" xfId="0" applyFont="1" applyFill="1" applyProtection="1"/>
    <xf numFmtId="0" fontId="28" fillId="24" borderId="0" xfId="0" applyFont="1" applyFill="1" applyBorder="1" applyAlignment="1" applyProtection="1">
      <alignment wrapText="1"/>
    </xf>
    <xf numFmtId="0" fontId="28" fillId="0" borderId="0" xfId="0" applyFont="1" applyAlignment="1" applyProtection="1">
      <alignment horizontal="center" wrapText="1"/>
    </xf>
    <xf numFmtId="0" fontId="28" fillId="24" borderId="0" xfId="0" applyFont="1" applyFill="1" applyBorder="1" applyAlignment="1" applyProtection="1">
      <alignment horizontal="center" wrapText="1"/>
    </xf>
    <xf numFmtId="0" fontId="0" fillId="24" borderId="0" xfId="0" applyFill="1" applyBorder="1" applyProtection="1"/>
    <xf numFmtId="0" fontId="22" fillId="0" borderId="0" xfId="0" applyFont="1" applyAlignment="1" applyProtection="1">
      <alignment horizontal="center" wrapText="1"/>
    </xf>
    <xf numFmtId="0" fontId="22" fillId="24" borderId="0" xfId="0" applyFont="1" applyFill="1" applyAlignment="1" applyProtection="1">
      <alignment horizontal="center" wrapText="1"/>
    </xf>
    <xf numFmtId="168" fontId="1" fillId="24" borderId="0" xfId="29" applyNumberFormat="1" applyFont="1" applyFill="1" applyProtection="1"/>
    <xf numFmtId="0" fontId="35" fillId="24" borderId="0" xfId="0" applyFont="1" applyFill="1" applyAlignment="1" applyProtection="1">
      <alignment horizontal="center"/>
    </xf>
    <xf numFmtId="0" fontId="30" fillId="0" borderId="0" xfId="0" applyFont="1" applyAlignment="1" applyProtection="1">
      <alignment horizontal="center" wrapText="1"/>
    </xf>
    <xf numFmtId="164" fontId="1" fillId="24" borderId="10" xfId="28" applyNumberFormat="1" applyFont="1" applyFill="1" applyBorder="1" applyProtection="1"/>
    <xf numFmtId="44" fontId="1" fillId="24" borderId="10" xfId="29" applyFont="1" applyFill="1" applyBorder="1" applyProtection="1"/>
    <xf numFmtId="168" fontId="1" fillId="24" borderId="10" xfId="29" applyNumberFormat="1" applyFont="1" applyFill="1" applyBorder="1" applyProtection="1"/>
    <xf numFmtId="164" fontId="1" fillId="24" borderId="0" xfId="28" applyNumberFormat="1" applyFont="1" applyFill="1" applyProtection="1"/>
    <xf numFmtId="44" fontId="1" fillId="24" borderId="0" xfId="29" applyFont="1" applyFill="1" applyProtection="1"/>
    <xf numFmtId="164" fontId="1" fillId="24" borderId="12" xfId="28" applyNumberFormat="1" applyFill="1" applyBorder="1" applyAlignment="1"/>
    <xf numFmtId="164" fontId="1" fillId="0" borderId="12" xfId="28" applyNumberFormat="1" applyFill="1" applyBorder="1"/>
    <xf numFmtId="164" fontId="1" fillId="24" borderId="12" xfId="28" applyNumberFormat="1" applyFill="1" applyBorder="1"/>
    <xf numFmtId="10" fontId="23" fillId="24" borderId="12" xfId="42" applyNumberFormat="1" applyFont="1" applyFill="1" applyBorder="1" applyAlignment="1"/>
    <xf numFmtId="10" fontId="23" fillId="24" borderId="13" xfId="42" applyNumberFormat="1" applyFont="1" applyFill="1" applyBorder="1" applyAlignment="1"/>
    <xf numFmtId="168" fontId="23" fillId="24" borderId="12" xfId="29" applyNumberFormat="1" applyFont="1" applyFill="1" applyBorder="1"/>
    <xf numFmtId="166" fontId="23" fillId="24" borderId="12" xfId="42" applyNumberFormat="1" applyFont="1" applyFill="1" applyBorder="1" applyAlignment="1"/>
    <xf numFmtId="168" fontId="23" fillId="0" borderId="0" xfId="29" applyNumberFormat="1" applyFont="1"/>
    <xf numFmtId="167" fontId="36" fillId="0" borderId="0" xfId="29" applyNumberFormat="1" applyFont="1" applyBorder="1"/>
    <xf numFmtId="164" fontId="23" fillId="24" borderId="12" xfId="28" applyNumberFormat="1" applyFont="1" applyFill="1" applyBorder="1"/>
    <xf numFmtId="164" fontId="23" fillId="0" borderId="12" xfId="28" applyNumberFormat="1" applyFont="1" applyFill="1" applyBorder="1"/>
    <xf numFmtId="0" fontId="23" fillId="0" borderId="0" xfId="0" applyFont="1" applyFill="1"/>
    <xf numFmtId="167" fontId="23" fillId="0" borderId="12" xfId="29" applyNumberFormat="1" applyFont="1" applyFill="1" applyBorder="1"/>
    <xf numFmtId="167" fontId="36" fillId="0" borderId="0" xfId="29" applyNumberFormat="1" applyFont="1"/>
    <xf numFmtId="165" fontId="1" fillId="24" borderId="0" xfId="28" applyNumberFormat="1" applyFill="1" applyBorder="1" applyAlignment="1"/>
    <xf numFmtId="167" fontId="23" fillId="24" borderId="12" xfId="29" applyNumberFormat="1" applyFont="1" applyFill="1" applyBorder="1"/>
    <xf numFmtId="168" fontId="23" fillId="25" borderId="14" xfId="29" applyNumberFormat="1" applyFont="1" applyFill="1" applyBorder="1"/>
    <xf numFmtId="165" fontId="23" fillId="24" borderId="0" xfId="28" applyNumberFormat="1" applyFont="1" applyFill="1" applyBorder="1" applyAlignment="1"/>
    <xf numFmtId="165" fontId="23" fillId="24" borderId="12" xfId="28" applyNumberFormat="1" applyFont="1" applyFill="1" applyBorder="1" applyAlignment="1"/>
    <xf numFmtId="0" fontId="23" fillId="24" borderId="0" xfId="0" applyFont="1" applyFill="1"/>
    <xf numFmtId="0" fontId="1" fillId="0" borderId="0" xfId="0" applyFont="1"/>
    <xf numFmtId="167" fontId="23" fillId="24" borderId="0" xfId="29" applyNumberFormat="1" applyFont="1" applyFill="1" applyBorder="1"/>
    <xf numFmtId="0" fontId="1" fillId="24" borderId="0" xfId="0" applyFont="1" applyFill="1" applyBorder="1"/>
    <xf numFmtId="0" fontId="22" fillId="24" borderId="0" xfId="0" applyFont="1" applyFill="1" applyBorder="1"/>
    <xf numFmtId="0" fontId="37" fillId="24" borderId="0" xfId="0" applyFont="1" applyFill="1" applyBorder="1"/>
    <xf numFmtId="164" fontId="37" fillId="24" borderId="0" xfId="28" applyNumberFormat="1" applyFont="1" applyFill="1" applyBorder="1"/>
    <xf numFmtId="10" fontId="23" fillId="24" borderId="0" xfId="42" applyNumberFormat="1" applyFont="1" applyFill="1" applyBorder="1" applyAlignment="1"/>
    <xf numFmtId="168" fontId="23" fillId="24" borderId="0" xfId="29" applyNumberFormat="1" applyFont="1" applyFill="1" applyBorder="1"/>
    <xf numFmtId="164" fontId="37" fillId="24" borderId="0" xfId="28" applyNumberFormat="1" applyFont="1" applyFill="1" applyBorder="1" applyAlignment="1"/>
    <xf numFmtId="166" fontId="23" fillId="24" borderId="0" xfId="42" applyNumberFormat="1" applyFont="1" applyFill="1" applyBorder="1" applyAlignment="1"/>
    <xf numFmtId="0" fontId="27" fillId="24" borderId="0" xfId="0" applyFont="1" applyFill="1" applyBorder="1" applyAlignment="1" applyProtection="1">
      <alignment horizontal="center" wrapText="1"/>
    </xf>
    <xf numFmtId="0" fontId="0" fillId="24" borderId="0" xfId="0" applyFill="1" applyBorder="1"/>
    <xf numFmtId="7" fontId="1" fillId="24" borderId="11" xfId="29" applyNumberFormat="1" applyFont="1" applyFill="1" applyBorder="1" applyAlignment="1" applyProtection="1">
      <alignment horizontal="center"/>
    </xf>
    <xf numFmtId="164" fontId="1" fillId="24" borderId="11" xfId="28" applyNumberFormat="1" applyFont="1" applyFill="1" applyBorder="1" applyProtection="1"/>
    <xf numFmtId="167" fontId="1" fillId="24" borderId="11" xfId="29" applyNumberFormat="1" applyFont="1" applyFill="1" applyBorder="1" applyProtection="1"/>
    <xf numFmtId="168" fontId="1" fillId="24" borderId="11" xfId="29" applyNumberFormat="1" applyFont="1" applyFill="1" applyBorder="1" applyProtection="1"/>
    <xf numFmtId="0" fontId="22" fillId="0" borderId="0" xfId="0" applyFont="1" applyAlignment="1" applyProtection="1">
      <alignment horizontal="left" indent="1"/>
    </xf>
    <xf numFmtId="0" fontId="22" fillId="0" borderId="0" xfId="0" applyFont="1" applyFill="1" applyAlignment="1" applyProtection="1">
      <alignment horizontal="left" indent="1"/>
    </xf>
    <xf numFmtId="0" fontId="0" fillId="0" borderId="0" xfId="0" applyFill="1" applyProtection="1"/>
    <xf numFmtId="0" fontId="22" fillId="0" borderId="0" xfId="0" applyFont="1" applyFill="1" applyProtection="1"/>
    <xf numFmtId="0" fontId="23" fillId="0" borderId="0" xfId="0" applyFont="1" applyAlignment="1" applyProtection="1">
      <alignment vertical="center" wrapText="1"/>
    </xf>
    <xf numFmtId="0" fontId="23" fillId="0" borderId="0" xfId="0" applyFont="1" applyProtection="1"/>
    <xf numFmtId="0" fontId="23" fillId="0" borderId="0" xfId="0" applyFont="1" applyAlignment="1" applyProtection="1">
      <alignment horizontal="center"/>
    </xf>
    <xf numFmtId="164" fontId="0" fillId="24" borderId="12" xfId="28" applyNumberFormat="1" applyFont="1" applyFill="1" applyBorder="1" applyAlignment="1" applyProtection="1"/>
    <xf numFmtId="0" fontId="22" fillId="0" borderId="0" xfId="0" applyFont="1" applyAlignment="1" applyProtection="1">
      <alignment horizontal="left" indent="4"/>
    </xf>
    <xf numFmtId="44" fontId="33" fillId="26" borderId="0" xfId="29" applyFont="1" applyFill="1" applyProtection="1">
      <protection locked="0"/>
    </xf>
    <xf numFmtId="0" fontId="28" fillId="0" borderId="0" xfId="0" applyFont="1" applyAlignment="1" applyProtection="1">
      <alignment horizontal="center"/>
    </xf>
    <xf numFmtId="0" fontId="0" fillId="0" borderId="0" xfId="0" applyAlignment="1" applyProtection="1">
      <alignment horizontal="left"/>
    </xf>
    <xf numFmtId="0" fontId="39" fillId="0" borderId="0" xfId="0" applyFont="1" applyFill="1" applyBorder="1" applyAlignment="1">
      <alignment vertical="top" wrapText="1"/>
    </xf>
    <xf numFmtId="0" fontId="0" fillId="0" borderId="0" xfId="0" applyAlignment="1" applyProtection="1">
      <alignment horizontal="center"/>
    </xf>
    <xf numFmtId="0" fontId="41" fillId="0" borderId="0" xfId="0" applyFont="1" applyProtection="1"/>
    <xf numFmtId="0" fontId="42" fillId="0" borderId="0" xfId="0" applyFont="1" applyAlignment="1" applyProtection="1">
      <alignment horizontal="right" vertical="center"/>
    </xf>
    <xf numFmtId="0" fontId="42" fillId="0" borderId="0" xfId="0" applyFont="1" applyAlignment="1" applyProtection="1">
      <alignment horizontal="right" vertical="center" indent="1"/>
    </xf>
    <xf numFmtId="0" fontId="43" fillId="0" borderId="0" xfId="0" applyFont="1" applyAlignment="1" applyProtection="1">
      <alignment horizontal="left" vertical="center" wrapText="1"/>
    </xf>
    <xf numFmtId="0" fontId="23"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169" fontId="24" fillId="0" borderId="0" xfId="0" applyNumberFormat="1" applyFont="1" applyFill="1" applyBorder="1" applyAlignment="1" applyProtection="1">
      <alignment horizontal="left"/>
    </xf>
    <xf numFmtId="0" fontId="0" fillId="0" borderId="0" xfId="0" applyAlignment="1" applyProtection="1"/>
    <xf numFmtId="169" fontId="28" fillId="0" borderId="0" xfId="0" applyNumberFormat="1" applyFont="1" applyFill="1" applyAlignment="1" applyProtection="1">
      <alignment horizontal="center"/>
    </xf>
    <xf numFmtId="49" fontId="0" fillId="0" borderId="0" xfId="0" applyNumberFormat="1" applyProtection="1"/>
    <xf numFmtId="0" fontId="28" fillId="27" borderId="17" xfId="0" applyFont="1" applyFill="1" applyBorder="1" applyAlignment="1" applyProtection="1">
      <alignment horizontal="center" vertical="center" wrapText="1"/>
      <protection locked="0"/>
    </xf>
    <xf numFmtId="0" fontId="28" fillId="0" borderId="0" xfId="0" applyFont="1" applyProtection="1"/>
    <xf numFmtId="0" fontId="0" fillId="0" borderId="0" xfId="0" applyFill="1" applyBorder="1" applyAlignment="1" applyProtection="1">
      <alignment horizontal="left"/>
    </xf>
    <xf numFmtId="0" fontId="24" fillId="0" borderId="0" xfId="0" applyFont="1" applyFill="1" applyBorder="1" applyAlignment="1" applyProtection="1"/>
    <xf numFmtId="0" fontId="25" fillId="0" borderId="0" xfId="0" applyFont="1" applyFill="1" applyBorder="1" applyAlignment="1" applyProtection="1">
      <alignment horizontal="left"/>
    </xf>
    <xf numFmtId="0" fontId="22" fillId="0" borderId="0" xfId="0" applyFont="1" applyBorder="1" applyAlignment="1" applyProtection="1">
      <alignment horizontal="left" indent="4"/>
    </xf>
    <xf numFmtId="0" fontId="26" fillId="0" borderId="0" xfId="0" applyFont="1" applyFill="1" applyBorder="1" applyAlignment="1" applyProtection="1">
      <alignment horizontal="left"/>
    </xf>
    <xf numFmtId="0" fontId="22" fillId="0" borderId="0" xfId="0" applyFont="1" applyAlignment="1" applyProtection="1"/>
    <xf numFmtId="0" fontId="22" fillId="0" borderId="0" xfId="0" applyFont="1" applyBorder="1" applyAlignment="1" applyProtection="1"/>
    <xf numFmtId="0" fontId="22" fillId="0" borderId="0" xfId="0" applyFont="1" applyFill="1" applyBorder="1" applyAlignment="1" applyProtection="1">
      <alignment horizontal="left"/>
    </xf>
    <xf numFmtId="169" fontId="24" fillId="0" borderId="0" xfId="0" applyNumberFormat="1" applyFont="1" applyFill="1" applyBorder="1" applyAlignment="1" applyProtection="1"/>
    <xf numFmtId="0" fontId="22" fillId="0" borderId="0" xfId="0" applyFont="1" applyAlignment="1" applyProtection="1">
      <alignment vertical="top" wrapText="1"/>
    </xf>
    <xf numFmtId="0" fontId="22" fillId="0" borderId="0" xfId="0" applyFont="1" applyFill="1" applyBorder="1" applyAlignment="1" applyProtection="1">
      <alignment horizontal="left" vertical="top" wrapText="1"/>
    </xf>
    <xf numFmtId="169" fontId="24"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2" fillId="0" borderId="0" xfId="0" applyFont="1" applyAlignment="1">
      <alignment horizontal="left" vertical="center"/>
    </xf>
    <xf numFmtId="0" fontId="22" fillId="0" borderId="0" xfId="0" applyFont="1" applyFill="1" applyAlignment="1">
      <alignment horizontal="center" vertical="center" wrapText="1"/>
    </xf>
    <xf numFmtId="0" fontId="0" fillId="0" borderId="0" xfId="0" applyFill="1" applyAlignment="1">
      <alignment horizontal="center" vertical="center" wrapText="1"/>
    </xf>
    <xf numFmtId="0" fontId="44" fillId="0" borderId="0" xfId="0" applyFont="1" applyAlignment="1">
      <alignment horizontal="center" vertical="center" wrapText="1"/>
    </xf>
    <xf numFmtId="0" fontId="44" fillId="0" borderId="0" xfId="0" applyFont="1" applyFill="1" applyAlignment="1">
      <alignment horizontal="center" vertical="center" wrapText="1"/>
    </xf>
    <xf numFmtId="0" fontId="28" fillId="0" borderId="0" xfId="0" applyFont="1" applyFill="1" applyAlignment="1">
      <alignment horizontal="center" vertical="center" wrapText="1"/>
    </xf>
    <xf numFmtId="0" fontId="38" fillId="0" borderId="0" xfId="0" applyFont="1" applyAlignment="1">
      <alignment horizontal="left" vertical="center" readingOrder="1"/>
    </xf>
    <xf numFmtId="0" fontId="16" fillId="0" borderId="0" xfId="0" applyFont="1"/>
    <xf numFmtId="0" fontId="28" fillId="0" borderId="0" xfId="0" applyFont="1" applyAlignment="1">
      <alignment horizontal="center" vertical="center" wrapText="1"/>
    </xf>
    <xf numFmtId="0" fontId="28" fillId="0" borderId="0" xfId="0" applyFont="1"/>
    <xf numFmtId="0" fontId="28" fillId="0" borderId="0" xfId="0" applyFont="1" applyAlignment="1" applyProtection="1">
      <alignment horizontal="center" vertical="center"/>
    </xf>
    <xf numFmtId="0" fontId="45" fillId="28" borderId="0" xfId="0" applyFont="1" applyFill="1" applyAlignment="1" applyProtection="1">
      <alignment horizontal="center" vertical="center"/>
    </xf>
    <xf numFmtId="0" fontId="47" fillId="28" borderId="0" xfId="0" applyFont="1" applyFill="1" applyAlignment="1">
      <alignment horizontal="center" vertical="center" wrapText="1"/>
    </xf>
    <xf numFmtId="0" fontId="47" fillId="28" borderId="0" xfId="0" applyFont="1" applyFill="1" applyAlignment="1">
      <alignment horizontal="left" vertical="center"/>
    </xf>
    <xf numFmtId="0" fontId="47" fillId="0" borderId="0" xfId="0" applyFont="1" applyFill="1" applyAlignment="1">
      <alignment horizontal="left" vertical="center"/>
    </xf>
    <xf numFmtId="0" fontId="47" fillId="0" borderId="0" xfId="0" applyFont="1" applyFill="1" applyAlignment="1">
      <alignment horizontal="center" vertical="center" wrapText="1"/>
    </xf>
    <xf numFmtId="0" fontId="23" fillId="0" borderId="0" xfId="0" applyFont="1" applyFill="1" applyAlignment="1" applyProtection="1">
      <alignment horizontal="center" vertical="center" wrapText="1"/>
    </xf>
    <xf numFmtId="0" fontId="23" fillId="0" borderId="0" xfId="0" applyFont="1" applyFill="1" applyAlignment="1" applyProtection="1">
      <alignment horizontal="left" vertical="center" wrapText="1"/>
    </xf>
    <xf numFmtId="0" fontId="23" fillId="0" borderId="0" xfId="0" applyFont="1" applyFill="1" applyAlignment="1" applyProtection="1">
      <alignment horizontal="center" vertical="center" wrapText="1"/>
      <protection locked="0"/>
    </xf>
    <xf numFmtId="164" fontId="0" fillId="26" borderId="12" xfId="28" applyNumberFormat="1" applyFont="1" applyFill="1" applyBorder="1" applyProtection="1">
      <protection locked="0"/>
    </xf>
    <xf numFmtId="164" fontId="0" fillId="26" borderId="13" xfId="28" applyNumberFormat="1" applyFont="1" applyFill="1" applyBorder="1" applyProtection="1">
      <protection locked="0"/>
    </xf>
    <xf numFmtId="0" fontId="0" fillId="26" borderId="0" xfId="0" applyFill="1" applyAlignment="1" applyProtection="1">
      <alignment horizontal="center"/>
      <protection locked="0"/>
    </xf>
    <xf numFmtId="0" fontId="0" fillId="26" borderId="0" xfId="0" applyFill="1" applyAlignment="1" applyProtection="1">
      <protection locked="0"/>
    </xf>
    <xf numFmtId="0" fontId="48" fillId="0" borderId="0" xfId="36" applyFont="1" applyAlignment="1" applyProtection="1"/>
    <xf numFmtId="164" fontId="1" fillId="26" borderId="11" xfId="28" applyNumberFormat="1" applyFont="1" applyFill="1" applyBorder="1" applyProtection="1">
      <protection locked="0"/>
    </xf>
    <xf numFmtId="7" fontId="1" fillId="26" borderId="11" xfId="29" applyNumberFormat="1" applyFont="1" applyFill="1" applyBorder="1" applyAlignment="1" applyProtection="1">
      <alignment horizontal="center"/>
      <protection locked="0"/>
    </xf>
    <xf numFmtId="168" fontId="1" fillId="26" borderId="11" xfId="29" applyNumberFormat="1" applyFont="1" applyFill="1" applyBorder="1" applyProtection="1">
      <protection locked="0"/>
    </xf>
    <xf numFmtId="168" fontId="0" fillId="26" borderId="11" xfId="29" applyNumberFormat="1" applyFont="1" applyFill="1" applyBorder="1" applyProtection="1">
      <protection locked="0"/>
    </xf>
    <xf numFmtId="0" fontId="28" fillId="0" borderId="0" xfId="0" applyFont="1" applyFill="1" applyAlignment="1">
      <alignment horizontal="left" vertical="center" wrapText="1"/>
    </xf>
    <xf numFmtId="0" fontId="1" fillId="26" borderId="17" xfId="0" applyFont="1" applyFill="1" applyBorder="1" applyAlignment="1" applyProtection="1">
      <alignment vertical="center"/>
      <protection locked="0"/>
    </xf>
    <xf numFmtId="15" fontId="0" fillId="26" borderId="17" xfId="0" applyNumberFormat="1" applyFill="1" applyBorder="1" applyAlignment="1" applyProtection="1">
      <alignment vertical="center"/>
      <protection locked="0"/>
    </xf>
    <xf numFmtId="0" fontId="1" fillId="26" borderId="18" xfId="0" applyFont="1" applyFill="1" applyBorder="1" applyAlignment="1" applyProtection="1">
      <alignment horizontal="left" vertical="center"/>
      <protection locked="0"/>
    </xf>
    <xf numFmtId="0" fontId="0" fillId="26" borderId="19" xfId="0" applyFill="1" applyBorder="1" applyAlignment="1" applyProtection="1">
      <alignment horizontal="left" vertical="center"/>
      <protection locked="0"/>
    </xf>
    <xf numFmtId="0" fontId="40" fillId="24" borderId="0" xfId="0" applyFont="1" applyFill="1" applyBorder="1" applyAlignment="1" applyProtection="1"/>
    <xf numFmtId="0" fontId="0" fillId="27" borderId="15" xfId="0" applyFill="1" applyBorder="1" applyAlignment="1" applyProtection="1">
      <alignment horizontal="left" vertical="center" wrapText="1"/>
      <protection locked="0"/>
    </xf>
    <xf numFmtId="0" fontId="0" fillId="27" borderId="16" xfId="0" applyFill="1" applyBorder="1" applyAlignment="1" applyProtection="1">
      <alignment horizontal="left" vertical="center" wrapText="1"/>
      <protection locked="0"/>
    </xf>
    <xf numFmtId="0" fontId="23" fillId="0" borderId="0" xfId="0" applyFont="1" applyAlignment="1">
      <alignment horizontal="left" vertical="center" wrapText="1"/>
    </xf>
    <xf numFmtId="0" fontId="0" fillId="0" borderId="0" xfId="0" applyAlignment="1">
      <alignment horizontal="left"/>
    </xf>
    <xf numFmtId="0" fontId="0" fillId="0" borderId="0" xfId="0" applyAlignment="1" applyProtection="1">
      <alignment horizontal="left"/>
      <protection locked="0"/>
    </xf>
    <xf numFmtId="167" fontId="23" fillId="26" borderId="0" xfId="29" applyNumberFormat="1" applyFont="1" applyFill="1" applyAlignment="1" applyProtection="1">
      <alignment horizontal="right"/>
      <protection locked="0"/>
    </xf>
    <xf numFmtId="167" fontId="23" fillId="0" borderId="0" xfId="29" applyNumberFormat="1" applyFont="1" applyAlignment="1" applyProtection="1">
      <alignment horizontal="right"/>
      <protection locked="0"/>
    </xf>
    <xf numFmtId="0" fontId="23" fillId="0" borderId="0" xfId="0" applyFont="1" applyFill="1" applyAlignment="1" applyProtection="1">
      <alignment horizontal="center" vertical="center" wrapText="1"/>
      <protection locked="0"/>
    </xf>
    <xf numFmtId="0" fontId="28" fillId="0" borderId="0" xfId="0" applyFont="1" applyAlignment="1" applyProtection="1">
      <alignment horizontal="left" vertical="center" wrapText="1"/>
    </xf>
    <xf numFmtId="10" fontId="23" fillId="24" borderId="12" xfId="42" applyNumberFormat="1" applyFont="1" applyFill="1" applyBorder="1" applyAlignment="1" applyProtection="1">
      <alignment horizontal="right"/>
    </xf>
    <xf numFmtId="165" fontId="0" fillId="0" borderId="12" xfId="28" applyNumberFormat="1" applyFont="1" applyFill="1" applyBorder="1" applyAlignment="1" applyProtection="1">
      <alignment horizontal="center"/>
    </xf>
    <xf numFmtId="165" fontId="0" fillId="0" borderId="12" xfId="28" applyNumberFormat="1" applyFont="1" applyFill="1" applyBorder="1" applyAlignment="1" applyProtection="1">
      <alignment horizontal="center"/>
      <protection locked="0"/>
    </xf>
    <xf numFmtId="0" fontId="45" fillId="28" borderId="0" xfId="0" applyFont="1" applyFill="1" applyAlignment="1" applyProtection="1">
      <alignment horizontal="center" vertical="center"/>
    </xf>
    <xf numFmtId="0" fontId="28" fillId="24" borderId="0" xfId="0" applyFont="1" applyFill="1" applyBorder="1" applyAlignment="1" applyProtection="1">
      <alignment horizontal="center" wrapText="1"/>
    </xf>
    <xf numFmtId="0" fontId="46" fillId="0" borderId="0" xfId="0" applyFont="1" applyAlignment="1">
      <alignment horizontal="left" vertic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Title" xfId="43" builtinId="15" customBuiltin="1"/>
    <cellStyle name="Total" xfId="44" builtinId="25" customBuiltin="1"/>
    <cellStyle name="Warning Text" xfId="45" builtinId="11" customBuiltin="1"/>
  </cellStyles>
  <dxfs count="10">
    <dxf>
      <fill>
        <patternFill>
          <bgColor indexed="9"/>
        </patternFill>
      </fill>
    </dxf>
    <dxf>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ont>
        <b/>
        <i val="0"/>
        <condense val="0"/>
        <extend val="0"/>
        <color auto="1"/>
      </font>
      <fill>
        <patternFill>
          <bgColor theme="6" tint="0.79998168889431442"/>
        </patternFill>
      </fill>
    </dxf>
    <dxf>
      <font>
        <b/>
        <i val="0"/>
        <condense val="0"/>
        <extend val="0"/>
        <color indexed="8"/>
      </font>
      <fill>
        <patternFill>
          <bgColor theme="4" tint="0.79998168889431442"/>
        </patternFill>
      </fill>
    </dxf>
    <dxf>
      <font>
        <b/>
        <i val="0"/>
        <condense val="0"/>
        <extend val="0"/>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161925</xdr:colOff>
      <xdr:row>13</xdr:row>
      <xdr:rowOff>28575</xdr:rowOff>
    </xdr:from>
    <xdr:to>
      <xdr:col>16</xdr:col>
      <xdr:colOff>600075</xdr:colOff>
      <xdr:row>14</xdr:row>
      <xdr:rowOff>76200</xdr:rowOff>
    </xdr:to>
    <xdr:sp macro="" textlink="$AE$2">
      <xdr:nvSpPr>
        <xdr:cNvPr id="1040" name="Text Box 16"/>
        <xdr:cNvSpPr txBox="1">
          <a:spLocks noChangeArrowheads="1" noTextEdit="1"/>
        </xdr:cNvSpPr>
      </xdr:nvSpPr>
      <xdr:spPr bwMode="auto">
        <a:xfrm>
          <a:off x="9305925" y="21336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0</xdr:row>
      <xdr:rowOff>0</xdr:rowOff>
    </xdr:from>
    <xdr:to>
      <xdr:col>9</xdr:col>
      <xdr:colOff>313495</xdr:colOff>
      <xdr:row>9</xdr:row>
      <xdr:rowOff>9524</xdr:rowOff>
    </xdr:to>
    <xdr:grpSp>
      <xdr:nvGrpSpPr>
        <xdr:cNvPr id="30" name="Group 29"/>
        <xdr:cNvGrpSpPr/>
      </xdr:nvGrpSpPr>
      <xdr:grpSpPr>
        <a:xfrm>
          <a:off x="0" y="0"/>
          <a:ext cx="10152820" cy="1924049"/>
          <a:chOff x="9524" y="19051"/>
          <a:chExt cx="8537711" cy="1924049"/>
        </a:xfrm>
      </xdr:grpSpPr>
      <xdr:pic>
        <xdr:nvPicPr>
          <xdr:cNvPr id="31" name="Picture 3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2"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3" name="Rectangle 3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31</xdr:row>
      <xdr:rowOff>57149</xdr:rowOff>
    </xdr:from>
    <xdr:to>
      <xdr:col>9</xdr:col>
      <xdr:colOff>333375</xdr:colOff>
      <xdr:row>38</xdr:row>
      <xdr:rowOff>180974</xdr:rowOff>
    </xdr:to>
    <xdr:sp macro="" textlink="">
      <xdr:nvSpPr>
        <xdr:cNvPr id="34" name="Text Box 50"/>
        <xdr:cNvSpPr txBox="1">
          <a:spLocks noChangeArrowheads="1"/>
        </xdr:cNvSpPr>
      </xdr:nvSpPr>
      <xdr:spPr bwMode="auto">
        <a:xfrm>
          <a:off x="0" y="6248399"/>
          <a:ext cx="9267825"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oneCellAnchor>
    <xdr:from>
      <xdr:col>8</xdr:col>
      <xdr:colOff>133350</xdr:colOff>
      <xdr:row>0</xdr:row>
      <xdr:rowOff>142875</xdr:rowOff>
    </xdr:from>
    <xdr:ext cx="540148" cy="311496"/>
    <xdr:sp macro="" textlink="">
      <xdr:nvSpPr>
        <xdr:cNvPr id="2" name="TextBox 1"/>
        <xdr:cNvSpPr txBox="1"/>
      </xdr:nvSpPr>
      <xdr:spPr>
        <a:xfrm>
          <a:off x="9363075"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400" b="1"/>
            <a:t>v 3.0</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7" name="Group 36"/>
        <xdr:cNvGrpSpPr/>
      </xdr:nvGrpSpPr>
      <xdr:grpSpPr>
        <a:xfrm>
          <a:off x="0" y="0"/>
          <a:ext cx="9247945" cy="1924049"/>
          <a:chOff x="9524" y="19051"/>
          <a:chExt cx="8537711" cy="1924049"/>
        </a:xfrm>
      </xdr:grpSpPr>
      <xdr:pic>
        <xdr:nvPicPr>
          <xdr:cNvPr id="38" name="Picture 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0" name="Rectangle 3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1208776</xdr:colOff>
      <xdr:row>16</xdr:row>
      <xdr:rowOff>140713</xdr:rowOff>
    </xdr:from>
    <xdr:to>
      <xdr:col>13</xdr:col>
      <xdr:colOff>78400</xdr:colOff>
      <xdr:row>18</xdr:row>
      <xdr:rowOff>133349</xdr:rowOff>
    </xdr:to>
    <xdr:sp macro="" textlink="">
      <xdr:nvSpPr>
        <xdr:cNvPr id="15372" name="Text Box 12"/>
        <xdr:cNvSpPr txBox="1">
          <a:spLocks noChangeArrowheads="1"/>
        </xdr:cNvSpPr>
      </xdr:nvSpPr>
      <xdr:spPr bwMode="auto">
        <a:xfrm>
          <a:off x="1208776" y="3143889"/>
          <a:ext cx="7789506" cy="306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endParaRPr lang="en-CA" sz="1000" b="1"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13</xdr:col>
      <xdr:colOff>303970</xdr:colOff>
      <xdr:row>11</xdr:row>
      <xdr:rowOff>142874</xdr:rowOff>
    </xdr:to>
    <xdr:grpSp>
      <xdr:nvGrpSpPr>
        <xdr:cNvPr id="39" name="Group 38"/>
        <xdr:cNvGrpSpPr/>
      </xdr:nvGrpSpPr>
      <xdr:grpSpPr>
        <a:xfrm>
          <a:off x="0" y="0"/>
          <a:ext cx="9247945" cy="1924049"/>
          <a:chOff x="9524" y="19051"/>
          <a:chExt cx="8537711" cy="1924049"/>
        </a:xfrm>
      </xdr:grpSpPr>
      <xdr:pic>
        <xdr:nvPicPr>
          <xdr:cNvPr id="40" name="Picture 3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2" name="Rectangle 4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9" name="Group 38"/>
        <xdr:cNvGrpSpPr/>
      </xdr:nvGrpSpPr>
      <xdr:grpSpPr>
        <a:xfrm>
          <a:off x="0" y="0"/>
          <a:ext cx="9247945" cy="1924049"/>
          <a:chOff x="9524" y="19051"/>
          <a:chExt cx="8537711" cy="1924049"/>
        </a:xfrm>
      </xdr:grpSpPr>
      <xdr:pic>
        <xdr:nvPicPr>
          <xdr:cNvPr id="40" name="Picture 3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4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2" name="Rectangle 4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24" name="Group 23"/>
        <xdr:cNvGrpSpPr/>
      </xdr:nvGrpSpPr>
      <xdr:grpSpPr>
        <a:xfrm>
          <a:off x="0" y="0"/>
          <a:ext cx="9247945" cy="1924049"/>
          <a:chOff x="9524" y="19051"/>
          <a:chExt cx="8537711" cy="1924049"/>
        </a:xfrm>
      </xdr:grpSpPr>
      <xdr:pic>
        <xdr:nvPicPr>
          <xdr:cNvPr id="25" name="Picture 2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6"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7" name="Rectangle 2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103945</xdr:colOff>
      <xdr:row>11</xdr:row>
      <xdr:rowOff>142874</xdr:rowOff>
    </xdr:to>
    <xdr:grpSp>
      <xdr:nvGrpSpPr>
        <xdr:cNvPr id="9" name="Group 8"/>
        <xdr:cNvGrpSpPr/>
      </xdr:nvGrpSpPr>
      <xdr:grpSpPr>
        <a:xfrm>
          <a:off x="0" y="0"/>
          <a:ext cx="9247945" cy="1924049"/>
          <a:chOff x="9524" y="19051"/>
          <a:chExt cx="8537711" cy="1924049"/>
        </a:xfrm>
      </xdr:grpSpPr>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1"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2" name="Rectangle 11"/>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484945</xdr:colOff>
      <xdr:row>11</xdr:row>
      <xdr:rowOff>142874</xdr:rowOff>
    </xdr:to>
    <xdr:grpSp>
      <xdr:nvGrpSpPr>
        <xdr:cNvPr id="25" name="Group 24"/>
        <xdr:cNvGrpSpPr/>
      </xdr:nvGrpSpPr>
      <xdr:grpSpPr>
        <a:xfrm>
          <a:off x="0" y="0"/>
          <a:ext cx="9247945" cy="1924049"/>
          <a:chOff x="9524" y="19051"/>
          <a:chExt cx="8537711" cy="1924049"/>
        </a:xfrm>
      </xdr:grpSpPr>
      <xdr:pic>
        <xdr:nvPicPr>
          <xdr:cNvPr id="26" name="Picture 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27"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28" name="Rectangle 27"/>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12</xdr:col>
      <xdr:colOff>380170</xdr:colOff>
      <xdr:row>11</xdr:row>
      <xdr:rowOff>142874</xdr:rowOff>
    </xdr:to>
    <xdr:grpSp>
      <xdr:nvGrpSpPr>
        <xdr:cNvPr id="36" name="Group 35"/>
        <xdr:cNvGrpSpPr/>
      </xdr:nvGrpSpPr>
      <xdr:grpSpPr>
        <a:xfrm>
          <a:off x="914400" y="0"/>
          <a:ext cx="9343195" cy="1924049"/>
          <a:chOff x="9524" y="19051"/>
          <a:chExt cx="8537711" cy="1924049"/>
        </a:xfrm>
      </xdr:grpSpPr>
      <xdr:pic>
        <xdr:nvPicPr>
          <xdr:cNvPr id="37" name="Picture 3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8"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39" name="Rectangle 38"/>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189670</xdr:colOff>
      <xdr:row>11</xdr:row>
      <xdr:rowOff>142874</xdr:rowOff>
    </xdr:to>
    <xdr:grpSp>
      <xdr:nvGrpSpPr>
        <xdr:cNvPr id="54" name="Group 53"/>
        <xdr:cNvGrpSpPr/>
      </xdr:nvGrpSpPr>
      <xdr:grpSpPr>
        <a:xfrm>
          <a:off x="0" y="0"/>
          <a:ext cx="9247945" cy="1924049"/>
          <a:chOff x="9524" y="19051"/>
          <a:chExt cx="8537711" cy="1924049"/>
        </a:xfrm>
      </xdr:grpSpPr>
      <xdr:pic>
        <xdr:nvPicPr>
          <xdr:cNvPr id="55" name="Picture 5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6"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57" name="Rectangle 56"/>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1047750</xdr:colOff>
      <xdr:row>16</xdr:row>
      <xdr:rowOff>47625</xdr:rowOff>
    </xdr:from>
    <xdr:to>
      <xdr:col>15</xdr:col>
      <xdr:colOff>723900</xdr:colOff>
      <xdr:row>19</xdr:row>
      <xdr:rowOff>9525</xdr:rowOff>
    </xdr:to>
    <xdr:grpSp>
      <xdr:nvGrpSpPr>
        <xdr:cNvPr id="8252" name="Group 60"/>
        <xdr:cNvGrpSpPr>
          <a:grpSpLocks/>
        </xdr:cNvGrpSpPr>
      </xdr:nvGrpSpPr>
      <xdr:grpSpPr bwMode="auto">
        <a:xfrm>
          <a:off x="1047750" y="2638425"/>
          <a:ext cx="10172700" cy="714375"/>
          <a:chOff x="110" y="277"/>
          <a:chExt cx="963" cy="46"/>
        </a:xfrm>
      </xdr:grpSpPr>
      <xdr:pic>
        <xdr:nvPicPr>
          <xdr:cNvPr id="8250" name="Picture 5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10" y="277"/>
            <a:ext cx="963" cy="4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xdr:cNvSpPr txBox="1">
            <a:spLocks noChangeArrowheads="1"/>
          </xdr:cNvSpPr>
        </xdr:nvSpPr>
        <xdr:spPr bwMode="auto">
          <a:xfrm>
            <a:off x="111" y="286"/>
            <a:ext cx="843" cy="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"4. RRR Data".  For Hydro One Sub-transmission Rates, if you are charged a </a:t>
            </a:r>
            <a:r>
              <a:rPr lang="en-CA" sz="1000" b="1" i="1" u="none" strike="noStrike" baseline="0">
                <a:solidFill>
                  <a:srgbClr val="000000"/>
                </a:solidFill>
                <a:latin typeface="Arial"/>
                <a:cs typeface="Arial"/>
              </a:rPr>
              <a:t>combined</a:t>
            </a:r>
            <a:r>
              <a:rPr lang="en-CA" sz="1000" b="1" i="0" u="none" strike="noStrike" baseline="0">
                <a:solidFill>
                  <a:srgbClr val="000000"/>
                </a:solidFill>
                <a:latin typeface="Arial"/>
                <a:cs typeface="Arial"/>
              </a:rPr>
              <a:t> Line and Transformer connection rate, please ensure that both the line connection and transformer connection columns are completed.</a:t>
            </a:r>
          </a:p>
        </xdr:txBody>
      </xdr:sp>
    </xdr:grpSp>
    <xdr:clientData/>
  </xdr:twoCellAnchor>
  <xdr:twoCellAnchor>
    <xdr:from>
      <xdr:col>0</xdr:col>
      <xdr:colOff>0</xdr:colOff>
      <xdr:row>0</xdr:row>
      <xdr:rowOff>0</xdr:rowOff>
    </xdr:from>
    <xdr:to>
      <xdr:col>12</xdr:col>
      <xdr:colOff>513520</xdr:colOff>
      <xdr:row>11</xdr:row>
      <xdr:rowOff>142874</xdr:rowOff>
    </xdr:to>
    <xdr:grpSp>
      <xdr:nvGrpSpPr>
        <xdr:cNvPr id="57" name="Group 56"/>
        <xdr:cNvGrpSpPr/>
      </xdr:nvGrpSpPr>
      <xdr:grpSpPr>
        <a:xfrm>
          <a:off x="0" y="0"/>
          <a:ext cx="9247945" cy="1924049"/>
          <a:chOff x="9524" y="19051"/>
          <a:chExt cx="8537711" cy="1924049"/>
        </a:xfrm>
      </xdr:grpSpPr>
      <xdr:pic>
        <xdr:nvPicPr>
          <xdr:cNvPr id="58" name="Picture 5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59"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0" name="Rectangle 5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25</xdr:col>
      <xdr:colOff>428625</xdr:colOff>
      <xdr:row>2</xdr:row>
      <xdr:rowOff>85725</xdr:rowOff>
    </xdr:from>
    <xdr:to>
      <xdr:col>27</xdr:col>
      <xdr:colOff>476250</xdr:colOff>
      <xdr:row>5</xdr:row>
      <xdr:rowOff>38100</xdr:rowOff>
    </xdr:to>
    <xdr:grpSp>
      <xdr:nvGrpSpPr>
        <xdr:cNvPr id="7182" name="Group 14"/>
        <xdr:cNvGrpSpPr>
          <a:grpSpLocks/>
        </xdr:cNvGrpSpPr>
      </xdr:nvGrpSpPr>
      <xdr:grpSpPr bwMode="auto">
        <a:xfrm>
          <a:off x="17611725" y="409575"/>
          <a:ext cx="1266825" cy="438150"/>
          <a:chOff x="140" y="404"/>
          <a:chExt cx="133" cy="45"/>
        </a:xfrm>
      </xdr:grpSpPr>
      <xdr:pic>
        <xdr:nvPicPr>
          <xdr:cNvPr id="7183"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7421" t="45313" r="24376" b="50000"/>
          <a:stretch>
            <a:fillRect/>
          </a:stretch>
        </xdr:blipFill>
        <xdr:spPr bwMode="auto">
          <a:xfrm>
            <a:off x="140" y="406"/>
            <a:ext cx="133" cy="4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7184" name="Text Box 16"/>
          <xdr:cNvSpPr txBox="1">
            <a:spLocks noChangeArrowheads="1"/>
          </xdr:cNvSpPr>
        </xdr:nvSpPr>
        <xdr:spPr bwMode="auto">
          <a:xfrm>
            <a:off x="141" y="404"/>
            <a:ext cx="124"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grpSp>
    <xdr:clientData/>
  </xdr:twoCellAnchor>
  <xdr:twoCellAnchor>
    <xdr:from>
      <xdr:col>0</xdr:col>
      <xdr:colOff>0</xdr:colOff>
      <xdr:row>0</xdr:row>
      <xdr:rowOff>0</xdr:rowOff>
    </xdr:from>
    <xdr:to>
      <xdr:col>12</xdr:col>
      <xdr:colOff>275395</xdr:colOff>
      <xdr:row>11</xdr:row>
      <xdr:rowOff>142874</xdr:rowOff>
    </xdr:to>
    <xdr:grpSp>
      <xdr:nvGrpSpPr>
        <xdr:cNvPr id="60" name="Group 59"/>
        <xdr:cNvGrpSpPr/>
      </xdr:nvGrpSpPr>
      <xdr:grpSpPr>
        <a:xfrm>
          <a:off x="0" y="0"/>
          <a:ext cx="9247945" cy="1924049"/>
          <a:chOff x="9524" y="19051"/>
          <a:chExt cx="8537711" cy="1924049"/>
        </a:xfrm>
      </xdr:grpSpPr>
      <xdr:pic>
        <xdr:nvPicPr>
          <xdr:cNvPr id="61" name="Picture 6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2"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3" name="Rectangle 6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25</xdr:col>
      <xdr:colOff>419100</xdr:colOff>
      <xdr:row>2</xdr:row>
      <xdr:rowOff>85725</xdr:rowOff>
    </xdr:from>
    <xdr:to>
      <xdr:col>27</xdr:col>
      <xdr:colOff>466725</xdr:colOff>
      <xdr:row>5</xdr:row>
      <xdr:rowOff>38100</xdr:rowOff>
    </xdr:to>
    <xdr:grpSp>
      <xdr:nvGrpSpPr>
        <xdr:cNvPr id="11278" name="Group 14"/>
        <xdr:cNvGrpSpPr>
          <a:grpSpLocks/>
        </xdr:cNvGrpSpPr>
      </xdr:nvGrpSpPr>
      <xdr:grpSpPr bwMode="auto">
        <a:xfrm>
          <a:off x="17611725" y="409575"/>
          <a:ext cx="1266825" cy="438150"/>
          <a:chOff x="140" y="404"/>
          <a:chExt cx="133" cy="45"/>
        </a:xfrm>
      </xdr:grpSpPr>
      <xdr:pic>
        <xdr:nvPicPr>
          <xdr:cNvPr id="11279"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7421" t="45313" r="24376" b="50000"/>
          <a:stretch>
            <a:fillRect/>
          </a:stretch>
        </xdr:blipFill>
        <xdr:spPr bwMode="auto">
          <a:xfrm>
            <a:off x="140" y="406"/>
            <a:ext cx="133" cy="4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1280" name="Text Box 16"/>
          <xdr:cNvSpPr txBox="1">
            <a:spLocks noChangeArrowheads="1"/>
          </xdr:cNvSpPr>
        </xdr:nvSpPr>
        <xdr:spPr bwMode="auto">
          <a:xfrm>
            <a:off x="141" y="404"/>
            <a:ext cx="124" cy="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grpSp>
    <xdr:clientData/>
  </xdr:twoCellAnchor>
  <xdr:twoCellAnchor>
    <xdr:from>
      <xdr:col>0</xdr:col>
      <xdr:colOff>0</xdr:colOff>
      <xdr:row>0</xdr:row>
      <xdr:rowOff>0</xdr:rowOff>
    </xdr:from>
    <xdr:to>
      <xdr:col>12</xdr:col>
      <xdr:colOff>446845</xdr:colOff>
      <xdr:row>11</xdr:row>
      <xdr:rowOff>142874</xdr:rowOff>
    </xdr:to>
    <xdr:grpSp>
      <xdr:nvGrpSpPr>
        <xdr:cNvPr id="60" name="Group 59"/>
        <xdr:cNvGrpSpPr/>
      </xdr:nvGrpSpPr>
      <xdr:grpSpPr>
        <a:xfrm>
          <a:off x="0" y="0"/>
          <a:ext cx="9247945" cy="1924049"/>
          <a:chOff x="9524" y="19051"/>
          <a:chExt cx="8537711" cy="1924049"/>
        </a:xfrm>
      </xdr:grpSpPr>
      <xdr:pic>
        <xdr:nvPicPr>
          <xdr:cNvPr id="61" name="Picture 60"/>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2" name="Picture 3"/>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63" name="Rectangle 6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303970</xdr:colOff>
      <xdr:row>11</xdr:row>
      <xdr:rowOff>142874</xdr:rowOff>
    </xdr:to>
    <xdr:grpSp>
      <xdr:nvGrpSpPr>
        <xdr:cNvPr id="37" name="Group 36"/>
        <xdr:cNvGrpSpPr/>
      </xdr:nvGrpSpPr>
      <xdr:grpSpPr>
        <a:xfrm>
          <a:off x="0" y="0"/>
          <a:ext cx="9247945" cy="1924049"/>
          <a:chOff x="9524" y="19051"/>
          <a:chExt cx="8537711" cy="1924049"/>
        </a:xfrm>
      </xdr:grpSpPr>
      <xdr:pic>
        <xdr:nvPicPr>
          <xdr:cNvPr id="38" name="Picture 3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39" name="Picture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0" name="Rectangle 39"/>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RTSR Workform for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Electricity Distributors </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(2013 Filers)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5\Home\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10"/>
  <sheetViews>
    <sheetView showGridLines="0" tabSelected="1" workbookViewId="0">
      <selection activeCell="D26" sqref="D26"/>
    </sheetView>
  </sheetViews>
  <sheetFormatPr defaultRowHeight="15.75" customHeight="1" zeroHeight="1" x14ac:dyDescent="0.25"/>
  <cols>
    <col min="1" max="1" width="14.7109375" style="19" customWidth="1"/>
    <col min="2" max="2" width="11.42578125" style="19" hidden="1" customWidth="1"/>
    <col min="3" max="3" width="26.7109375" style="19" customWidth="1"/>
    <col min="4" max="4" width="34.42578125" style="19" customWidth="1"/>
    <col min="5" max="5" width="30.7109375" style="101" customWidth="1"/>
    <col min="6" max="6" width="13.5703125" style="19" customWidth="1"/>
    <col min="7" max="25" width="9.140625" style="19"/>
    <col min="26" max="26" width="8.5703125" style="19" customWidth="1"/>
    <col min="27" max="27" width="3.85546875" style="102" customWidth="1"/>
    <col min="28" max="28" width="67.7109375" style="102" customWidth="1"/>
    <col min="29" max="29" width="17" style="102" customWidth="1"/>
    <col min="30" max="30" width="16.28515625" style="102" customWidth="1"/>
    <col min="31" max="31" width="16.140625" style="102" customWidth="1"/>
    <col min="32" max="32" width="13.7109375" style="104" customWidth="1"/>
    <col min="33" max="33" width="24.42578125" style="104" customWidth="1"/>
    <col min="34" max="34" width="6.28515625" style="19" customWidth="1"/>
    <col min="35" max="35" width="9.140625" style="19" customWidth="1"/>
    <col min="36" max="36" width="45.140625" style="19" customWidth="1"/>
    <col min="37" max="16384" width="9.140625" style="19"/>
  </cols>
  <sheetData>
    <row r="1" spans="3:34" x14ac:dyDescent="0.25">
      <c r="AB1" s="103" t="s">
        <v>153</v>
      </c>
      <c r="AC1" s="2"/>
      <c r="AD1" s="2"/>
      <c r="AE1" s="2"/>
    </row>
    <row r="2" spans="3:34" ht="18" x14ac:dyDescent="0.25">
      <c r="C2" s="164"/>
      <c r="D2" s="164"/>
      <c r="E2" s="164"/>
      <c r="F2" s="164"/>
      <c r="G2" s="164"/>
      <c r="H2" s="164"/>
      <c r="I2" s="164"/>
      <c r="J2" s="164"/>
      <c r="AB2" s="103" t="s">
        <v>169</v>
      </c>
      <c r="AC2" s="2"/>
      <c r="AD2" s="2"/>
      <c r="AE2" s="2"/>
      <c r="AF2" s="102"/>
      <c r="AG2" s="102"/>
      <c r="AH2" s="102"/>
    </row>
    <row r="3" spans="3:34" ht="18" x14ac:dyDescent="0.25">
      <c r="C3" s="164"/>
      <c r="D3" s="164"/>
      <c r="E3" s="164"/>
      <c r="F3" s="164"/>
      <c r="G3" s="164"/>
      <c r="H3" s="164"/>
      <c r="I3" s="164"/>
      <c r="J3" s="164"/>
      <c r="AB3" s="103" t="s">
        <v>182</v>
      </c>
    </row>
    <row r="4" spans="3:34" ht="18" x14ac:dyDescent="0.25">
      <c r="C4" s="164"/>
      <c r="D4" s="164"/>
      <c r="E4" s="164"/>
      <c r="F4" s="164"/>
      <c r="G4" s="164"/>
      <c r="H4" s="164"/>
      <c r="I4" s="164"/>
      <c r="J4" s="164"/>
      <c r="AB4" s="103" t="s">
        <v>183</v>
      </c>
    </row>
    <row r="5" spans="3:34" ht="18" x14ac:dyDescent="0.25">
      <c r="C5" s="164"/>
      <c r="D5" s="164"/>
      <c r="E5" s="164"/>
      <c r="F5" s="164"/>
      <c r="G5" s="164"/>
      <c r="H5" s="164"/>
      <c r="I5" s="164"/>
      <c r="J5" s="164"/>
      <c r="AB5" s="103" t="s">
        <v>184</v>
      </c>
    </row>
    <row r="6" spans="3:34" x14ac:dyDescent="0.25">
      <c r="AB6" s="103" t="s">
        <v>0</v>
      </c>
    </row>
    <row r="7" spans="3:34" x14ac:dyDescent="0.25">
      <c r="AB7" s="103" t="s">
        <v>1</v>
      </c>
    </row>
    <row r="8" spans="3:34" x14ac:dyDescent="0.25">
      <c r="AB8" s="103" t="s">
        <v>185</v>
      </c>
    </row>
    <row r="9" spans="3:34" x14ac:dyDescent="0.25">
      <c r="AB9" s="103" t="s">
        <v>186</v>
      </c>
    </row>
    <row r="10" spans="3:34" ht="9" customHeight="1" x14ac:dyDescent="0.4">
      <c r="C10" s="105"/>
      <c r="AB10" s="103" t="s">
        <v>2</v>
      </c>
    </row>
    <row r="11" spans="3:34" ht="9" customHeight="1" x14ac:dyDescent="0.25">
      <c r="AB11" s="103" t="s">
        <v>170</v>
      </c>
    </row>
    <row r="12" spans="3:34" ht="9" customHeight="1" x14ac:dyDescent="0.25">
      <c r="AB12" s="103" t="s">
        <v>187</v>
      </c>
    </row>
    <row r="13" spans="3:34" x14ac:dyDescent="0.25">
      <c r="AB13" s="103" t="s">
        <v>3</v>
      </c>
    </row>
    <row r="14" spans="3:34" ht="16.5" thickBot="1" x14ac:dyDescent="0.3">
      <c r="F14" s="101"/>
      <c r="G14" s="101"/>
      <c r="H14" s="101"/>
      <c r="AB14" s="103" t="s">
        <v>4</v>
      </c>
    </row>
    <row r="15" spans="3:34" ht="17.25" thickTop="1" thickBot="1" x14ac:dyDescent="0.3">
      <c r="C15" s="106" t="s">
        <v>188</v>
      </c>
      <c r="D15" s="165" t="s">
        <v>183</v>
      </c>
      <c r="E15" s="166"/>
      <c r="F15" s="101"/>
      <c r="G15" s="101"/>
      <c r="H15" s="101"/>
      <c r="AB15" s="103" t="s">
        <v>5</v>
      </c>
    </row>
    <row r="16" spans="3:34" ht="16.5" thickBot="1" x14ac:dyDescent="0.3">
      <c r="AB16" s="103" t="s">
        <v>190</v>
      </c>
    </row>
    <row r="17" spans="1:33" ht="16.5" thickTop="1" x14ac:dyDescent="0.25">
      <c r="C17" s="107" t="s">
        <v>191</v>
      </c>
      <c r="D17" s="160" t="s">
        <v>255</v>
      </c>
      <c r="AB17" s="103" t="s">
        <v>6</v>
      </c>
    </row>
    <row r="18" spans="1:33" ht="16.5" thickBot="1" x14ac:dyDescent="0.3">
      <c r="AB18" s="103" t="s">
        <v>192</v>
      </c>
    </row>
    <row r="19" spans="1:33" ht="16.5" thickTop="1" x14ac:dyDescent="0.2">
      <c r="C19" s="107" t="s">
        <v>193</v>
      </c>
      <c r="D19" s="162" t="s">
        <v>251</v>
      </c>
      <c r="E19" s="163"/>
      <c r="G19" s="108"/>
      <c r="H19" s="108"/>
      <c r="AB19" s="103" t="s">
        <v>171</v>
      </c>
    </row>
    <row r="20" spans="1:33" ht="16.5" thickBot="1" x14ac:dyDescent="0.3">
      <c r="AA20" s="109"/>
      <c r="AB20" s="103" t="s">
        <v>7</v>
      </c>
      <c r="AC20" s="109"/>
      <c r="AD20" s="109"/>
      <c r="AE20" s="109"/>
      <c r="AF20" s="97"/>
      <c r="AG20" s="97"/>
    </row>
    <row r="21" spans="1:33" ht="16.5" thickTop="1" x14ac:dyDescent="0.25">
      <c r="C21" s="107" t="s">
        <v>194</v>
      </c>
      <c r="D21" s="160" t="s">
        <v>252</v>
      </c>
      <c r="AB21" s="103" t="s">
        <v>8</v>
      </c>
      <c r="AC21" s="19"/>
      <c r="AE21" s="19"/>
      <c r="AF21" s="110"/>
      <c r="AG21" s="111"/>
    </row>
    <row r="22" spans="1:33" ht="16.5" thickBot="1" x14ac:dyDescent="0.25">
      <c r="E22" s="108"/>
      <c r="AB22" s="103" t="s">
        <v>154</v>
      </c>
      <c r="AC22" s="19"/>
      <c r="AE22" s="19"/>
      <c r="AF22" s="110"/>
      <c r="AG22" s="111"/>
    </row>
    <row r="23" spans="1:33" ht="16.5" thickTop="1" x14ac:dyDescent="0.25">
      <c r="C23" s="107" t="s">
        <v>195</v>
      </c>
      <c r="D23" s="160" t="s">
        <v>253</v>
      </c>
      <c r="AB23" s="103" t="s">
        <v>9</v>
      </c>
      <c r="AC23" s="19"/>
      <c r="AE23" s="19"/>
      <c r="AF23" s="110"/>
      <c r="AG23" s="111"/>
    </row>
    <row r="24" spans="1:33" ht="16.5" thickBot="1" x14ac:dyDescent="0.3">
      <c r="AB24" s="103" t="s">
        <v>155</v>
      </c>
      <c r="AC24" s="19"/>
      <c r="AE24" s="19"/>
      <c r="AF24" s="110"/>
      <c r="AG24" s="111"/>
    </row>
    <row r="25" spans="1:33" ht="16.5" thickTop="1" x14ac:dyDescent="0.25">
      <c r="C25" s="107" t="s">
        <v>196</v>
      </c>
      <c r="D25" s="161">
        <v>41200</v>
      </c>
      <c r="G25" s="112"/>
      <c r="H25" s="112"/>
      <c r="AB25" s="103" t="s">
        <v>172</v>
      </c>
      <c r="AC25" s="19"/>
      <c r="AE25" s="19"/>
      <c r="AF25" s="110"/>
      <c r="AG25" s="111"/>
    </row>
    <row r="26" spans="1:33" ht="16.5" thickBot="1" x14ac:dyDescent="0.3">
      <c r="C26" s="113"/>
      <c r="D26" s="114"/>
      <c r="I26" s="115"/>
      <c r="AB26" s="103" t="s">
        <v>173</v>
      </c>
      <c r="AC26" s="19"/>
      <c r="AE26" s="19"/>
      <c r="AF26" s="110"/>
      <c r="AG26" s="111"/>
    </row>
    <row r="27" spans="1:33" ht="15.75" customHeight="1" thickTop="1" x14ac:dyDescent="0.3">
      <c r="C27" s="94" t="s">
        <v>197</v>
      </c>
      <c r="D27" s="116">
        <v>2009</v>
      </c>
      <c r="AB27" s="103" t="s">
        <v>10</v>
      </c>
      <c r="AC27" s="19"/>
      <c r="AE27" s="19"/>
      <c r="AF27" s="110"/>
      <c r="AG27" s="111"/>
    </row>
    <row r="28" spans="1:33" ht="15.75" customHeight="1" x14ac:dyDescent="0.25">
      <c r="AB28" s="103" t="s">
        <v>174</v>
      </c>
      <c r="AC28" s="19"/>
      <c r="AE28" s="19"/>
      <c r="AF28" s="110"/>
      <c r="AG28" s="111"/>
    </row>
    <row r="29" spans="1:33" ht="15.75" customHeight="1" x14ac:dyDescent="0.3">
      <c r="C29" s="94"/>
      <c r="AB29" s="103" t="s">
        <v>198</v>
      </c>
      <c r="AC29" s="19"/>
      <c r="AE29" s="19"/>
      <c r="AF29" s="110"/>
      <c r="AG29" s="111"/>
    </row>
    <row r="30" spans="1:33" ht="15.75" customHeight="1" x14ac:dyDescent="0.3">
      <c r="A30" s="117" t="s">
        <v>199</v>
      </c>
      <c r="C30" s="94"/>
      <c r="AB30" s="103"/>
      <c r="AC30" s="19"/>
      <c r="AE30" s="19"/>
      <c r="AF30" s="110"/>
      <c r="AG30" s="111"/>
    </row>
    <row r="31" spans="1:33" ht="15.75" customHeight="1" x14ac:dyDescent="0.3">
      <c r="C31" s="94"/>
      <c r="AB31" s="103"/>
      <c r="AC31" s="19"/>
      <c r="AE31" s="19"/>
      <c r="AF31" s="110"/>
      <c r="AG31" s="111"/>
    </row>
    <row r="32" spans="1:33" ht="15.75" customHeight="1" x14ac:dyDescent="0.25">
      <c r="AB32" s="103" t="s">
        <v>156</v>
      </c>
      <c r="AC32" s="19"/>
      <c r="AE32" s="19"/>
      <c r="AF32" s="110"/>
      <c r="AG32" s="111"/>
    </row>
    <row r="33" spans="3:33" x14ac:dyDescent="0.25">
      <c r="C33" s="93"/>
      <c r="AB33" s="103" t="s">
        <v>175</v>
      </c>
      <c r="AC33" s="19"/>
      <c r="AE33" s="19"/>
      <c r="AF33" s="110"/>
      <c r="AG33" s="111"/>
    </row>
    <row r="34" spans="3:33" x14ac:dyDescent="0.25">
      <c r="F34" s="118"/>
      <c r="G34" s="118"/>
      <c r="H34" s="118"/>
      <c r="I34" s="118"/>
      <c r="J34" s="118"/>
      <c r="K34" s="118"/>
      <c r="AB34" s="103" t="s">
        <v>11</v>
      </c>
      <c r="AC34" s="19"/>
      <c r="AE34" s="19"/>
      <c r="AF34" s="110"/>
      <c r="AG34" s="111"/>
    </row>
    <row r="35" spans="3:33" x14ac:dyDescent="0.25">
      <c r="F35" s="118"/>
      <c r="G35" s="118"/>
      <c r="H35" s="118"/>
      <c r="I35" s="118"/>
      <c r="J35" s="118"/>
      <c r="K35" s="118"/>
      <c r="AB35" s="103" t="s">
        <v>157</v>
      </c>
      <c r="AC35" s="19"/>
      <c r="AE35" s="19"/>
      <c r="AF35" s="110"/>
      <c r="AG35" s="111"/>
    </row>
    <row r="36" spans="3:33" x14ac:dyDescent="0.25">
      <c r="F36" s="118"/>
      <c r="G36" s="118"/>
      <c r="H36" s="118"/>
      <c r="I36" s="118"/>
      <c r="J36" s="118"/>
      <c r="K36" s="118"/>
      <c r="AB36" s="103" t="s">
        <v>168</v>
      </c>
      <c r="AC36" s="19"/>
      <c r="AE36" s="19"/>
      <c r="AF36" s="110"/>
      <c r="AG36" s="111"/>
    </row>
    <row r="37" spans="3:33" ht="16.5" x14ac:dyDescent="0.3">
      <c r="D37" s="99"/>
      <c r="E37" s="19"/>
      <c r="F37" s="119"/>
      <c r="G37" s="119"/>
      <c r="H37" s="119"/>
      <c r="I37" s="119"/>
      <c r="J37" s="119"/>
      <c r="K37" s="119"/>
      <c r="AB37" s="103" t="s">
        <v>12</v>
      </c>
      <c r="AC37" s="19"/>
      <c r="AE37" s="19"/>
      <c r="AF37" s="110"/>
      <c r="AG37" s="111"/>
    </row>
    <row r="38" spans="3:33" ht="15.75" customHeight="1" x14ac:dyDescent="0.3">
      <c r="D38" s="1"/>
      <c r="E38" s="19"/>
      <c r="F38" s="120"/>
      <c r="G38" s="118"/>
      <c r="H38" s="118"/>
      <c r="I38" s="118"/>
      <c r="J38" s="118"/>
      <c r="K38" s="118"/>
      <c r="AB38" s="103" t="s">
        <v>176</v>
      </c>
      <c r="AC38" s="19"/>
      <c r="AE38" s="19"/>
      <c r="AF38" s="110"/>
      <c r="AG38" s="111"/>
    </row>
    <row r="39" spans="3:33" ht="15.75" customHeight="1" x14ac:dyDescent="0.3">
      <c r="D39" s="99"/>
      <c r="E39" s="19"/>
      <c r="F39" s="119"/>
      <c r="G39" s="119"/>
      <c r="H39" s="119"/>
      <c r="I39" s="119"/>
      <c r="J39" s="119"/>
      <c r="K39" s="119"/>
      <c r="AB39" s="103" t="s">
        <v>200</v>
      </c>
      <c r="AC39" s="19"/>
      <c r="AE39" s="19"/>
      <c r="AF39" s="110"/>
      <c r="AG39" s="111"/>
    </row>
    <row r="40" spans="3:33" ht="15.75" customHeight="1" x14ac:dyDescent="0.3">
      <c r="D40" s="1"/>
      <c r="E40" s="19"/>
      <c r="F40" s="120"/>
      <c r="G40" s="118"/>
      <c r="H40" s="118"/>
      <c r="I40" s="118"/>
      <c r="J40" s="118"/>
      <c r="K40" s="118"/>
      <c r="AB40" s="103" t="s">
        <v>177</v>
      </c>
      <c r="AC40" s="19"/>
      <c r="AE40" s="19"/>
      <c r="AF40" s="110"/>
      <c r="AG40" s="111"/>
    </row>
    <row r="41" spans="3:33" ht="15.75" customHeight="1" x14ac:dyDescent="0.3">
      <c r="D41" s="99"/>
      <c r="E41" s="121"/>
      <c r="F41" s="119"/>
      <c r="G41" s="119"/>
      <c r="H41" s="119"/>
      <c r="I41" s="119"/>
      <c r="J41" s="119"/>
      <c r="K41" s="119"/>
      <c r="AB41" s="103" t="s">
        <v>158</v>
      </c>
      <c r="AC41" s="19"/>
      <c r="AE41" s="19"/>
      <c r="AF41" s="110"/>
      <c r="AG41" s="111"/>
    </row>
    <row r="42" spans="3:33" ht="16.5" x14ac:dyDescent="0.3">
      <c r="D42" s="1"/>
      <c r="E42" s="19"/>
      <c r="F42" s="122"/>
      <c r="G42" s="118"/>
      <c r="H42" s="118"/>
      <c r="I42" s="118"/>
      <c r="J42" s="118"/>
      <c r="K42" s="118"/>
      <c r="AB42" s="103" t="s">
        <v>159</v>
      </c>
      <c r="AC42" s="19"/>
      <c r="AE42" s="19"/>
      <c r="AF42" s="110"/>
      <c r="AG42" s="111"/>
    </row>
    <row r="43" spans="3:33" ht="16.5" x14ac:dyDescent="0.3">
      <c r="D43" s="123"/>
      <c r="E43" s="124"/>
      <c r="F43" s="119"/>
      <c r="G43" s="119"/>
      <c r="H43" s="119"/>
      <c r="I43" s="119"/>
      <c r="J43" s="119"/>
      <c r="K43" s="119"/>
      <c r="AB43" s="103" t="s">
        <v>13</v>
      </c>
      <c r="AC43" s="19"/>
      <c r="AE43" s="19"/>
      <c r="AF43" s="110"/>
      <c r="AG43" s="111"/>
    </row>
    <row r="44" spans="3:33" ht="12.75" x14ac:dyDescent="0.2">
      <c r="E44" s="19"/>
      <c r="F44" s="118"/>
      <c r="G44" s="118"/>
      <c r="H44" s="118"/>
      <c r="I44" s="118"/>
      <c r="J44" s="118"/>
      <c r="K44" s="118"/>
      <c r="AB44" s="103" t="s">
        <v>178</v>
      </c>
      <c r="AC44" s="19"/>
      <c r="AE44" s="19"/>
      <c r="AF44" s="110"/>
      <c r="AG44" s="111"/>
    </row>
    <row r="45" spans="3:33" ht="16.5" x14ac:dyDescent="0.3">
      <c r="D45" s="123"/>
      <c r="E45" s="123"/>
      <c r="F45" s="125"/>
      <c r="G45" s="125"/>
      <c r="H45" s="126"/>
      <c r="I45" s="126"/>
      <c r="J45" s="126"/>
      <c r="K45" s="126"/>
      <c r="AB45" s="103" t="s">
        <v>14</v>
      </c>
      <c r="AC45" s="19"/>
      <c r="AE45" s="19"/>
      <c r="AF45" s="110"/>
      <c r="AG45" s="111"/>
    </row>
    <row r="46" spans="3:33" ht="12.75" x14ac:dyDescent="0.2">
      <c r="E46" s="19"/>
      <c r="F46" s="118"/>
      <c r="G46" s="118"/>
      <c r="H46" s="118"/>
      <c r="I46" s="118"/>
      <c r="J46" s="118"/>
      <c r="K46" s="118"/>
      <c r="AB46" s="103" t="s">
        <v>15</v>
      </c>
      <c r="AC46" s="19"/>
      <c r="AE46" s="19"/>
      <c r="AF46" s="110"/>
      <c r="AG46" s="111"/>
    </row>
    <row r="47" spans="3:33" ht="15" customHeight="1" x14ac:dyDescent="0.2">
      <c r="D47" s="127"/>
      <c r="E47" s="127"/>
      <c r="F47" s="128"/>
      <c r="G47" s="128"/>
      <c r="H47" s="128"/>
      <c r="I47" s="129"/>
      <c r="J47" s="129"/>
      <c r="K47" s="129"/>
      <c r="AB47" s="103" t="s">
        <v>16</v>
      </c>
      <c r="AC47" s="19"/>
      <c r="AE47" s="19"/>
      <c r="AF47" s="110"/>
      <c r="AG47" s="111"/>
    </row>
    <row r="48" spans="3:33" ht="15" customHeight="1" x14ac:dyDescent="0.2">
      <c r="C48" s="127"/>
      <c r="D48" s="127"/>
      <c r="E48" s="127"/>
      <c r="F48" s="128"/>
      <c r="G48" s="128"/>
      <c r="H48" s="128"/>
      <c r="I48" s="129"/>
      <c r="J48" s="129"/>
      <c r="K48" s="129"/>
      <c r="AB48" s="103" t="s">
        <v>201</v>
      </c>
      <c r="AC48" s="19"/>
      <c r="AE48" s="19"/>
      <c r="AF48" s="110"/>
      <c r="AG48" s="111"/>
    </row>
    <row r="49" spans="6:33" x14ac:dyDescent="0.25">
      <c r="F49" s="118"/>
      <c r="G49" s="118"/>
      <c r="H49" s="118"/>
      <c r="I49" s="118"/>
      <c r="J49" s="118"/>
      <c r="K49" s="118"/>
      <c r="AB49" s="103" t="s">
        <v>202</v>
      </c>
      <c r="AC49" s="19"/>
      <c r="AE49" s="19"/>
      <c r="AF49" s="110"/>
      <c r="AG49" s="111"/>
    </row>
    <row r="50" spans="6:33" x14ac:dyDescent="0.25">
      <c r="F50" s="118"/>
      <c r="G50" s="118"/>
      <c r="H50" s="118"/>
      <c r="I50" s="118"/>
      <c r="J50" s="118"/>
      <c r="K50" s="118"/>
      <c r="AB50" s="103" t="s">
        <v>160</v>
      </c>
      <c r="AC50" s="19"/>
      <c r="AE50" s="19"/>
      <c r="AF50" s="110"/>
      <c r="AG50" s="111"/>
    </row>
    <row r="51" spans="6:33" x14ac:dyDescent="0.25">
      <c r="AB51" s="103" t="s">
        <v>17</v>
      </c>
      <c r="AC51" s="19"/>
      <c r="AE51" s="19"/>
      <c r="AF51" s="110"/>
      <c r="AG51" s="111"/>
    </row>
    <row r="52" spans="6:33" x14ac:dyDescent="0.25">
      <c r="AB52" s="103" t="s">
        <v>203</v>
      </c>
      <c r="AC52" s="19"/>
      <c r="AE52" s="19"/>
      <c r="AF52" s="110"/>
      <c r="AG52" s="111"/>
    </row>
    <row r="53" spans="6:33" x14ac:dyDescent="0.25">
      <c r="AB53" s="103" t="s">
        <v>18</v>
      </c>
      <c r="AC53" s="19"/>
      <c r="AE53" s="19"/>
      <c r="AF53" s="110"/>
      <c r="AG53" s="111"/>
    </row>
    <row r="54" spans="6:33" x14ac:dyDescent="0.25">
      <c r="AB54" s="103" t="s">
        <v>19</v>
      </c>
      <c r="AC54" s="19"/>
      <c r="AE54" s="19"/>
      <c r="AF54" s="110"/>
      <c r="AG54" s="111"/>
    </row>
    <row r="55" spans="6:33" x14ac:dyDescent="0.25">
      <c r="AB55" s="103" t="s">
        <v>189</v>
      </c>
      <c r="AC55" s="19"/>
      <c r="AE55" s="19"/>
      <c r="AF55" s="110"/>
      <c r="AG55" s="111"/>
    </row>
    <row r="56" spans="6:33" x14ac:dyDescent="0.25">
      <c r="AB56" s="103" t="s">
        <v>20</v>
      </c>
      <c r="AC56" s="19"/>
      <c r="AE56" s="19"/>
      <c r="AF56" s="110"/>
      <c r="AG56" s="111"/>
    </row>
    <row r="57" spans="6:33" x14ac:dyDescent="0.25">
      <c r="AB57" s="103" t="s">
        <v>204</v>
      </c>
      <c r="AC57" s="19"/>
      <c r="AE57" s="19"/>
      <c r="AF57" s="110"/>
      <c r="AG57" s="111"/>
    </row>
    <row r="58" spans="6:33" x14ac:dyDescent="0.25">
      <c r="AB58" s="103" t="s">
        <v>179</v>
      </c>
      <c r="AC58" s="19"/>
      <c r="AE58" s="19"/>
      <c r="AF58" s="110"/>
      <c r="AG58" s="111"/>
    </row>
    <row r="59" spans="6:33" x14ac:dyDescent="0.25">
      <c r="AB59" s="103" t="s">
        <v>21</v>
      </c>
      <c r="AC59" s="19"/>
      <c r="AE59" s="19"/>
      <c r="AF59" s="110"/>
      <c r="AG59" s="111"/>
    </row>
    <row r="60" spans="6:33" x14ac:dyDescent="0.25">
      <c r="AB60" s="103" t="s">
        <v>161</v>
      </c>
      <c r="AC60" s="19"/>
      <c r="AE60" s="19"/>
      <c r="AF60" s="110"/>
      <c r="AG60" s="111"/>
    </row>
    <row r="61" spans="6:33" x14ac:dyDescent="0.25">
      <c r="AB61" s="103" t="s">
        <v>205</v>
      </c>
      <c r="AC61" s="19"/>
      <c r="AE61" s="19"/>
      <c r="AF61" s="110"/>
      <c r="AG61" s="111"/>
    </row>
    <row r="62" spans="6:33" x14ac:dyDescent="0.25">
      <c r="AB62" s="103" t="s">
        <v>206</v>
      </c>
      <c r="AC62" s="19"/>
      <c r="AE62" s="19"/>
      <c r="AF62" s="110"/>
      <c r="AG62" s="111"/>
    </row>
    <row r="63" spans="6:33" x14ac:dyDescent="0.25">
      <c r="AB63" s="103" t="s">
        <v>22</v>
      </c>
      <c r="AC63" s="19"/>
      <c r="AE63" s="19"/>
      <c r="AF63" s="110"/>
      <c r="AG63" s="111"/>
    </row>
    <row r="64" spans="6:33" x14ac:dyDescent="0.25">
      <c r="AB64" s="103" t="s">
        <v>23</v>
      </c>
      <c r="AC64" s="19"/>
      <c r="AE64" s="19"/>
      <c r="AF64" s="110"/>
      <c r="AG64" s="111"/>
    </row>
    <row r="65" spans="28:33" x14ac:dyDescent="0.25">
      <c r="AB65" s="103" t="s">
        <v>180</v>
      </c>
      <c r="AC65" s="19"/>
      <c r="AE65" s="19"/>
      <c r="AF65" s="110"/>
      <c r="AG65" s="111"/>
    </row>
    <row r="66" spans="28:33" x14ac:dyDescent="0.25">
      <c r="AB66" s="103" t="s">
        <v>162</v>
      </c>
      <c r="AC66" s="19"/>
      <c r="AE66" s="19"/>
      <c r="AF66" s="110"/>
      <c r="AG66" s="111"/>
    </row>
    <row r="67" spans="28:33" x14ac:dyDescent="0.25">
      <c r="AB67" s="103" t="s">
        <v>24</v>
      </c>
      <c r="AC67" s="19"/>
      <c r="AE67" s="19"/>
      <c r="AF67" s="110"/>
      <c r="AG67" s="111"/>
    </row>
    <row r="68" spans="28:33" x14ac:dyDescent="0.25">
      <c r="AB68" s="103" t="s">
        <v>207</v>
      </c>
      <c r="AC68" s="19"/>
      <c r="AE68" s="19"/>
      <c r="AF68" s="110"/>
      <c r="AG68" s="111"/>
    </row>
    <row r="69" spans="28:33" x14ac:dyDescent="0.25">
      <c r="AB69" s="103" t="s">
        <v>25</v>
      </c>
      <c r="AC69" s="19"/>
      <c r="AE69" s="19"/>
      <c r="AF69" s="110"/>
      <c r="AG69" s="111"/>
    </row>
    <row r="70" spans="28:33" x14ac:dyDescent="0.25">
      <c r="AB70" s="103" t="s">
        <v>167</v>
      </c>
      <c r="AC70" s="19"/>
      <c r="AE70" s="19"/>
      <c r="AF70" s="110"/>
      <c r="AG70" s="111"/>
    </row>
    <row r="71" spans="28:33" x14ac:dyDescent="0.25">
      <c r="AB71" s="103" t="s">
        <v>163</v>
      </c>
      <c r="AC71" s="19"/>
      <c r="AE71" s="19"/>
      <c r="AF71" s="110"/>
      <c r="AG71" s="111"/>
    </row>
    <row r="72" spans="28:33" x14ac:dyDescent="0.25">
      <c r="AB72" s="103" t="s">
        <v>164</v>
      </c>
      <c r="AC72" s="19"/>
      <c r="AE72" s="19"/>
      <c r="AF72" s="110"/>
      <c r="AG72" s="111"/>
    </row>
    <row r="73" spans="28:33" x14ac:dyDescent="0.25">
      <c r="AB73" s="103" t="s">
        <v>165</v>
      </c>
      <c r="AC73" s="19"/>
      <c r="AE73" s="19"/>
      <c r="AF73" s="110"/>
      <c r="AG73" s="111"/>
    </row>
    <row r="74" spans="28:33" x14ac:dyDescent="0.25">
      <c r="AB74" s="103" t="s">
        <v>208</v>
      </c>
      <c r="AC74" s="19"/>
      <c r="AE74" s="19"/>
      <c r="AF74" s="110"/>
      <c r="AG74" s="111"/>
    </row>
    <row r="75" spans="28:33" x14ac:dyDescent="0.25">
      <c r="AB75" s="103" t="s">
        <v>181</v>
      </c>
      <c r="AC75" s="19"/>
      <c r="AE75" s="19"/>
      <c r="AF75" s="110"/>
      <c r="AG75" s="111"/>
    </row>
    <row r="76" spans="28:33" x14ac:dyDescent="0.25">
      <c r="AB76" s="103" t="s">
        <v>26</v>
      </c>
      <c r="AC76" s="19"/>
      <c r="AE76" s="19"/>
      <c r="AF76" s="110"/>
      <c r="AG76" s="111"/>
    </row>
    <row r="77" spans="28:33" x14ac:dyDescent="0.25">
      <c r="AB77" s="103" t="s">
        <v>27</v>
      </c>
      <c r="AC77" s="19"/>
      <c r="AE77" s="19"/>
      <c r="AF77" s="110"/>
      <c r="AG77" s="111"/>
    </row>
    <row r="78" spans="28:33" x14ac:dyDescent="0.25">
      <c r="AB78" s="103" t="s">
        <v>28</v>
      </c>
      <c r="AC78" s="19"/>
      <c r="AE78" s="19"/>
      <c r="AF78" s="110"/>
      <c r="AG78" s="111"/>
    </row>
    <row r="79" spans="28:33" x14ac:dyDescent="0.25">
      <c r="AB79" s="103" t="s">
        <v>166</v>
      </c>
      <c r="AC79" s="19"/>
      <c r="AE79" s="19"/>
      <c r="AF79" s="110"/>
      <c r="AG79" s="111"/>
    </row>
    <row r="80" spans="28:33" x14ac:dyDescent="0.25">
      <c r="AC80" s="19"/>
      <c r="AE80" s="19"/>
      <c r="AF80" s="110"/>
      <c r="AG80" s="111"/>
    </row>
    <row r="81" spans="29:33" x14ac:dyDescent="0.25">
      <c r="AC81" s="19"/>
      <c r="AE81" s="19"/>
      <c r="AF81" s="110"/>
      <c r="AG81" s="111"/>
    </row>
    <row r="82" spans="29:33" x14ac:dyDescent="0.25">
      <c r="AC82" s="19"/>
      <c r="AE82" s="19"/>
      <c r="AF82" s="110"/>
      <c r="AG82" s="111"/>
    </row>
    <row r="83" spans="29:33" x14ac:dyDescent="0.25">
      <c r="AC83" s="19"/>
      <c r="AE83" s="19"/>
      <c r="AF83" s="110"/>
      <c r="AG83" s="111"/>
    </row>
    <row r="84" spans="29:33" x14ac:dyDescent="0.25">
      <c r="AC84" s="19"/>
      <c r="AE84" s="19"/>
      <c r="AF84" s="110"/>
      <c r="AG84" s="111"/>
    </row>
    <row r="85" spans="29:33" x14ac:dyDescent="0.25">
      <c r="AC85" s="19"/>
      <c r="AE85" s="19"/>
      <c r="AF85" s="110"/>
      <c r="AG85" s="111"/>
    </row>
    <row r="86" spans="29:33" x14ac:dyDescent="0.25">
      <c r="AC86" s="19"/>
      <c r="AE86" s="19"/>
      <c r="AF86" s="110"/>
      <c r="AG86" s="111"/>
    </row>
    <row r="87" spans="29:33" x14ac:dyDescent="0.25">
      <c r="AC87" s="19"/>
      <c r="AE87" s="19"/>
      <c r="AF87" s="110"/>
      <c r="AG87" s="111"/>
    </row>
    <row r="88" spans="29:33" x14ac:dyDescent="0.25">
      <c r="AC88" s="19"/>
      <c r="AE88" s="19"/>
      <c r="AF88" s="111"/>
      <c r="AG88" s="111"/>
    </row>
    <row r="89" spans="29:33" x14ac:dyDescent="0.25">
      <c r="AC89" s="19"/>
      <c r="AE89" s="19"/>
      <c r="AF89" s="111"/>
      <c r="AG89" s="111"/>
    </row>
    <row r="90" spans="29:33" x14ac:dyDescent="0.25">
      <c r="AC90" s="19"/>
      <c r="AE90" s="19"/>
      <c r="AF90" s="111"/>
      <c r="AG90" s="111"/>
    </row>
    <row r="91" spans="29:33" x14ac:dyDescent="0.25">
      <c r="AC91" s="130"/>
      <c r="AF91" s="111"/>
      <c r="AG91" s="111"/>
    </row>
    <row r="92" spans="29:33" x14ac:dyDescent="0.25">
      <c r="AC92" s="130"/>
      <c r="AF92" s="111"/>
      <c r="AG92" s="111"/>
    </row>
    <row r="93" spans="29:33" x14ac:dyDescent="0.25">
      <c r="AC93" s="130"/>
      <c r="AF93" s="111"/>
      <c r="AG93" s="111"/>
    </row>
    <row r="94" spans="29:33" x14ac:dyDescent="0.25">
      <c r="AC94" s="130"/>
      <c r="AF94" s="111"/>
      <c r="AG94" s="111"/>
    </row>
    <row r="95" spans="29:33" x14ac:dyDescent="0.25">
      <c r="AC95" s="130"/>
      <c r="AF95" s="111"/>
      <c r="AG95" s="111"/>
    </row>
    <row r="96" spans="29:33" x14ac:dyDescent="0.25">
      <c r="AC96" s="130"/>
      <c r="AF96" s="111"/>
      <c r="AG96" s="111"/>
    </row>
    <row r="97" spans="29:33" x14ac:dyDescent="0.25">
      <c r="AC97" s="130"/>
      <c r="AF97" s="111"/>
      <c r="AG97" s="111"/>
    </row>
    <row r="98" spans="29:33" x14ac:dyDescent="0.25">
      <c r="AC98" s="130"/>
      <c r="AF98" s="111"/>
      <c r="AG98" s="111"/>
    </row>
    <row r="99" spans="29:33" x14ac:dyDescent="0.25">
      <c r="AC99" s="130"/>
      <c r="AF99" s="111"/>
      <c r="AG99" s="111"/>
    </row>
    <row r="100" spans="29:33" x14ac:dyDescent="0.25">
      <c r="AC100" s="130"/>
      <c r="AF100" s="111"/>
      <c r="AG100" s="111"/>
    </row>
    <row r="101" spans="29:33" x14ac:dyDescent="0.25">
      <c r="AC101" s="130"/>
      <c r="AF101" s="111"/>
      <c r="AG101" s="111"/>
    </row>
    <row r="102" spans="29:33" x14ac:dyDescent="0.25">
      <c r="AC102" s="130"/>
      <c r="AF102" s="111"/>
      <c r="AG102" s="111"/>
    </row>
    <row r="103" spans="29:33" x14ac:dyDescent="0.25">
      <c r="AC103" s="130"/>
      <c r="AF103" s="111"/>
      <c r="AG103" s="111"/>
    </row>
    <row r="104" spans="29:33" x14ac:dyDescent="0.25">
      <c r="AC104" s="130"/>
      <c r="AF104" s="111"/>
      <c r="AG104" s="111"/>
    </row>
    <row r="105" spans="29:33" x14ac:dyDescent="0.25">
      <c r="AC105" s="130"/>
      <c r="AF105" s="111"/>
      <c r="AG105" s="111"/>
    </row>
    <row r="106" spans="29:33" x14ac:dyDescent="0.25">
      <c r="AC106" s="130"/>
      <c r="AF106" s="111"/>
      <c r="AG106" s="111"/>
    </row>
    <row r="107" spans="29:33" x14ac:dyDescent="0.25">
      <c r="AC107" s="130"/>
      <c r="AF107" s="111"/>
      <c r="AG107" s="111"/>
    </row>
    <row r="108" spans="29:33" hidden="1" x14ac:dyDescent="0.25">
      <c r="AC108" s="130"/>
      <c r="AF108" s="111"/>
      <c r="AG108" s="111"/>
    </row>
    <row r="109" spans="29:33" hidden="1" x14ac:dyDescent="0.25">
      <c r="AC109" s="130"/>
      <c r="AF109" s="111"/>
      <c r="AG109" s="111"/>
    </row>
    <row r="110" spans="29:33" x14ac:dyDescent="0.25"/>
  </sheetData>
  <sheetProtection password="F8BD" sheet="1" objects="1" scenarios="1"/>
  <mergeCells count="6">
    <mergeCell ref="D19:E19"/>
    <mergeCell ref="C2:J2"/>
    <mergeCell ref="C3:J3"/>
    <mergeCell ref="C4:J4"/>
    <mergeCell ref="C5:J5"/>
    <mergeCell ref="D15:E15"/>
  </mergeCells>
  <phoneticPr fontId="21" type="noConversion"/>
  <dataValidations count="4">
    <dataValidation type="list" allowBlank="1" showInputMessage="1" showErrorMessage="1" sqref="D15:E15">
      <formula1>$AB$1:$AB$79</formula1>
    </dataValidation>
    <dataValidation type="list" allowBlank="1" showInputMessage="1" showErrorMessage="1" sqref="D27">
      <formula1>"2008,2009,2010,2011,2012"</formula1>
    </dataValidation>
    <dataValidation allowBlank="1" showInputMessage="1" showErrorMessage="1" promptTitle="Inputting Date" prompt="Please Use the following format:_x000a__x000a_E.g:  May 1, 2012" sqref="H45:K45"/>
    <dataValidation type="list" allowBlank="1" showInputMessage="1" showErrorMessage="1" sqref="I47:K48">
      <formula1>"Excel 2000, Excel 2003, Excel 2007, Excel 2010"</formula1>
    </dataValidation>
  </dataValidations>
  <pageMargins left="0.75" right="0.75" top="1" bottom="1" header="0.5" footer="0.5"/>
  <pageSetup scale="53" orientation="portrait" r:id="rId1"/>
  <headerFooter alignWithMargins="0">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R57"/>
  <sheetViews>
    <sheetView showGridLines="0" topLeftCell="C1" workbookViewId="0">
      <pane ySplit="23" topLeftCell="A24" activePane="bottomLeft" state="frozenSplit"/>
      <selection pane="bottomLeft" activeCell="C51" sqref="C1:R51"/>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6" customWidth="1"/>
  </cols>
  <sheetData>
    <row r="13" spans="2:2" ht="15.75" x14ac:dyDescent="0.25">
      <c r="B13" s="140" t="s">
        <v>221</v>
      </c>
    </row>
    <row r="14" spans="2:2" ht="3" customHeight="1" x14ac:dyDescent="0.2"/>
    <row r="15" spans="2:2" ht="3" customHeight="1" x14ac:dyDescent="0.2"/>
    <row r="16" spans="2:2" ht="3" customHeight="1" x14ac:dyDescent="0.2"/>
    <row r="17" spans="2:18" ht="3" customHeight="1" x14ac:dyDescent="0.2"/>
    <row r="18" spans="2:18" ht="3" customHeight="1" x14ac:dyDescent="0.2"/>
    <row r="19" spans="2:18" ht="3" customHeight="1" x14ac:dyDescent="0.2"/>
    <row r="21" spans="2:18" ht="16.5" x14ac:dyDescent="0.3">
      <c r="B21" s="9"/>
      <c r="D21" s="11"/>
      <c r="E21" s="5"/>
      <c r="F21" s="12"/>
      <c r="G21" s="12"/>
      <c r="H21" s="5"/>
      <c r="I21" s="5"/>
      <c r="J21" s="5"/>
      <c r="K21" s="11"/>
    </row>
    <row r="22" spans="2:18" ht="47.25" x14ac:dyDescent="0.2">
      <c r="B22" s="131" t="s">
        <v>209</v>
      </c>
      <c r="C22" s="139"/>
      <c r="D22" s="139" t="s">
        <v>210</v>
      </c>
      <c r="E22" s="136"/>
      <c r="F22" s="139" t="s">
        <v>222</v>
      </c>
      <c r="G22" s="132"/>
      <c r="H22" s="139" t="s">
        <v>215</v>
      </c>
      <c r="I22" s="136"/>
      <c r="J22" s="139" t="s">
        <v>216</v>
      </c>
      <c r="K22" s="132"/>
      <c r="L22" s="139" t="s">
        <v>217</v>
      </c>
      <c r="M22" s="139"/>
      <c r="N22" s="139" t="s">
        <v>218</v>
      </c>
      <c r="O22" s="139"/>
      <c r="P22" s="139" t="s">
        <v>223</v>
      </c>
      <c r="Q22" s="139"/>
      <c r="R22" s="139" t="s">
        <v>212</v>
      </c>
    </row>
    <row r="25" spans="2:18" ht="25.5" customHeight="1" thickBot="1" x14ac:dyDescent="0.25">
      <c r="B25" s="15" t="str">
        <f>IF('3. Rate Classes'!Q24=1,'3. Rate Classes'!C24, 0)</f>
        <v>Residential</v>
      </c>
      <c r="C25" s="8"/>
      <c r="D25" s="16" t="str">
        <f>IF(ISERROR(VLOOKUP($B25, '3. Rate Classes'!$C$24:$H$45,6,0)), "", VLOOKUP($B25, '3. Rate Classes'!$C$24:$H$45,6,0))</f>
        <v>kWh</v>
      </c>
      <c r="F25" s="70">
        <f>IF(ISERROR(VLOOKUP($B25,'3. Rate Classes'!$C$24:$N$45, 11,0)), "", VLOOKUP($B25,'3. Rate Classes'!$C$24:$N$45, 11,0))</f>
        <v>5.7000000000000002E-3</v>
      </c>
      <c r="G25" s="57"/>
      <c r="H25" s="64">
        <f>VLOOKUP('9. Adj Network to Current WS'!$B25, '4. RRR Data'!$B$27:$M$49,11,0)</f>
        <v>272189552.4048</v>
      </c>
      <c r="I25" s="72"/>
      <c r="J25" s="64">
        <f>VLOOKUP('9. Adj Network to Current WS'!$B25, '4. RRR Data'!$B$27:$M$49,12,0)</f>
        <v>0</v>
      </c>
      <c r="K25" s="58"/>
      <c r="L25" s="60">
        <f t="shared" ref="L25:L46" si="0">IF(F25="", "", IF(D25="kWh", F25*H25, F25*J25))</f>
        <v>1551480.4487073601</v>
      </c>
      <c r="M25" s="55"/>
      <c r="N25" s="61">
        <f t="shared" ref="N25:N46" si="1">IF(ISERROR(L25/$L$49), "", L25/$L$49)</f>
        <v>0.30101579776103954</v>
      </c>
      <c r="O25" s="13"/>
      <c r="P25" s="62">
        <f>IF(ISERROR('7. Current Wholesale'!$P$75*N25), "", '7. Current Wholesale'!$P$75*N25)</f>
        <v>1494399.7791042377</v>
      </c>
      <c r="R25" s="63">
        <f t="shared" ref="R25:R46" si="2">IF(D25="","",IF(D25="kWh",IF(H25&lt;&gt;0,P25/H25,),IF(J25&lt;&gt;0,P25/J25,0)))</f>
        <v>5.490290740041954E-3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70">
        <f>IF(ISERROR(VLOOKUP($B26,'3. Rate Classes'!$C$24:$N$45, 11,0)), "", VLOOKUP($B26,'3. Rate Classes'!$C$24:$N$45, 11,0))</f>
        <v>5.0000000000000001E-3</v>
      </c>
      <c r="G26" s="57"/>
      <c r="H26" s="64">
        <f>VLOOKUP('9. Adj Network to Current WS'!$B26, '4. RRR Data'!$B$27:$M$49,11,0)</f>
        <v>112024222.87800001</v>
      </c>
      <c r="I26" s="72"/>
      <c r="J26" s="64">
        <f>VLOOKUP('9. Adj Network to Current WS'!$B26, '4. RRR Data'!$B$27:$M$49,12,0)</f>
        <v>0</v>
      </c>
      <c r="K26" s="59"/>
      <c r="L26" s="60">
        <f t="shared" si="0"/>
        <v>560121.11439</v>
      </c>
      <c r="M26" s="55"/>
      <c r="N26" s="61">
        <f t="shared" si="1"/>
        <v>0.10867381811442385</v>
      </c>
      <c r="P26" s="62">
        <f>IF(ISERROR('7. Current Wholesale'!$P$75*N26), "", '7. Current Wholesale'!$P$75*N26)</f>
        <v>539513.64344515745</v>
      </c>
      <c r="R26" s="63">
        <f t="shared" si="2"/>
        <v>4.8160445088087315E-3</v>
      </c>
    </row>
    <row r="27" spans="2:18" ht="25.5" customHeight="1" thickBot="1" x14ac:dyDescent="0.25">
      <c r="B27" s="15" t="str">
        <f>IF('3. Rate Classes'!Q26=1,'3. Rate Classes'!C26, 0)</f>
        <v>General Service 50 to 999 kW</v>
      </c>
      <c r="C27" s="8"/>
      <c r="D27" s="16" t="str">
        <f>IF(ISERROR(VLOOKUP($B27, '3. Rate Classes'!$C$24:$H$45,6,0)), "", VLOOKUP($B27, '3. Rate Classes'!$C$24:$H$45,6,0))</f>
        <v>kW</v>
      </c>
      <c r="F27" s="70">
        <f>IF(ISERROR(VLOOKUP($B27,'3. Rate Classes'!$C$24:$N$45, 11,0)), "", VLOOKUP($B27,'3. Rate Classes'!$C$24:$N$45, 11,0))</f>
        <v>1.9998</v>
      </c>
      <c r="G27" s="57"/>
      <c r="H27" s="64">
        <f>VLOOKUP('9. Adj Network to Current WS'!$B27, '4. RRR Data'!$B$27:$M$49,11,0)</f>
        <v>225654890</v>
      </c>
      <c r="I27" s="72"/>
      <c r="J27" s="64">
        <f>VLOOKUP('9. Adj Network to Current WS'!$B27, '4. RRR Data'!$B$27:$M$49,12,0)</f>
        <v>617147</v>
      </c>
      <c r="K27" s="59"/>
      <c r="L27" s="60">
        <f t="shared" si="0"/>
        <v>1234170.5706</v>
      </c>
      <c r="M27" s="55"/>
      <c r="N27" s="61">
        <f t="shared" si="1"/>
        <v>0.23945183401562126</v>
      </c>
      <c r="P27" s="62">
        <f>IF(ISERROR('7. Current Wholesale'!$P$75*N27), "", '7. Current Wholesale'!$P$75*N27)</f>
        <v>1188764.0798942938</v>
      </c>
      <c r="R27" s="63">
        <f t="shared" si="2"/>
        <v>1.9262251617431403</v>
      </c>
    </row>
    <row r="28" spans="2:18" ht="25.5" customHeight="1" thickBot="1" x14ac:dyDescent="0.25">
      <c r="B28" s="15" t="str">
        <f>IF('3. Rate Classes'!Q27=1,'3. Rate Classes'!C27, 0)</f>
        <v>General Service 1,000 to 4,999 kW</v>
      </c>
      <c r="C28" s="8"/>
      <c r="D28" s="16" t="str">
        <f>IF(ISERROR(VLOOKUP($B28, '3. Rate Classes'!$C$24:$H$45,6,0)), "", VLOOKUP($B28, '3. Rate Classes'!$C$24:$H$45,6,0))</f>
        <v>kW</v>
      </c>
      <c r="F28" s="70">
        <f>IF(ISERROR(VLOOKUP($B28,'3. Rate Classes'!$C$24:$N$45, 11,0)), "", VLOOKUP($B28,'3. Rate Classes'!$C$24:$N$45, 11,0))</f>
        <v>2.1922999999999999</v>
      </c>
      <c r="G28" s="57"/>
      <c r="H28" s="64">
        <f>VLOOKUP('9. Adj Network to Current WS'!$B28, '4. RRR Data'!$B$27:$M$49,11,0)</f>
        <v>163185559</v>
      </c>
      <c r="I28" s="72"/>
      <c r="J28" s="64">
        <f>VLOOKUP('9. Adj Network to Current WS'!$B28, '4. RRR Data'!$B$27:$M$49,12,0)</f>
        <v>342743</v>
      </c>
      <c r="K28" s="59"/>
      <c r="L28" s="60">
        <f t="shared" si="0"/>
        <v>751395.47889999999</v>
      </c>
      <c r="M28" s="55"/>
      <c r="N28" s="61">
        <f t="shared" si="1"/>
        <v>0.14578456963706427</v>
      </c>
      <c r="P28" s="62">
        <f>IF(ISERROR('7. Current Wholesale'!$P$75*N28), "", '7. Current Wholesale'!$P$75*N28)</f>
        <v>723750.81402001041</v>
      </c>
      <c r="R28" s="63">
        <f t="shared" si="2"/>
        <v>2.1116428753322762</v>
      </c>
    </row>
    <row r="29" spans="2:18" ht="25.5" customHeight="1" thickBot="1" x14ac:dyDescent="0.25">
      <c r="B29" s="15" t="str">
        <f>IF('3. Rate Classes'!Q28=1,'3. Rate Classes'!C28, 0)</f>
        <v>Large Use</v>
      </c>
      <c r="C29" s="8"/>
      <c r="D29" s="16" t="str">
        <f>IF(ISERROR(VLOOKUP($B29, '3. Rate Classes'!$C$24:$H$45,6,0)), "", VLOOKUP($B29, '3. Rate Classes'!$C$24:$H$45,6,0))</f>
        <v>kW</v>
      </c>
      <c r="F29" s="70">
        <f>IF(ISERROR(VLOOKUP($B29,'3. Rate Classes'!$C$24:$N$45, 11,0)), "", VLOOKUP($B29,'3. Rate Classes'!$C$24:$N$45, 11,0))</f>
        <v>2.5070000000000001</v>
      </c>
      <c r="G29" s="57"/>
      <c r="H29" s="64">
        <f>VLOOKUP('9. Adj Network to Current WS'!$B29, '4. RRR Data'!$B$27:$M$49,11,0)</f>
        <v>253616043</v>
      </c>
      <c r="I29" s="72"/>
      <c r="J29" s="64">
        <f>VLOOKUP('9. Adj Network to Current WS'!$B29, '4. RRR Data'!$B$27:$M$49,12,0)</f>
        <v>401335</v>
      </c>
      <c r="K29" s="59"/>
      <c r="L29" s="60">
        <f t="shared" si="0"/>
        <v>1006146.8450000001</v>
      </c>
      <c r="M29" s="55"/>
      <c r="N29" s="61">
        <f t="shared" si="1"/>
        <v>0.19521102922358166</v>
      </c>
      <c r="P29" s="62">
        <f>IF(ISERROR('7. Current Wholesale'!$P$75*N29), "", '7. Current Wholesale'!$P$75*N29)</f>
        <v>969129.59758349624</v>
      </c>
      <c r="R29" s="63">
        <f t="shared" si="2"/>
        <v>2.4147647167166988</v>
      </c>
    </row>
    <row r="30" spans="2:18" ht="25.5" customHeight="1" thickBot="1" x14ac:dyDescent="0.25">
      <c r="B30" s="15" t="str">
        <f>IF('3. Rate Classes'!Q29=1,'3. Rate Classes'!C29, 0)</f>
        <v>Unmetered Scattered Load</v>
      </c>
      <c r="C30" s="8"/>
      <c r="D30" s="16" t="str">
        <f>IF(ISERROR(VLOOKUP($B30, '3. Rate Classes'!$C$24:$H$45,6,0)), "", VLOOKUP($B30, '3. Rate Classes'!$C$24:$H$45,6,0))</f>
        <v>kWh</v>
      </c>
      <c r="F30" s="70">
        <f>IF(ISERROR(VLOOKUP($B30,'3. Rate Classes'!$C$24:$N$45, 11,0)), "", VLOOKUP($B30,'3. Rate Classes'!$C$24:$N$45, 11,0))</f>
        <v>5.0000000000000001E-3</v>
      </c>
      <c r="G30" s="57"/>
      <c r="H30" s="64">
        <f>VLOOKUP('9. Adj Network to Current WS'!$B30, '4. RRR Data'!$B$27:$M$49,11,0)</f>
        <v>2253843.594</v>
      </c>
      <c r="I30" s="72"/>
      <c r="J30" s="64">
        <f>VLOOKUP('9. Adj Network to Current WS'!$B30, '4. RRR Data'!$B$27:$M$49,12,0)</f>
        <v>0</v>
      </c>
      <c r="K30" s="59"/>
      <c r="L30" s="60">
        <f t="shared" si="0"/>
        <v>11269.21797</v>
      </c>
      <c r="M30" s="55"/>
      <c r="N30" s="61">
        <f t="shared" si="1"/>
        <v>2.1864359555474047E-3</v>
      </c>
      <c r="P30" s="62">
        <f>IF(ISERROR('7. Current Wholesale'!$P$75*N30), "", '7. Current Wholesale'!$P$75*N30)</f>
        <v>10854.611064597439</v>
      </c>
      <c r="R30" s="63">
        <f t="shared" si="2"/>
        <v>4.8160445088087324E-3</v>
      </c>
    </row>
    <row r="31" spans="2:18" ht="25.5" customHeight="1" thickBot="1" x14ac:dyDescent="0.25">
      <c r="B31" s="15" t="str">
        <f>IF('3. Rate Classes'!Q30=1,'3. Rate Classes'!C30, 0)</f>
        <v>Sentinel Lighting</v>
      </c>
      <c r="C31" s="8"/>
      <c r="D31" s="16" t="str">
        <f>IF(ISERROR(VLOOKUP($B31, '3. Rate Classes'!$C$24:$H$45,6,0)), "", VLOOKUP($B31, '3. Rate Classes'!$C$24:$H$45,6,0))</f>
        <v>kW</v>
      </c>
      <c r="F31" s="70">
        <f>IF(ISERROR(VLOOKUP($B31,'3. Rate Classes'!$C$24:$N$45, 11,0)), "", VLOOKUP($B31,'3. Rate Classes'!$C$24:$N$45, 11,0))</f>
        <v>1.5783</v>
      </c>
      <c r="G31" s="57"/>
      <c r="H31" s="64">
        <f>VLOOKUP('9. Adj Network to Current WS'!$B31, '4. RRR Data'!$B$27:$M$49,11,0)</f>
        <v>608868</v>
      </c>
      <c r="I31" s="72"/>
      <c r="J31" s="64">
        <f>VLOOKUP('9. Adj Network to Current WS'!$B31, '4. RRR Data'!$B$27:$M$49,12,0)</f>
        <v>1430</v>
      </c>
      <c r="K31" s="59"/>
      <c r="L31" s="60">
        <f t="shared" si="0"/>
        <v>2256.9690000000001</v>
      </c>
      <c r="M31" s="55"/>
      <c r="N31" s="61">
        <f t="shared" si="1"/>
        <v>4.3789357746852332E-4</v>
      </c>
      <c r="P31" s="62">
        <f>IF(ISERROR('7. Current Wholesale'!$P$75*N31), "", '7. Current Wholesale'!$P$75*N31)</f>
        <v>2173.9326318003073</v>
      </c>
      <c r="R31" s="63">
        <f t="shared" si="2"/>
        <v>1.5202326096505645</v>
      </c>
    </row>
    <row r="32" spans="2:18" ht="25.5" customHeight="1" thickBot="1" x14ac:dyDescent="0.25">
      <c r="B32" s="15" t="str">
        <f>IF('3. Rate Classes'!Q31=1,'3. Rate Classes'!C31, 0)</f>
        <v>Street Lighting</v>
      </c>
      <c r="C32" s="8"/>
      <c r="D32" s="16" t="str">
        <f>IF(ISERROR(VLOOKUP($B32, '3. Rate Classes'!$C$24:$H$45,6,0)), "", VLOOKUP($B32, '3. Rate Classes'!$C$24:$H$45,6,0))</f>
        <v>kW</v>
      </c>
      <c r="F32" s="70">
        <f>IF(ISERROR(VLOOKUP($B32,'3. Rate Classes'!$C$24:$N$45, 11,0)), "", VLOOKUP($B32,'3. Rate Classes'!$C$24:$N$45, 11,0))</f>
        <v>1.5461</v>
      </c>
      <c r="G32" s="57"/>
      <c r="H32" s="64">
        <f>VLOOKUP('9. Adj Network to Current WS'!$B32, '4. RRR Data'!$B$27:$M$49,11,0)</f>
        <v>9005139</v>
      </c>
      <c r="I32" s="72"/>
      <c r="J32" s="64">
        <f>VLOOKUP('9. Adj Network to Current WS'!$B32, '4. RRR Data'!$B$27:$M$49,12,0)</f>
        <v>24131</v>
      </c>
      <c r="K32" s="59"/>
      <c r="L32" s="60">
        <f t="shared" si="0"/>
        <v>37308.939100000003</v>
      </c>
      <c r="M32" s="55"/>
      <c r="N32" s="61">
        <f t="shared" si="1"/>
        <v>7.2386217152536295E-3</v>
      </c>
      <c r="P32" s="62">
        <f>IF(ISERROR('7. Current Wholesale'!$P$75*N32), "", '7. Current Wholesale'!$P$75*N32)</f>
        <v>35936.302256406881</v>
      </c>
      <c r="R32" s="63">
        <f t="shared" si="2"/>
        <v>1.4892172830138362</v>
      </c>
    </row>
    <row r="33" spans="2:18" ht="25.5" hidden="1" customHeight="1" thickBot="1" x14ac:dyDescent="0.25">
      <c r="B33" s="15">
        <f>IF('3. Rate Classes'!Q32=1,'3. Rate Classes'!C32, 0)</f>
        <v>0</v>
      </c>
      <c r="C33" s="8"/>
      <c r="D33" s="16" t="str">
        <f>IF(ISERROR(VLOOKUP($B33, '3. Rate Classes'!$C$24:$H$45,6,0)), "", VLOOKUP($B33, '3. Rate Classes'!$C$24:$H$45,6,0))</f>
        <v/>
      </c>
      <c r="F33" s="70" t="str">
        <f>IF(ISERROR(VLOOKUP($B33,'3. Rate Classes'!$C$24:$N$45, 11,0)), "", VLOOKUP($B33,'3. Rate Classes'!$C$24:$N$45, 11,0))</f>
        <v/>
      </c>
      <c r="G33" s="57"/>
      <c r="H33" s="64">
        <f>VLOOKUP('9. Adj Network to Current WS'!$B33, '4. RRR Data'!$B$27:$M$49,11,0)</f>
        <v>0</v>
      </c>
      <c r="I33" s="72"/>
      <c r="J33" s="64">
        <f>VLOOKUP('9. Adj Network to Current WS'!$B33, '4. RRR Data'!$B$27:$M$49,12,0)</f>
        <v>0</v>
      </c>
      <c r="K33" s="59"/>
      <c r="L33" s="60" t="str">
        <f t="shared" si="0"/>
        <v/>
      </c>
      <c r="M33" s="55"/>
      <c r="N33" s="61" t="str">
        <f t="shared" si="1"/>
        <v/>
      </c>
      <c r="P33" s="62" t="str">
        <f>IF(ISERROR('7. Current Wholesale'!$P$75*N33), "", '7. Current Wholesale'!$P$75*N33)</f>
        <v/>
      </c>
      <c r="R33" s="63" t="str">
        <f t="shared" si="2"/>
        <v/>
      </c>
    </row>
    <row r="34" spans="2:18" ht="25.5" hidden="1" customHeight="1" thickBot="1" x14ac:dyDescent="0.25">
      <c r="B34" s="15">
        <f>IF('3. Rate Classes'!Q33=1,'3. Rate Classes'!C33, 0)</f>
        <v>0</v>
      </c>
      <c r="C34" s="8"/>
      <c r="D34" s="16" t="str">
        <f>IF(ISERROR(VLOOKUP($B34, '3. Rate Classes'!$C$24:$H$45,6,0)), "", VLOOKUP($B34, '3. Rate Classes'!$C$24:$H$45,6,0))</f>
        <v/>
      </c>
      <c r="F34" s="70" t="str">
        <f>IF(ISERROR(VLOOKUP($B34,'3. Rate Classes'!$C$24:$N$45, 11,0)), "", VLOOKUP($B34,'3. Rate Classes'!$C$24:$N$45, 11,0))</f>
        <v/>
      </c>
      <c r="G34" s="57"/>
      <c r="H34" s="64">
        <f>VLOOKUP('9. Adj Network to Current WS'!$B34, '4. RRR Data'!$B$27:$M$49,11,0)</f>
        <v>0</v>
      </c>
      <c r="I34" s="72"/>
      <c r="J34" s="64">
        <f>VLOOKUP('9. Adj Network to Current WS'!$B34, '4. RRR Data'!$B$27:$M$49,12,0)</f>
        <v>0</v>
      </c>
      <c r="K34" s="59"/>
      <c r="L34" s="60" t="str">
        <f t="shared" si="0"/>
        <v/>
      </c>
      <c r="M34" s="55"/>
      <c r="N34" s="61" t="str">
        <f t="shared" si="1"/>
        <v/>
      </c>
      <c r="P34" s="62" t="str">
        <f>IF(ISERROR('7. Current Wholesale'!$P$75*N34), "", '7. Current Wholesale'!$P$75*N34)</f>
        <v/>
      </c>
      <c r="R34" s="63" t="str">
        <f t="shared" si="2"/>
        <v/>
      </c>
    </row>
    <row r="35" spans="2:18" ht="25.5" hidden="1" customHeight="1" thickBot="1" x14ac:dyDescent="0.25">
      <c r="B35" s="15">
        <f>IF('3. Rate Classes'!Q34=1,'3. Rate Classes'!C34, 0)</f>
        <v>0</v>
      </c>
      <c r="C35" s="8"/>
      <c r="D35" s="16" t="str">
        <f>IF(ISERROR(VLOOKUP($B35, '3. Rate Classes'!$C$24:$H$45,6,0)), "", VLOOKUP($B35, '3. Rate Classes'!$C$24:$H$45,6,0))</f>
        <v/>
      </c>
      <c r="F35" s="70" t="str">
        <f>IF(ISERROR(VLOOKUP($B35,'3. Rate Classes'!$C$24:$N$45, 11,0)), "", VLOOKUP($B35,'3. Rate Classes'!$C$24:$N$45, 11,0))</f>
        <v/>
      </c>
      <c r="G35" s="57"/>
      <c r="H35" s="64">
        <f>VLOOKUP('9. Adj Network to Current WS'!$B35, '4. RRR Data'!$B$27:$M$49,11,0)</f>
        <v>0</v>
      </c>
      <c r="I35" s="72"/>
      <c r="J35" s="64">
        <f>VLOOKUP('9. Adj Network to Current WS'!$B35, '4. RRR Data'!$B$27:$M$49,12,0)</f>
        <v>0</v>
      </c>
      <c r="K35" s="59"/>
      <c r="L35" s="60" t="str">
        <f t="shared" si="0"/>
        <v/>
      </c>
      <c r="M35" s="55"/>
      <c r="N35" s="61" t="str">
        <f t="shared" si="1"/>
        <v/>
      </c>
      <c r="P35" s="62" t="str">
        <f>IF(ISERROR('7. Current Wholesale'!$P$75*N35), "", '7. Current Wholesale'!$P$75*N35)</f>
        <v/>
      </c>
      <c r="R35" s="63" t="str">
        <f t="shared" si="2"/>
        <v/>
      </c>
    </row>
    <row r="36" spans="2:18" ht="25.5" hidden="1" customHeight="1" thickBot="1" x14ac:dyDescent="0.25">
      <c r="B36" s="15">
        <f>IF('3. Rate Classes'!Q35=1,'3. Rate Classes'!C35, 0)</f>
        <v>0</v>
      </c>
      <c r="C36" s="8"/>
      <c r="D36" s="16" t="str">
        <f>IF(ISERROR(VLOOKUP($B36, '3. Rate Classes'!$C$24:$H$45,6,0)), "", VLOOKUP($B36, '3. Rate Classes'!$C$24:$H$45,6,0))</f>
        <v/>
      </c>
      <c r="F36" s="70" t="str">
        <f>IF(ISERROR(VLOOKUP($B36,'3. Rate Classes'!$C$24:$N$45, 11,0)), "", VLOOKUP($B36,'3. Rate Classes'!$C$24:$N$45, 11,0))</f>
        <v/>
      </c>
      <c r="G36" s="57"/>
      <c r="H36" s="64">
        <f>VLOOKUP('9. Adj Network to Current WS'!$B36, '4. RRR Data'!$B$27:$M$49,11,0)</f>
        <v>0</v>
      </c>
      <c r="I36" s="72"/>
      <c r="J36" s="64">
        <f>VLOOKUP('9. Adj Network to Current WS'!$B36, '4. RRR Data'!$B$27:$M$49,12,0)</f>
        <v>0</v>
      </c>
      <c r="K36" s="59"/>
      <c r="L36" s="60" t="str">
        <f t="shared" si="0"/>
        <v/>
      </c>
      <c r="M36" s="55"/>
      <c r="N36" s="61" t="str">
        <f t="shared" si="1"/>
        <v/>
      </c>
      <c r="P36" s="62" t="str">
        <f>IF(ISERROR('7. Current Wholesale'!$P$75*N36), "", '7. Current Wholesale'!$P$75*N36)</f>
        <v/>
      </c>
      <c r="R36" s="63" t="str">
        <f t="shared" si="2"/>
        <v/>
      </c>
    </row>
    <row r="37" spans="2:18" ht="25.5" hidden="1" customHeight="1" thickBot="1" x14ac:dyDescent="0.25">
      <c r="B37" s="15">
        <f>IF('3. Rate Classes'!Q36=1,'3. Rate Classes'!C36, 0)</f>
        <v>0</v>
      </c>
      <c r="C37" s="8"/>
      <c r="D37" s="16" t="str">
        <f>IF(ISERROR(VLOOKUP($B37, '3. Rate Classes'!$C$24:$H$45,6,0)), "", VLOOKUP($B37, '3. Rate Classes'!$C$24:$H$45,6,0))</f>
        <v/>
      </c>
      <c r="F37" s="70" t="str">
        <f>IF(ISERROR(VLOOKUP($B37,'3. Rate Classes'!$C$24:$N$45, 11,0)), "", VLOOKUP($B37,'3. Rate Classes'!$C$24:$N$45, 11,0))</f>
        <v/>
      </c>
      <c r="G37" s="57"/>
      <c r="H37" s="64">
        <f>VLOOKUP('9. Adj Network to Current WS'!$B37, '4. RRR Data'!$B$27:$M$49,11,0)</f>
        <v>0</v>
      </c>
      <c r="I37" s="72"/>
      <c r="J37" s="64">
        <f>VLOOKUP('9. Adj Network to Current WS'!$B37, '4. RRR Data'!$B$27:$M$49,12,0)</f>
        <v>0</v>
      </c>
      <c r="K37" s="59"/>
      <c r="L37" s="60" t="str">
        <f t="shared" si="0"/>
        <v/>
      </c>
      <c r="M37" s="55"/>
      <c r="N37" s="61" t="str">
        <f t="shared" si="1"/>
        <v/>
      </c>
      <c r="P37" s="62" t="str">
        <f>IF(ISERROR('7. Current Wholesale'!$P$75*N37), "", '7. Current Wholesale'!$P$75*N37)</f>
        <v/>
      </c>
      <c r="R37" s="63" t="str">
        <f t="shared" si="2"/>
        <v/>
      </c>
    </row>
    <row r="38" spans="2:18" ht="25.5" hidden="1" customHeight="1" thickBot="1" x14ac:dyDescent="0.25">
      <c r="B38" s="15">
        <f>IF('3. Rate Classes'!Q37=1,'3. Rate Classes'!C37, 0)</f>
        <v>0</v>
      </c>
      <c r="C38" s="8"/>
      <c r="D38" s="16" t="str">
        <f>IF(ISERROR(VLOOKUP($B38, '3. Rate Classes'!$C$24:$H$45,6,0)), "", VLOOKUP($B38, '3. Rate Classes'!$C$24:$H$45,6,0))</f>
        <v/>
      </c>
      <c r="F38" s="70" t="str">
        <f>IF(ISERROR(VLOOKUP($B38,'3. Rate Classes'!$C$24:$N$45, 11,0)), "", VLOOKUP($B38,'3. Rate Classes'!$C$24:$N$45, 11,0))</f>
        <v/>
      </c>
      <c r="G38" s="57"/>
      <c r="H38" s="64">
        <f>VLOOKUP('9. Adj Network to Current WS'!$B38, '4. RRR Data'!$B$27:$M$49,11,0)</f>
        <v>0</v>
      </c>
      <c r="I38" s="72"/>
      <c r="J38" s="64">
        <f>VLOOKUP('9. Adj Network to Current WS'!$B38, '4. RRR Data'!$B$27:$M$49,12,0)</f>
        <v>0</v>
      </c>
      <c r="K38" s="59"/>
      <c r="L38" s="60" t="str">
        <f t="shared" si="0"/>
        <v/>
      </c>
      <c r="M38" s="55"/>
      <c r="N38" s="61" t="str">
        <f t="shared" si="1"/>
        <v/>
      </c>
      <c r="P38" s="62" t="str">
        <f>IF(ISERROR('7. Current Wholesale'!$P$75*N38), "", '7. Current Wholesale'!$P$75*N38)</f>
        <v/>
      </c>
      <c r="R38" s="63" t="str">
        <f t="shared" si="2"/>
        <v/>
      </c>
    </row>
    <row r="39" spans="2:18" ht="25.5" hidden="1" customHeight="1" thickBot="1" x14ac:dyDescent="0.25">
      <c r="B39" s="15">
        <f>IF('3. Rate Classes'!Q38=1,'3. Rate Classes'!C38, 0)</f>
        <v>0</v>
      </c>
      <c r="C39" s="8"/>
      <c r="D39" s="16" t="str">
        <f>IF(ISERROR(VLOOKUP($B39, '3. Rate Classes'!$C$24:$H$45,6,0)), "", VLOOKUP($B39, '3. Rate Classes'!$C$24:$H$45,6,0))</f>
        <v/>
      </c>
      <c r="F39" s="70" t="str">
        <f>IF(ISERROR(VLOOKUP($B39,'3. Rate Classes'!$C$24:$N$45, 11,0)), "", VLOOKUP($B39,'3. Rate Classes'!$C$24:$N$45, 11,0))</f>
        <v/>
      </c>
      <c r="G39" s="57"/>
      <c r="H39" s="64">
        <f>VLOOKUP('9. Adj Network to Current WS'!$B39, '4. RRR Data'!$B$27:$M$49,11,0)</f>
        <v>0</v>
      </c>
      <c r="I39" s="72"/>
      <c r="J39" s="64">
        <f>VLOOKUP('9. Adj Network to Current WS'!$B39, '4. RRR Data'!$B$27:$M$49,12,0)</f>
        <v>0</v>
      </c>
      <c r="K39" s="59"/>
      <c r="L39" s="60" t="str">
        <f t="shared" si="0"/>
        <v/>
      </c>
      <c r="M39" s="55"/>
      <c r="N39" s="61" t="str">
        <f t="shared" si="1"/>
        <v/>
      </c>
      <c r="P39" s="62" t="str">
        <f>IF(ISERROR('7. Current Wholesale'!$P$75*N39), "", '7. Current Wholesale'!$P$75*N39)</f>
        <v/>
      </c>
      <c r="R39" s="63" t="str">
        <f t="shared" si="2"/>
        <v/>
      </c>
    </row>
    <row r="40" spans="2:18" ht="25.5" hidden="1" customHeight="1" thickBot="1" x14ac:dyDescent="0.25">
      <c r="B40" s="15">
        <f>IF('3. Rate Classes'!Q39=1,'3. Rate Classes'!C39, 0)</f>
        <v>0</v>
      </c>
      <c r="C40" s="8"/>
      <c r="D40" s="16" t="str">
        <f>IF(ISERROR(VLOOKUP($B40, '3. Rate Classes'!$C$24:$H$45,6,0)), "", VLOOKUP($B40, '3. Rate Classes'!$C$24:$H$45,6,0))</f>
        <v/>
      </c>
      <c r="F40" s="70" t="str">
        <f>IF(ISERROR(VLOOKUP($B40,'3. Rate Classes'!$C$24:$N$45, 11,0)), "", VLOOKUP($B40,'3. Rate Classes'!$C$24:$N$45, 11,0))</f>
        <v/>
      </c>
      <c r="G40" s="57"/>
      <c r="H40" s="64">
        <f>VLOOKUP('9. Adj Network to Current WS'!$B40, '4. RRR Data'!$B$27:$M$49,11,0)</f>
        <v>0</v>
      </c>
      <c r="I40" s="72"/>
      <c r="J40" s="64">
        <f>VLOOKUP('9. Adj Network to Current WS'!$B40, '4. RRR Data'!$B$27:$M$49,12,0)</f>
        <v>0</v>
      </c>
      <c r="K40" s="59"/>
      <c r="L40" s="60" t="str">
        <f t="shared" si="0"/>
        <v/>
      </c>
      <c r="M40" s="55"/>
      <c r="N40" s="61" t="str">
        <f t="shared" si="1"/>
        <v/>
      </c>
      <c r="P40" s="62" t="str">
        <f>IF(ISERROR('7. Current Wholesale'!$P$75*N40), "", '7. Current Wholesale'!$P$75*N40)</f>
        <v/>
      </c>
      <c r="R40" s="63" t="str">
        <f t="shared" si="2"/>
        <v/>
      </c>
    </row>
    <row r="41" spans="2:18" ht="25.5" hidden="1" customHeight="1" thickBot="1" x14ac:dyDescent="0.25">
      <c r="B41" s="15">
        <f>IF('3. Rate Classes'!Q40=1,'3. Rate Classes'!C40, 0)</f>
        <v>0</v>
      </c>
      <c r="C41" s="8"/>
      <c r="D41" s="16" t="str">
        <f>IF(ISERROR(VLOOKUP($B41, '3. Rate Classes'!$C$24:$H$45,6,0)), "", VLOOKUP($B41, '3. Rate Classes'!$C$24:$H$45,6,0))</f>
        <v/>
      </c>
      <c r="F41" s="70" t="str">
        <f>IF(ISERROR(VLOOKUP($B41,'3. Rate Classes'!$C$24:$N$45, 11,0)), "", VLOOKUP($B41,'3. Rate Classes'!$C$24:$N$45, 11,0))</f>
        <v/>
      </c>
      <c r="G41" s="57"/>
      <c r="H41" s="64">
        <f>VLOOKUP('9. Adj Network to Current WS'!$B41, '4. RRR Data'!$B$27:$M$49,11,0)</f>
        <v>0</v>
      </c>
      <c r="I41" s="72"/>
      <c r="J41" s="64">
        <f>VLOOKUP('9. Adj Network to Current WS'!$B41, '4. RRR Data'!$B$27:$M$49,12,0)</f>
        <v>0</v>
      </c>
      <c r="K41" s="59"/>
      <c r="L41" s="60" t="str">
        <f t="shared" si="0"/>
        <v/>
      </c>
      <c r="M41" s="55"/>
      <c r="N41" s="61" t="str">
        <f t="shared" si="1"/>
        <v/>
      </c>
      <c r="P41" s="62" t="str">
        <f>IF(ISERROR('7. Current Wholesale'!$P$75*N41), "", '7. Current Wholesale'!$P$75*N41)</f>
        <v/>
      </c>
      <c r="R41" s="63" t="str">
        <f t="shared" si="2"/>
        <v/>
      </c>
    </row>
    <row r="42" spans="2:18" ht="25.5" hidden="1" customHeight="1" thickBot="1" x14ac:dyDescent="0.25">
      <c r="B42" s="15">
        <f>IF('3. Rate Classes'!Q41=1,'3. Rate Classes'!C41, 0)</f>
        <v>0</v>
      </c>
      <c r="C42" s="8"/>
      <c r="D42" s="16" t="str">
        <f>IF(ISERROR(VLOOKUP($B42, '3. Rate Classes'!$C$24:$H$45,6,0)), "", VLOOKUP($B42, '3. Rate Classes'!$C$24:$H$45,6,0))</f>
        <v/>
      </c>
      <c r="F42" s="70" t="str">
        <f>IF(ISERROR(VLOOKUP($B42,'3. Rate Classes'!$C$24:$N$45, 11,0)), "", VLOOKUP($B42,'3. Rate Classes'!$C$24:$N$45, 11,0))</f>
        <v/>
      </c>
      <c r="G42" s="57"/>
      <c r="H42" s="64">
        <f>VLOOKUP('9. Adj Network to Current WS'!$B42, '4. RRR Data'!$B$27:$M$49,11,0)</f>
        <v>0</v>
      </c>
      <c r="I42" s="72"/>
      <c r="J42" s="64">
        <f>VLOOKUP('9. Adj Network to Current WS'!$B42, '4. RRR Data'!$B$27:$M$49,12,0)</f>
        <v>0</v>
      </c>
      <c r="K42" s="59"/>
      <c r="L42" s="60" t="str">
        <f t="shared" si="0"/>
        <v/>
      </c>
      <c r="M42" s="55"/>
      <c r="N42" s="61" t="str">
        <f t="shared" si="1"/>
        <v/>
      </c>
      <c r="P42" s="62" t="str">
        <f>IF(ISERROR('7. Current Wholesale'!$P$75*N42), "", '7. Current Wholesale'!$P$75*N42)</f>
        <v/>
      </c>
      <c r="R42" s="63" t="str">
        <f t="shared" si="2"/>
        <v/>
      </c>
    </row>
    <row r="43" spans="2:18" ht="25.5" hidden="1" customHeight="1" thickBot="1" x14ac:dyDescent="0.25">
      <c r="B43" s="15">
        <f>IF('3. Rate Classes'!Q42=1,'3. Rate Classes'!C42, 0)</f>
        <v>0</v>
      </c>
      <c r="C43" s="8"/>
      <c r="D43" s="16" t="str">
        <f>IF(ISERROR(VLOOKUP($B43, '3. Rate Classes'!$C$24:$H$45,6,0)), "", VLOOKUP($B43, '3. Rate Classes'!$C$24:$H$45,6,0))</f>
        <v/>
      </c>
      <c r="F43" s="70" t="str">
        <f>IF(ISERROR(VLOOKUP($B43,'3. Rate Classes'!$C$24:$N$45, 11,0)), "", VLOOKUP($B43,'3. Rate Classes'!$C$24:$N$45, 11,0))</f>
        <v/>
      </c>
      <c r="G43" s="57"/>
      <c r="H43" s="64">
        <f>VLOOKUP('9. Adj Network to Current WS'!$B43, '4. RRR Data'!$B$27:$M$49,11,0)</f>
        <v>0</v>
      </c>
      <c r="I43" s="72"/>
      <c r="J43" s="64">
        <f>VLOOKUP('9. Adj Network to Current WS'!$B43, '4. RRR Data'!$B$27:$M$49,12,0)</f>
        <v>0</v>
      </c>
      <c r="K43" s="59"/>
      <c r="L43" s="60" t="str">
        <f t="shared" si="0"/>
        <v/>
      </c>
      <c r="M43" s="55"/>
      <c r="N43" s="61" t="str">
        <f t="shared" si="1"/>
        <v/>
      </c>
      <c r="P43" s="62" t="str">
        <f>IF(ISERROR('7. Current Wholesale'!$P$75*N43), "", '7. Current Wholesale'!$P$75*N43)</f>
        <v/>
      </c>
      <c r="R43" s="63" t="str">
        <f t="shared" si="2"/>
        <v/>
      </c>
    </row>
    <row r="44" spans="2:18" ht="25.5" hidden="1" customHeight="1" thickBot="1" x14ac:dyDescent="0.25">
      <c r="B44" s="15">
        <f>IF('3. Rate Classes'!Q43=1,'3. Rate Classes'!C43, 0)</f>
        <v>0</v>
      </c>
      <c r="C44" s="8"/>
      <c r="D44" s="16" t="str">
        <f>IF(ISERROR(VLOOKUP($B44, '3. Rate Classes'!$C$24:$H$45,6,0)), "", VLOOKUP($B44, '3. Rate Classes'!$C$24:$H$45,6,0))</f>
        <v/>
      </c>
      <c r="F44" s="70" t="str">
        <f>IF(ISERROR(VLOOKUP($B44,'3. Rate Classes'!$C$24:$N$45, 11,0)), "", VLOOKUP($B44,'3. Rate Classes'!$C$24:$N$45, 11,0))</f>
        <v/>
      </c>
      <c r="G44" s="57"/>
      <c r="H44" s="64">
        <f>VLOOKUP('9. Adj Network to Current WS'!$B44, '4. RRR Data'!$B$27:$M$49,11,0)</f>
        <v>0</v>
      </c>
      <c r="I44" s="72"/>
      <c r="J44" s="64">
        <f>VLOOKUP('9. Adj Network to Current WS'!$B44, '4. RRR Data'!$B$27:$M$49,12,0)</f>
        <v>0</v>
      </c>
      <c r="K44" s="59"/>
      <c r="L44" s="60" t="str">
        <f t="shared" si="0"/>
        <v/>
      </c>
      <c r="M44" s="55"/>
      <c r="N44" s="61" t="str">
        <f t="shared" si="1"/>
        <v/>
      </c>
      <c r="P44" s="62" t="str">
        <f>IF(ISERROR('7. Current Wholesale'!$P$75*N44), "", '7. Current Wholesale'!$P$75*N44)</f>
        <v/>
      </c>
      <c r="R44" s="63" t="str">
        <f t="shared" si="2"/>
        <v/>
      </c>
    </row>
    <row r="45" spans="2:18" ht="25.5" hidden="1" customHeight="1" thickBot="1" x14ac:dyDescent="0.25">
      <c r="B45" s="15">
        <f>IF('3. Rate Classes'!Q44=1,'3. Rate Classes'!C44, 0)</f>
        <v>0</v>
      </c>
      <c r="C45" s="8"/>
      <c r="D45" s="16" t="str">
        <f>IF(ISERROR(VLOOKUP($B45, '3. Rate Classes'!$C$24:$H$45,6,0)), "", VLOOKUP($B45, '3. Rate Classes'!$C$24:$H$45,6,0))</f>
        <v/>
      </c>
      <c r="F45" s="70" t="str">
        <f>IF(ISERROR(VLOOKUP($B45,'3. Rate Classes'!$C$24:$N$45, 11,0)), "", VLOOKUP($B45,'3. Rate Classes'!$C$24:$N$45, 11,0))</f>
        <v/>
      </c>
      <c r="G45" s="57"/>
      <c r="H45" s="64">
        <f>VLOOKUP('9. Adj Network to Current WS'!$B45, '4. RRR Data'!$B$27:$M$49,11,0)</f>
        <v>0</v>
      </c>
      <c r="I45" s="72"/>
      <c r="J45" s="64">
        <f>VLOOKUP('9. Adj Network to Current WS'!$B45, '4. RRR Data'!$B$27:$M$49,12,0)</f>
        <v>0</v>
      </c>
      <c r="K45" s="59"/>
      <c r="L45" s="60" t="str">
        <f t="shared" si="0"/>
        <v/>
      </c>
      <c r="M45" s="55"/>
      <c r="N45" s="61" t="str">
        <f t="shared" si="1"/>
        <v/>
      </c>
      <c r="P45" s="62" t="str">
        <f>IF(ISERROR('7. Current Wholesale'!$P$75*N45), "", '7. Current Wholesale'!$P$75*N45)</f>
        <v/>
      </c>
      <c r="R45" s="63" t="str">
        <f t="shared" si="2"/>
        <v/>
      </c>
    </row>
    <row r="46" spans="2:18" ht="25.5" hidden="1" customHeight="1" thickBot="1" x14ac:dyDescent="0.25">
      <c r="B46" s="15">
        <f>IF('3. Rate Classes'!Q45=1,'3. Rate Classes'!C45, 0)</f>
        <v>0</v>
      </c>
      <c r="C46" s="8"/>
      <c r="D46" s="16" t="str">
        <f>IF(ISERROR(VLOOKUP($B46, '3. Rate Classes'!$C$24:$H$45,6,0)), "", VLOOKUP($B46, '3. Rate Classes'!$C$24:$H$45,6,0))</f>
        <v/>
      </c>
      <c r="F46" s="70" t="str">
        <f>IF(ISERROR(VLOOKUP($B46,'3. Rate Classes'!$C$24:$N$45, 11,0)), "", VLOOKUP($B46,'3. Rate Classes'!$C$24:$N$45, 11,0))</f>
        <v/>
      </c>
      <c r="G46" s="57"/>
      <c r="H46" s="64">
        <f>VLOOKUP('9. Adj Network to Current WS'!$B46, '4. RRR Data'!$B$27:$M$49,11,0)</f>
        <v>0</v>
      </c>
      <c r="I46" s="72"/>
      <c r="J46" s="64">
        <f>VLOOKUP('9. Adj Network to Current WS'!$B46, '4. RRR Data'!$B$27:$M$49,12,0)</f>
        <v>0</v>
      </c>
      <c r="K46" s="59"/>
      <c r="L46" s="60" t="str">
        <f t="shared" si="0"/>
        <v/>
      </c>
      <c r="M46" s="55"/>
      <c r="N46" s="61" t="str">
        <f t="shared" si="1"/>
        <v/>
      </c>
      <c r="P46" s="62" t="str">
        <f>IF(ISERROR('7. Current Wholesale'!$P$75*N46), "", '7. Current Wholesale'!$P$75*N46)</f>
        <v/>
      </c>
      <c r="R46" s="63" t="str">
        <f t="shared" si="2"/>
        <v/>
      </c>
    </row>
    <row r="47" spans="2:18" ht="13.5" hidden="1" thickBot="1" x14ac:dyDescent="0.25">
      <c r="F47" s="70"/>
      <c r="G47" s="37"/>
      <c r="H47" s="74"/>
      <c r="I47" s="74"/>
      <c r="J47" s="74"/>
      <c r="R47" s="63"/>
    </row>
    <row r="48" spans="2:18" ht="13.5" thickBot="1" x14ac:dyDescent="0.25">
      <c r="F48" s="70"/>
      <c r="G48" s="37"/>
      <c r="H48" s="74"/>
      <c r="I48" s="74"/>
      <c r="J48" s="74"/>
    </row>
    <row r="49" spans="6:12" ht="13.5" thickBot="1" x14ac:dyDescent="0.25">
      <c r="F49" s="70"/>
      <c r="G49" s="37"/>
      <c r="H49" s="74"/>
      <c r="I49" s="74"/>
      <c r="J49" s="74"/>
      <c r="L49" s="71">
        <f>SUM(L25:L46)</f>
        <v>5154149.5836673593</v>
      </c>
    </row>
    <row r="50" spans="6:12" ht="13.5" thickBot="1" x14ac:dyDescent="0.25">
      <c r="F50" s="70"/>
      <c r="G50" s="37"/>
      <c r="H50" s="74"/>
      <c r="I50" s="74"/>
      <c r="J50" s="74"/>
    </row>
    <row r="51" spans="6:12" ht="13.5" thickBot="1" x14ac:dyDescent="0.25">
      <c r="F51" s="70"/>
      <c r="G51" s="37"/>
      <c r="H51" s="74"/>
      <c r="I51" s="74"/>
      <c r="J51" s="74"/>
    </row>
    <row r="52" spans="6:12" ht="13.5" thickBot="1" x14ac:dyDescent="0.25">
      <c r="F52" s="70"/>
      <c r="G52" s="37"/>
      <c r="H52" s="74"/>
      <c r="I52" s="74"/>
      <c r="J52" s="74"/>
    </row>
    <row r="53" spans="6:12" ht="13.5" thickBot="1" x14ac:dyDescent="0.25">
      <c r="F53" s="70"/>
      <c r="G53" s="37"/>
      <c r="H53" s="37"/>
      <c r="I53" s="37"/>
      <c r="J53" s="37"/>
    </row>
    <row r="54" spans="6:12" ht="13.5" thickBot="1" x14ac:dyDescent="0.25">
      <c r="F54" s="70"/>
      <c r="G54" s="37"/>
      <c r="H54" s="37"/>
      <c r="I54" s="37"/>
      <c r="J54" s="37"/>
    </row>
    <row r="55" spans="6:12" ht="13.5" thickBot="1" x14ac:dyDescent="0.25">
      <c r="F55" s="57"/>
      <c r="G55" s="37"/>
      <c r="H55" s="37"/>
      <c r="I55" s="37"/>
      <c r="J55" s="37"/>
    </row>
    <row r="56" spans="6:12" ht="13.5" thickBot="1" x14ac:dyDescent="0.25">
      <c r="F56" s="57"/>
      <c r="G56" s="37"/>
      <c r="H56" s="37"/>
      <c r="I56" s="37"/>
      <c r="J56" s="37"/>
    </row>
    <row r="57" spans="6:12" x14ac:dyDescent="0.2">
      <c r="F57" s="37"/>
      <c r="G57" s="37"/>
      <c r="H57" s="37"/>
      <c r="I57" s="37"/>
      <c r="J57" s="37"/>
    </row>
  </sheetData>
  <sheetProtection password="F8BD" sheet="1" objects="1" scenarios="1"/>
  <phoneticPr fontId="21" type="noConversion"/>
  <pageMargins left="0.75" right="0.75" top="1" bottom="1" header="0.5" footer="0.5"/>
  <pageSetup scale="83" orientation="landscape" r:id="rId1"/>
  <headerFooter alignWithMargins="0">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3:S56"/>
  <sheetViews>
    <sheetView showGridLines="0" topLeftCell="B1" zoomScaleNormal="100" workbookViewId="0">
      <pane ySplit="23" topLeftCell="A24" activePane="bottomLeft" state="frozenSplit"/>
      <selection pane="bottomLeft" activeCell="B51" sqref="B1:R51"/>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3.7109375" customWidth="1"/>
  </cols>
  <sheetData>
    <row r="13" spans="2:19" ht="15.75" x14ac:dyDescent="0.25">
      <c r="B13" s="140" t="s">
        <v>219</v>
      </c>
    </row>
    <row r="15" spans="2:19" ht="3" customHeight="1" x14ac:dyDescent="0.2">
      <c r="S15" s="139"/>
    </row>
    <row r="16" spans="2:19" ht="3" customHeight="1" x14ac:dyDescent="0.2"/>
    <row r="17" spans="2:18" ht="3" customHeight="1" x14ac:dyDescent="0.2"/>
    <row r="18" spans="2:18" ht="3" customHeight="1" x14ac:dyDescent="0.2"/>
    <row r="19" spans="2:18" ht="3" customHeight="1" x14ac:dyDescent="0.2"/>
    <row r="21" spans="2:18" ht="16.5" x14ac:dyDescent="0.3">
      <c r="B21" s="9"/>
      <c r="D21" s="11"/>
      <c r="E21" s="5"/>
      <c r="F21" s="12"/>
      <c r="G21" s="12"/>
      <c r="H21" s="5"/>
      <c r="I21" s="5"/>
      <c r="J21" s="5"/>
      <c r="K21" s="11"/>
    </row>
    <row r="22" spans="2:18" ht="47.25" x14ac:dyDescent="0.2">
      <c r="B22" s="131" t="s">
        <v>209</v>
      </c>
      <c r="C22" s="139"/>
      <c r="D22" s="139" t="s">
        <v>210</v>
      </c>
      <c r="E22" s="136"/>
      <c r="F22" s="139" t="s">
        <v>220</v>
      </c>
      <c r="G22" s="132"/>
      <c r="H22" s="139" t="s">
        <v>215</v>
      </c>
      <c r="I22" s="136"/>
      <c r="J22" s="139" t="s">
        <v>216</v>
      </c>
      <c r="K22" s="132"/>
      <c r="L22" s="139" t="s">
        <v>217</v>
      </c>
      <c r="M22" s="139"/>
      <c r="N22" s="139" t="s">
        <v>218</v>
      </c>
      <c r="O22" s="139"/>
      <c r="P22" s="139" t="s">
        <v>224</v>
      </c>
      <c r="Q22" s="139"/>
      <c r="R22" s="139" t="s">
        <v>211</v>
      </c>
    </row>
    <row r="25" spans="2:18" ht="25.5" customHeight="1" thickBot="1" x14ac:dyDescent="0.25">
      <c r="B25" s="15" t="str">
        <f>IF('3. Rate Classes'!Q24=1,'3. Rate Classes'!C24, 0)</f>
        <v>Residential</v>
      </c>
      <c r="C25" s="8"/>
      <c r="D25" s="16" t="str">
        <f>IF(ISERROR(VLOOKUP($B25, '3. Rate Classes'!$C$24:$H$45,6,0)), "", VLOOKUP($B25, '3. Rate Classes'!$C$24:$H$45,6,0))</f>
        <v>kWh</v>
      </c>
      <c r="F25" s="67">
        <f>VLOOKUP($B25, '9. Adj Network to Current WS'!$B$25:$R$47, 17,0)</f>
        <v>6.2539789182778941E-3</v>
      </c>
      <c r="G25" s="65"/>
      <c r="H25" s="64">
        <f>VLOOKUP('9. Adj Network to Current WS'!$B25, '4. RRR Data'!$B$27:$M$49,11,0)</f>
        <v>272189552.4048</v>
      </c>
      <c r="I25" s="72"/>
      <c r="J25" s="64">
        <f>VLOOKUP('9. Adj Network to Current WS'!$B25, '4. RRR Data'!$B$27:$M$49,12,0)</f>
        <v>0</v>
      </c>
      <c r="K25" s="58"/>
      <c r="L25" s="60">
        <f t="shared" ref="L25:L46" si="0">IF(F25="", "", IF(D25="kWh", F25*H25, F25*J25))</f>
        <v>1702267.7225151153</v>
      </c>
      <c r="M25" s="55"/>
      <c r="N25" s="61">
        <f t="shared" ref="N25:N46" si="1">IF(ISERROR(L25/$L$49), "", L25/$L$49)</f>
        <v>0.29160134790505876</v>
      </c>
      <c r="O25" s="13"/>
      <c r="P25" s="62">
        <f>IF(ISERROR('8. Forecast Wholesale'!$F$75*N25), "", '8. Forecast Wholesale'!$F$75*N25)</f>
        <v>1702267.7225151153</v>
      </c>
      <c r="R25" s="63">
        <f t="shared" ref="R25:R46" si="2">IF(D25="","",IF(D25="kWh",IF(H25&lt;&gt;0,P25/H25,),IF(J25&lt;&gt;0,P25/J25,0)))</f>
        <v>6.2539789182778941E-3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67">
        <f>VLOOKUP($B26, '9. Adj Network to Current WS'!$B$25:$R$47, 17,0)</f>
        <v>5.794127527228049E-3</v>
      </c>
      <c r="G26" s="65"/>
      <c r="H26" s="64">
        <f>VLOOKUP('9. Adj Network to Current WS'!$B26, '4. RRR Data'!$B$27:$M$49,11,0)</f>
        <v>112024222.87800001</v>
      </c>
      <c r="I26" s="72"/>
      <c r="J26" s="64">
        <f>VLOOKUP('9. Adj Network to Current WS'!$B26, '4. RRR Data'!$B$27:$M$49,12,0)</f>
        <v>0</v>
      </c>
      <c r="K26" s="59"/>
      <c r="L26" s="60">
        <f t="shared" si="0"/>
        <v>649082.63349375001</v>
      </c>
      <c r="M26" s="55"/>
      <c r="N26" s="61">
        <f t="shared" si="1"/>
        <v>0.11118895595863716</v>
      </c>
      <c r="P26" s="62">
        <f>IF(ISERROR('8. Forecast Wholesale'!$F$75*N26), "", '8. Forecast Wholesale'!$F$75*N26)</f>
        <v>649082.63349375001</v>
      </c>
      <c r="R26" s="63">
        <f t="shared" si="2"/>
        <v>5.794127527228049E-3</v>
      </c>
    </row>
    <row r="27" spans="2:18" ht="25.5" customHeight="1" thickBot="1" x14ac:dyDescent="0.25">
      <c r="B27" s="15" t="str">
        <f>IF('3. Rate Classes'!Q26=1,'3. Rate Classes'!C26, 0)</f>
        <v>General Service 50 to 999 kW</v>
      </c>
      <c r="C27" s="8"/>
      <c r="D27" s="16" t="str">
        <f>IF(ISERROR(VLOOKUP($B27, '3. Rate Classes'!$C$24:$H$45,6,0)), "", VLOOKUP($B27, '3. Rate Classes'!$C$24:$H$45,6,0))</f>
        <v>kW</v>
      </c>
      <c r="F27" s="67">
        <f>VLOOKUP($B27, '9. Adj Network to Current WS'!$B$25:$R$47, 17,0)</f>
        <v>2.3588536955292856</v>
      </c>
      <c r="G27" s="65"/>
      <c r="H27" s="64">
        <f>VLOOKUP('9. Adj Network to Current WS'!$B27, '4. RRR Data'!$B$27:$M$49,11,0)</f>
        <v>225654890</v>
      </c>
      <c r="I27" s="72"/>
      <c r="J27" s="64">
        <f>VLOOKUP('9. Adj Network to Current WS'!$B27, '4. RRR Data'!$B$27:$M$49,12,0)</f>
        <v>617147</v>
      </c>
      <c r="K27" s="59"/>
      <c r="L27" s="60">
        <f t="shared" si="0"/>
        <v>1455759.481634812</v>
      </c>
      <c r="M27" s="55"/>
      <c r="N27" s="61">
        <f t="shared" si="1"/>
        <v>0.24937406816542126</v>
      </c>
      <c r="P27" s="62">
        <f>IF(ISERROR('8. Forecast Wholesale'!$F$75*N27), "", '8. Forecast Wholesale'!$F$75*N27)</f>
        <v>1455759.481634812</v>
      </c>
      <c r="R27" s="63">
        <f t="shared" si="2"/>
        <v>2.3588536955292856</v>
      </c>
    </row>
    <row r="28" spans="2:18" ht="25.5" customHeight="1" thickBot="1" x14ac:dyDescent="0.25">
      <c r="B28" s="15" t="str">
        <f>IF('3. Rate Classes'!Q27=1,'3. Rate Classes'!C27, 0)</f>
        <v>General Service 1,000 to 4,999 kW</v>
      </c>
      <c r="C28" s="8"/>
      <c r="D28" s="16" t="str">
        <f>IF(ISERROR(VLOOKUP($B28, '3. Rate Classes'!$C$24:$H$45,6,0)), "", VLOOKUP($B28, '3. Rate Classes'!$C$24:$H$45,6,0))</f>
        <v>kW</v>
      </c>
      <c r="F28" s="67">
        <f>VLOOKUP($B28, '9. Adj Network to Current WS'!$B$25:$R$47, 17,0)</f>
        <v>2.5053623487177665</v>
      </c>
      <c r="G28" s="65"/>
      <c r="H28" s="64">
        <f>VLOOKUP('9. Adj Network to Current WS'!$B28, '4. RRR Data'!$B$27:$M$49,11,0)</f>
        <v>163185559</v>
      </c>
      <c r="I28" s="72"/>
      <c r="J28" s="64">
        <f>VLOOKUP('9. Adj Network to Current WS'!$B28, '4. RRR Data'!$B$27:$M$49,12,0)</f>
        <v>342743</v>
      </c>
      <c r="K28" s="59"/>
      <c r="L28" s="60">
        <f t="shared" si="0"/>
        <v>858695.40748657344</v>
      </c>
      <c r="M28" s="55"/>
      <c r="N28" s="61">
        <f t="shared" si="1"/>
        <v>0.14709597964590737</v>
      </c>
      <c r="P28" s="62">
        <f>IF(ISERROR('8. Forecast Wholesale'!$F$75*N28), "", '8. Forecast Wholesale'!$F$75*N28)</f>
        <v>858695.40748657344</v>
      </c>
      <c r="R28" s="63">
        <f t="shared" si="2"/>
        <v>2.5053623487177665</v>
      </c>
    </row>
    <row r="29" spans="2:18" ht="25.5" customHeight="1" thickBot="1" x14ac:dyDescent="0.25">
      <c r="B29" s="15" t="str">
        <f>IF('3. Rate Classes'!Q28=1,'3. Rate Classes'!C28, 0)</f>
        <v>Large Use</v>
      </c>
      <c r="C29" s="8"/>
      <c r="D29" s="16" t="str">
        <f>IF(ISERROR(VLOOKUP($B29, '3. Rate Classes'!$C$24:$H$45,6,0)), "", VLOOKUP($B29, '3. Rate Classes'!$C$24:$H$45,6,0))</f>
        <v>kW</v>
      </c>
      <c r="F29" s="67">
        <f>VLOOKUP($B29, '9. Adj Network to Current WS'!$B$25:$R$47, 17,0)</f>
        <v>2.7740075313690862</v>
      </c>
      <c r="G29" s="65"/>
      <c r="H29" s="64">
        <f>VLOOKUP('9. Adj Network to Current WS'!$B29, '4. RRR Data'!$B$27:$M$49,11,0)</f>
        <v>253616043</v>
      </c>
      <c r="I29" s="72"/>
      <c r="J29" s="64">
        <f>VLOOKUP('9. Adj Network to Current WS'!$B29, '4. RRR Data'!$B$27:$M$49,12,0)</f>
        <v>401335</v>
      </c>
      <c r="K29" s="59"/>
      <c r="L29" s="60">
        <f t="shared" si="0"/>
        <v>1113306.3126020122</v>
      </c>
      <c r="M29" s="55"/>
      <c r="N29" s="61">
        <f t="shared" si="1"/>
        <v>0.19071125951110476</v>
      </c>
      <c r="P29" s="62">
        <f>IF(ISERROR('8. Forecast Wholesale'!$F$75*N29), "", '8. Forecast Wholesale'!$F$75*N29)</f>
        <v>1113306.3126020122</v>
      </c>
      <c r="R29" s="63">
        <f t="shared" si="2"/>
        <v>2.7740075313690862</v>
      </c>
    </row>
    <row r="30" spans="2:18" ht="25.5" customHeight="1" thickBot="1" x14ac:dyDescent="0.25">
      <c r="B30" s="15" t="str">
        <f>IF('3. Rate Classes'!Q29=1,'3. Rate Classes'!C29, 0)</f>
        <v>Unmetered Scattered Load</v>
      </c>
      <c r="C30" s="8"/>
      <c r="D30" s="16" t="str">
        <f>IF(ISERROR(VLOOKUP($B30, '3. Rate Classes'!$C$24:$H$45,6,0)), "", VLOOKUP($B30, '3. Rate Classes'!$C$24:$H$45,6,0))</f>
        <v>kWh</v>
      </c>
      <c r="F30" s="67">
        <f>VLOOKUP($B30, '9. Adj Network to Current WS'!$B$25:$R$47, 17,0)</f>
        <v>5.7941275272280499E-3</v>
      </c>
      <c r="G30" s="65"/>
      <c r="H30" s="64">
        <f>VLOOKUP('9. Adj Network to Current WS'!$B30, '4. RRR Data'!$B$27:$M$49,11,0)</f>
        <v>2253843.594</v>
      </c>
      <c r="I30" s="72"/>
      <c r="J30" s="64">
        <f>VLOOKUP('9. Adj Network to Current WS'!$B30, '4. RRR Data'!$B$27:$M$49,12,0)</f>
        <v>0</v>
      </c>
      <c r="K30" s="59"/>
      <c r="L30" s="60">
        <f t="shared" si="0"/>
        <v>13059.057210062001</v>
      </c>
      <c r="M30" s="55"/>
      <c r="N30" s="61">
        <f t="shared" si="1"/>
        <v>2.2370386481845202E-3</v>
      </c>
      <c r="P30" s="62">
        <f>IF(ISERROR('8. Forecast Wholesale'!$F$75*N30), "", '8. Forecast Wholesale'!$F$75*N30)</f>
        <v>13059.057210062001</v>
      </c>
      <c r="R30" s="63">
        <f t="shared" si="2"/>
        <v>5.7941275272280499E-3</v>
      </c>
    </row>
    <row r="31" spans="2:18" ht="25.5" customHeight="1" thickBot="1" x14ac:dyDescent="0.25">
      <c r="B31" s="15" t="str">
        <f>IF('3. Rate Classes'!Q30=1,'3. Rate Classes'!C30, 0)</f>
        <v>Sentinel Lighting</v>
      </c>
      <c r="C31" s="8"/>
      <c r="D31" s="16" t="str">
        <f>IF(ISERROR(VLOOKUP($B31, '3. Rate Classes'!$C$24:$H$45,6,0)), "", VLOOKUP($B31, '3. Rate Classes'!$C$24:$H$45,6,0))</f>
        <v>kW</v>
      </c>
      <c r="F31" s="67">
        <f>VLOOKUP($B31, '9. Adj Network to Current WS'!$B$25:$R$47, 17,0)</f>
        <v>1.787994178680008</v>
      </c>
      <c r="G31" s="65"/>
      <c r="H31" s="64">
        <f>VLOOKUP('9. Adj Network to Current WS'!$B31, '4. RRR Data'!$B$27:$M$49,11,0)</f>
        <v>608868</v>
      </c>
      <c r="I31" s="72"/>
      <c r="J31" s="64">
        <f>VLOOKUP('9. Adj Network to Current WS'!$B31, '4. RRR Data'!$B$27:$M$49,12,0)</f>
        <v>1430</v>
      </c>
      <c r="K31" s="59"/>
      <c r="L31" s="60">
        <f t="shared" si="0"/>
        <v>2556.8316755124115</v>
      </c>
      <c r="M31" s="55"/>
      <c r="N31" s="61">
        <f t="shared" si="1"/>
        <v>4.3798960239002513E-4</v>
      </c>
      <c r="P31" s="62">
        <f>IF(ISERROR('8. Forecast Wholesale'!$F$75*N31), "", '8. Forecast Wholesale'!$F$75*N31)</f>
        <v>2556.8316755124115</v>
      </c>
      <c r="R31" s="63">
        <f t="shared" si="2"/>
        <v>1.787994178680008</v>
      </c>
    </row>
    <row r="32" spans="2:18" ht="25.5" customHeight="1" thickBot="1" x14ac:dyDescent="0.25">
      <c r="B32" s="15" t="str">
        <f>IF('3. Rate Classes'!Q31=1,'3. Rate Classes'!C31, 0)</f>
        <v>Street Lighting</v>
      </c>
      <c r="C32" s="8"/>
      <c r="D32" s="16" t="str">
        <f>IF(ISERROR(VLOOKUP($B32, '3. Rate Classes'!$C$24:$H$45,6,0)), "", VLOOKUP($B32, '3. Rate Classes'!$C$24:$H$45,6,0))</f>
        <v>kW</v>
      </c>
      <c r="F32" s="67">
        <f>VLOOKUP($B32, '9. Adj Network to Current WS'!$B$25:$R$47, 17,0)</f>
        <v>1.7788891211372211</v>
      </c>
      <c r="G32" s="65"/>
      <c r="H32" s="64">
        <f>VLOOKUP('9. Adj Network to Current WS'!$B32, '4. RRR Data'!$B$27:$M$49,11,0)</f>
        <v>9005139</v>
      </c>
      <c r="I32" s="72"/>
      <c r="J32" s="64">
        <f>VLOOKUP('9. Adj Network to Current WS'!$B32, '4. RRR Data'!$B$27:$M$49,12,0)</f>
        <v>24131</v>
      </c>
      <c r="K32" s="59"/>
      <c r="L32" s="60">
        <f t="shared" si="0"/>
        <v>42926.373382162281</v>
      </c>
      <c r="M32" s="55"/>
      <c r="N32" s="61">
        <f t="shared" si="1"/>
        <v>7.353360563296006E-3</v>
      </c>
      <c r="P32" s="62">
        <f>IF(ISERROR('8. Forecast Wholesale'!$F$75*N32), "", '8. Forecast Wholesale'!$F$75*N32)</f>
        <v>42926.373382162281</v>
      </c>
      <c r="R32" s="63">
        <f t="shared" si="2"/>
        <v>1.7788891211372211</v>
      </c>
    </row>
    <row r="33" spans="2:18" ht="25.5" hidden="1" customHeight="1" thickBot="1" x14ac:dyDescent="0.25">
      <c r="B33" s="15">
        <f>IF('3. Rate Classes'!Q32=1,'3. Rate Classes'!C32, 0)</f>
        <v>0</v>
      </c>
      <c r="C33" s="8"/>
      <c r="D33" s="16" t="str">
        <f>IF(ISERROR(VLOOKUP($B33, '3. Rate Classes'!$C$24:$H$45,6,0)), "", VLOOKUP($B33, '3. Rate Classes'!$C$24:$H$45,6,0))</f>
        <v/>
      </c>
      <c r="F33" s="67" t="str">
        <f>VLOOKUP($B33, '9. Adj Network to Current WS'!$B$25:$R$47, 17,0)</f>
        <v/>
      </c>
      <c r="G33" s="65"/>
      <c r="H33" s="64">
        <f>VLOOKUP('9. Adj Network to Current WS'!$B33, '4. RRR Data'!$B$27:$M$49,11,0)</f>
        <v>0</v>
      </c>
      <c r="I33" s="72"/>
      <c r="J33" s="64">
        <f>VLOOKUP('9. Adj Network to Current WS'!$B33, '4. RRR Data'!$B$27:$M$49,12,0)</f>
        <v>0</v>
      </c>
      <c r="K33" s="59"/>
      <c r="L33" s="60" t="str">
        <f t="shared" si="0"/>
        <v/>
      </c>
      <c r="M33" s="55"/>
      <c r="N33" s="61" t="str">
        <f t="shared" si="1"/>
        <v/>
      </c>
      <c r="P33" s="62" t="str">
        <f>IF(ISERROR('8. Forecast Wholesale'!$F$75*N33), "", '8. Forecast Wholesale'!$F$75*N33)</f>
        <v/>
      </c>
      <c r="R33" s="63" t="str">
        <f t="shared" si="2"/>
        <v/>
      </c>
    </row>
    <row r="34" spans="2:18" ht="25.5" hidden="1" customHeight="1" thickBot="1" x14ac:dyDescent="0.25">
      <c r="B34" s="15">
        <f>IF('3. Rate Classes'!Q33=1,'3. Rate Classes'!C33, 0)</f>
        <v>0</v>
      </c>
      <c r="C34" s="8"/>
      <c r="D34" s="16" t="str">
        <f>IF(ISERROR(VLOOKUP($B34, '3. Rate Classes'!$C$24:$H$45,6,0)), "", VLOOKUP($B34, '3. Rate Classes'!$C$24:$H$45,6,0))</f>
        <v/>
      </c>
      <c r="F34" s="67" t="str">
        <f>VLOOKUP($B34, '9. Adj Network to Current WS'!$B$25:$R$47, 17,0)</f>
        <v/>
      </c>
      <c r="G34" s="65"/>
      <c r="H34" s="64">
        <f>VLOOKUP('9. Adj Network to Current WS'!$B34, '4. RRR Data'!$B$27:$M$49,11,0)</f>
        <v>0</v>
      </c>
      <c r="I34" s="72"/>
      <c r="J34" s="64">
        <f>VLOOKUP('9. Adj Network to Current WS'!$B34, '4. RRR Data'!$B$27:$M$49,12,0)</f>
        <v>0</v>
      </c>
      <c r="K34" s="59"/>
      <c r="L34" s="60" t="str">
        <f t="shared" si="0"/>
        <v/>
      </c>
      <c r="M34" s="55"/>
      <c r="N34" s="61" t="str">
        <f t="shared" si="1"/>
        <v/>
      </c>
      <c r="P34" s="62" t="str">
        <f>IF(ISERROR('8. Forecast Wholesale'!$F$75*N34), "", '8. Forecast Wholesale'!$F$75*N34)</f>
        <v/>
      </c>
      <c r="R34" s="63" t="str">
        <f t="shared" si="2"/>
        <v/>
      </c>
    </row>
    <row r="35" spans="2:18" ht="25.5" hidden="1" customHeight="1" thickBot="1" x14ac:dyDescent="0.25">
      <c r="B35" s="15">
        <f>IF('3. Rate Classes'!Q34=1,'3. Rate Classes'!C34, 0)</f>
        <v>0</v>
      </c>
      <c r="C35" s="8"/>
      <c r="D35" s="16" t="str">
        <f>IF(ISERROR(VLOOKUP($B35, '3. Rate Classes'!$C$24:$H$45,6,0)), "", VLOOKUP($B35, '3. Rate Classes'!$C$24:$H$45,6,0))</f>
        <v/>
      </c>
      <c r="F35" s="67" t="str">
        <f>VLOOKUP($B35, '9. Adj Network to Current WS'!$B$25:$R$47, 17,0)</f>
        <v/>
      </c>
      <c r="G35" s="65"/>
      <c r="H35" s="64">
        <f>VLOOKUP('9. Adj Network to Current WS'!$B35, '4. RRR Data'!$B$27:$M$49,11,0)</f>
        <v>0</v>
      </c>
      <c r="I35" s="72"/>
      <c r="J35" s="64">
        <f>VLOOKUP('9. Adj Network to Current WS'!$B35, '4. RRR Data'!$B$27:$M$49,12,0)</f>
        <v>0</v>
      </c>
      <c r="K35" s="59"/>
      <c r="L35" s="60" t="str">
        <f t="shared" si="0"/>
        <v/>
      </c>
      <c r="M35" s="55"/>
      <c r="N35" s="61" t="str">
        <f t="shared" si="1"/>
        <v/>
      </c>
      <c r="P35" s="62" t="str">
        <f>IF(ISERROR('8. Forecast Wholesale'!$F$75*N35), "", '8. Forecast Wholesale'!$F$75*N35)</f>
        <v/>
      </c>
      <c r="R35" s="63" t="str">
        <f t="shared" si="2"/>
        <v/>
      </c>
    </row>
    <row r="36" spans="2:18" ht="25.5" hidden="1" customHeight="1" thickBot="1" x14ac:dyDescent="0.25">
      <c r="B36" s="15">
        <f>IF('3. Rate Classes'!Q35=1,'3. Rate Classes'!C35, 0)</f>
        <v>0</v>
      </c>
      <c r="C36" s="8"/>
      <c r="D36" s="16" t="str">
        <f>IF(ISERROR(VLOOKUP($B36, '3. Rate Classes'!$C$24:$H$45,6,0)), "", VLOOKUP($B36, '3. Rate Classes'!$C$24:$H$45,6,0))</f>
        <v/>
      </c>
      <c r="F36" s="67" t="str">
        <f>VLOOKUP($B36, '9. Adj Network to Current WS'!$B$25:$R$47, 17,0)</f>
        <v/>
      </c>
      <c r="G36" s="65"/>
      <c r="H36" s="64">
        <f>VLOOKUP('9. Adj Network to Current WS'!$B36, '4. RRR Data'!$B$27:$M$49,11,0)</f>
        <v>0</v>
      </c>
      <c r="I36" s="72"/>
      <c r="J36" s="64">
        <f>VLOOKUP('9. Adj Network to Current WS'!$B36, '4. RRR Data'!$B$27:$M$49,12,0)</f>
        <v>0</v>
      </c>
      <c r="K36" s="59"/>
      <c r="L36" s="60" t="str">
        <f t="shared" si="0"/>
        <v/>
      </c>
      <c r="M36" s="55"/>
      <c r="N36" s="61" t="str">
        <f t="shared" si="1"/>
        <v/>
      </c>
      <c r="P36" s="62" t="str">
        <f>IF(ISERROR('8. Forecast Wholesale'!$F$75*N36), "", '8. Forecast Wholesale'!$F$75*N36)</f>
        <v/>
      </c>
      <c r="R36" s="63" t="str">
        <f t="shared" si="2"/>
        <v/>
      </c>
    </row>
    <row r="37" spans="2:18" ht="25.5" hidden="1" customHeight="1" thickBot="1" x14ac:dyDescent="0.25">
      <c r="B37" s="15">
        <f>IF('3. Rate Classes'!Q36=1,'3. Rate Classes'!C36, 0)</f>
        <v>0</v>
      </c>
      <c r="C37" s="8"/>
      <c r="D37" s="16" t="str">
        <f>IF(ISERROR(VLOOKUP($B37, '3. Rate Classes'!$C$24:$H$45,6,0)), "", VLOOKUP($B37, '3. Rate Classes'!$C$24:$H$45,6,0))</f>
        <v/>
      </c>
      <c r="F37" s="67" t="str">
        <f>VLOOKUP($B37, '9. Adj Network to Current WS'!$B$25:$R$47, 17,0)</f>
        <v/>
      </c>
      <c r="G37" s="65"/>
      <c r="H37" s="64">
        <f>VLOOKUP('9. Adj Network to Current WS'!$B37, '4. RRR Data'!$B$27:$M$49,11,0)</f>
        <v>0</v>
      </c>
      <c r="I37" s="72"/>
      <c r="J37" s="64">
        <f>VLOOKUP('9. Adj Network to Current WS'!$B37, '4. RRR Data'!$B$27:$M$49,12,0)</f>
        <v>0</v>
      </c>
      <c r="K37" s="59"/>
      <c r="L37" s="60" t="str">
        <f t="shared" si="0"/>
        <v/>
      </c>
      <c r="M37" s="55"/>
      <c r="N37" s="61" t="str">
        <f t="shared" si="1"/>
        <v/>
      </c>
      <c r="P37" s="62" t="str">
        <f>IF(ISERROR('8. Forecast Wholesale'!$F$75*N37), "", '8. Forecast Wholesale'!$F$75*N37)</f>
        <v/>
      </c>
      <c r="R37" s="63" t="str">
        <f t="shared" si="2"/>
        <v/>
      </c>
    </row>
    <row r="38" spans="2:18" ht="25.5" hidden="1" customHeight="1" thickBot="1" x14ac:dyDescent="0.25">
      <c r="B38" s="15">
        <f>IF('3. Rate Classes'!Q37=1,'3. Rate Classes'!C37, 0)</f>
        <v>0</v>
      </c>
      <c r="C38" s="8"/>
      <c r="D38" s="16" t="str">
        <f>IF(ISERROR(VLOOKUP($B38, '3. Rate Classes'!$C$24:$H$45,6,0)), "", VLOOKUP($B38, '3. Rate Classes'!$C$24:$H$45,6,0))</f>
        <v/>
      </c>
      <c r="F38" s="67" t="str">
        <f>VLOOKUP($B38, '9. Adj Network to Current WS'!$B$25:$R$47, 17,0)</f>
        <v/>
      </c>
      <c r="G38" s="65"/>
      <c r="H38" s="64">
        <f>VLOOKUP('9. Adj Network to Current WS'!$B38, '4. RRR Data'!$B$27:$M$49,11,0)</f>
        <v>0</v>
      </c>
      <c r="I38" s="72"/>
      <c r="J38" s="64">
        <f>VLOOKUP('9. Adj Network to Current WS'!$B38, '4. RRR Data'!$B$27:$M$49,12,0)</f>
        <v>0</v>
      </c>
      <c r="K38" s="59"/>
      <c r="L38" s="60" t="str">
        <f t="shared" si="0"/>
        <v/>
      </c>
      <c r="M38" s="55"/>
      <c r="N38" s="61" t="str">
        <f t="shared" si="1"/>
        <v/>
      </c>
      <c r="P38" s="62" t="str">
        <f>IF(ISERROR('8. Forecast Wholesale'!$F$75*N38), "", '8. Forecast Wholesale'!$F$75*N38)</f>
        <v/>
      </c>
      <c r="R38" s="63" t="str">
        <f t="shared" si="2"/>
        <v/>
      </c>
    </row>
    <row r="39" spans="2:18" ht="25.5" hidden="1" customHeight="1" thickBot="1" x14ac:dyDescent="0.25">
      <c r="B39" s="15">
        <f>IF('3. Rate Classes'!Q38=1,'3. Rate Classes'!C38, 0)</f>
        <v>0</v>
      </c>
      <c r="C39" s="8"/>
      <c r="D39" s="16" t="str">
        <f>IF(ISERROR(VLOOKUP($B39, '3. Rate Classes'!$C$24:$H$45,6,0)), "", VLOOKUP($B39, '3. Rate Classes'!$C$24:$H$45,6,0))</f>
        <v/>
      </c>
      <c r="F39" s="67" t="str">
        <f>VLOOKUP($B39, '9. Adj Network to Current WS'!$B$25:$R$47, 17,0)</f>
        <v/>
      </c>
      <c r="G39" s="65"/>
      <c r="H39" s="64">
        <f>VLOOKUP('9. Adj Network to Current WS'!$B39, '4. RRR Data'!$B$27:$M$49,11,0)</f>
        <v>0</v>
      </c>
      <c r="I39" s="72"/>
      <c r="J39" s="64">
        <f>VLOOKUP('9. Adj Network to Current WS'!$B39, '4. RRR Data'!$B$27:$M$49,12,0)</f>
        <v>0</v>
      </c>
      <c r="K39" s="59"/>
      <c r="L39" s="60" t="str">
        <f t="shared" si="0"/>
        <v/>
      </c>
      <c r="M39" s="55"/>
      <c r="N39" s="61" t="str">
        <f t="shared" si="1"/>
        <v/>
      </c>
      <c r="P39" s="62" t="str">
        <f>IF(ISERROR('8. Forecast Wholesale'!$F$75*N39), "", '8. Forecast Wholesale'!$F$75*N39)</f>
        <v/>
      </c>
      <c r="R39" s="63" t="str">
        <f t="shared" si="2"/>
        <v/>
      </c>
    </row>
    <row r="40" spans="2:18" ht="25.5" hidden="1" customHeight="1" thickBot="1" x14ac:dyDescent="0.25">
      <c r="B40" s="15">
        <f>IF('3. Rate Classes'!Q39=1,'3. Rate Classes'!C39, 0)</f>
        <v>0</v>
      </c>
      <c r="C40" s="8"/>
      <c r="D40" s="16" t="str">
        <f>IF(ISERROR(VLOOKUP($B40, '3. Rate Classes'!$C$24:$H$45,6,0)), "", VLOOKUP($B40, '3. Rate Classes'!$C$24:$H$45,6,0))</f>
        <v/>
      </c>
      <c r="F40" s="67" t="str">
        <f>VLOOKUP($B40, '9. Adj Network to Current WS'!$B$25:$R$47, 17,0)</f>
        <v/>
      </c>
      <c r="G40" s="65"/>
      <c r="H40" s="64">
        <f>VLOOKUP('9. Adj Network to Current WS'!$B40, '4. RRR Data'!$B$27:$M$49,11,0)</f>
        <v>0</v>
      </c>
      <c r="I40" s="72"/>
      <c r="J40" s="64">
        <f>VLOOKUP('9. Adj Network to Current WS'!$B40, '4. RRR Data'!$B$27:$M$49,12,0)</f>
        <v>0</v>
      </c>
      <c r="K40" s="59"/>
      <c r="L40" s="60" t="str">
        <f t="shared" si="0"/>
        <v/>
      </c>
      <c r="M40" s="55"/>
      <c r="N40" s="61" t="str">
        <f t="shared" si="1"/>
        <v/>
      </c>
      <c r="P40" s="62" t="str">
        <f>IF(ISERROR('8. Forecast Wholesale'!$F$75*N40), "", '8. Forecast Wholesale'!$F$75*N40)</f>
        <v/>
      </c>
      <c r="R40" s="63" t="str">
        <f t="shared" si="2"/>
        <v/>
      </c>
    </row>
    <row r="41" spans="2:18" ht="25.5" hidden="1" customHeight="1" thickBot="1" x14ac:dyDescent="0.25">
      <c r="B41" s="15">
        <f>IF('3. Rate Classes'!Q40=1,'3. Rate Classes'!C40, 0)</f>
        <v>0</v>
      </c>
      <c r="C41" s="8"/>
      <c r="D41" s="16" t="str">
        <f>IF(ISERROR(VLOOKUP($B41, '3. Rate Classes'!$C$24:$H$45,6,0)), "", VLOOKUP($B41, '3. Rate Classes'!$C$24:$H$45,6,0))</f>
        <v/>
      </c>
      <c r="F41" s="67" t="str">
        <f>VLOOKUP($B41, '9. Adj Network to Current WS'!$B$25:$R$47, 17,0)</f>
        <v/>
      </c>
      <c r="G41" s="65"/>
      <c r="H41" s="64">
        <f>VLOOKUP('9. Adj Network to Current WS'!$B41, '4. RRR Data'!$B$27:$M$49,11,0)</f>
        <v>0</v>
      </c>
      <c r="I41" s="72"/>
      <c r="J41" s="64">
        <f>VLOOKUP('9. Adj Network to Current WS'!$B41, '4. RRR Data'!$B$27:$M$49,12,0)</f>
        <v>0</v>
      </c>
      <c r="K41" s="59"/>
      <c r="L41" s="60" t="str">
        <f t="shared" si="0"/>
        <v/>
      </c>
      <c r="M41" s="55"/>
      <c r="N41" s="61" t="str">
        <f t="shared" si="1"/>
        <v/>
      </c>
      <c r="P41" s="62" t="str">
        <f>IF(ISERROR('8. Forecast Wholesale'!$F$75*N41), "", '8. Forecast Wholesale'!$F$75*N41)</f>
        <v/>
      </c>
      <c r="R41" s="63" t="str">
        <f t="shared" si="2"/>
        <v/>
      </c>
    </row>
    <row r="42" spans="2:18" ht="25.5" hidden="1" customHeight="1" thickBot="1" x14ac:dyDescent="0.25">
      <c r="B42" s="15">
        <f>IF('3. Rate Classes'!Q41=1,'3. Rate Classes'!C41, 0)</f>
        <v>0</v>
      </c>
      <c r="C42" s="8"/>
      <c r="D42" s="16" t="str">
        <f>IF(ISERROR(VLOOKUP($B42, '3. Rate Classes'!$C$24:$H$45,6,0)), "", VLOOKUP($B42, '3. Rate Classes'!$C$24:$H$45,6,0))</f>
        <v/>
      </c>
      <c r="F42" s="67" t="str">
        <f>VLOOKUP($B42, '9. Adj Network to Current WS'!$B$25:$R$47, 17,0)</f>
        <v/>
      </c>
      <c r="G42" s="65"/>
      <c r="H42" s="64">
        <f>VLOOKUP('9. Adj Network to Current WS'!$B42, '4. RRR Data'!$B$27:$M$49,11,0)</f>
        <v>0</v>
      </c>
      <c r="I42" s="72"/>
      <c r="J42" s="64">
        <f>VLOOKUP('9. Adj Network to Current WS'!$B42, '4. RRR Data'!$B$27:$M$49,12,0)</f>
        <v>0</v>
      </c>
      <c r="K42" s="59"/>
      <c r="L42" s="60" t="str">
        <f t="shared" si="0"/>
        <v/>
      </c>
      <c r="M42" s="55"/>
      <c r="N42" s="61" t="str">
        <f t="shared" si="1"/>
        <v/>
      </c>
      <c r="P42" s="62" t="str">
        <f>IF(ISERROR('8. Forecast Wholesale'!$F$75*N42), "", '8. Forecast Wholesale'!$F$75*N42)</f>
        <v/>
      </c>
      <c r="R42" s="63" t="str">
        <f t="shared" si="2"/>
        <v/>
      </c>
    </row>
    <row r="43" spans="2:18" ht="25.5" hidden="1" customHeight="1" thickBot="1" x14ac:dyDescent="0.25">
      <c r="B43" s="15">
        <f>IF('3. Rate Classes'!Q42=1,'3. Rate Classes'!C42, 0)</f>
        <v>0</v>
      </c>
      <c r="C43" s="8"/>
      <c r="D43" s="16" t="str">
        <f>IF(ISERROR(VLOOKUP($B43, '3. Rate Classes'!$C$24:$H$45,6,0)), "", VLOOKUP($B43, '3. Rate Classes'!$C$24:$H$45,6,0))</f>
        <v/>
      </c>
      <c r="F43" s="67" t="str">
        <f>VLOOKUP($B43, '9. Adj Network to Current WS'!$B$25:$R$47, 17,0)</f>
        <v/>
      </c>
      <c r="G43" s="65"/>
      <c r="H43" s="64">
        <f>VLOOKUP('9. Adj Network to Current WS'!$B43, '4. RRR Data'!$B$27:$M$49,11,0)</f>
        <v>0</v>
      </c>
      <c r="I43" s="72"/>
      <c r="J43" s="64">
        <f>VLOOKUP('9. Adj Network to Current WS'!$B43, '4. RRR Data'!$B$27:$M$49,12,0)</f>
        <v>0</v>
      </c>
      <c r="K43" s="59"/>
      <c r="L43" s="60" t="str">
        <f t="shared" si="0"/>
        <v/>
      </c>
      <c r="M43" s="55"/>
      <c r="N43" s="61" t="str">
        <f t="shared" si="1"/>
        <v/>
      </c>
      <c r="P43" s="62" t="str">
        <f>IF(ISERROR('8. Forecast Wholesale'!$F$75*N43), "", '8. Forecast Wholesale'!$F$75*N43)</f>
        <v/>
      </c>
      <c r="R43" s="63" t="str">
        <f t="shared" si="2"/>
        <v/>
      </c>
    </row>
    <row r="44" spans="2:18" ht="25.5" hidden="1" customHeight="1" thickBot="1" x14ac:dyDescent="0.25">
      <c r="B44" s="15">
        <f>IF('3. Rate Classes'!Q43=1,'3. Rate Classes'!C43, 0)</f>
        <v>0</v>
      </c>
      <c r="C44" s="8"/>
      <c r="D44" s="16" t="str">
        <f>IF(ISERROR(VLOOKUP($B44, '3. Rate Classes'!$C$24:$H$45,6,0)), "", VLOOKUP($B44, '3. Rate Classes'!$C$24:$H$45,6,0))</f>
        <v/>
      </c>
      <c r="F44" s="67" t="str">
        <f>VLOOKUP($B44, '9. Adj Network to Current WS'!$B$25:$R$47, 17,0)</f>
        <v/>
      </c>
      <c r="G44" s="65"/>
      <c r="H44" s="64">
        <f>VLOOKUP('9. Adj Network to Current WS'!$B44, '4. RRR Data'!$B$27:$M$49,11,0)</f>
        <v>0</v>
      </c>
      <c r="I44" s="72"/>
      <c r="J44" s="64">
        <f>VLOOKUP('9. Adj Network to Current WS'!$B44, '4. RRR Data'!$B$27:$M$49,12,0)</f>
        <v>0</v>
      </c>
      <c r="K44" s="59"/>
      <c r="L44" s="60" t="str">
        <f t="shared" si="0"/>
        <v/>
      </c>
      <c r="M44" s="55"/>
      <c r="N44" s="61" t="str">
        <f t="shared" si="1"/>
        <v/>
      </c>
      <c r="P44" s="62" t="str">
        <f>IF(ISERROR('8. Forecast Wholesale'!$F$75*N44), "", '8. Forecast Wholesale'!$F$75*N44)</f>
        <v/>
      </c>
      <c r="R44" s="63" t="str">
        <f t="shared" si="2"/>
        <v/>
      </c>
    </row>
    <row r="45" spans="2:18" ht="25.5" hidden="1" customHeight="1" thickBot="1" x14ac:dyDescent="0.25">
      <c r="B45" s="15">
        <f>IF('3. Rate Classes'!Q44=1,'3. Rate Classes'!C44, 0)</f>
        <v>0</v>
      </c>
      <c r="C45" s="8"/>
      <c r="D45" s="16" t="str">
        <f>IF(ISERROR(VLOOKUP($B45, '3. Rate Classes'!$C$24:$H$45,6,0)), "", VLOOKUP($B45, '3. Rate Classes'!$C$24:$H$45,6,0))</f>
        <v/>
      </c>
      <c r="F45" s="67" t="str">
        <f>VLOOKUP($B45, '9. Adj Network to Current WS'!$B$25:$R$47, 17,0)</f>
        <v/>
      </c>
      <c r="G45" s="65"/>
      <c r="H45" s="64">
        <f>VLOOKUP('9. Adj Network to Current WS'!$B45, '4. RRR Data'!$B$27:$M$49,11,0)</f>
        <v>0</v>
      </c>
      <c r="I45" s="72"/>
      <c r="J45" s="64">
        <f>VLOOKUP('9. Adj Network to Current WS'!$B45, '4. RRR Data'!$B$27:$M$49,12,0)</f>
        <v>0</v>
      </c>
      <c r="K45" s="59"/>
      <c r="L45" s="60" t="str">
        <f t="shared" si="0"/>
        <v/>
      </c>
      <c r="M45" s="55"/>
      <c r="N45" s="61" t="str">
        <f t="shared" si="1"/>
        <v/>
      </c>
      <c r="P45" s="62" t="str">
        <f>IF(ISERROR('8. Forecast Wholesale'!$F$75*N45), "", '8. Forecast Wholesale'!$F$75*N45)</f>
        <v/>
      </c>
      <c r="R45" s="63" t="str">
        <f t="shared" si="2"/>
        <v/>
      </c>
    </row>
    <row r="46" spans="2:18" ht="25.5" hidden="1" customHeight="1" thickBot="1" x14ac:dyDescent="0.25">
      <c r="B46" s="15">
        <f>IF('3. Rate Classes'!Q45=1,'3. Rate Classes'!C45, 0)</f>
        <v>0</v>
      </c>
      <c r="C46" s="8"/>
      <c r="D46" s="16" t="str">
        <f>IF(ISERROR(VLOOKUP($B46, '3. Rate Classes'!$C$24:$H$45,6,0)), "", VLOOKUP($B46, '3. Rate Classes'!$C$24:$H$45,6,0))</f>
        <v/>
      </c>
      <c r="F46" s="67" t="str">
        <f>VLOOKUP($B46, '9. Adj Network to Current WS'!$B$25:$R$47, 17,0)</f>
        <v/>
      </c>
      <c r="G46" s="65"/>
      <c r="H46" s="64">
        <f>VLOOKUP('9. Adj Network to Current WS'!$B46, '4. RRR Data'!$B$27:$M$49,11,0)</f>
        <v>0</v>
      </c>
      <c r="I46" s="72"/>
      <c r="J46" s="64">
        <f>VLOOKUP('9. Adj Network to Current WS'!$B46, '4. RRR Data'!$B$27:$M$49,12,0)</f>
        <v>0</v>
      </c>
      <c r="K46" s="59"/>
      <c r="L46" s="60" t="str">
        <f t="shared" si="0"/>
        <v/>
      </c>
      <c r="M46" s="55"/>
      <c r="N46" s="61" t="str">
        <f t="shared" si="1"/>
        <v/>
      </c>
      <c r="P46" s="62" t="str">
        <f>IF(ISERROR('8. Forecast Wholesale'!$F$75*N46), "", '8. Forecast Wholesale'!$F$75*N46)</f>
        <v/>
      </c>
      <c r="R46" s="63" t="str">
        <f t="shared" si="2"/>
        <v/>
      </c>
    </row>
    <row r="47" spans="2:18" ht="13.5" hidden="1" thickBot="1" x14ac:dyDescent="0.25">
      <c r="F47" s="67"/>
      <c r="G47" s="66"/>
      <c r="H47" s="66"/>
      <c r="I47" s="66"/>
      <c r="J47" s="66"/>
      <c r="R47" s="68"/>
    </row>
    <row r="48" spans="2:18" ht="13.5" thickBot="1" x14ac:dyDescent="0.25">
      <c r="F48" s="67"/>
      <c r="G48" s="66"/>
      <c r="H48" s="66"/>
      <c r="I48" s="66"/>
      <c r="J48" s="66"/>
      <c r="R48" s="68"/>
    </row>
    <row r="49" spans="6:18" ht="13.5" thickBot="1" x14ac:dyDescent="0.25">
      <c r="F49" s="67"/>
      <c r="G49" s="66"/>
      <c r="H49" s="66"/>
      <c r="I49" s="66"/>
      <c r="J49" s="66"/>
      <c r="L49" s="71">
        <f>SUM(L25:L46)</f>
        <v>5837653.8200000003</v>
      </c>
      <c r="R49" s="68"/>
    </row>
    <row r="50" spans="6:18" ht="13.5" thickBot="1" x14ac:dyDescent="0.25">
      <c r="F50" s="67"/>
      <c r="G50" s="66"/>
      <c r="H50" s="66"/>
      <c r="I50" s="66"/>
      <c r="J50" s="66"/>
      <c r="R50" s="68"/>
    </row>
    <row r="51" spans="6:18" ht="13.5" thickBot="1" x14ac:dyDescent="0.25">
      <c r="F51" s="67"/>
      <c r="G51" s="66"/>
      <c r="H51" s="66"/>
      <c r="I51" s="66"/>
      <c r="J51" s="66"/>
      <c r="R51" s="68"/>
    </row>
    <row r="52" spans="6:18" ht="13.5" thickBot="1" x14ac:dyDescent="0.25">
      <c r="F52" s="67"/>
      <c r="G52" s="66"/>
      <c r="H52" s="66"/>
      <c r="I52" s="66"/>
      <c r="J52" s="66"/>
    </row>
    <row r="53" spans="6:18" ht="13.5" thickBot="1" x14ac:dyDescent="0.25">
      <c r="F53" s="67"/>
      <c r="G53" s="66"/>
      <c r="H53" s="66"/>
      <c r="I53" s="66"/>
      <c r="J53" s="66"/>
    </row>
    <row r="54" spans="6:18" ht="13.5" thickBot="1" x14ac:dyDescent="0.25">
      <c r="F54" s="56"/>
    </row>
    <row r="55" spans="6:18" ht="13.5" thickBot="1" x14ac:dyDescent="0.25">
      <c r="F55" s="56"/>
    </row>
    <row r="56" spans="6:18" ht="13.5" thickBot="1" x14ac:dyDescent="0.25">
      <c r="F56" s="56"/>
    </row>
  </sheetData>
  <sheetProtection password="F8BD" sheet="1" objects="1" scenarios="1"/>
  <phoneticPr fontId="21" type="noConversion"/>
  <pageMargins left="0.75" right="0.75" top="1" bottom="1" header="0.5" footer="0.5"/>
  <pageSetup scale="67" orientation="landscape" r:id="rId1"/>
  <headerFooter alignWithMargins="0">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3:R56"/>
  <sheetViews>
    <sheetView showGridLines="0" topLeftCell="C1" workbookViewId="0">
      <pane ySplit="23" topLeftCell="A24" activePane="bottomLeft" state="frozenSplit"/>
      <selection pane="bottomLeft" activeCell="C50" sqref="C1:R50"/>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3.85546875" customWidth="1"/>
  </cols>
  <sheetData>
    <row r="13" spans="2:2" x14ac:dyDescent="0.2">
      <c r="B13" s="137" t="s">
        <v>213</v>
      </c>
    </row>
    <row r="15" spans="2:2" ht="2.25" customHeight="1" x14ac:dyDescent="0.2"/>
    <row r="16" spans="2:2" ht="2.25" customHeight="1" x14ac:dyDescent="0.2"/>
    <row r="17" spans="2:18" ht="2.25" customHeight="1" x14ac:dyDescent="0.2"/>
    <row r="18" spans="2:18" ht="2.25" customHeight="1" x14ac:dyDescent="0.2"/>
    <row r="19" spans="2:18" ht="2.25" customHeight="1" x14ac:dyDescent="0.2">
      <c r="B19" s="138" t="s">
        <v>209</v>
      </c>
    </row>
    <row r="20" spans="2:18" ht="2.25" customHeight="1" x14ac:dyDescent="0.2"/>
    <row r="21" spans="2:18" ht="16.5" x14ac:dyDescent="0.3">
      <c r="D21" s="11"/>
      <c r="E21" s="5"/>
      <c r="F21" s="12"/>
      <c r="G21" s="12"/>
      <c r="H21" s="5"/>
      <c r="I21" s="5"/>
      <c r="J21" s="5"/>
      <c r="K21" s="11"/>
    </row>
    <row r="22" spans="2:18" s="139" customFormat="1" ht="63" x14ac:dyDescent="0.2">
      <c r="B22" s="131" t="s">
        <v>209</v>
      </c>
      <c r="D22" s="139" t="s">
        <v>210</v>
      </c>
      <c r="E22" s="136"/>
      <c r="F22" s="139" t="s">
        <v>214</v>
      </c>
      <c r="G22" s="132"/>
      <c r="H22" s="139" t="s">
        <v>215</v>
      </c>
      <c r="I22" s="136"/>
      <c r="J22" s="139" t="s">
        <v>216</v>
      </c>
      <c r="K22" s="132"/>
      <c r="L22" s="139" t="s">
        <v>217</v>
      </c>
      <c r="N22" s="139" t="s">
        <v>218</v>
      </c>
      <c r="P22" s="139" t="s">
        <v>224</v>
      </c>
      <c r="R22" s="139" t="s">
        <v>212</v>
      </c>
    </row>
    <row r="25" spans="2:18" ht="25.5" customHeight="1" thickBot="1" x14ac:dyDescent="0.25">
      <c r="B25" s="15" t="str">
        <f>IF('3. Rate Classes'!Q24=1,'3. Rate Classes'!C24, 0)</f>
        <v>Residential</v>
      </c>
      <c r="C25" s="8"/>
      <c r="D25" s="16" t="str">
        <f>IF(ISERROR(VLOOKUP($B25, '3. Rate Classes'!$C$24:$H$45,6,0)), "", VLOOKUP($B25, '3. Rate Classes'!$C$24:$H$45,6,0))</f>
        <v>kWh</v>
      </c>
      <c r="F25" s="70">
        <f>VLOOKUP($B25, '10. Adj Conn. to Current WS'!$B$25:$R$47, 17,0)</f>
        <v>5.490290740041954E-3</v>
      </c>
      <c r="G25" s="57"/>
      <c r="H25" s="64">
        <f>VLOOKUP('9. Adj Network to Current WS'!$B25, '4. RRR Data'!$B$27:$M$49,11,0)</f>
        <v>272189552.4048</v>
      </c>
      <c r="I25" s="72"/>
      <c r="J25" s="64">
        <f>VLOOKUP('9. Adj Network to Current WS'!$B25, '4. RRR Data'!$B$27:$M$49,12,0)</f>
        <v>0</v>
      </c>
      <c r="K25" s="58"/>
      <c r="L25" s="60">
        <f t="shared" ref="L25:L46" si="0">IF(F25="", "", IF(D25="kWh", F25*H25, F25*J25))</f>
        <v>1494399.7791042377</v>
      </c>
      <c r="M25" s="55"/>
      <c r="N25" s="61">
        <f t="shared" ref="N25:N46" si="1">IF(ISERROR(L25/$L$49), "", L25/$L$49)</f>
        <v>0.30101579776103954</v>
      </c>
      <c r="O25" s="13"/>
      <c r="P25" s="62">
        <f>IF(ISERROR('8. Forecast Wholesale'!$P$75*N25), "", '8. Forecast Wholesale'!$P$75*N25)</f>
        <v>1494399.7791042377</v>
      </c>
      <c r="R25" s="63">
        <f t="shared" ref="R25:R46" si="2">IF(D25="","",IF(D25="kWh",IF(H25&lt;&gt;0,P25/H25,),IF(J25&lt;&gt;0,P25/J25,0)))</f>
        <v>5.490290740041954E-3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70">
        <f>VLOOKUP($B26, '10. Adj Conn. to Current WS'!$B$25:$R$47, 17,0)</f>
        <v>4.8160445088087315E-3</v>
      </c>
      <c r="G26" s="57"/>
      <c r="H26" s="64">
        <f>VLOOKUP('9. Adj Network to Current WS'!$B26, '4. RRR Data'!$B$27:$M$49,11,0)</f>
        <v>112024222.87800001</v>
      </c>
      <c r="I26" s="72"/>
      <c r="J26" s="64">
        <f>VLOOKUP('9. Adj Network to Current WS'!$B26, '4. RRR Data'!$B$27:$M$49,12,0)</f>
        <v>0</v>
      </c>
      <c r="K26" s="59"/>
      <c r="L26" s="60">
        <f t="shared" si="0"/>
        <v>539513.64344515745</v>
      </c>
      <c r="M26" s="55"/>
      <c r="N26" s="61">
        <f t="shared" si="1"/>
        <v>0.10867381811442385</v>
      </c>
      <c r="P26" s="62">
        <f>IF(ISERROR('8. Forecast Wholesale'!$P$75*N26), "", '8. Forecast Wholesale'!$P$75*N26)</f>
        <v>539513.64344515745</v>
      </c>
      <c r="R26" s="63">
        <f t="shared" si="2"/>
        <v>4.8160445088087315E-3</v>
      </c>
    </row>
    <row r="27" spans="2:18" ht="25.5" customHeight="1" thickBot="1" x14ac:dyDescent="0.25">
      <c r="B27" s="15" t="str">
        <f>IF('3. Rate Classes'!Q26=1,'3. Rate Classes'!C26, 0)</f>
        <v>General Service 50 to 999 kW</v>
      </c>
      <c r="C27" s="8"/>
      <c r="D27" s="16" t="str">
        <f>IF(ISERROR(VLOOKUP($B27, '3. Rate Classes'!$C$24:$H$45,6,0)), "", VLOOKUP($B27, '3. Rate Classes'!$C$24:$H$45,6,0))</f>
        <v>kW</v>
      </c>
      <c r="F27" s="70">
        <f>VLOOKUP($B27, '10. Adj Conn. to Current WS'!$B$25:$R$47, 17,0)</f>
        <v>1.9262251617431403</v>
      </c>
      <c r="G27" s="57"/>
      <c r="H27" s="64">
        <f>VLOOKUP('9. Adj Network to Current WS'!$B27, '4. RRR Data'!$B$27:$M$49,11,0)</f>
        <v>225654890</v>
      </c>
      <c r="I27" s="72"/>
      <c r="J27" s="64">
        <f>VLOOKUP('9. Adj Network to Current WS'!$B27, '4. RRR Data'!$B$27:$M$49,12,0)</f>
        <v>617147</v>
      </c>
      <c r="K27" s="59"/>
      <c r="L27" s="60">
        <f t="shared" si="0"/>
        <v>1188764.0798942938</v>
      </c>
      <c r="M27" s="55"/>
      <c r="N27" s="61">
        <f t="shared" si="1"/>
        <v>0.23945183401562123</v>
      </c>
      <c r="P27" s="62">
        <f>IF(ISERROR('8. Forecast Wholesale'!$P$75*N27), "", '8. Forecast Wholesale'!$P$75*N27)</f>
        <v>1188764.0798942938</v>
      </c>
      <c r="R27" s="63">
        <f t="shared" si="2"/>
        <v>1.9262251617431403</v>
      </c>
    </row>
    <row r="28" spans="2:18" ht="25.5" customHeight="1" thickBot="1" x14ac:dyDescent="0.25">
      <c r="B28" s="15" t="str">
        <f>IF('3. Rate Classes'!Q27=1,'3. Rate Classes'!C27, 0)</f>
        <v>General Service 1,000 to 4,999 kW</v>
      </c>
      <c r="C28" s="8"/>
      <c r="D28" s="16" t="str">
        <f>IF(ISERROR(VLOOKUP($B28, '3. Rate Classes'!$C$24:$H$45,6,0)), "", VLOOKUP($B28, '3. Rate Classes'!$C$24:$H$45,6,0))</f>
        <v>kW</v>
      </c>
      <c r="F28" s="70">
        <f>VLOOKUP($B28, '10. Adj Conn. to Current WS'!$B$25:$R$47, 17,0)</f>
        <v>2.1116428753322762</v>
      </c>
      <c r="G28" s="57"/>
      <c r="H28" s="64">
        <f>VLOOKUP('9. Adj Network to Current WS'!$B28, '4. RRR Data'!$B$27:$M$49,11,0)</f>
        <v>163185559</v>
      </c>
      <c r="I28" s="72"/>
      <c r="J28" s="64">
        <f>VLOOKUP('9. Adj Network to Current WS'!$B28, '4. RRR Data'!$B$27:$M$49,12,0)</f>
        <v>342743</v>
      </c>
      <c r="K28" s="59"/>
      <c r="L28" s="60">
        <f t="shared" si="0"/>
        <v>723750.81402001041</v>
      </c>
      <c r="M28" s="55"/>
      <c r="N28" s="61">
        <f t="shared" si="1"/>
        <v>0.14578456963706427</v>
      </c>
      <c r="P28" s="62">
        <f>IF(ISERROR('8. Forecast Wholesale'!$P$75*N28), "", '8. Forecast Wholesale'!$P$75*N28)</f>
        <v>723750.81402001041</v>
      </c>
      <c r="R28" s="63">
        <f t="shared" si="2"/>
        <v>2.1116428753322762</v>
      </c>
    </row>
    <row r="29" spans="2:18" ht="25.5" customHeight="1" thickBot="1" x14ac:dyDescent="0.25">
      <c r="B29" s="15" t="str">
        <f>IF('3. Rate Classes'!Q28=1,'3. Rate Classes'!C28, 0)</f>
        <v>Large Use</v>
      </c>
      <c r="C29" s="8"/>
      <c r="D29" s="16" t="str">
        <f>IF(ISERROR(VLOOKUP($B29, '3. Rate Classes'!$C$24:$H$45,6,0)), "", VLOOKUP($B29, '3. Rate Classes'!$C$24:$H$45,6,0))</f>
        <v>kW</v>
      </c>
      <c r="F29" s="70">
        <f>VLOOKUP($B29, '10. Adj Conn. to Current WS'!$B$25:$R$47, 17,0)</f>
        <v>2.4147647167166988</v>
      </c>
      <c r="G29" s="57"/>
      <c r="H29" s="64">
        <f>VLOOKUP('9. Adj Network to Current WS'!$B29, '4. RRR Data'!$B$27:$M$49,11,0)</f>
        <v>253616043</v>
      </c>
      <c r="I29" s="72"/>
      <c r="J29" s="64">
        <f>VLOOKUP('9. Adj Network to Current WS'!$B29, '4. RRR Data'!$B$27:$M$49,12,0)</f>
        <v>401335</v>
      </c>
      <c r="K29" s="59"/>
      <c r="L29" s="60">
        <f t="shared" si="0"/>
        <v>969129.59758349636</v>
      </c>
      <c r="M29" s="55"/>
      <c r="N29" s="61">
        <f t="shared" si="1"/>
        <v>0.19521102922358169</v>
      </c>
      <c r="P29" s="62">
        <f>IF(ISERROR('8. Forecast Wholesale'!$P$75*N29), "", '8. Forecast Wholesale'!$P$75*N29)</f>
        <v>969129.59758349636</v>
      </c>
      <c r="R29" s="63">
        <f t="shared" si="2"/>
        <v>2.4147647167166988</v>
      </c>
    </row>
    <row r="30" spans="2:18" ht="25.5" customHeight="1" thickBot="1" x14ac:dyDescent="0.25">
      <c r="B30" s="15" t="str">
        <f>IF('3. Rate Classes'!Q29=1,'3. Rate Classes'!C29, 0)</f>
        <v>Unmetered Scattered Load</v>
      </c>
      <c r="C30" s="8"/>
      <c r="D30" s="16" t="str">
        <f>IF(ISERROR(VLOOKUP($B30, '3. Rate Classes'!$C$24:$H$45,6,0)), "", VLOOKUP($B30, '3. Rate Classes'!$C$24:$H$45,6,0))</f>
        <v>kWh</v>
      </c>
      <c r="F30" s="70">
        <f>VLOOKUP($B30, '10. Adj Conn. to Current WS'!$B$25:$R$47, 17,0)</f>
        <v>4.8160445088087324E-3</v>
      </c>
      <c r="G30" s="57"/>
      <c r="H30" s="64">
        <f>VLOOKUP('9. Adj Network to Current WS'!$B30, '4. RRR Data'!$B$27:$M$49,11,0)</f>
        <v>2253843.594</v>
      </c>
      <c r="I30" s="72"/>
      <c r="J30" s="64">
        <f>VLOOKUP('9. Adj Network to Current WS'!$B30, '4. RRR Data'!$B$27:$M$49,12,0)</f>
        <v>0</v>
      </c>
      <c r="K30" s="59"/>
      <c r="L30" s="60">
        <f t="shared" si="0"/>
        <v>10854.611064597439</v>
      </c>
      <c r="M30" s="55"/>
      <c r="N30" s="61">
        <f t="shared" si="1"/>
        <v>2.1864359555474047E-3</v>
      </c>
      <c r="P30" s="62">
        <f>IF(ISERROR('8. Forecast Wholesale'!$P$75*N30), "", '8. Forecast Wholesale'!$P$75*N30)</f>
        <v>10854.611064597439</v>
      </c>
      <c r="R30" s="63">
        <f t="shared" si="2"/>
        <v>4.8160445088087324E-3</v>
      </c>
    </row>
    <row r="31" spans="2:18" ht="25.5" customHeight="1" thickBot="1" x14ac:dyDescent="0.25">
      <c r="B31" s="15" t="str">
        <f>IF('3. Rate Classes'!Q30=1,'3. Rate Classes'!C30, 0)</f>
        <v>Sentinel Lighting</v>
      </c>
      <c r="C31" s="8"/>
      <c r="D31" s="16" t="str">
        <f>IF(ISERROR(VLOOKUP($B31, '3. Rate Classes'!$C$24:$H$45,6,0)), "", VLOOKUP($B31, '3. Rate Classes'!$C$24:$H$45,6,0))</f>
        <v>kW</v>
      </c>
      <c r="F31" s="70">
        <f>VLOOKUP($B31, '10. Adj Conn. to Current WS'!$B$25:$R$47, 17,0)</f>
        <v>1.5202326096505645</v>
      </c>
      <c r="G31" s="57"/>
      <c r="H31" s="64">
        <f>VLOOKUP('9. Adj Network to Current WS'!$B31, '4. RRR Data'!$B$27:$M$49,11,0)</f>
        <v>608868</v>
      </c>
      <c r="I31" s="72"/>
      <c r="J31" s="64">
        <f>VLOOKUP('9. Adj Network to Current WS'!$B31, '4. RRR Data'!$B$27:$M$49,12,0)</f>
        <v>1430</v>
      </c>
      <c r="K31" s="59"/>
      <c r="L31" s="60">
        <f t="shared" si="0"/>
        <v>2173.9326318003073</v>
      </c>
      <c r="M31" s="55"/>
      <c r="N31" s="61">
        <f t="shared" si="1"/>
        <v>4.3789357746852337E-4</v>
      </c>
      <c r="P31" s="62">
        <f>IF(ISERROR('8. Forecast Wholesale'!$P$75*N31), "", '8. Forecast Wholesale'!$P$75*N31)</f>
        <v>2173.9326318003073</v>
      </c>
      <c r="R31" s="63">
        <f t="shared" si="2"/>
        <v>1.5202326096505645</v>
      </c>
    </row>
    <row r="32" spans="2:18" ht="25.5" customHeight="1" thickBot="1" x14ac:dyDescent="0.25">
      <c r="B32" s="15" t="str">
        <f>IF('3. Rate Classes'!Q31=1,'3. Rate Classes'!C31, 0)</f>
        <v>Street Lighting</v>
      </c>
      <c r="C32" s="8"/>
      <c r="D32" s="16" t="str">
        <f>IF(ISERROR(VLOOKUP($B32, '3. Rate Classes'!$C$24:$H$45,6,0)), "", VLOOKUP($B32, '3. Rate Classes'!$C$24:$H$45,6,0))</f>
        <v>kW</v>
      </c>
      <c r="F32" s="70">
        <f>VLOOKUP($B32, '10. Adj Conn. to Current WS'!$B$25:$R$47, 17,0)</f>
        <v>1.4892172830138362</v>
      </c>
      <c r="G32" s="57"/>
      <c r="H32" s="64">
        <f>VLOOKUP('9. Adj Network to Current WS'!$B32, '4. RRR Data'!$B$27:$M$49,11,0)</f>
        <v>9005139</v>
      </c>
      <c r="I32" s="72"/>
      <c r="J32" s="64">
        <f>VLOOKUP('9. Adj Network to Current WS'!$B32, '4. RRR Data'!$B$27:$M$49,12,0)</f>
        <v>24131</v>
      </c>
      <c r="K32" s="59"/>
      <c r="L32" s="60">
        <f t="shared" si="0"/>
        <v>35936.302256406881</v>
      </c>
      <c r="M32" s="55"/>
      <c r="N32" s="61">
        <f t="shared" si="1"/>
        <v>7.2386217152536295E-3</v>
      </c>
      <c r="P32" s="62">
        <f>IF(ISERROR('8. Forecast Wholesale'!$P$75*N32), "", '8. Forecast Wholesale'!$P$75*N32)</f>
        <v>35936.302256406881</v>
      </c>
      <c r="R32" s="63">
        <f t="shared" si="2"/>
        <v>1.4892172830138362</v>
      </c>
    </row>
    <row r="33" spans="2:18" ht="25.5" hidden="1" customHeight="1" thickBot="1" x14ac:dyDescent="0.25">
      <c r="B33" s="15">
        <f>IF('3. Rate Classes'!Q32=1,'3. Rate Classes'!C32, 0)</f>
        <v>0</v>
      </c>
      <c r="C33" s="8"/>
      <c r="D33" s="16" t="str">
        <f>IF(ISERROR(VLOOKUP($B33, '3. Rate Classes'!$C$24:$H$45,6,0)), "", VLOOKUP($B33, '3. Rate Classes'!$C$24:$H$45,6,0))</f>
        <v/>
      </c>
      <c r="F33" s="70" t="str">
        <f>VLOOKUP($B33, '10. Adj Conn. to Current WS'!$B$25:$R$47, 17,0)</f>
        <v/>
      </c>
      <c r="G33" s="57"/>
      <c r="H33" s="64">
        <f>VLOOKUP('9. Adj Network to Current WS'!$B33, '4. RRR Data'!$B$27:$M$49,11,0)</f>
        <v>0</v>
      </c>
      <c r="I33" s="72"/>
      <c r="J33" s="64">
        <f>VLOOKUP('9. Adj Network to Current WS'!$B33, '4. RRR Data'!$B$27:$M$49,12,0)</f>
        <v>0</v>
      </c>
      <c r="K33" s="59"/>
      <c r="L33" s="60" t="str">
        <f t="shared" si="0"/>
        <v/>
      </c>
      <c r="M33" s="55"/>
      <c r="N33" s="61" t="str">
        <f t="shared" si="1"/>
        <v/>
      </c>
      <c r="P33" s="62" t="str">
        <f>IF(ISERROR('8. Forecast Wholesale'!$P$75*N33), "", '8. Forecast Wholesale'!$P$75*N33)</f>
        <v/>
      </c>
      <c r="R33" s="63" t="str">
        <f t="shared" si="2"/>
        <v/>
      </c>
    </row>
    <row r="34" spans="2:18" ht="25.5" hidden="1" customHeight="1" thickBot="1" x14ac:dyDescent="0.25">
      <c r="B34" s="15">
        <f>IF('3. Rate Classes'!Q33=1,'3. Rate Classes'!C33, 0)</f>
        <v>0</v>
      </c>
      <c r="C34" s="8"/>
      <c r="D34" s="16" t="str">
        <f>IF(ISERROR(VLOOKUP($B34, '3. Rate Classes'!$C$24:$H$45,6,0)), "", VLOOKUP($B34, '3. Rate Classes'!$C$24:$H$45,6,0))</f>
        <v/>
      </c>
      <c r="F34" s="70" t="str">
        <f>VLOOKUP($B34, '10. Adj Conn. to Current WS'!$B$25:$R$47, 17,0)</f>
        <v/>
      </c>
      <c r="G34" s="57"/>
      <c r="H34" s="64">
        <f>VLOOKUP('9. Adj Network to Current WS'!$B34, '4. RRR Data'!$B$27:$M$49,11,0)</f>
        <v>0</v>
      </c>
      <c r="I34" s="72"/>
      <c r="J34" s="64">
        <f>VLOOKUP('9. Adj Network to Current WS'!$B34, '4. RRR Data'!$B$27:$M$49,12,0)</f>
        <v>0</v>
      </c>
      <c r="K34" s="59"/>
      <c r="L34" s="60" t="str">
        <f t="shared" si="0"/>
        <v/>
      </c>
      <c r="M34" s="55"/>
      <c r="N34" s="61" t="str">
        <f t="shared" si="1"/>
        <v/>
      </c>
      <c r="P34" s="62" t="str">
        <f>IF(ISERROR('8. Forecast Wholesale'!$P$75*N34), "", '8. Forecast Wholesale'!$P$75*N34)</f>
        <v/>
      </c>
      <c r="R34" s="63" t="str">
        <f t="shared" si="2"/>
        <v/>
      </c>
    </row>
    <row r="35" spans="2:18" ht="25.5" hidden="1" customHeight="1" thickBot="1" x14ac:dyDescent="0.25">
      <c r="B35" s="15">
        <f>IF('3. Rate Classes'!Q34=1,'3. Rate Classes'!C34, 0)</f>
        <v>0</v>
      </c>
      <c r="C35" s="8"/>
      <c r="D35" s="16" t="str">
        <f>IF(ISERROR(VLOOKUP($B35, '3. Rate Classes'!$C$24:$H$45,6,0)), "", VLOOKUP($B35, '3. Rate Classes'!$C$24:$H$45,6,0))</f>
        <v/>
      </c>
      <c r="F35" s="70" t="str">
        <f>VLOOKUP($B35, '10. Adj Conn. to Current WS'!$B$25:$R$47, 17,0)</f>
        <v/>
      </c>
      <c r="G35" s="57"/>
      <c r="H35" s="64">
        <f>VLOOKUP('9. Adj Network to Current WS'!$B35, '4. RRR Data'!$B$27:$M$49,11,0)</f>
        <v>0</v>
      </c>
      <c r="I35" s="72"/>
      <c r="J35" s="64">
        <f>VLOOKUP('9. Adj Network to Current WS'!$B35, '4. RRR Data'!$B$27:$M$49,12,0)</f>
        <v>0</v>
      </c>
      <c r="K35" s="59"/>
      <c r="L35" s="60" t="str">
        <f t="shared" si="0"/>
        <v/>
      </c>
      <c r="M35" s="55"/>
      <c r="N35" s="61" t="str">
        <f t="shared" si="1"/>
        <v/>
      </c>
      <c r="P35" s="62" t="str">
        <f>IF(ISERROR('8. Forecast Wholesale'!$P$75*N35), "", '8. Forecast Wholesale'!$P$75*N35)</f>
        <v/>
      </c>
      <c r="R35" s="63" t="str">
        <f t="shared" si="2"/>
        <v/>
      </c>
    </row>
    <row r="36" spans="2:18" ht="25.5" hidden="1" customHeight="1" thickBot="1" x14ac:dyDescent="0.25">
      <c r="B36" s="15">
        <f>IF('3. Rate Classes'!Q35=1,'3. Rate Classes'!C35, 0)</f>
        <v>0</v>
      </c>
      <c r="C36" s="8"/>
      <c r="D36" s="16" t="str">
        <f>IF(ISERROR(VLOOKUP($B36, '3. Rate Classes'!$C$24:$H$45,6,0)), "", VLOOKUP($B36, '3. Rate Classes'!$C$24:$H$45,6,0))</f>
        <v/>
      </c>
      <c r="F36" s="70" t="str">
        <f>VLOOKUP($B36, '10. Adj Conn. to Current WS'!$B$25:$R$47, 17,0)</f>
        <v/>
      </c>
      <c r="G36" s="57"/>
      <c r="H36" s="64">
        <f>VLOOKUP('9. Adj Network to Current WS'!$B36, '4. RRR Data'!$B$27:$M$49,11,0)</f>
        <v>0</v>
      </c>
      <c r="I36" s="72"/>
      <c r="J36" s="64">
        <f>VLOOKUP('9. Adj Network to Current WS'!$B36, '4. RRR Data'!$B$27:$M$49,12,0)</f>
        <v>0</v>
      </c>
      <c r="K36" s="59"/>
      <c r="L36" s="60" t="str">
        <f t="shared" si="0"/>
        <v/>
      </c>
      <c r="M36" s="55"/>
      <c r="N36" s="61" t="str">
        <f t="shared" si="1"/>
        <v/>
      </c>
      <c r="P36" s="62" t="str">
        <f>IF(ISERROR('8. Forecast Wholesale'!$P$75*N36), "", '8. Forecast Wholesale'!$P$75*N36)</f>
        <v/>
      </c>
      <c r="R36" s="63" t="str">
        <f t="shared" si="2"/>
        <v/>
      </c>
    </row>
    <row r="37" spans="2:18" ht="25.5" hidden="1" customHeight="1" thickBot="1" x14ac:dyDescent="0.25">
      <c r="B37" s="15">
        <f>IF('3. Rate Classes'!Q36=1,'3. Rate Classes'!C36, 0)</f>
        <v>0</v>
      </c>
      <c r="C37" s="8"/>
      <c r="D37" s="16" t="str">
        <f>IF(ISERROR(VLOOKUP($B37, '3. Rate Classes'!$C$24:$H$45,6,0)), "", VLOOKUP($B37, '3. Rate Classes'!$C$24:$H$45,6,0))</f>
        <v/>
      </c>
      <c r="F37" s="70" t="str">
        <f>VLOOKUP($B37, '10. Adj Conn. to Current WS'!$B$25:$R$47, 17,0)</f>
        <v/>
      </c>
      <c r="G37" s="57"/>
      <c r="H37" s="64">
        <f>VLOOKUP('9. Adj Network to Current WS'!$B37, '4. RRR Data'!$B$27:$M$49,11,0)</f>
        <v>0</v>
      </c>
      <c r="I37" s="72"/>
      <c r="J37" s="64">
        <f>VLOOKUP('9. Adj Network to Current WS'!$B37, '4. RRR Data'!$B$27:$M$49,12,0)</f>
        <v>0</v>
      </c>
      <c r="K37" s="59"/>
      <c r="L37" s="60" t="str">
        <f t="shared" si="0"/>
        <v/>
      </c>
      <c r="M37" s="55"/>
      <c r="N37" s="61" t="str">
        <f t="shared" si="1"/>
        <v/>
      </c>
      <c r="P37" s="62" t="str">
        <f>IF(ISERROR('8. Forecast Wholesale'!$P$75*N37), "", '8. Forecast Wholesale'!$P$75*N37)</f>
        <v/>
      </c>
      <c r="R37" s="63" t="str">
        <f t="shared" si="2"/>
        <v/>
      </c>
    </row>
    <row r="38" spans="2:18" ht="25.5" hidden="1" customHeight="1" thickBot="1" x14ac:dyDescent="0.25">
      <c r="B38" s="15">
        <f>IF('3. Rate Classes'!Q37=1,'3. Rate Classes'!C37, 0)</f>
        <v>0</v>
      </c>
      <c r="C38" s="8"/>
      <c r="D38" s="16" t="str">
        <f>IF(ISERROR(VLOOKUP($B38, '3. Rate Classes'!$C$24:$H$45,6,0)), "", VLOOKUP($B38, '3. Rate Classes'!$C$24:$H$45,6,0))</f>
        <v/>
      </c>
      <c r="F38" s="70" t="str">
        <f>VLOOKUP($B38, '10. Adj Conn. to Current WS'!$B$25:$R$47, 17,0)</f>
        <v/>
      </c>
      <c r="G38" s="57"/>
      <c r="H38" s="64">
        <f>VLOOKUP('9. Adj Network to Current WS'!$B38, '4. RRR Data'!$B$27:$M$49,11,0)</f>
        <v>0</v>
      </c>
      <c r="I38" s="72"/>
      <c r="J38" s="64">
        <f>VLOOKUP('9. Adj Network to Current WS'!$B38, '4. RRR Data'!$B$27:$M$49,12,0)</f>
        <v>0</v>
      </c>
      <c r="K38" s="59"/>
      <c r="L38" s="60" t="str">
        <f t="shared" si="0"/>
        <v/>
      </c>
      <c r="M38" s="55"/>
      <c r="N38" s="61" t="str">
        <f t="shared" si="1"/>
        <v/>
      </c>
      <c r="P38" s="62" t="str">
        <f>IF(ISERROR('8. Forecast Wholesale'!$P$75*N38), "", '8. Forecast Wholesale'!$P$75*N38)</f>
        <v/>
      </c>
      <c r="R38" s="63" t="str">
        <f t="shared" si="2"/>
        <v/>
      </c>
    </row>
    <row r="39" spans="2:18" ht="25.5" hidden="1" customHeight="1" thickBot="1" x14ac:dyDescent="0.25">
      <c r="B39" s="15">
        <f>IF('3. Rate Classes'!Q38=1,'3. Rate Classes'!C38, 0)</f>
        <v>0</v>
      </c>
      <c r="C39" s="8"/>
      <c r="D39" s="16" t="str">
        <f>IF(ISERROR(VLOOKUP($B39, '3. Rate Classes'!$C$24:$H$45,6,0)), "", VLOOKUP($B39, '3. Rate Classes'!$C$24:$H$45,6,0))</f>
        <v/>
      </c>
      <c r="F39" s="70" t="str">
        <f>VLOOKUP($B39, '10. Adj Conn. to Current WS'!$B$25:$R$47, 17,0)</f>
        <v/>
      </c>
      <c r="G39" s="57"/>
      <c r="H39" s="64">
        <f>VLOOKUP('9. Adj Network to Current WS'!$B39, '4. RRR Data'!$B$27:$M$49,11,0)</f>
        <v>0</v>
      </c>
      <c r="I39" s="72"/>
      <c r="J39" s="64">
        <f>VLOOKUP('9. Adj Network to Current WS'!$B39, '4. RRR Data'!$B$27:$M$49,12,0)</f>
        <v>0</v>
      </c>
      <c r="K39" s="59"/>
      <c r="L39" s="60" t="str">
        <f t="shared" si="0"/>
        <v/>
      </c>
      <c r="M39" s="55"/>
      <c r="N39" s="61" t="str">
        <f t="shared" si="1"/>
        <v/>
      </c>
      <c r="P39" s="62" t="str">
        <f>IF(ISERROR('8. Forecast Wholesale'!$P$75*N39), "", '8. Forecast Wholesale'!$P$75*N39)</f>
        <v/>
      </c>
      <c r="R39" s="63" t="str">
        <f t="shared" si="2"/>
        <v/>
      </c>
    </row>
    <row r="40" spans="2:18" ht="25.5" hidden="1" customHeight="1" thickBot="1" x14ac:dyDescent="0.25">
      <c r="B40" s="15">
        <f>IF('3. Rate Classes'!Q39=1,'3. Rate Classes'!C39, 0)</f>
        <v>0</v>
      </c>
      <c r="C40" s="8"/>
      <c r="D40" s="16" t="str">
        <f>IF(ISERROR(VLOOKUP($B40, '3. Rate Classes'!$C$24:$H$45,6,0)), "", VLOOKUP($B40, '3. Rate Classes'!$C$24:$H$45,6,0))</f>
        <v/>
      </c>
      <c r="F40" s="70" t="str">
        <f>VLOOKUP($B40, '10. Adj Conn. to Current WS'!$B$25:$R$47, 17,0)</f>
        <v/>
      </c>
      <c r="G40" s="57"/>
      <c r="H40" s="64">
        <f>VLOOKUP('9. Adj Network to Current WS'!$B40, '4. RRR Data'!$B$27:$M$49,11,0)</f>
        <v>0</v>
      </c>
      <c r="I40" s="72"/>
      <c r="J40" s="64">
        <f>VLOOKUP('9. Adj Network to Current WS'!$B40, '4. RRR Data'!$B$27:$M$49,12,0)</f>
        <v>0</v>
      </c>
      <c r="K40" s="59"/>
      <c r="L40" s="60" t="str">
        <f t="shared" si="0"/>
        <v/>
      </c>
      <c r="M40" s="55"/>
      <c r="N40" s="61" t="str">
        <f t="shared" si="1"/>
        <v/>
      </c>
      <c r="P40" s="62" t="str">
        <f>IF(ISERROR('8. Forecast Wholesale'!$P$75*N40), "", '8. Forecast Wholesale'!$P$75*N40)</f>
        <v/>
      </c>
      <c r="R40" s="63" t="str">
        <f t="shared" si="2"/>
        <v/>
      </c>
    </row>
    <row r="41" spans="2:18" ht="25.5" hidden="1" customHeight="1" thickBot="1" x14ac:dyDescent="0.25">
      <c r="B41" s="15">
        <f>IF('3. Rate Classes'!Q40=1,'3. Rate Classes'!C40, 0)</f>
        <v>0</v>
      </c>
      <c r="C41" s="8"/>
      <c r="D41" s="16" t="str">
        <f>IF(ISERROR(VLOOKUP($B41, '3. Rate Classes'!$C$24:$H$45,6,0)), "", VLOOKUP($B41, '3. Rate Classes'!$C$24:$H$45,6,0))</f>
        <v/>
      </c>
      <c r="F41" s="70" t="str">
        <f>VLOOKUP($B41, '10. Adj Conn. to Current WS'!$B$25:$R$47, 17,0)</f>
        <v/>
      </c>
      <c r="G41" s="57"/>
      <c r="H41" s="64">
        <f>VLOOKUP('9. Adj Network to Current WS'!$B41, '4. RRR Data'!$B$27:$M$49,11,0)</f>
        <v>0</v>
      </c>
      <c r="I41" s="72"/>
      <c r="J41" s="64">
        <f>VLOOKUP('9. Adj Network to Current WS'!$B41, '4. RRR Data'!$B$27:$M$49,12,0)</f>
        <v>0</v>
      </c>
      <c r="K41" s="59"/>
      <c r="L41" s="60" t="str">
        <f t="shared" si="0"/>
        <v/>
      </c>
      <c r="M41" s="55"/>
      <c r="N41" s="61" t="str">
        <f t="shared" si="1"/>
        <v/>
      </c>
      <c r="P41" s="62" t="str">
        <f>IF(ISERROR('8. Forecast Wholesale'!$P$75*N41), "", '8. Forecast Wholesale'!$P$75*N41)</f>
        <v/>
      </c>
      <c r="R41" s="63" t="str">
        <f t="shared" si="2"/>
        <v/>
      </c>
    </row>
    <row r="42" spans="2:18" ht="25.5" hidden="1" customHeight="1" thickBot="1" x14ac:dyDescent="0.25">
      <c r="B42" s="15">
        <f>IF('3. Rate Classes'!Q41=1,'3. Rate Classes'!C41, 0)</f>
        <v>0</v>
      </c>
      <c r="C42" s="8"/>
      <c r="D42" s="16" t="str">
        <f>IF(ISERROR(VLOOKUP($B42, '3. Rate Classes'!$C$24:$H$45,6,0)), "", VLOOKUP($B42, '3. Rate Classes'!$C$24:$H$45,6,0))</f>
        <v/>
      </c>
      <c r="F42" s="70" t="str">
        <f>VLOOKUP($B42, '10. Adj Conn. to Current WS'!$B$25:$R$47, 17,0)</f>
        <v/>
      </c>
      <c r="G42" s="57"/>
      <c r="H42" s="64">
        <f>VLOOKUP('9. Adj Network to Current WS'!$B42, '4. RRR Data'!$B$27:$M$49,11,0)</f>
        <v>0</v>
      </c>
      <c r="I42" s="72"/>
      <c r="J42" s="64">
        <f>VLOOKUP('9. Adj Network to Current WS'!$B42, '4. RRR Data'!$B$27:$M$49,12,0)</f>
        <v>0</v>
      </c>
      <c r="K42" s="59"/>
      <c r="L42" s="60" t="str">
        <f t="shared" si="0"/>
        <v/>
      </c>
      <c r="M42" s="55"/>
      <c r="N42" s="61" t="str">
        <f t="shared" si="1"/>
        <v/>
      </c>
      <c r="P42" s="62" t="str">
        <f>IF(ISERROR('8. Forecast Wholesale'!$P$75*N42), "", '8. Forecast Wholesale'!$P$75*N42)</f>
        <v/>
      </c>
      <c r="R42" s="63" t="str">
        <f t="shared" si="2"/>
        <v/>
      </c>
    </row>
    <row r="43" spans="2:18" ht="25.5" hidden="1" customHeight="1" thickBot="1" x14ac:dyDescent="0.25">
      <c r="B43" s="15">
        <f>IF('3. Rate Classes'!Q42=1,'3. Rate Classes'!C42, 0)</f>
        <v>0</v>
      </c>
      <c r="C43" s="8"/>
      <c r="D43" s="16" t="str">
        <f>IF(ISERROR(VLOOKUP($B43, '3. Rate Classes'!$C$24:$H$45,6,0)), "", VLOOKUP($B43, '3. Rate Classes'!$C$24:$H$45,6,0))</f>
        <v/>
      </c>
      <c r="F43" s="70" t="str">
        <f>VLOOKUP($B43, '10. Adj Conn. to Current WS'!$B$25:$R$47, 17,0)</f>
        <v/>
      </c>
      <c r="G43" s="57"/>
      <c r="H43" s="64">
        <f>VLOOKUP('9. Adj Network to Current WS'!$B43, '4. RRR Data'!$B$27:$M$49,11,0)</f>
        <v>0</v>
      </c>
      <c r="I43" s="72"/>
      <c r="J43" s="64">
        <f>VLOOKUP('9. Adj Network to Current WS'!$B43, '4. RRR Data'!$B$27:$M$49,12,0)</f>
        <v>0</v>
      </c>
      <c r="K43" s="59"/>
      <c r="L43" s="60" t="str">
        <f t="shared" si="0"/>
        <v/>
      </c>
      <c r="M43" s="55"/>
      <c r="N43" s="61" t="str">
        <f t="shared" si="1"/>
        <v/>
      </c>
      <c r="P43" s="62" t="str">
        <f>IF(ISERROR('8. Forecast Wholesale'!$P$75*N43), "", '8. Forecast Wholesale'!$P$75*N43)</f>
        <v/>
      </c>
      <c r="R43" s="63" t="str">
        <f t="shared" si="2"/>
        <v/>
      </c>
    </row>
    <row r="44" spans="2:18" ht="25.5" hidden="1" customHeight="1" thickBot="1" x14ac:dyDescent="0.25">
      <c r="B44" s="15">
        <f>IF('3. Rate Classes'!Q43=1,'3. Rate Classes'!C43, 0)</f>
        <v>0</v>
      </c>
      <c r="C44" s="8"/>
      <c r="D44" s="16" t="str">
        <f>IF(ISERROR(VLOOKUP($B44, '3. Rate Classes'!$C$24:$H$45,6,0)), "", VLOOKUP($B44, '3. Rate Classes'!$C$24:$H$45,6,0))</f>
        <v/>
      </c>
      <c r="F44" s="70" t="str">
        <f>VLOOKUP($B44, '10. Adj Conn. to Current WS'!$B$25:$R$47, 17,0)</f>
        <v/>
      </c>
      <c r="G44" s="57"/>
      <c r="H44" s="64">
        <f>VLOOKUP('9. Adj Network to Current WS'!$B44, '4. RRR Data'!$B$27:$M$49,11,0)</f>
        <v>0</v>
      </c>
      <c r="I44" s="72"/>
      <c r="J44" s="64">
        <f>VLOOKUP('9. Adj Network to Current WS'!$B44, '4. RRR Data'!$B$27:$M$49,12,0)</f>
        <v>0</v>
      </c>
      <c r="K44" s="59"/>
      <c r="L44" s="60" t="str">
        <f t="shared" si="0"/>
        <v/>
      </c>
      <c r="M44" s="55"/>
      <c r="N44" s="61" t="str">
        <f t="shared" si="1"/>
        <v/>
      </c>
      <c r="P44" s="62" t="str">
        <f>IF(ISERROR('8. Forecast Wholesale'!$P$75*N44), "", '8. Forecast Wholesale'!$P$75*N44)</f>
        <v/>
      </c>
      <c r="R44" s="63" t="str">
        <f t="shared" si="2"/>
        <v/>
      </c>
    </row>
    <row r="45" spans="2:18" ht="25.5" hidden="1" customHeight="1" thickBot="1" x14ac:dyDescent="0.25">
      <c r="B45" s="15">
        <f>IF('3. Rate Classes'!Q44=1,'3. Rate Classes'!C44, 0)</f>
        <v>0</v>
      </c>
      <c r="C45" s="8"/>
      <c r="D45" s="16" t="str">
        <f>IF(ISERROR(VLOOKUP($B45, '3. Rate Classes'!$C$24:$H$45,6,0)), "", VLOOKUP($B45, '3. Rate Classes'!$C$24:$H$45,6,0))</f>
        <v/>
      </c>
      <c r="F45" s="70" t="str">
        <f>VLOOKUP($B45, '10. Adj Conn. to Current WS'!$B$25:$R$47, 17,0)</f>
        <v/>
      </c>
      <c r="G45" s="57"/>
      <c r="H45" s="64">
        <f>VLOOKUP('9. Adj Network to Current WS'!$B45, '4. RRR Data'!$B$27:$M$49,11,0)</f>
        <v>0</v>
      </c>
      <c r="I45" s="72"/>
      <c r="J45" s="64">
        <f>VLOOKUP('9. Adj Network to Current WS'!$B45, '4. RRR Data'!$B$27:$M$49,12,0)</f>
        <v>0</v>
      </c>
      <c r="K45" s="59"/>
      <c r="L45" s="60" t="str">
        <f t="shared" si="0"/>
        <v/>
      </c>
      <c r="M45" s="55"/>
      <c r="N45" s="61" t="str">
        <f t="shared" si="1"/>
        <v/>
      </c>
      <c r="P45" s="62" t="str">
        <f>IF(ISERROR('8. Forecast Wholesale'!$P$75*N45), "", '8. Forecast Wholesale'!$P$75*N45)</f>
        <v/>
      </c>
      <c r="R45" s="63" t="str">
        <f t="shared" si="2"/>
        <v/>
      </c>
    </row>
    <row r="46" spans="2:18" ht="25.5" hidden="1" customHeight="1" thickBot="1" x14ac:dyDescent="0.25">
      <c r="B46" s="15">
        <f>IF('3. Rate Classes'!Q45=1,'3. Rate Classes'!C45, 0)</f>
        <v>0</v>
      </c>
      <c r="C46" s="8"/>
      <c r="D46" s="16" t="str">
        <f>IF(ISERROR(VLOOKUP($B46, '3. Rate Classes'!$C$24:$H$45,6,0)), "", VLOOKUP($B46, '3. Rate Classes'!$C$24:$H$45,6,0))</f>
        <v/>
      </c>
      <c r="F46" s="70" t="str">
        <f>VLOOKUP($B46, '10. Adj Conn. to Current WS'!$B$25:$R$47, 17,0)</f>
        <v/>
      </c>
      <c r="G46" s="57"/>
      <c r="H46" s="64">
        <f>VLOOKUP('9. Adj Network to Current WS'!$B46, '4. RRR Data'!$B$27:$M$49,11,0)</f>
        <v>0</v>
      </c>
      <c r="I46" s="72"/>
      <c r="J46" s="64">
        <f>VLOOKUP('9. Adj Network to Current WS'!$B46, '4. RRR Data'!$B$27:$M$49,12,0)</f>
        <v>0</v>
      </c>
      <c r="K46" s="59"/>
      <c r="L46" s="60" t="str">
        <f t="shared" si="0"/>
        <v/>
      </c>
      <c r="M46" s="55"/>
      <c r="N46" s="61" t="str">
        <f t="shared" si="1"/>
        <v/>
      </c>
      <c r="P46" s="62" t="str">
        <f>IF(ISERROR('8. Forecast Wholesale'!$P$75*N46), "", '8. Forecast Wholesale'!$P$75*N46)</f>
        <v/>
      </c>
      <c r="R46" s="63" t="str">
        <f t="shared" si="2"/>
        <v/>
      </c>
    </row>
    <row r="47" spans="2:18" ht="13.5" hidden="1" thickBot="1" x14ac:dyDescent="0.25">
      <c r="F47" s="70"/>
      <c r="G47" s="37"/>
      <c r="H47" s="64"/>
      <c r="I47" s="72"/>
      <c r="J47" s="64"/>
      <c r="R47" s="68"/>
    </row>
    <row r="48" spans="2:18" ht="13.5" thickBot="1" x14ac:dyDescent="0.25">
      <c r="F48" s="70"/>
      <c r="G48" s="37"/>
      <c r="H48" s="37"/>
      <c r="I48" s="37"/>
      <c r="J48" s="37"/>
      <c r="R48" s="68"/>
    </row>
    <row r="49" spans="6:18" ht="13.5" thickBot="1" x14ac:dyDescent="0.25">
      <c r="F49" s="70"/>
      <c r="G49" s="37"/>
      <c r="H49" s="37"/>
      <c r="I49" s="37"/>
      <c r="J49" s="37"/>
      <c r="L49" s="71">
        <f>SUM(L25:L46)</f>
        <v>4964522.76</v>
      </c>
      <c r="R49" s="68"/>
    </row>
    <row r="50" spans="6:18" ht="13.5" thickBot="1" x14ac:dyDescent="0.25">
      <c r="F50" s="70"/>
      <c r="G50" s="37"/>
      <c r="H50" s="37"/>
      <c r="I50" s="37"/>
      <c r="J50" s="37"/>
      <c r="R50" s="68"/>
    </row>
    <row r="51" spans="6:18" ht="13.5" thickBot="1" x14ac:dyDescent="0.25">
      <c r="F51" s="70"/>
      <c r="G51" s="37"/>
      <c r="H51" s="37"/>
      <c r="I51" s="37"/>
      <c r="J51" s="37"/>
      <c r="R51" s="68"/>
    </row>
    <row r="52" spans="6:18" ht="13.5" thickBot="1" x14ac:dyDescent="0.25">
      <c r="F52" s="70"/>
      <c r="G52" s="37"/>
      <c r="H52" s="37"/>
      <c r="I52" s="37"/>
      <c r="J52" s="37"/>
      <c r="R52" s="68"/>
    </row>
    <row r="53" spans="6:18" ht="13.5" thickBot="1" x14ac:dyDescent="0.25">
      <c r="F53" s="67"/>
      <c r="R53" s="68"/>
    </row>
    <row r="54" spans="6:18" ht="13.5" thickBot="1" x14ac:dyDescent="0.25">
      <c r="F54" s="67"/>
    </row>
    <row r="55" spans="6:18" ht="13.5" thickBot="1" x14ac:dyDescent="0.25">
      <c r="F55" s="56"/>
    </row>
    <row r="56" spans="6:18" ht="13.5" thickBot="1" x14ac:dyDescent="0.25">
      <c r="F56" s="56"/>
    </row>
  </sheetData>
  <sheetProtection password="F8BD" sheet="1" objects="1" scenarios="1"/>
  <phoneticPr fontId="21" type="noConversion"/>
  <pageMargins left="0.75" right="0.75" top="1" bottom="1" header="0.5" footer="0.5"/>
  <pageSetup scale="83" orientation="landscape"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3:X59"/>
  <sheetViews>
    <sheetView showGridLines="0" topLeftCell="B1" workbookViewId="0">
      <pane ySplit="24" topLeftCell="A26" activePane="bottomLeft" state="frozenSplit"/>
      <selection pane="bottomLeft" activeCell="V51" sqref="V51"/>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1.42578125" customWidth="1"/>
  </cols>
  <sheetData>
    <row r="13" spans="2:12" ht="59.25" customHeight="1" x14ac:dyDescent="0.2">
      <c r="B13" s="167" t="s">
        <v>249</v>
      </c>
      <c r="C13" s="167"/>
      <c r="D13" s="167"/>
      <c r="E13" s="167"/>
      <c r="F13" s="167"/>
      <c r="G13" s="167"/>
      <c r="H13" s="167"/>
      <c r="I13" s="167"/>
      <c r="J13" s="167"/>
      <c r="K13" s="167"/>
      <c r="L13" s="167"/>
    </row>
    <row r="14" spans="2:12" ht="3.75" customHeight="1" x14ac:dyDescent="0.2"/>
    <row r="15" spans="2:12" ht="3.75" customHeight="1" x14ac:dyDescent="0.2"/>
    <row r="16" spans="2:12" ht="3.75" customHeight="1" x14ac:dyDescent="0.2"/>
    <row r="17" spans="2:24" ht="3.75" customHeight="1" x14ac:dyDescent="0.2"/>
    <row r="18" spans="2:24" ht="3.75" customHeight="1" x14ac:dyDescent="0.2"/>
    <row r="19" spans="2:24" ht="3.75" customHeight="1" x14ac:dyDescent="0.2"/>
    <row r="20" spans="2:24" ht="3.75" customHeight="1" x14ac:dyDescent="0.2"/>
    <row r="21" spans="2:24" ht="3.75" customHeight="1" x14ac:dyDescent="0.2"/>
    <row r="22" spans="2:24" ht="16.5" x14ac:dyDescent="0.3">
      <c r="J22" s="77"/>
      <c r="K22" s="78"/>
      <c r="L22" s="79"/>
      <c r="M22" s="79"/>
      <c r="N22" s="79"/>
      <c r="O22" s="79"/>
      <c r="P22" s="79"/>
      <c r="Q22" s="79"/>
      <c r="R22" s="79"/>
      <c r="S22" s="79"/>
      <c r="T22" s="79"/>
    </row>
    <row r="23" spans="2:24" ht="47.25" x14ac:dyDescent="0.3">
      <c r="B23" s="159" t="s">
        <v>209</v>
      </c>
      <c r="C23" s="134"/>
      <c r="D23" s="136" t="s">
        <v>210</v>
      </c>
      <c r="E23" s="135"/>
      <c r="F23" s="136" t="s">
        <v>211</v>
      </c>
      <c r="G23" s="132"/>
      <c r="H23" s="136" t="s">
        <v>212</v>
      </c>
      <c r="I23" s="133"/>
      <c r="J23" s="79"/>
      <c r="K23" s="78"/>
      <c r="L23" s="79"/>
      <c r="M23" s="79"/>
      <c r="N23" s="79"/>
      <c r="O23" s="79"/>
      <c r="P23" s="79"/>
      <c r="Q23" s="79"/>
      <c r="R23" s="79"/>
      <c r="S23" s="79"/>
      <c r="T23" s="79"/>
    </row>
    <row r="24" spans="2:24" x14ac:dyDescent="0.2">
      <c r="J24" s="79"/>
      <c r="K24" s="79"/>
      <c r="L24" s="79"/>
      <c r="M24" s="79"/>
      <c r="N24" s="79"/>
      <c r="O24" s="79"/>
      <c r="P24" s="79"/>
      <c r="Q24" s="79"/>
      <c r="R24" s="79"/>
      <c r="S24" s="79"/>
      <c r="T24" s="79"/>
    </row>
    <row r="25" spans="2:24" hidden="1" x14ac:dyDescent="0.2">
      <c r="J25" s="79"/>
      <c r="K25" s="79"/>
      <c r="L25" s="79"/>
      <c r="M25" s="79"/>
      <c r="N25" s="79"/>
      <c r="O25" s="79"/>
      <c r="P25" s="79"/>
      <c r="Q25" s="79"/>
      <c r="R25" s="79"/>
      <c r="S25" s="79"/>
      <c r="T25" s="79"/>
    </row>
    <row r="26" spans="2:24" ht="25.5" customHeight="1" thickBot="1" x14ac:dyDescent="0.25">
      <c r="B26" s="15" t="str">
        <f>IF('3. Rate Classes'!Q24=1,'3. Rate Classes'!C24, 0)</f>
        <v>Residential</v>
      </c>
      <c r="C26" s="8"/>
      <c r="D26" s="16" t="str">
        <f>IF(ISERROR(VLOOKUP($B26, '3. Rate Classes'!$C$24:$H$45,6,0)), "", VLOOKUP($B26, '3. Rate Classes'!$C$24:$H$45,6,0))</f>
        <v>kWh</v>
      </c>
      <c r="F26" s="70">
        <f>VLOOKUP($B26, '11. Adj Network to Forecast WS'!$B$25:$R$48,17,0)</f>
        <v>6.2539789182778941E-3</v>
      </c>
      <c r="G26" s="57"/>
      <c r="H26" s="70">
        <f>VLOOKUP($B26, '12. Adj Conn. to Forecast WS'!$B$25:$R$48,17,0)</f>
        <v>5.490290740041954E-3</v>
      </c>
      <c r="I26" s="69"/>
      <c r="J26" s="80"/>
      <c r="K26" s="81"/>
      <c r="L26" s="82"/>
      <c r="M26" s="83"/>
      <c r="N26" s="84"/>
      <c r="O26" s="85"/>
      <c r="P26" s="82"/>
      <c r="Q26" s="79"/>
      <c r="R26" s="76"/>
      <c r="S26" s="79"/>
      <c r="T26" s="79"/>
    </row>
    <row r="27" spans="2:24" ht="25.5" customHeight="1" thickBot="1" x14ac:dyDescent="0.25">
      <c r="B27" s="15" t="str">
        <f>IF('3. Rate Classes'!Q25=1,'3. Rate Classes'!C25, 0)</f>
        <v>General Service Less Than 50 kW</v>
      </c>
      <c r="C27" s="8"/>
      <c r="D27" s="16" t="str">
        <f>IF(ISERROR(VLOOKUP($B27, '3. Rate Classes'!$C$24:$H$45,6,0)), "", VLOOKUP($B27, '3. Rate Classes'!$C$24:$H$45,6,0))</f>
        <v>kWh</v>
      </c>
      <c r="F27" s="70">
        <f>VLOOKUP($B27, '11. Adj Network to Forecast WS'!$B$25:$R$48,17,0)</f>
        <v>5.794127527228049E-3</v>
      </c>
      <c r="G27" s="57"/>
      <c r="H27" s="70">
        <f>VLOOKUP($B27, '12. Adj Conn. to Forecast WS'!$B$25:$R$48,17,0)</f>
        <v>4.8160445088087315E-3</v>
      </c>
      <c r="I27" s="69"/>
      <c r="J27" s="80"/>
      <c r="K27" s="81"/>
      <c r="L27" s="82"/>
      <c r="M27" s="83"/>
      <c r="N27" s="84"/>
      <c r="O27" s="79"/>
      <c r="P27" s="82"/>
      <c r="Q27" s="79"/>
      <c r="R27" s="76"/>
      <c r="S27" s="79"/>
      <c r="T27" s="79"/>
    </row>
    <row r="28" spans="2:24" ht="25.5" customHeight="1" thickBot="1" x14ac:dyDescent="0.25">
      <c r="B28" s="15" t="str">
        <f>IF('3. Rate Classes'!Q26=1,'3. Rate Classes'!C26, 0)</f>
        <v>General Service 50 to 999 kW</v>
      </c>
      <c r="C28" s="8"/>
      <c r="D28" s="16" t="str">
        <f>IF(ISERROR(VLOOKUP($B28, '3. Rate Classes'!$C$24:$H$45,6,0)), "", VLOOKUP($B28, '3. Rate Classes'!$C$24:$H$45,6,0))</f>
        <v>kW</v>
      </c>
      <c r="F28" s="70">
        <f>VLOOKUP($B28, '11. Adj Network to Forecast WS'!$B$25:$R$48,17,0)</f>
        <v>2.3588536955292856</v>
      </c>
      <c r="G28" s="57"/>
      <c r="H28" s="70">
        <f>VLOOKUP($B28, '12. Adj Conn. to Forecast WS'!$B$25:$R$48,17,0)</f>
        <v>1.9262251617431403</v>
      </c>
      <c r="I28" s="69"/>
      <c r="J28" s="80"/>
      <c r="K28" s="81"/>
      <c r="L28" s="82"/>
      <c r="M28" s="83"/>
      <c r="N28" s="84"/>
      <c r="O28" s="79"/>
      <c r="P28" s="82"/>
      <c r="Q28" s="79"/>
      <c r="R28" s="76"/>
      <c r="S28" s="79"/>
      <c r="T28" s="79"/>
      <c r="U28" s="86"/>
      <c r="V28" s="86"/>
      <c r="W28" s="86"/>
      <c r="X28" s="86"/>
    </row>
    <row r="29" spans="2:24" ht="25.5" customHeight="1" thickBot="1" x14ac:dyDescent="0.25">
      <c r="B29" s="15" t="str">
        <f>IF('3. Rate Classes'!Q27=1,'3. Rate Classes'!C27, 0)</f>
        <v>General Service 1,000 to 4,999 kW</v>
      </c>
      <c r="C29" s="8"/>
      <c r="D29" s="16" t="str">
        <f>IF(ISERROR(VLOOKUP($B29, '3. Rate Classes'!$C$24:$H$45,6,0)), "", VLOOKUP($B29, '3. Rate Classes'!$C$24:$H$45,6,0))</f>
        <v>kW</v>
      </c>
      <c r="F29" s="70">
        <f>VLOOKUP($B29, '11. Adj Network to Forecast WS'!$B$25:$R$48,17,0)</f>
        <v>2.5053623487177665</v>
      </c>
      <c r="G29" s="57"/>
      <c r="H29" s="70">
        <f>VLOOKUP($B29, '12. Adj Conn. to Forecast WS'!$B$25:$R$48,17,0)</f>
        <v>2.1116428753322762</v>
      </c>
      <c r="I29" s="69"/>
      <c r="J29" s="80"/>
      <c r="K29" s="81"/>
      <c r="L29" s="82"/>
      <c r="M29" s="83"/>
      <c r="N29" s="84"/>
      <c r="O29" s="79"/>
      <c r="P29" s="82"/>
      <c r="Q29" s="79"/>
      <c r="R29" s="76"/>
      <c r="S29" s="79"/>
      <c r="T29" s="79"/>
      <c r="U29" s="86"/>
      <c r="V29" s="86"/>
      <c r="W29" s="86"/>
      <c r="X29" s="86"/>
    </row>
    <row r="30" spans="2:24" ht="25.5" customHeight="1" thickBot="1" x14ac:dyDescent="0.25">
      <c r="B30" s="15" t="str">
        <f>IF('3. Rate Classes'!Q28=1,'3. Rate Classes'!C28, 0)</f>
        <v>Large Use</v>
      </c>
      <c r="C30" s="8"/>
      <c r="D30" s="16" t="str">
        <f>IF(ISERROR(VLOOKUP($B30, '3. Rate Classes'!$C$24:$H$45,6,0)), "", VLOOKUP($B30, '3. Rate Classes'!$C$24:$H$45,6,0))</f>
        <v>kW</v>
      </c>
      <c r="F30" s="70">
        <f>VLOOKUP($B30, '11. Adj Network to Forecast WS'!$B$25:$R$48,17,0)</f>
        <v>2.7740075313690862</v>
      </c>
      <c r="G30" s="57"/>
      <c r="H30" s="70">
        <f>VLOOKUP($B30, '12. Adj Conn. to Forecast WS'!$B$25:$R$48,17,0)</f>
        <v>2.4147647167166988</v>
      </c>
      <c r="I30" s="69"/>
      <c r="J30" s="80"/>
      <c r="K30" s="81"/>
      <c r="L30" s="82"/>
      <c r="M30" s="83"/>
      <c r="N30" s="84"/>
      <c r="O30" s="79"/>
      <c r="P30" s="82"/>
      <c r="Q30" s="79"/>
      <c r="R30" s="76"/>
      <c r="S30" s="79"/>
      <c r="T30" s="79"/>
      <c r="U30" s="86"/>
      <c r="V30" s="86"/>
      <c r="W30" s="86"/>
      <c r="X30" s="86"/>
    </row>
    <row r="31" spans="2:24" ht="25.5" customHeight="1" thickBot="1" x14ac:dyDescent="0.25">
      <c r="B31" s="15" t="str">
        <f>IF('3. Rate Classes'!Q29=1,'3. Rate Classes'!C29, 0)</f>
        <v>Unmetered Scattered Load</v>
      </c>
      <c r="C31" s="8"/>
      <c r="D31" s="16" t="str">
        <f>IF(ISERROR(VLOOKUP($B31, '3. Rate Classes'!$C$24:$H$45,6,0)), "", VLOOKUP($B31, '3. Rate Classes'!$C$24:$H$45,6,0))</f>
        <v>kWh</v>
      </c>
      <c r="F31" s="70">
        <f>VLOOKUP($B31, '11. Adj Network to Forecast WS'!$B$25:$R$48,17,0)</f>
        <v>5.7941275272280499E-3</v>
      </c>
      <c r="G31" s="57"/>
      <c r="H31" s="70">
        <f>VLOOKUP($B31, '12. Adj Conn. to Forecast WS'!$B$25:$R$48,17,0)</f>
        <v>4.8160445088087324E-3</v>
      </c>
      <c r="I31" s="69"/>
      <c r="J31" s="80"/>
      <c r="K31" s="81"/>
      <c r="L31" s="82"/>
      <c r="M31" s="83"/>
      <c r="N31" s="84"/>
      <c r="O31" s="79"/>
      <c r="P31" s="82"/>
      <c r="Q31" s="79"/>
      <c r="R31" s="76"/>
      <c r="S31" s="79"/>
      <c r="T31" s="79"/>
      <c r="U31" s="86"/>
      <c r="V31" s="86"/>
      <c r="W31" s="86"/>
      <c r="X31" s="86"/>
    </row>
    <row r="32" spans="2:24" ht="25.5" customHeight="1" thickBot="1" x14ac:dyDescent="0.25">
      <c r="B32" s="15" t="str">
        <f>IF('3. Rate Classes'!Q30=1,'3. Rate Classes'!C30, 0)</f>
        <v>Sentinel Lighting</v>
      </c>
      <c r="C32" s="8"/>
      <c r="D32" s="16" t="str">
        <f>IF(ISERROR(VLOOKUP($B32, '3. Rate Classes'!$C$24:$H$45,6,0)), "", VLOOKUP($B32, '3. Rate Classes'!$C$24:$H$45,6,0))</f>
        <v>kW</v>
      </c>
      <c r="F32" s="70">
        <f>VLOOKUP($B32, '11. Adj Network to Forecast WS'!$B$25:$R$48,17,0)</f>
        <v>1.787994178680008</v>
      </c>
      <c r="G32" s="57"/>
      <c r="H32" s="70">
        <f>VLOOKUP($B32, '12. Adj Conn. to Forecast WS'!$B$25:$R$48,17,0)</f>
        <v>1.5202326096505645</v>
      </c>
      <c r="I32" s="69"/>
      <c r="J32" s="80"/>
      <c r="K32" s="81"/>
      <c r="L32" s="82"/>
      <c r="M32" s="83"/>
      <c r="N32" s="84"/>
      <c r="O32" s="79"/>
      <c r="P32" s="82"/>
      <c r="Q32" s="79"/>
      <c r="R32" s="76"/>
      <c r="S32" s="79"/>
      <c r="T32" s="79"/>
      <c r="U32" s="86"/>
      <c r="V32" s="86"/>
      <c r="W32" s="86"/>
      <c r="X32" s="86"/>
    </row>
    <row r="33" spans="2:24" ht="25.5" customHeight="1" thickBot="1" x14ac:dyDescent="0.25">
      <c r="B33" s="15" t="str">
        <f>IF('3. Rate Classes'!Q31=1,'3. Rate Classes'!C31, 0)</f>
        <v>Street Lighting</v>
      </c>
      <c r="C33" s="8"/>
      <c r="D33" s="16" t="str">
        <f>IF(ISERROR(VLOOKUP($B33, '3. Rate Classes'!$C$24:$H$45,6,0)), "", VLOOKUP($B33, '3. Rate Classes'!$C$24:$H$45,6,0))</f>
        <v>kW</v>
      </c>
      <c r="F33" s="70">
        <f>VLOOKUP($B33, '11. Adj Network to Forecast WS'!$B$25:$R$48,17,0)</f>
        <v>1.7788891211372211</v>
      </c>
      <c r="G33" s="57"/>
      <c r="H33" s="70">
        <f>VLOOKUP($B33, '12. Adj Conn. to Forecast WS'!$B$25:$R$48,17,0)</f>
        <v>1.4892172830138362</v>
      </c>
      <c r="I33" s="69"/>
      <c r="J33" s="80"/>
      <c r="K33" s="81"/>
      <c r="L33" s="82"/>
      <c r="M33" s="83"/>
      <c r="N33" s="84"/>
      <c r="O33" s="79"/>
      <c r="P33" s="82"/>
      <c r="Q33" s="79"/>
      <c r="R33" s="76"/>
      <c r="S33" s="79"/>
      <c r="T33" s="79"/>
      <c r="U33" s="86"/>
      <c r="V33" s="86"/>
      <c r="W33" s="86"/>
      <c r="X33" s="86"/>
    </row>
    <row r="34" spans="2:24" ht="25.5" hidden="1" customHeight="1" thickBot="1" x14ac:dyDescent="0.25">
      <c r="B34" s="15">
        <f>IF('3. Rate Classes'!Q32=1,'3. Rate Classes'!C32, 0)</f>
        <v>0</v>
      </c>
      <c r="C34" s="8"/>
      <c r="D34" s="16" t="str">
        <f>IF(ISERROR(VLOOKUP($B34, '3. Rate Classes'!$C$24:$H$45,6,0)), "", VLOOKUP($B34, '3. Rate Classes'!$C$24:$H$45,6,0))</f>
        <v/>
      </c>
      <c r="F34" s="70" t="str">
        <f>VLOOKUP($B34, '11. Adj Network to Forecast WS'!$B$25:$R$48,17,0)</f>
        <v/>
      </c>
      <c r="G34" s="57"/>
      <c r="H34" s="70" t="str">
        <f>VLOOKUP($B34, '12. Adj Conn. to Forecast WS'!$B$25:$R$48,17,0)</f>
        <v/>
      </c>
      <c r="I34" s="69"/>
      <c r="J34" s="80"/>
      <c r="K34" s="81"/>
      <c r="L34" s="82"/>
      <c r="M34" s="83"/>
      <c r="N34" s="84"/>
      <c r="O34" s="79"/>
      <c r="P34" s="82"/>
      <c r="Q34" s="79"/>
      <c r="R34" s="76"/>
      <c r="S34" s="79"/>
      <c r="T34" s="79"/>
      <c r="U34" s="86"/>
      <c r="V34" s="86"/>
      <c r="W34" s="86"/>
      <c r="X34" s="86"/>
    </row>
    <row r="35" spans="2:24" ht="25.5" hidden="1" customHeight="1" thickBot="1" x14ac:dyDescent="0.25">
      <c r="B35" s="15">
        <f>IF('3. Rate Classes'!Q33=1,'3. Rate Classes'!C33, 0)</f>
        <v>0</v>
      </c>
      <c r="C35" s="8"/>
      <c r="D35" s="16" t="str">
        <f>IF(ISERROR(VLOOKUP($B35, '3. Rate Classes'!$C$24:$H$45,6,0)), "", VLOOKUP($B35, '3. Rate Classes'!$C$24:$H$45,6,0))</f>
        <v/>
      </c>
      <c r="F35" s="70" t="str">
        <f>VLOOKUP($B35, '11. Adj Network to Forecast WS'!$B$25:$R$48,17,0)</f>
        <v/>
      </c>
      <c r="G35" s="57"/>
      <c r="H35" s="70" t="str">
        <f>VLOOKUP($B35, '12. Adj Conn. to Forecast WS'!$B$25:$R$48,17,0)</f>
        <v/>
      </c>
      <c r="I35" s="69"/>
      <c r="J35" s="80"/>
      <c r="K35" s="81"/>
      <c r="L35" s="82"/>
      <c r="M35" s="83"/>
      <c r="N35" s="84"/>
      <c r="O35" s="79"/>
      <c r="P35" s="82"/>
      <c r="Q35" s="79"/>
      <c r="R35" s="76"/>
      <c r="S35" s="79"/>
      <c r="T35" s="79"/>
      <c r="U35" s="86"/>
      <c r="V35" s="86"/>
      <c r="W35" s="86"/>
      <c r="X35" s="86"/>
    </row>
    <row r="36" spans="2:24" ht="25.5" hidden="1" customHeight="1" thickBot="1" x14ac:dyDescent="0.25">
      <c r="B36" s="15">
        <f>IF('3. Rate Classes'!Q34=1,'3. Rate Classes'!C34, 0)</f>
        <v>0</v>
      </c>
      <c r="C36" s="8"/>
      <c r="D36" s="16" t="str">
        <f>IF(ISERROR(VLOOKUP($B36, '3. Rate Classes'!$C$24:$H$45,6,0)), "", VLOOKUP($B36, '3. Rate Classes'!$C$24:$H$45,6,0))</f>
        <v/>
      </c>
      <c r="F36" s="70" t="str">
        <f>VLOOKUP($B36, '11. Adj Network to Forecast WS'!$B$25:$R$48,17,0)</f>
        <v/>
      </c>
      <c r="G36" s="57"/>
      <c r="H36" s="70" t="str">
        <f>VLOOKUP($B36, '12. Adj Conn. to Forecast WS'!$B$25:$R$48,17,0)</f>
        <v/>
      </c>
      <c r="I36" s="69"/>
      <c r="J36" s="80"/>
      <c r="K36" s="81"/>
      <c r="L36" s="82"/>
      <c r="M36" s="83"/>
      <c r="N36" s="84"/>
      <c r="O36" s="79"/>
      <c r="P36" s="82"/>
      <c r="Q36" s="79"/>
      <c r="R36" s="76"/>
      <c r="S36" s="79"/>
      <c r="T36" s="79"/>
      <c r="U36" s="86"/>
      <c r="V36" s="86"/>
      <c r="W36" s="86"/>
      <c r="X36" s="86"/>
    </row>
    <row r="37" spans="2:24" ht="25.5" hidden="1" customHeight="1" thickBot="1" x14ac:dyDescent="0.25">
      <c r="B37" s="15">
        <f>IF('3. Rate Classes'!Q35=1,'3. Rate Classes'!C35, 0)</f>
        <v>0</v>
      </c>
      <c r="C37" s="8"/>
      <c r="D37" s="16" t="str">
        <f>IF(ISERROR(VLOOKUP($B37, '3. Rate Classes'!$C$24:$H$45,6,0)), "", VLOOKUP($B37, '3. Rate Classes'!$C$24:$H$45,6,0))</f>
        <v/>
      </c>
      <c r="F37" s="70" t="str">
        <f>VLOOKUP($B37, '11. Adj Network to Forecast WS'!$B$25:$R$48,17,0)</f>
        <v/>
      </c>
      <c r="G37" s="57"/>
      <c r="H37" s="70" t="str">
        <f>VLOOKUP($B37, '12. Adj Conn. to Forecast WS'!$B$25:$R$48,17,0)</f>
        <v/>
      </c>
      <c r="I37" s="69"/>
      <c r="J37" s="80"/>
      <c r="K37" s="81"/>
      <c r="L37" s="82"/>
      <c r="M37" s="83"/>
      <c r="N37" s="84"/>
      <c r="O37" s="79"/>
      <c r="P37" s="82"/>
      <c r="Q37" s="79"/>
      <c r="R37" s="76"/>
      <c r="S37" s="79"/>
      <c r="T37" s="79"/>
      <c r="U37" s="86"/>
      <c r="V37" s="86"/>
      <c r="W37" s="86"/>
      <c r="X37" s="86"/>
    </row>
    <row r="38" spans="2:24" ht="25.5" hidden="1" customHeight="1" thickBot="1" x14ac:dyDescent="0.25">
      <c r="B38" s="15">
        <f>IF('3. Rate Classes'!Q36=1,'3. Rate Classes'!C36, 0)</f>
        <v>0</v>
      </c>
      <c r="C38" s="8"/>
      <c r="D38" s="16" t="str">
        <f>IF(ISERROR(VLOOKUP($B38, '3. Rate Classes'!$C$24:$H$45,6,0)), "", VLOOKUP($B38, '3. Rate Classes'!$C$24:$H$45,6,0))</f>
        <v/>
      </c>
      <c r="F38" s="70" t="str">
        <f>VLOOKUP($B38, '11. Adj Network to Forecast WS'!$B$25:$R$48,17,0)</f>
        <v/>
      </c>
      <c r="G38" s="57"/>
      <c r="H38" s="70" t="str">
        <f>VLOOKUP($B38, '12. Adj Conn. to Forecast WS'!$B$25:$R$48,17,0)</f>
        <v/>
      </c>
      <c r="I38" s="69"/>
      <c r="J38" s="80"/>
      <c r="K38" s="81"/>
      <c r="L38" s="82"/>
      <c r="M38" s="83"/>
      <c r="N38" s="84"/>
      <c r="O38" s="79"/>
      <c r="P38" s="82"/>
      <c r="Q38" s="79"/>
      <c r="R38" s="76"/>
      <c r="S38" s="79"/>
      <c r="T38" s="79"/>
      <c r="U38" s="86"/>
      <c r="V38" s="86"/>
      <c r="W38" s="86"/>
      <c r="X38" s="86"/>
    </row>
    <row r="39" spans="2:24" ht="25.5" hidden="1" customHeight="1" thickBot="1" x14ac:dyDescent="0.25">
      <c r="B39" s="15">
        <f>IF('3. Rate Classes'!Q37=1,'3. Rate Classes'!C37, 0)</f>
        <v>0</v>
      </c>
      <c r="C39" s="8"/>
      <c r="D39" s="16" t="str">
        <f>IF(ISERROR(VLOOKUP($B39, '3. Rate Classes'!$C$24:$H$45,6,0)), "", VLOOKUP($B39, '3. Rate Classes'!$C$24:$H$45,6,0))</f>
        <v/>
      </c>
      <c r="F39" s="70" t="str">
        <f>VLOOKUP($B39, '11. Adj Network to Forecast WS'!$B$25:$R$48,17,0)</f>
        <v/>
      </c>
      <c r="G39" s="57"/>
      <c r="H39" s="70" t="str">
        <f>VLOOKUP($B39, '12. Adj Conn. to Forecast WS'!$B$25:$R$48,17,0)</f>
        <v/>
      </c>
      <c r="I39" s="69"/>
      <c r="J39" s="80"/>
      <c r="K39" s="81"/>
      <c r="L39" s="82"/>
      <c r="M39" s="83"/>
      <c r="N39" s="84"/>
      <c r="O39" s="79"/>
      <c r="P39" s="82"/>
      <c r="Q39" s="79"/>
      <c r="R39" s="76"/>
      <c r="S39" s="79"/>
      <c r="T39" s="79"/>
      <c r="U39" s="86"/>
      <c r="V39" s="86"/>
      <c r="W39" s="86"/>
      <c r="X39" s="86"/>
    </row>
    <row r="40" spans="2:24" ht="25.5" hidden="1" customHeight="1" thickBot="1" x14ac:dyDescent="0.25">
      <c r="B40" s="15">
        <f>IF('3. Rate Classes'!Q38=1,'3. Rate Classes'!C38, 0)</f>
        <v>0</v>
      </c>
      <c r="C40" s="8"/>
      <c r="D40" s="16" t="str">
        <f>IF(ISERROR(VLOOKUP($B40, '3. Rate Classes'!$C$24:$H$45,6,0)), "", VLOOKUP($B40, '3. Rate Classes'!$C$24:$H$45,6,0))</f>
        <v/>
      </c>
      <c r="F40" s="70" t="str">
        <f>VLOOKUP($B40, '11. Adj Network to Forecast WS'!$B$25:$R$48,17,0)</f>
        <v/>
      </c>
      <c r="G40" s="57"/>
      <c r="H40" s="70" t="str">
        <f>VLOOKUP($B40, '12. Adj Conn. to Forecast WS'!$B$25:$R$48,17,0)</f>
        <v/>
      </c>
      <c r="I40" s="69"/>
      <c r="J40" s="80"/>
      <c r="K40" s="81"/>
      <c r="L40" s="82"/>
      <c r="M40" s="83"/>
      <c r="N40" s="84"/>
      <c r="O40" s="79"/>
      <c r="P40" s="82"/>
      <c r="Q40" s="79"/>
      <c r="R40" s="76"/>
      <c r="S40" s="79"/>
      <c r="T40" s="79"/>
      <c r="U40" s="86"/>
      <c r="V40" s="86"/>
      <c r="W40" s="86"/>
      <c r="X40" s="86"/>
    </row>
    <row r="41" spans="2:24" ht="25.5" hidden="1" customHeight="1" thickBot="1" x14ac:dyDescent="0.25">
      <c r="B41" s="15">
        <f>IF('3. Rate Classes'!Q39=1,'3. Rate Classes'!C39, 0)</f>
        <v>0</v>
      </c>
      <c r="C41" s="8"/>
      <c r="D41" s="16" t="str">
        <f>IF(ISERROR(VLOOKUP($B41, '3. Rate Classes'!$C$24:$H$45,6,0)), "", VLOOKUP($B41, '3. Rate Classes'!$C$24:$H$45,6,0))</f>
        <v/>
      </c>
      <c r="F41" s="70" t="str">
        <f>VLOOKUP($B41, '11. Adj Network to Forecast WS'!$B$25:$R$48,17,0)</f>
        <v/>
      </c>
      <c r="G41" s="57"/>
      <c r="H41" s="70" t="str">
        <f>VLOOKUP($B41, '12. Adj Conn. to Forecast WS'!$B$25:$R$48,17,0)</f>
        <v/>
      </c>
      <c r="I41" s="69"/>
      <c r="J41" s="80"/>
      <c r="K41" s="81"/>
      <c r="L41" s="82"/>
      <c r="M41" s="83"/>
      <c r="N41" s="84"/>
      <c r="O41" s="79"/>
      <c r="P41" s="82"/>
      <c r="Q41" s="79"/>
      <c r="R41" s="76"/>
      <c r="S41" s="79"/>
      <c r="T41" s="79"/>
      <c r="U41" s="86"/>
      <c r="V41" s="86"/>
      <c r="W41" s="86"/>
      <c r="X41" s="86"/>
    </row>
    <row r="42" spans="2:24" ht="25.5" hidden="1" customHeight="1" thickBot="1" x14ac:dyDescent="0.25">
      <c r="B42" s="15">
        <f>IF('3. Rate Classes'!Q40=1,'3. Rate Classes'!C40, 0)</f>
        <v>0</v>
      </c>
      <c r="C42" s="8"/>
      <c r="D42" s="16" t="str">
        <f>IF(ISERROR(VLOOKUP($B42, '3. Rate Classes'!$C$24:$H$45,6,0)), "", VLOOKUP($B42, '3. Rate Classes'!$C$24:$H$45,6,0))</f>
        <v/>
      </c>
      <c r="F42" s="70" t="str">
        <f>VLOOKUP($B42, '11. Adj Network to Forecast WS'!$B$25:$R$48,17,0)</f>
        <v/>
      </c>
      <c r="G42" s="57"/>
      <c r="H42" s="70" t="str">
        <f>VLOOKUP($B42, '12. Adj Conn. to Forecast WS'!$B$25:$R$48,17,0)</f>
        <v/>
      </c>
      <c r="I42" s="69"/>
      <c r="J42" s="80"/>
      <c r="K42" s="81"/>
      <c r="L42" s="82"/>
      <c r="M42" s="83"/>
      <c r="N42" s="84"/>
      <c r="O42" s="79"/>
      <c r="P42" s="82"/>
      <c r="Q42" s="79"/>
      <c r="R42" s="76"/>
      <c r="S42" s="79"/>
      <c r="T42" s="79"/>
      <c r="U42" s="86"/>
      <c r="V42" s="86"/>
      <c r="W42" s="86"/>
      <c r="X42" s="86"/>
    </row>
    <row r="43" spans="2:24" ht="25.5" hidden="1" customHeight="1" thickBot="1" x14ac:dyDescent="0.25">
      <c r="B43" s="15">
        <f>IF('3. Rate Classes'!Q41=1,'3. Rate Classes'!C41, 0)</f>
        <v>0</v>
      </c>
      <c r="C43" s="8"/>
      <c r="D43" s="16" t="str">
        <f>IF(ISERROR(VLOOKUP($B43, '3. Rate Classes'!$C$24:$H$45,6,0)), "", VLOOKUP($B43, '3. Rate Classes'!$C$24:$H$45,6,0))</f>
        <v/>
      </c>
      <c r="F43" s="70" t="str">
        <f>VLOOKUP($B43, '11. Adj Network to Forecast WS'!$B$25:$R$48,17,0)</f>
        <v/>
      </c>
      <c r="G43" s="57"/>
      <c r="H43" s="70" t="str">
        <f>VLOOKUP($B43, '12. Adj Conn. to Forecast WS'!$B$25:$R$48,17,0)</f>
        <v/>
      </c>
      <c r="I43" s="69"/>
      <c r="J43" s="80"/>
      <c r="K43" s="81"/>
      <c r="L43" s="82"/>
      <c r="M43" s="83"/>
      <c r="N43" s="84"/>
      <c r="O43" s="79"/>
      <c r="P43" s="82"/>
      <c r="Q43" s="79"/>
      <c r="R43" s="76"/>
      <c r="S43" s="79"/>
      <c r="T43" s="79"/>
      <c r="U43" s="86"/>
      <c r="V43" s="86"/>
      <c r="W43" s="86"/>
      <c r="X43" s="86"/>
    </row>
    <row r="44" spans="2:24" ht="25.5" hidden="1" customHeight="1" thickBot="1" x14ac:dyDescent="0.25">
      <c r="B44" s="15">
        <f>IF('3. Rate Classes'!Q42=1,'3. Rate Classes'!C42, 0)</f>
        <v>0</v>
      </c>
      <c r="C44" s="8"/>
      <c r="D44" s="16" t="str">
        <f>IF(ISERROR(VLOOKUP($B44, '3. Rate Classes'!$C$24:$H$45,6,0)), "", VLOOKUP($B44, '3. Rate Classes'!$C$24:$H$45,6,0))</f>
        <v/>
      </c>
      <c r="F44" s="70" t="str">
        <f>VLOOKUP($B44, '11. Adj Network to Forecast WS'!$B$25:$R$48,17,0)</f>
        <v/>
      </c>
      <c r="G44" s="57"/>
      <c r="H44" s="70" t="str">
        <f>VLOOKUP($B44, '12. Adj Conn. to Forecast WS'!$B$25:$R$48,17,0)</f>
        <v/>
      </c>
      <c r="I44" s="69"/>
      <c r="J44" s="80"/>
      <c r="K44" s="81"/>
      <c r="L44" s="82"/>
      <c r="M44" s="83"/>
      <c r="N44" s="84"/>
      <c r="O44" s="79"/>
      <c r="P44" s="82"/>
      <c r="Q44" s="79"/>
      <c r="R44" s="76"/>
      <c r="S44" s="79"/>
      <c r="T44" s="79"/>
      <c r="U44" s="86"/>
      <c r="V44" s="86"/>
      <c r="W44" s="86"/>
      <c r="X44" s="86"/>
    </row>
    <row r="45" spans="2:24" ht="25.5" hidden="1" customHeight="1" thickBot="1" x14ac:dyDescent="0.25">
      <c r="B45" s="15">
        <f>IF('3. Rate Classes'!Q43=1,'3. Rate Classes'!C43, 0)</f>
        <v>0</v>
      </c>
      <c r="C45" s="8"/>
      <c r="D45" s="16" t="str">
        <f>IF(ISERROR(VLOOKUP($B45, '3. Rate Classes'!$C$24:$H$45,6,0)), "", VLOOKUP($B45, '3. Rate Classes'!$C$24:$H$45,6,0))</f>
        <v/>
      </c>
      <c r="F45" s="70" t="str">
        <f>VLOOKUP($B45, '11. Adj Network to Forecast WS'!$B$25:$R$48,17,0)</f>
        <v/>
      </c>
      <c r="G45" s="57"/>
      <c r="H45" s="70" t="str">
        <f>VLOOKUP($B45, '12. Adj Conn. to Forecast WS'!$B$25:$R$48,17,0)</f>
        <v/>
      </c>
      <c r="I45" s="69"/>
      <c r="J45" s="80"/>
      <c r="K45" s="81"/>
      <c r="L45" s="82"/>
      <c r="M45" s="83"/>
      <c r="N45" s="84"/>
      <c r="O45" s="79"/>
      <c r="P45" s="82"/>
      <c r="Q45" s="79"/>
      <c r="R45" s="76"/>
      <c r="S45" s="79"/>
      <c r="T45" s="79"/>
      <c r="U45" s="86"/>
      <c r="V45" s="86"/>
      <c r="W45" s="86"/>
      <c r="X45" s="86"/>
    </row>
    <row r="46" spans="2:24" ht="25.5" hidden="1" customHeight="1" thickBot="1" x14ac:dyDescent="0.25">
      <c r="B46" s="15">
        <f>IF('3. Rate Classes'!Q44=1,'3. Rate Classes'!C44, 0)</f>
        <v>0</v>
      </c>
      <c r="C46" s="8"/>
      <c r="D46" s="16" t="str">
        <f>IF(ISERROR(VLOOKUP($B46, '3. Rate Classes'!$C$24:$H$45,6,0)), "", VLOOKUP($B46, '3. Rate Classes'!$C$24:$H$45,6,0))</f>
        <v/>
      </c>
      <c r="F46" s="70" t="str">
        <f>VLOOKUP($B46, '11. Adj Network to Forecast WS'!$B$25:$R$48,17,0)</f>
        <v/>
      </c>
      <c r="G46" s="57"/>
      <c r="H46" s="70" t="str">
        <f>VLOOKUP($B46, '12. Adj Conn. to Forecast WS'!$B$25:$R$48,17,0)</f>
        <v/>
      </c>
      <c r="I46" s="69"/>
      <c r="J46" s="80"/>
      <c r="K46" s="81"/>
      <c r="L46" s="82"/>
      <c r="M46" s="83"/>
      <c r="N46" s="84"/>
      <c r="O46" s="79"/>
      <c r="P46" s="82"/>
      <c r="Q46" s="79"/>
      <c r="R46" s="76"/>
      <c r="S46" s="79"/>
      <c r="T46" s="79"/>
      <c r="U46" s="86"/>
      <c r="V46" s="86"/>
      <c r="W46" s="86"/>
      <c r="X46" s="86"/>
    </row>
    <row r="47" spans="2:24" ht="25.5" hidden="1" customHeight="1" thickBot="1" x14ac:dyDescent="0.25">
      <c r="B47" s="15">
        <f>IF('3. Rate Classes'!Q45=1,'3. Rate Classes'!C45, 0)</f>
        <v>0</v>
      </c>
      <c r="C47" s="8"/>
      <c r="D47" s="16" t="str">
        <f>IF(ISERROR(VLOOKUP($B47, '3. Rate Classes'!$C$24:$H$45,6,0)), "", VLOOKUP($B47, '3. Rate Classes'!$C$24:$H$45,6,0))</f>
        <v/>
      </c>
      <c r="F47" s="70" t="str">
        <f>VLOOKUP($B47, '11. Adj Network to Forecast WS'!$B$25:$R$48,17,0)</f>
        <v/>
      </c>
      <c r="G47" s="57"/>
      <c r="H47" s="70" t="str">
        <f>VLOOKUP($B47, '12. Adj Conn. to Forecast WS'!$B$25:$R$48,17,0)</f>
        <v/>
      </c>
      <c r="I47" s="69"/>
      <c r="J47" s="80"/>
      <c r="K47" s="81"/>
      <c r="L47" s="82"/>
      <c r="M47" s="83"/>
      <c r="N47" s="84"/>
      <c r="O47" s="79"/>
      <c r="P47" s="82"/>
      <c r="Q47" s="79"/>
      <c r="R47" s="76"/>
      <c r="S47" s="79"/>
      <c r="T47" s="79"/>
      <c r="U47" s="86"/>
      <c r="V47" s="86"/>
      <c r="W47" s="86"/>
      <c r="X47" s="86"/>
    </row>
    <row r="48" spans="2:24" ht="13.5" thickBot="1" x14ac:dyDescent="0.25">
      <c r="F48" s="70"/>
      <c r="G48" s="37"/>
      <c r="H48" s="86"/>
      <c r="I48" s="86"/>
      <c r="J48" s="79"/>
      <c r="K48" s="79"/>
      <c r="L48" s="79"/>
      <c r="M48" s="79"/>
      <c r="N48" s="79"/>
      <c r="O48" s="79"/>
      <c r="P48" s="79"/>
      <c r="Q48" s="79"/>
      <c r="R48" s="76"/>
      <c r="S48" s="79"/>
      <c r="T48" s="79"/>
      <c r="U48" s="86"/>
      <c r="V48" s="86"/>
      <c r="W48" s="86"/>
      <c r="X48" s="86"/>
    </row>
    <row r="49" spans="6:24" ht="13.5" thickBot="1" x14ac:dyDescent="0.25">
      <c r="F49" s="70"/>
      <c r="G49" s="37"/>
      <c r="H49" s="86"/>
      <c r="I49" s="86"/>
      <c r="J49" s="79"/>
      <c r="K49" s="79"/>
      <c r="L49" s="79"/>
      <c r="M49" s="79"/>
      <c r="N49" s="79"/>
      <c r="O49" s="79"/>
      <c r="P49" s="79"/>
      <c r="Q49" s="79"/>
      <c r="R49" s="76"/>
      <c r="S49" s="79"/>
      <c r="T49" s="79"/>
      <c r="U49" s="86"/>
      <c r="V49" s="86"/>
      <c r="W49" s="86"/>
      <c r="X49" s="86"/>
    </row>
    <row r="50" spans="6:24" ht="13.5" thickBot="1" x14ac:dyDescent="0.25">
      <c r="F50" s="70"/>
      <c r="G50" s="37"/>
      <c r="H50" s="86"/>
      <c r="I50" s="86"/>
      <c r="J50" s="79"/>
      <c r="K50" s="79"/>
      <c r="L50" s="82"/>
      <c r="M50" s="79"/>
      <c r="N50" s="79"/>
      <c r="O50" s="79"/>
      <c r="P50" s="79"/>
      <c r="Q50" s="79"/>
      <c r="R50" s="76"/>
      <c r="S50" s="79"/>
      <c r="T50" s="79"/>
      <c r="U50" s="86"/>
      <c r="V50" s="86"/>
      <c r="W50" s="86"/>
      <c r="X50" s="86"/>
    </row>
    <row r="51" spans="6:24" ht="13.5" thickBot="1" x14ac:dyDescent="0.25">
      <c r="F51" s="70"/>
      <c r="G51" s="37"/>
      <c r="H51" s="86"/>
      <c r="I51" s="86"/>
      <c r="J51" s="79"/>
      <c r="K51" s="79"/>
      <c r="L51" s="79"/>
      <c r="M51" s="79"/>
      <c r="N51" s="79"/>
      <c r="O51" s="79"/>
      <c r="P51" s="79"/>
      <c r="Q51" s="79"/>
      <c r="R51" s="76"/>
      <c r="S51" s="79"/>
      <c r="T51" s="79"/>
      <c r="U51" s="86"/>
      <c r="V51" s="86"/>
      <c r="W51" s="86"/>
      <c r="X51" s="86"/>
    </row>
    <row r="52" spans="6:24" ht="13.5" thickBot="1" x14ac:dyDescent="0.25">
      <c r="F52" s="70"/>
      <c r="G52" s="37"/>
      <c r="H52" s="86"/>
      <c r="I52" s="86"/>
      <c r="J52" s="79"/>
      <c r="K52" s="79"/>
      <c r="L52" s="79"/>
      <c r="M52" s="79"/>
      <c r="N52" s="79"/>
      <c r="O52" s="79"/>
      <c r="P52" s="79"/>
      <c r="Q52" s="79"/>
      <c r="R52" s="76"/>
      <c r="S52" s="79"/>
      <c r="T52" s="79"/>
      <c r="U52" s="86"/>
      <c r="V52" s="86"/>
      <c r="W52" s="86"/>
      <c r="X52" s="86"/>
    </row>
    <row r="53" spans="6:24" ht="13.5" thickBot="1" x14ac:dyDescent="0.25">
      <c r="F53" s="70"/>
      <c r="G53" s="37"/>
      <c r="H53" s="86"/>
      <c r="I53" s="86"/>
      <c r="J53" s="79"/>
      <c r="K53" s="79"/>
      <c r="L53" s="79"/>
      <c r="M53" s="79"/>
      <c r="N53" s="79"/>
      <c r="O53" s="79"/>
      <c r="P53" s="79"/>
      <c r="Q53" s="79"/>
      <c r="R53" s="76"/>
      <c r="S53" s="79"/>
      <c r="T53" s="79"/>
      <c r="U53" s="86"/>
      <c r="V53" s="86"/>
      <c r="W53" s="86"/>
      <c r="X53" s="86"/>
    </row>
    <row r="54" spans="6:24" ht="13.5" thickBot="1" x14ac:dyDescent="0.25">
      <c r="F54" s="67"/>
      <c r="H54" s="86"/>
      <c r="I54" s="86"/>
      <c r="J54" s="79"/>
      <c r="K54" s="79"/>
      <c r="L54" s="79"/>
      <c r="M54" s="79"/>
      <c r="N54" s="79"/>
      <c r="O54" s="79"/>
      <c r="P54" s="79"/>
      <c r="Q54" s="79"/>
      <c r="R54" s="76"/>
      <c r="S54" s="79"/>
      <c r="T54" s="79"/>
      <c r="U54" s="86"/>
      <c r="V54" s="86"/>
      <c r="W54" s="86"/>
      <c r="X54" s="86"/>
    </row>
    <row r="55" spans="6:24" ht="13.5" thickBot="1" x14ac:dyDescent="0.25">
      <c r="F55" s="67"/>
      <c r="H55" s="86"/>
      <c r="I55" s="86"/>
      <c r="J55" s="79"/>
      <c r="K55" s="79"/>
      <c r="L55" s="79"/>
      <c r="M55" s="79"/>
      <c r="N55" s="79"/>
      <c r="O55" s="79"/>
      <c r="P55" s="79"/>
      <c r="Q55" s="79"/>
      <c r="R55" s="79"/>
      <c r="S55" s="79"/>
      <c r="T55" s="79"/>
      <c r="U55" s="86"/>
      <c r="V55" s="86"/>
      <c r="W55" s="86"/>
      <c r="X55" s="86"/>
    </row>
    <row r="56" spans="6:24" ht="13.5" thickBot="1" x14ac:dyDescent="0.25">
      <c r="F56" s="56"/>
      <c r="H56" s="86"/>
      <c r="I56" s="86"/>
      <c r="J56" s="79"/>
      <c r="K56" s="79"/>
      <c r="L56" s="79"/>
      <c r="M56" s="79"/>
      <c r="N56" s="79"/>
      <c r="O56" s="79"/>
      <c r="P56" s="79"/>
      <c r="Q56" s="79"/>
      <c r="R56" s="79"/>
      <c r="S56" s="79"/>
      <c r="T56" s="79"/>
      <c r="U56" s="86"/>
      <c r="V56" s="86"/>
      <c r="W56" s="86"/>
      <c r="X56" s="86"/>
    </row>
    <row r="57" spans="6:24" ht="13.5" thickBot="1" x14ac:dyDescent="0.25">
      <c r="F57" s="56"/>
      <c r="H57" s="86"/>
      <c r="I57" s="86"/>
      <c r="J57" s="79"/>
      <c r="K57" s="79"/>
      <c r="L57" s="79"/>
      <c r="M57" s="79"/>
      <c r="N57" s="79"/>
      <c r="O57" s="79"/>
      <c r="P57" s="79"/>
      <c r="Q57" s="79"/>
      <c r="R57" s="79"/>
      <c r="S57" s="79"/>
      <c r="T57" s="79"/>
      <c r="U57" s="86"/>
      <c r="V57" s="86"/>
      <c r="W57" s="86"/>
      <c r="X57" s="86"/>
    </row>
    <row r="58" spans="6:24" x14ac:dyDescent="0.2">
      <c r="H58" s="86"/>
      <c r="I58" s="86"/>
      <c r="J58" s="79"/>
      <c r="K58" s="79"/>
      <c r="L58" s="79"/>
      <c r="M58" s="79"/>
      <c r="N58" s="79"/>
      <c r="O58" s="79"/>
      <c r="P58" s="79"/>
      <c r="Q58" s="79"/>
      <c r="R58" s="79"/>
      <c r="S58" s="79"/>
      <c r="T58" s="79"/>
      <c r="U58" s="86"/>
      <c r="V58" s="86"/>
      <c r="W58" s="86"/>
      <c r="X58" s="86"/>
    </row>
    <row r="59" spans="6:24" x14ac:dyDescent="0.2">
      <c r="H59" s="86"/>
      <c r="I59" s="86"/>
      <c r="J59" s="79"/>
      <c r="K59" s="79"/>
      <c r="L59" s="79"/>
      <c r="M59" s="79"/>
      <c r="N59" s="79"/>
      <c r="O59" s="79"/>
      <c r="P59" s="79"/>
      <c r="Q59" s="79"/>
      <c r="R59" s="79"/>
      <c r="S59" s="79"/>
      <c r="T59" s="79"/>
      <c r="U59" s="86"/>
      <c r="V59" s="86"/>
      <c r="W59" s="86"/>
      <c r="X59" s="86"/>
    </row>
  </sheetData>
  <sheetProtection password="F8BD" sheet="1" objects="1" scenarios="1"/>
  <mergeCells count="1">
    <mergeCell ref="B13:L13"/>
  </mergeCells>
  <phoneticPr fontId="21" type="noConversion"/>
  <pageMargins left="0.75" right="0.75" top="1" bottom="1" header="0.5" footer="0.5"/>
  <pageSetup scale="83" orientation="landscape" r:id="rId1"/>
  <headerFooter alignWithMargins="0">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3"/>
  <sheetViews>
    <sheetView workbookViewId="0">
      <selection activeCell="E4" sqref="E4"/>
    </sheetView>
  </sheetViews>
  <sheetFormatPr defaultRowHeight="12.75" x14ac:dyDescent="0.2"/>
  <cols>
    <col min="1" max="1" width="30.5703125" bestFit="1" customWidth="1"/>
    <col min="4" max="4" width="22.85546875" bestFit="1" customWidth="1"/>
  </cols>
  <sheetData>
    <row r="1" spans="1:4" x14ac:dyDescent="0.2">
      <c r="A1" s="4" t="str">
        <f>IF('3. Rate Classes'!Q24=1, '3. Rate Classes'!C24, "")</f>
        <v>Residential</v>
      </c>
      <c r="B1" s="4">
        <v>1</v>
      </c>
      <c r="D1" s="5"/>
    </row>
    <row r="2" spans="1:4" x14ac:dyDescent="0.2">
      <c r="A2" s="4" t="str">
        <f>IF('3. Rate Classes'!Q25=1, '3. Rate Classes'!C25, "")</f>
        <v>General Service Less Than 50 kW</v>
      </c>
      <c r="B2" s="4">
        <v>2</v>
      </c>
    </row>
    <row r="3" spans="1:4" x14ac:dyDescent="0.2">
      <c r="A3" s="4" t="str">
        <f>IF('3. Rate Classes'!Q26=1, '3. Rate Classes'!C26, "")</f>
        <v>General Service 50 to 999 kW</v>
      </c>
      <c r="B3" s="4">
        <v>3</v>
      </c>
    </row>
    <row r="4" spans="1:4" x14ac:dyDescent="0.2">
      <c r="A4" s="4" t="str">
        <f>IF('3. Rate Classes'!Q27=1, '3. Rate Classes'!C27, "")</f>
        <v>General Service 1,000 to 4,999 kW</v>
      </c>
      <c r="B4" s="4">
        <v>4</v>
      </c>
    </row>
    <row r="5" spans="1:4" x14ac:dyDescent="0.2">
      <c r="A5" s="4" t="str">
        <f>IF('3. Rate Classes'!Q28=1, '3. Rate Classes'!C28, "")</f>
        <v>Large Use</v>
      </c>
      <c r="B5" s="4">
        <v>5</v>
      </c>
    </row>
    <row r="6" spans="1:4" x14ac:dyDescent="0.2">
      <c r="A6" s="4" t="str">
        <f>IF('3. Rate Classes'!Q29=1, '3. Rate Classes'!C29, "")</f>
        <v>Unmetered Scattered Load</v>
      </c>
      <c r="B6" s="4">
        <v>6</v>
      </c>
    </row>
    <row r="7" spans="1:4" x14ac:dyDescent="0.2">
      <c r="A7" s="4" t="str">
        <f>IF('3. Rate Classes'!Q30=1, '3. Rate Classes'!C30, "")</f>
        <v>Sentinel Lighting</v>
      </c>
      <c r="B7" s="4">
        <v>7</v>
      </c>
    </row>
    <row r="8" spans="1:4" x14ac:dyDescent="0.2">
      <c r="A8" s="4" t="str">
        <f>IF('3. Rate Classes'!Q31=1, '3. Rate Classes'!C31, "")</f>
        <v>Street Lighting</v>
      </c>
      <c r="B8" s="4">
        <v>8</v>
      </c>
    </row>
    <row r="9" spans="1:4" x14ac:dyDescent="0.2">
      <c r="A9" s="4" t="str">
        <f>IF('3. Rate Classes'!Q32=1, '3. Rate Classes'!C32, "")</f>
        <v/>
      </c>
      <c r="B9" s="4">
        <v>9</v>
      </c>
    </row>
    <row r="10" spans="1:4" x14ac:dyDescent="0.2">
      <c r="A10" s="4" t="str">
        <f>IF('3. Rate Classes'!Q33=1, '3. Rate Classes'!C33, "")</f>
        <v/>
      </c>
      <c r="B10" s="4">
        <v>10</v>
      </c>
    </row>
    <row r="11" spans="1:4" x14ac:dyDescent="0.2">
      <c r="A11" s="4" t="str">
        <f>IF('3. Rate Classes'!Q34=1, '3. Rate Classes'!C34, "")</f>
        <v/>
      </c>
      <c r="B11" s="4">
        <v>11</v>
      </c>
    </row>
    <row r="12" spans="1:4" x14ac:dyDescent="0.2">
      <c r="A12" s="4" t="str">
        <f>IF('3. Rate Classes'!Q35=1, '3. Rate Classes'!C35, "")</f>
        <v/>
      </c>
      <c r="B12" s="4">
        <v>12</v>
      </c>
    </row>
    <row r="13" spans="1:4" x14ac:dyDescent="0.2">
      <c r="A13" s="4" t="str">
        <f>IF('3. Rate Classes'!Q36=1, '3. Rate Classes'!C36, "")</f>
        <v/>
      </c>
      <c r="B13" s="4">
        <v>13</v>
      </c>
    </row>
    <row r="14" spans="1:4" x14ac:dyDescent="0.2">
      <c r="A14" s="4" t="str">
        <f>IF('3. Rate Classes'!Q37=1, '3. Rate Classes'!C37, "")</f>
        <v/>
      </c>
      <c r="B14" s="4">
        <v>14</v>
      </c>
    </row>
    <row r="15" spans="1:4" x14ac:dyDescent="0.2">
      <c r="A15" s="4" t="str">
        <f>IF('3. Rate Classes'!Q38=1, '3. Rate Classes'!C38, "")</f>
        <v/>
      </c>
      <c r="B15" s="4">
        <v>15</v>
      </c>
    </row>
    <row r="16" spans="1:4" x14ac:dyDescent="0.2">
      <c r="A16" s="4" t="str">
        <f>IF('3. Rate Classes'!Q39=1, '3. Rate Classes'!C39, "")</f>
        <v/>
      </c>
      <c r="B16" s="4">
        <v>16</v>
      </c>
    </row>
    <row r="17" spans="1:4" x14ac:dyDescent="0.2">
      <c r="A17" s="4" t="str">
        <f>IF('3. Rate Classes'!Q40=1, '3. Rate Classes'!C40, "")</f>
        <v/>
      </c>
      <c r="B17" s="4">
        <v>17</v>
      </c>
    </row>
    <row r="18" spans="1:4" x14ac:dyDescent="0.2">
      <c r="A18" s="4" t="str">
        <f>IF('3. Rate Classes'!Q41=1, '3. Rate Classes'!C41, "")</f>
        <v/>
      </c>
      <c r="B18" s="4">
        <v>18</v>
      </c>
    </row>
    <row r="19" spans="1:4" x14ac:dyDescent="0.2">
      <c r="A19" s="4" t="str">
        <f>IF('3. Rate Classes'!Q42=1, '3. Rate Classes'!C42, "")</f>
        <v/>
      </c>
      <c r="B19" s="4">
        <v>19</v>
      </c>
    </row>
    <row r="20" spans="1:4" x14ac:dyDescent="0.2">
      <c r="A20" s="4" t="str">
        <f>IF('3. Rate Classes'!Q43=1, '3. Rate Classes'!C43, "")</f>
        <v/>
      </c>
      <c r="B20" s="4">
        <v>20</v>
      </c>
    </row>
    <row r="21" spans="1:4" x14ac:dyDescent="0.2">
      <c r="A21" s="4" t="str">
        <f>IF('3. Rate Classes'!Q44=1, '3. Rate Classes'!C44, "")</f>
        <v/>
      </c>
      <c r="B21" s="4">
        <v>21</v>
      </c>
      <c r="D21" s="5"/>
    </row>
    <row r="22" spans="1:4" x14ac:dyDescent="0.2">
      <c r="A22" s="4" t="str">
        <f>IF('3. Rate Classes'!Q45=1, '3. Rate Classes'!C45, "")</f>
        <v/>
      </c>
      <c r="B22" s="4">
        <v>22</v>
      </c>
      <c r="D22" s="5"/>
    </row>
    <row r="23" spans="1:4" x14ac:dyDescent="0.2">
      <c r="D23" s="5"/>
    </row>
    <row r="24" spans="1:4" x14ac:dyDescent="0.2">
      <c r="D24" s="5"/>
    </row>
    <row r="25" spans="1:4" x14ac:dyDescent="0.2">
      <c r="D25" s="5"/>
    </row>
    <row r="26" spans="1:4" x14ac:dyDescent="0.2">
      <c r="D26" s="5"/>
    </row>
    <row r="27" spans="1:4" x14ac:dyDescent="0.2">
      <c r="D27" s="5"/>
    </row>
    <row r="28" spans="1:4" x14ac:dyDescent="0.2">
      <c r="D28" s="5"/>
    </row>
    <row r="29" spans="1:4" x14ac:dyDescent="0.2">
      <c r="D29" s="5"/>
    </row>
    <row r="30" spans="1:4" x14ac:dyDescent="0.2">
      <c r="D30" s="5"/>
    </row>
    <row r="31" spans="1:4" x14ac:dyDescent="0.2">
      <c r="D31" s="5"/>
    </row>
    <row r="32" spans="1:4" x14ac:dyDescent="0.2">
      <c r="D32" s="5"/>
    </row>
    <row r="73" spans="4:4" x14ac:dyDescent="0.2">
      <c r="D73" s="4"/>
    </row>
  </sheetData>
  <sheetProtection password="F8BD" sheet="1" objects="1" scenarios="1"/>
  <phoneticPr fontId="2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14:M121"/>
  <sheetViews>
    <sheetView showGridLines="0" workbookViewId="0">
      <selection activeCell="I33" sqref="I33"/>
    </sheetView>
  </sheetViews>
  <sheetFormatPr defaultRowHeight="12.75" x14ac:dyDescent="0.2"/>
  <sheetData>
    <row r="14" ht="3" customHeight="1" x14ac:dyDescent="0.2"/>
    <row r="15" ht="3" customHeight="1" x14ac:dyDescent="0.2"/>
    <row r="16" ht="3" customHeight="1" x14ac:dyDescent="0.2"/>
    <row r="17" spans="3:13" s="75" customFormat="1" ht="3" customHeight="1" x14ac:dyDescent="0.2"/>
    <row r="18" spans="3:13" s="75" customFormat="1" ht="3" customHeight="1" x14ac:dyDescent="0.2">
      <c r="C18" s="8"/>
      <c r="D18" s="8"/>
      <c r="E18" s="8"/>
      <c r="F18" s="8"/>
      <c r="G18" s="8"/>
      <c r="H18" s="8"/>
      <c r="I18" s="8"/>
      <c r="J18" s="8"/>
      <c r="K18" s="8"/>
      <c r="L18" s="8"/>
      <c r="M18" s="8"/>
    </row>
    <row r="19" spans="3:13" s="75" customFormat="1" x14ac:dyDescent="0.2">
      <c r="C19" s="8"/>
      <c r="D19" s="8"/>
      <c r="E19" s="8"/>
      <c r="F19" s="8"/>
      <c r="G19" s="8"/>
      <c r="H19" s="8"/>
      <c r="I19" s="8"/>
      <c r="J19" s="8"/>
      <c r="K19" s="8"/>
      <c r="L19" s="8"/>
      <c r="M19" s="8"/>
    </row>
    <row r="20" spans="3:13" s="75" customFormat="1" ht="15.75" x14ac:dyDescent="0.25">
      <c r="C20" s="8"/>
      <c r="D20" s="154" t="s">
        <v>141</v>
      </c>
      <c r="E20" s="8"/>
      <c r="F20" s="8"/>
      <c r="G20" s="8"/>
      <c r="H20" s="8"/>
      <c r="I20" s="154" t="s">
        <v>147</v>
      </c>
      <c r="J20" s="8"/>
      <c r="K20" s="8"/>
      <c r="L20" s="8"/>
      <c r="M20" s="8"/>
    </row>
    <row r="21" spans="3:13" s="75" customFormat="1" ht="15.75" x14ac:dyDescent="0.25">
      <c r="C21" s="8"/>
      <c r="D21" s="140"/>
      <c r="E21" s="8"/>
      <c r="F21" s="8"/>
      <c r="G21" s="8"/>
      <c r="H21" s="8"/>
      <c r="I21" s="140"/>
      <c r="J21" s="8"/>
      <c r="K21" s="8"/>
      <c r="L21" s="8"/>
      <c r="M21" s="8"/>
    </row>
    <row r="22" spans="3:13" s="75" customFormat="1" ht="15.75" x14ac:dyDescent="0.25">
      <c r="C22" s="8"/>
      <c r="D22" s="154" t="s">
        <v>142</v>
      </c>
      <c r="E22" s="8"/>
      <c r="F22" s="8"/>
      <c r="G22" s="8"/>
      <c r="H22" s="8"/>
      <c r="I22" s="154" t="s">
        <v>148</v>
      </c>
      <c r="J22" s="8"/>
      <c r="K22" s="8"/>
      <c r="L22" s="8"/>
      <c r="M22" s="8"/>
    </row>
    <row r="23" spans="3:13" s="75" customFormat="1" ht="15.75" x14ac:dyDescent="0.25">
      <c r="C23" s="8"/>
      <c r="D23" s="140"/>
      <c r="E23" s="8"/>
      <c r="F23" s="8"/>
      <c r="G23" s="8"/>
      <c r="H23" s="8"/>
      <c r="I23" s="140"/>
      <c r="J23" s="8"/>
      <c r="K23" s="8"/>
      <c r="L23" s="8"/>
      <c r="M23" s="8"/>
    </row>
    <row r="24" spans="3:13" s="75" customFormat="1" ht="15.75" x14ac:dyDescent="0.25">
      <c r="C24" s="8"/>
      <c r="D24" s="154" t="s">
        <v>143</v>
      </c>
      <c r="E24" s="8"/>
      <c r="F24" s="8"/>
      <c r="G24" s="8"/>
      <c r="H24" s="8"/>
      <c r="I24" s="154" t="s">
        <v>149</v>
      </c>
      <c r="J24" s="8"/>
      <c r="K24" s="8"/>
      <c r="L24" s="8"/>
      <c r="M24" s="8"/>
    </row>
    <row r="25" spans="3:13" s="75" customFormat="1" ht="15.75" x14ac:dyDescent="0.25">
      <c r="C25" s="8"/>
      <c r="D25" s="140"/>
      <c r="E25" s="8"/>
      <c r="F25" s="8"/>
      <c r="G25" s="8"/>
      <c r="H25" s="8"/>
      <c r="I25" s="140"/>
      <c r="J25" s="8"/>
      <c r="K25" s="8"/>
      <c r="L25" s="8"/>
      <c r="M25" s="8"/>
    </row>
    <row r="26" spans="3:13" s="75" customFormat="1" ht="15.75" x14ac:dyDescent="0.25">
      <c r="C26" s="8"/>
      <c r="D26" s="154" t="s">
        <v>144</v>
      </c>
      <c r="E26" s="8"/>
      <c r="F26" s="8"/>
      <c r="G26" s="8"/>
      <c r="H26" s="8"/>
      <c r="I26" s="154" t="s">
        <v>150</v>
      </c>
      <c r="J26" s="8"/>
      <c r="K26" s="8"/>
      <c r="L26" s="8"/>
      <c r="M26" s="8"/>
    </row>
    <row r="27" spans="3:13" s="75" customFormat="1" ht="15.75" x14ac:dyDescent="0.25">
      <c r="C27" s="8"/>
      <c r="D27" s="140"/>
      <c r="E27" s="8"/>
      <c r="F27" s="8"/>
      <c r="G27" s="8"/>
      <c r="H27" s="8"/>
      <c r="I27" s="140"/>
      <c r="J27" s="8"/>
      <c r="K27" s="8"/>
      <c r="L27" s="8"/>
      <c r="M27" s="8"/>
    </row>
    <row r="28" spans="3:13" s="75" customFormat="1" ht="15.75" x14ac:dyDescent="0.25">
      <c r="C28" s="8"/>
      <c r="D28" s="154" t="s">
        <v>145</v>
      </c>
      <c r="E28" s="8"/>
      <c r="F28" s="8"/>
      <c r="G28" s="8"/>
      <c r="H28" s="8"/>
      <c r="I28" s="154" t="s">
        <v>151</v>
      </c>
      <c r="J28" s="8"/>
      <c r="K28" s="8"/>
      <c r="L28" s="8"/>
      <c r="M28" s="8"/>
    </row>
    <row r="29" spans="3:13" s="75" customFormat="1" ht="15.75" x14ac:dyDescent="0.25">
      <c r="C29" s="8"/>
      <c r="D29" s="140"/>
      <c r="E29" s="8"/>
      <c r="F29" s="8"/>
      <c r="G29" s="8"/>
      <c r="H29" s="8"/>
      <c r="I29" s="140"/>
      <c r="J29" s="8"/>
      <c r="K29" s="8"/>
      <c r="L29" s="8"/>
      <c r="M29" s="8"/>
    </row>
    <row r="30" spans="3:13" s="75" customFormat="1" ht="15.75" x14ac:dyDescent="0.25">
      <c r="C30" s="8"/>
      <c r="D30" s="154" t="s">
        <v>146</v>
      </c>
      <c r="E30" s="8"/>
      <c r="F30" s="8"/>
      <c r="G30" s="8"/>
      <c r="H30" s="8"/>
      <c r="I30" s="154" t="s">
        <v>152</v>
      </c>
      <c r="J30" s="8"/>
      <c r="K30" s="8"/>
      <c r="L30" s="8"/>
      <c r="M30" s="8"/>
    </row>
    <row r="31" spans="3:13" s="75" customFormat="1" x14ac:dyDescent="0.2">
      <c r="C31" s="8"/>
      <c r="D31" s="8"/>
      <c r="E31" s="8"/>
      <c r="F31" s="8"/>
      <c r="G31" s="8"/>
      <c r="H31" s="8"/>
      <c r="I31" s="8"/>
      <c r="J31" s="8"/>
      <c r="K31" s="8"/>
      <c r="L31" s="8"/>
      <c r="M31" s="8"/>
    </row>
    <row r="32" spans="3:13" s="75" customFormat="1" ht="15.75" x14ac:dyDescent="0.25">
      <c r="C32" s="8"/>
      <c r="D32" s="8"/>
      <c r="E32" s="8"/>
      <c r="F32" s="8"/>
      <c r="G32" s="8"/>
      <c r="H32" s="8"/>
      <c r="I32" s="154" t="s">
        <v>250</v>
      </c>
      <c r="J32" s="8"/>
      <c r="K32" s="8"/>
      <c r="L32" s="8"/>
      <c r="M32" s="8"/>
    </row>
    <row r="33" spans="3:13" s="75" customFormat="1" x14ac:dyDescent="0.2">
      <c r="C33" s="8"/>
      <c r="D33" s="8"/>
      <c r="E33" s="8"/>
      <c r="F33" s="8"/>
      <c r="G33" s="8"/>
      <c r="H33" s="8"/>
      <c r="I33" s="8"/>
      <c r="J33" s="8"/>
      <c r="K33" s="8"/>
      <c r="L33" s="8"/>
      <c r="M33" s="8"/>
    </row>
    <row r="34" spans="3:13" s="75" customFormat="1" x14ac:dyDescent="0.2">
      <c r="C34" s="8"/>
      <c r="D34" s="8"/>
      <c r="E34" s="8"/>
      <c r="F34" s="8"/>
      <c r="G34" s="8"/>
      <c r="H34" s="8"/>
      <c r="I34" s="8"/>
      <c r="J34" s="8"/>
      <c r="K34" s="8"/>
      <c r="L34" s="8"/>
      <c r="M34" s="8"/>
    </row>
    <row r="35" spans="3:13" s="75" customFormat="1" x14ac:dyDescent="0.2">
      <c r="C35" s="8"/>
      <c r="D35" s="8"/>
      <c r="E35" s="8"/>
      <c r="F35" s="8"/>
      <c r="G35" s="8"/>
      <c r="H35" s="8"/>
      <c r="I35" s="8"/>
      <c r="J35" s="8"/>
      <c r="K35" s="8"/>
      <c r="L35" s="8"/>
      <c r="M35" s="8"/>
    </row>
    <row r="36" spans="3:13" s="75" customFormat="1" x14ac:dyDescent="0.2"/>
    <row r="37" spans="3:13" s="75" customFormat="1" x14ac:dyDescent="0.2"/>
    <row r="38" spans="3:13" s="75" customFormat="1" x14ac:dyDescent="0.2"/>
    <row r="39" spans="3:13" s="75" customFormat="1" x14ac:dyDescent="0.2"/>
    <row r="40" spans="3:13" s="75" customFormat="1" x14ac:dyDescent="0.2"/>
    <row r="41" spans="3:13" s="75" customFormat="1" x14ac:dyDescent="0.2"/>
    <row r="42" spans="3:13" s="75" customFormat="1" x14ac:dyDescent="0.2"/>
    <row r="43" spans="3:13" s="75" customFormat="1" x14ac:dyDescent="0.2"/>
    <row r="44" spans="3:13" s="75" customFormat="1" x14ac:dyDescent="0.2"/>
    <row r="45" spans="3:13" s="75" customFormat="1" x14ac:dyDescent="0.2"/>
    <row r="46" spans="3:13" s="75" customFormat="1" x14ac:dyDescent="0.2"/>
    <row r="47" spans="3:13" s="75" customFormat="1" x14ac:dyDescent="0.2"/>
    <row r="48" spans="3:13" s="75" customFormat="1" x14ac:dyDescent="0.2"/>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pans="3:3" s="75" customFormat="1" x14ac:dyDescent="0.2"/>
    <row r="98" spans="3:3" s="75" customFormat="1" x14ac:dyDescent="0.2"/>
    <row r="99" spans="3:3" s="75" customFormat="1" x14ac:dyDescent="0.2"/>
    <row r="100" spans="3:3" s="75" customFormat="1" x14ac:dyDescent="0.2"/>
    <row r="101" spans="3:3" s="75" customFormat="1" x14ac:dyDescent="0.2"/>
    <row r="102" spans="3:3" s="75" customFormat="1" x14ac:dyDescent="0.2"/>
    <row r="103" spans="3:3" s="75" customFormat="1" x14ac:dyDescent="0.2"/>
    <row r="104" spans="3:3" s="75" customFormat="1" x14ac:dyDescent="0.2"/>
    <row r="105" spans="3:3" s="75" customFormat="1" x14ac:dyDescent="0.2"/>
    <row r="106" spans="3:3" s="75" customFormat="1" x14ac:dyDescent="0.2"/>
    <row r="107" spans="3:3" s="75" customFormat="1" x14ac:dyDescent="0.2"/>
    <row r="108" spans="3:3" s="75" customFormat="1" x14ac:dyDescent="0.2"/>
    <row r="109" spans="3:3" s="75" customFormat="1" x14ac:dyDescent="0.2"/>
    <row r="110" spans="3:3" s="75" customFormat="1" x14ac:dyDescent="0.2"/>
    <row r="111" spans="3:3" s="75" customFormat="1" x14ac:dyDescent="0.2"/>
    <row r="112" spans="3:3" x14ac:dyDescent="0.2">
      <c r="C112" s="75"/>
    </row>
    <row r="113" spans="3:3" x14ac:dyDescent="0.2">
      <c r="C113" s="75"/>
    </row>
    <row r="114" spans="3:3" x14ac:dyDescent="0.2">
      <c r="C114" s="75"/>
    </row>
    <row r="115" spans="3:3" x14ac:dyDescent="0.2">
      <c r="C115" s="75"/>
    </row>
    <row r="116" spans="3:3" x14ac:dyDescent="0.2">
      <c r="C116" s="75"/>
    </row>
    <row r="117" spans="3:3" x14ac:dyDescent="0.2">
      <c r="C117" s="75"/>
    </row>
    <row r="118" spans="3:3" x14ac:dyDescent="0.2">
      <c r="C118" s="75"/>
    </row>
    <row r="119" spans="3:3" x14ac:dyDescent="0.2">
      <c r="C119" s="75"/>
    </row>
    <row r="120" spans="3:3" x14ac:dyDescent="0.2">
      <c r="C120" s="75"/>
    </row>
    <row r="121" spans="3:3" x14ac:dyDescent="0.2">
      <c r="C121" s="75"/>
    </row>
  </sheetData>
  <sheetProtection password="F8BD" sheet="1" objects="1" scenarios="1"/>
  <phoneticPr fontId="21" type="noConversion"/>
  <hyperlinks>
    <hyperlink ref="D20" location="'1. Info'!A1" display="1. Info"/>
    <hyperlink ref="D22" location="'2. Table of Contents'!A1" display="2. Table of Contents"/>
    <hyperlink ref="D24" location="'3. Rate Classes'!A1" display="3. Rate Classes"/>
    <hyperlink ref="D26" location="'4. RRR Data'!A1" display="4. RRR Data"/>
    <hyperlink ref="D28" location="'5. UTRs and Sub-Transmission'!A1" display="5. UTRs and Sub-Transmission"/>
    <hyperlink ref="D30" location="'6. Historical Wholesale'!A1" display="6. Historical Wholesale"/>
    <hyperlink ref="I20" location="'7. Current Wholesale'!A1" display="7. Current Wholesale"/>
    <hyperlink ref="I22" location="'8. Forecast Wholesale'!A1" display="8. Forecast Wholesale"/>
    <hyperlink ref="I24" location="'9. Adj Network to Current WS'!A1" display="9. Adj Network to Current WS"/>
    <hyperlink ref="I26" location="'10. Adj Conn. to Current WS'!A1" display="10. Adj Conn. to Current WS"/>
    <hyperlink ref="I28" location="'11. Adj Network to Forecast WS'!A1" display="11. Adj Network to Forecast WS"/>
    <hyperlink ref="I30" location="'12. Adj Conn. to Forecast WS'!A1" display="12. Adj Conn. to Forecast WS"/>
    <hyperlink ref="I32" location="'12. Adj Conn. to Forecast WS'!A1" display="12. Adj Conn. to Forecast WS"/>
  </hyperlinks>
  <pageMargins left="0.75" right="0.75" top="1" bottom="1" header="0.5" footer="0.5"/>
  <pageSetup scale="61" orientation="portrait" r:id="rId1"/>
  <headerFooter alignWithMargins="0">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13:AB115"/>
  <sheetViews>
    <sheetView showGridLines="0" topLeftCell="B1" workbookViewId="0">
      <pane ySplit="22" topLeftCell="A23" activePane="bottomLeft" state="frozenSplit"/>
      <selection pane="bottomLeft" activeCell="C13" sqref="C13:N13"/>
    </sheetView>
  </sheetViews>
  <sheetFormatPr defaultRowHeight="12.75" x14ac:dyDescent="0.2"/>
  <cols>
    <col min="1" max="1" width="0" hidden="1" customWidth="1"/>
    <col min="4" max="4" width="39.7109375" customWidth="1"/>
    <col min="9" max="9" width="9.42578125" customWidth="1"/>
    <col min="13" max="13" width="9.28515625" customWidth="1"/>
    <col min="16" max="21" width="0" hidden="1" customWidth="1"/>
    <col min="26" max="27" width="0" hidden="1" customWidth="1"/>
    <col min="28" max="28" width="91.42578125" hidden="1" customWidth="1"/>
    <col min="29" max="48" width="0" hidden="1" customWidth="1"/>
  </cols>
  <sheetData>
    <row r="13" spans="3:14" ht="29.25" customHeight="1" x14ac:dyDescent="0.2">
      <c r="C13" s="167" t="s">
        <v>246</v>
      </c>
      <c r="D13" s="167"/>
      <c r="E13" s="167"/>
      <c r="F13" s="167"/>
      <c r="G13" s="167"/>
      <c r="H13" s="167"/>
      <c r="I13" s="167"/>
      <c r="J13" s="167"/>
      <c r="K13" s="167"/>
      <c r="L13" s="167"/>
      <c r="M13" s="167"/>
      <c r="N13" s="167"/>
    </row>
    <row r="15" spans="3:14" ht="3" customHeight="1" x14ac:dyDescent="0.2"/>
    <row r="16" spans="3:14" ht="3" customHeight="1" x14ac:dyDescent="0.2"/>
    <row r="17" spans="3:28" ht="3" customHeight="1" x14ac:dyDescent="0.2"/>
    <row r="18" spans="3:28" ht="3" customHeight="1" x14ac:dyDescent="0.2"/>
    <row r="19" spans="3:28" ht="3" customHeight="1" x14ac:dyDescent="0.2"/>
    <row r="21" spans="3:28" x14ac:dyDescent="0.2">
      <c r="E21" s="5"/>
    </row>
    <row r="22" spans="3:28" ht="15.75" x14ac:dyDescent="0.25">
      <c r="C22" s="140" t="s">
        <v>209</v>
      </c>
      <c r="D22" s="140"/>
      <c r="E22" s="140"/>
      <c r="F22" s="140"/>
      <c r="G22" s="140"/>
      <c r="H22" s="140" t="s">
        <v>210</v>
      </c>
      <c r="I22" s="140"/>
      <c r="J22" s="140" t="s">
        <v>247</v>
      </c>
      <c r="K22" s="140"/>
      <c r="L22" s="140"/>
      <c r="M22" s="140" t="s">
        <v>248</v>
      </c>
    </row>
    <row r="24" spans="3:28" x14ac:dyDescent="0.2">
      <c r="C24" s="169" t="s">
        <v>29</v>
      </c>
      <c r="D24" s="169"/>
      <c r="E24" s="169"/>
      <c r="F24" s="169"/>
      <c r="G24" s="10"/>
      <c r="H24" s="3" t="s">
        <v>254</v>
      </c>
      <c r="I24" s="14"/>
      <c r="J24" s="171">
        <v>6.7999999999999996E-3</v>
      </c>
      <c r="K24" s="171"/>
      <c r="L24" s="7"/>
      <c r="M24" s="171">
        <v>5.7000000000000002E-3</v>
      </c>
      <c r="N24" s="171"/>
      <c r="Q24">
        <f t="shared" ref="Q24:Q45" si="0">IF(OR(ISBLANK(C24), ISERROR(FIND("Choose", C24))=FALSE), 0, 1)</f>
        <v>1</v>
      </c>
      <c r="R24" t="str">
        <f t="shared" ref="R24:R45" si="1">"C" &amp; ROW(C24)</f>
        <v>C24</v>
      </c>
      <c r="S24" t="str">
        <f>IF(OR(C24="General Service Intermediate Rate Class 1,000 To 4,999 kW (formerly General Service &gt; 50 kW Customers)", C24="General Service Intermediate Rate Class 1,000 To 4,999 kW (formerly Large Use Customers)"), "x", "")</f>
        <v/>
      </c>
      <c r="AB24" t="s">
        <v>30</v>
      </c>
    </row>
    <row r="25" spans="3:28" x14ac:dyDescent="0.2">
      <c r="C25" s="169" t="s">
        <v>31</v>
      </c>
      <c r="D25" s="169"/>
      <c r="E25" s="169"/>
      <c r="F25" s="169"/>
      <c r="G25" s="10"/>
      <c r="H25" s="152" t="s">
        <v>254</v>
      </c>
      <c r="I25" s="6"/>
      <c r="J25" s="170">
        <v>6.3E-3</v>
      </c>
      <c r="K25" s="170"/>
      <c r="L25" s="8"/>
      <c r="M25" s="170">
        <v>5.0000000000000001E-3</v>
      </c>
      <c r="N25" s="170"/>
      <c r="Q25">
        <f t="shared" si="0"/>
        <v>1</v>
      </c>
      <c r="R25" t="str">
        <f t="shared" si="1"/>
        <v>C25</v>
      </c>
      <c r="S25" t="str">
        <f t="shared" ref="S25:S45" si="2">IF(OR(C25="General Service Intermediate Rate Class 1,000 To 4,999 kW (formerly General Service &gt; 50 kW Customers)", C25="General Service Intermediate Rate Class 1,000 To 4,999 kW (formerly Large Use Customers)"), "x", "")</f>
        <v/>
      </c>
      <c r="AB25" t="s">
        <v>29</v>
      </c>
    </row>
    <row r="26" spans="3:28" x14ac:dyDescent="0.2">
      <c r="C26" s="169" t="s">
        <v>61</v>
      </c>
      <c r="D26" s="169"/>
      <c r="E26" s="169"/>
      <c r="F26" s="169"/>
      <c r="G26" s="10"/>
      <c r="H26" s="152" t="s">
        <v>113</v>
      </c>
      <c r="I26" s="6"/>
      <c r="J26" s="170">
        <v>2.5648</v>
      </c>
      <c r="K26" s="170"/>
      <c r="L26" s="8"/>
      <c r="M26" s="170">
        <v>1.9998</v>
      </c>
      <c r="N26" s="170"/>
      <c r="Q26">
        <f t="shared" si="0"/>
        <v>1</v>
      </c>
      <c r="R26" t="str">
        <f t="shared" si="1"/>
        <v>C26</v>
      </c>
      <c r="S26" t="str">
        <f t="shared" si="2"/>
        <v/>
      </c>
      <c r="AB26" t="s">
        <v>33</v>
      </c>
    </row>
    <row r="27" spans="3:28" x14ac:dyDescent="0.2">
      <c r="C27" s="169" t="s">
        <v>34</v>
      </c>
      <c r="D27" s="169"/>
      <c r="E27" s="169"/>
      <c r="F27" s="169"/>
      <c r="G27" s="10"/>
      <c r="H27" s="152" t="s">
        <v>113</v>
      </c>
      <c r="I27" s="6"/>
      <c r="J27" s="170">
        <v>2.7241</v>
      </c>
      <c r="K27" s="170"/>
      <c r="L27" s="8"/>
      <c r="M27" s="170">
        <v>2.1922999999999999</v>
      </c>
      <c r="N27" s="170"/>
      <c r="Q27">
        <f t="shared" si="0"/>
        <v>1</v>
      </c>
      <c r="R27" t="str">
        <f t="shared" si="1"/>
        <v>C27</v>
      </c>
      <c r="S27" t="str">
        <f t="shared" si="2"/>
        <v/>
      </c>
      <c r="AB27" t="s">
        <v>35</v>
      </c>
    </row>
    <row r="28" spans="3:28" x14ac:dyDescent="0.2">
      <c r="C28" s="169" t="s">
        <v>36</v>
      </c>
      <c r="D28" s="169"/>
      <c r="E28" s="169"/>
      <c r="F28" s="169"/>
      <c r="G28" s="10"/>
      <c r="H28" s="152" t="s">
        <v>113</v>
      </c>
      <c r="I28" s="6"/>
      <c r="J28" s="170">
        <v>3.0162</v>
      </c>
      <c r="K28" s="170"/>
      <c r="L28" s="8"/>
      <c r="M28" s="170">
        <v>2.5070000000000001</v>
      </c>
      <c r="N28" s="170"/>
      <c r="Q28">
        <f t="shared" si="0"/>
        <v>1</v>
      </c>
      <c r="R28" t="str">
        <f t="shared" si="1"/>
        <v>C28</v>
      </c>
      <c r="S28" t="str">
        <f t="shared" si="2"/>
        <v/>
      </c>
      <c r="AB28" t="s">
        <v>37</v>
      </c>
    </row>
    <row r="29" spans="3:28" x14ac:dyDescent="0.2">
      <c r="C29" s="169" t="s">
        <v>38</v>
      </c>
      <c r="D29" s="169"/>
      <c r="E29" s="169"/>
      <c r="F29" s="169"/>
      <c r="G29" s="10"/>
      <c r="H29" s="152" t="s">
        <v>254</v>
      </c>
      <c r="I29" s="6"/>
      <c r="J29" s="170">
        <v>6.3E-3</v>
      </c>
      <c r="K29" s="170"/>
      <c r="L29" s="8"/>
      <c r="M29" s="170">
        <v>5.0000000000000001E-3</v>
      </c>
      <c r="N29" s="170"/>
      <c r="Q29">
        <f t="shared" si="0"/>
        <v>1</v>
      </c>
      <c r="R29" t="str">
        <f t="shared" si="1"/>
        <v>C29</v>
      </c>
      <c r="S29" t="str">
        <f t="shared" si="2"/>
        <v/>
      </c>
      <c r="AB29" t="s">
        <v>39</v>
      </c>
    </row>
    <row r="30" spans="3:28" x14ac:dyDescent="0.2">
      <c r="C30" s="169" t="s">
        <v>40</v>
      </c>
      <c r="D30" s="169"/>
      <c r="E30" s="169"/>
      <c r="F30" s="169"/>
      <c r="G30" s="10"/>
      <c r="H30" s="152" t="s">
        <v>113</v>
      </c>
      <c r="I30" s="6"/>
      <c r="J30" s="170">
        <v>1.9440999999999999</v>
      </c>
      <c r="K30" s="170"/>
      <c r="L30" s="8"/>
      <c r="M30" s="170">
        <v>1.5783</v>
      </c>
      <c r="N30" s="170"/>
      <c r="Q30">
        <f t="shared" si="0"/>
        <v>1</v>
      </c>
      <c r="R30" t="str">
        <f t="shared" si="1"/>
        <v>C30</v>
      </c>
      <c r="S30" t="str">
        <f t="shared" si="2"/>
        <v/>
      </c>
      <c r="AB30" t="s">
        <v>41</v>
      </c>
    </row>
    <row r="31" spans="3:28" x14ac:dyDescent="0.2">
      <c r="C31" s="169" t="s">
        <v>42</v>
      </c>
      <c r="D31" s="169"/>
      <c r="E31" s="169"/>
      <c r="F31" s="169"/>
      <c r="G31" s="10"/>
      <c r="H31" s="152" t="s">
        <v>113</v>
      </c>
      <c r="I31" s="6"/>
      <c r="J31" s="170">
        <v>1.9341999999999999</v>
      </c>
      <c r="K31" s="170"/>
      <c r="L31" s="8"/>
      <c r="M31" s="170">
        <v>1.5461</v>
      </c>
      <c r="N31" s="170"/>
      <c r="Q31">
        <f t="shared" si="0"/>
        <v>1</v>
      </c>
      <c r="R31" t="str">
        <f t="shared" si="1"/>
        <v>C31</v>
      </c>
      <c r="S31" t="str">
        <f t="shared" si="2"/>
        <v/>
      </c>
      <c r="AB31" t="s">
        <v>43</v>
      </c>
    </row>
    <row r="32" spans="3:28" x14ac:dyDescent="0.2">
      <c r="C32" s="169" t="s">
        <v>30</v>
      </c>
      <c r="D32" s="169"/>
      <c r="E32" s="169"/>
      <c r="F32" s="169"/>
      <c r="G32" s="10"/>
      <c r="H32" s="152"/>
      <c r="I32" s="6"/>
      <c r="J32" s="170"/>
      <c r="K32" s="170"/>
      <c r="L32" s="8"/>
      <c r="M32" s="170"/>
      <c r="N32" s="170"/>
      <c r="Q32">
        <f t="shared" si="0"/>
        <v>0</v>
      </c>
      <c r="R32" t="str">
        <f t="shared" si="1"/>
        <v>C32</v>
      </c>
      <c r="S32" t="str">
        <f t="shared" si="2"/>
        <v/>
      </c>
      <c r="AB32" t="s">
        <v>44</v>
      </c>
    </row>
    <row r="33" spans="3:28" x14ac:dyDescent="0.2">
      <c r="C33" s="169" t="s">
        <v>30</v>
      </c>
      <c r="D33" s="169"/>
      <c r="E33" s="169"/>
      <c r="F33" s="169"/>
      <c r="G33" s="10"/>
      <c r="H33" s="153"/>
      <c r="I33" s="6"/>
      <c r="J33" s="170"/>
      <c r="K33" s="170"/>
      <c r="L33" s="8"/>
      <c r="M33" s="170"/>
      <c r="N33" s="170"/>
      <c r="Q33">
        <f t="shared" si="0"/>
        <v>0</v>
      </c>
      <c r="R33" t="str">
        <f t="shared" si="1"/>
        <v>C33</v>
      </c>
      <c r="S33" t="str">
        <f t="shared" si="2"/>
        <v/>
      </c>
      <c r="AB33" t="s">
        <v>45</v>
      </c>
    </row>
    <row r="34" spans="3:28" x14ac:dyDescent="0.2">
      <c r="C34" s="169" t="s">
        <v>30</v>
      </c>
      <c r="D34" s="169"/>
      <c r="E34" s="169"/>
      <c r="F34" s="169"/>
      <c r="G34" s="10"/>
      <c r="H34" s="153"/>
      <c r="I34" s="6"/>
      <c r="J34" s="170"/>
      <c r="K34" s="170"/>
      <c r="L34" s="8"/>
      <c r="M34" s="170"/>
      <c r="N34" s="170"/>
      <c r="Q34">
        <f t="shared" si="0"/>
        <v>0</v>
      </c>
      <c r="R34" t="str">
        <f t="shared" si="1"/>
        <v>C34</v>
      </c>
      <c r="S34" t="str">
        <f t="shared" si="2"/>
        <v/>
      </c>
      <c r="AB34" t="s">
        <v>46</v>
      </c>
    </row>
    <row r="35" spans="3:28" x14ac:dyDescent="0.2">
      <c r="C35" s="169" t="s">
        <v>30</v>
      </c>
      <c r="D35" s="169"/>
      <c r="E35" s="169"/>
      <c r="F35" s="169"/>
      <c r="G35" s="10"/>
      <c r="H35" s="153"/>
      <c r="I35" s="6"/>
      <c r="J35" s="170"/>
      <c r="K35" s="170"/>
      <c r="L35" s="8"/>
      <c r="M35" s="170"/>
      <c r="N35" s="170"/>
      <c r="Q35">
        <f t="shared" si="0"/>
        <v>0</v>
      </c>
      <c r="R35" t="str">
        <f t="shared" si="1"/>
        <v>C35</v>
      </c>
      <c r="S35" t="str">
        <f t="shared" si="2"/>
        <v/>
      </c>
      <c r="AB35" t="s">
        <v>47</v>
      </c>
    </row>
    <row r="36" spans="3:28" x14ac:dyDescent="0.2">
      <c r="C36" s="169" t="s">
        <v>30</v>
      </c>
      <c r="D36" s="169"/>
      <c r="E36" s="169"/>
      <c r="F36" s="169"/>
      <c r="G36" s="10"/>
      <c r="H36" s="153"/>
      <c r="I36" s="6"/>
      <c r="J36" s="170"/>
      <c r="K36" s="170"/>
      <c r="L36" s="8"/>
      <c r="M36" s="170"/>
      <c r="N36" s="170"/>
      <c r="Q36">
        <f t="shared" si="0"/>
        <v>0</v>
      </c>
      <c r="R36" t="str">
        <f t="shared" si="1"/>
        <v>C36</v>
      </c>
      <c r="S36" t="str">
        <f t="shared" si="2"/>
        <v/>
      </c>
      <c r="AB36" t="s">
        <v>48</v>
      </c>
    </row>
    <row r="37" spans="3:28" x14ac:dyDescent="0.2">
      <c r="C37" s="169" t="s">
        <v>30</v>
      </c>
      <c r="D37" s="169"/>
      <c r="E37" s="169"/>
      <c r="F37" s="169"/>
      <c r="G37" s="10"/>
      <c r="H37" s="153"/>
      <c r="I37" s="6"/>
      <c r="J37" s="170"/>
      <c r="K37" s="170"/>
      <c r="L37" s="8"/>
      <c r="M37" s="170"/>
      <c r="N37" s="170"/>
      <c r="Q37">
        <f t="shared" si="0"/>
        <v>0</v>
      </c>
      <c r="R37" t="str">
        <f t="shared" si="1"/>
        <v>C37</v>
      </c>
      <c r="S37" t="str">
        <f t="shared" si="2"/>
        <v/>
      </c>
      <c r="AB37" t="s">
        <v>49</v>
      </c>
    </row>
    <row r="38" spans="3:28" x14ac:dyDescent="0.2">
      <c r="C38" s="169" t="s">
        <v>30</v>
      </c>
      <c r="D38" s="169"/>
      <c r="E38" s="169"/>
      <c r="F38" s="169"/>
      <c r="G38" s="10"/>
      <c r="H38" s="153"/>
      <c r="I38" s="6"/>
      <c r="J38" s="170"/>
      <c r="K38" s="170"/>
      <c r="L38" s="8"/>
      <c r="M38" s="170"/>
      <c r="N38" s="170"/>
      <c r="Q38">
        <f t="shared" si="0"/>
        <v>0</v>
      </c>
      <c r="R38" t="str">
        <f t="shared" si="1"/>
        <v>C38</v>
      </c>
      <c r="S38" t="str">
        <f t="shared" si="2"/>
        <v/>
      </c>
      <c r="AB38" t="s">
        <v>50</v>
      </c>
    </row>
    <row r="39" spans="3:28" x14ac:dyDescent="0.2">
      <c r="C39" s="169" t="s">
        <v>30</v>
      </c>
      <c r="D39" s="169"/>
      <c r="E39" s="169"/>
      <c r="F39" s="169"/>
      <c r="G39" s="10"/>
      <c r="H39" s="153"/>
      <c r="I39" s="6"/>
      <c r="J39" s="170"/>
      <c r="K39" s="170"/>
      <c r="L39" s="8"/>
      <c r="M39" s="170"/>
      <c r="N39" s="170"/>
      <c r="Q39">
        <f t="shared" si="0"/>
        <v>0</v>
      </c>
      <c r="R39" t="str">
        <f t="shared" si="1"/>
        <v>C39</v>
      </c>
      <c r="S39" t="str">
        <f t="shared" si="2"/>
        <v/>
      </c>
    </row>
    <row r="40" spans="3:28" x14ac:dyDescent="0.2">
      <c r="C40" s="169" t="s">
        <v>30</v>
      </c>
      <c r="D40" s="169"/>
      <c r="E40" s="169"/>
      <c r="F40" s="169"/>
      <c r="G40" s="10"/>
      <c r="H40" s="153"/>
      <c r="I40" s="6"/>
      <c r="J40" s="170"/>
      <c r="K40" s="170"/>
      <c r="L40" s="8"/>
      <c r="M40" s="170"/>
      <c r="N40" s="170"/>
      <c r="Q40">
        <f t="shared" si="0"/>
        <v>0</v>
      </c>
      <c r="R40" t="str">
        <f t="shared" si="1"/>
        <v>C40</v>
      </c>
      <c r="S40" t="str">
        <f t="shared" si="2"/>
        <v/>
      </c>
      <c r="AB40" t="s">
        <v>31</v>
      </c>
    </row>
    <row r="41" spans="3:28" x14ac:dyDescent="0.2">
      <c r="C41" s="169" t="s">
        <v>30</v>
      </c>
      <c r="D41" s="169"/>
      <c r="E41" s="169"/>
      <c r="F41" s="169"/>
      <c r="G41" s="10"/>
      <c r="H41" s="153"/>
      <c r="I41" s="6"/>
      <c r="J41" s="170"/>
      <c r="K41" s="170"/>
      <c r="L41" s="8"/>
      <c r="M41" s="170"/>
      <c r="N41" s="170"/>
      <c r="Q41">
        <f t="shared" si="0"/>
        <v>0</v>
      </c>
      <c r="R41" t="str">
        <f t="shared" si="1"/>
        <v>C41</v>
      </c>
      <c r="S41" t="str">
        <f t="shared" si="2"/>
        <v/>
      </c>
      <c r="AB41" t="s">
        <v>51</v>
      </c>
    </row>
    <row r="42" spans="3:28" x14ac:dyDescent="0.2">
      <c r="C42" s="169" t="s">
        <v>30</v>
      </c>
      <c r="D42" s="169"/>
      <c r="E42" s="169"/>
      <c r="F42" s="169"/>
      <c r="G42" s="10"/>
      <c r="H42" s="153"/>
      <c r="I42" s="6"/>
      <c r="J42" s="170"/>
      <c r="K42" s="170"/>
      <c r="L42" s="8"/>
      <c r="M42" s="170"/>
      <c r="N42" s="170"/>
      <c r="Q42">
        <f t="shared" si="0"/>
        <v>0</v>
      </c>
      <c r="R42" t="str">
        <f t="shared" si="1"/>
        <v>C42</v>
      </c>
      <c r="S42" t="str">
        <f t="shared" si="2"/>
        <v/>
      </c>
      <c r="AB42" t="s">
        <v>52</v>
      </c>
    </row>
    <row r="43" spans="3:28" x14ac:dyDescent="0.2">
      <c r="C43" s="169" t="s">
        <v>30</v>
      </c>
      <c r="D43" s="169"/>
      <c r="E43" s="169"/>
      <c r="F43" s="169"/>
      <c r="G43" s="10"/>
      <c r="H43" s="153"/>
      <c r="I43" s="6"/>
      <c r="J43" s="170"/>
      <c r="K43" s="170"/>
      <c r="L43" s="8"/>
      <c r="M43" s="170"/>
      <c r="N43" s="170"/>
      <c r="Q43">
        <f t="shared" si="0"/>
        <v>0</v>
      </c>
      <c r="R43" t="str">
        <f t="shared" si="1"/>
        <v>C43</v>
      </c>
      <c r="S43" t="str">
        <f t="shared" si="2"/>
        <v/>
      </c>
      <c r="AB43" t="s">
        <v>53</v>
      </c>
    </row>
    <row r="44" spans="3:28" x14ac:dyDescent="0.2">
      <c r="C44" s="169" t="s">
        <v>30</v>
      </c>
      <c r="D44" s="169"/>
      <c r="E44" s="169"/>
      <c r="F44" s="169"/>
      <c r="G44" s="10"/>
      <c r="H44" s="153"/>
      <c r="I44" s="6"/>
      <c r="J44" s="170"/>
      <c r="K44" s="170"/>
      <c r="L44" s="8"/>
      <c r="M44" s="170"/>
      <c r="N44" s="170"/>
      <c r="Q44">
        <f t="shared" si="0"/>
        <v>0</v>
      </c>
      <c r="R44" t="str">
        <f t="shared" si="1"/>
        <v>C44</v>
      </c>
      <c r="S44" t="str">
        <f t="shared" si="2"/>
        <v/>
      </c>
      <c r="AB44" t="s">
        <v>54</v>
      </c>
    </row>
    <row r="45" spans="3:28" x14ac:dyDescent="0.2">
      <c r="C45" s="169" t="s">
        <v>30</v>
      </c>
      <c r="D45" s="169"/>
      <c r="E45" s="169"/>
      <c r="F45" s="169"/>
      <c r="G45" s="10"/>
      <c r="H45" s="153"/>
      <c r="I45" s="6"/>
      <c r="J45" s="170"/>
      <c r="K45" s="170"/>
      <c r="L45" s="8"/>
      <c r="M45" s="170"/>
      <c r="N45" s="170"/>
      <c r="Q45">
        <f t="shared" si="0"/>
        <v>0</v>
      </c>
      <c r="R45" t="str">
        <f t="shared" si="1"/>
        <v>C45</v>
      </c>
      <c r="S45" t="str">
        <f t="shared" si="2"/>
        <v/>
      </c>
      <c r="AB45" t="s">
        <v>55</v>
      </c>
    </row>
    <row r="46" spans="3:28" x14ac:dyDescent="0.2">
      <c r="C46" s="168"/>
      <c r="D46" s="168"/>
      <c r="E46" s="168"/>
      <c r="F46" s="168"/>
      <c r="G46" s="10"/>
      <c r="H46" s="10"/>
      <c r="S46">
        <f>COUNTIF(S24:S45, "x")</f>
        <v>0</v>
      </c>
      <c r="AB46" t="s">
        <v>56</v>
      </c>
    </row>
    <row r="47" spans="3:28" x14ac:dyDescent="0.2">
      <c r="C47" s="168"/>
      <c r="D47" s="168"/>
      <c r="E47" s="168"/>
      <c r="F47" s="168"/>
      <c r="G47" s="10"/>
      <c r="H47" s="10"/>
      <c r="AB47" t="s">
        <v>57</v>
      </c>
    </row>
    <row r="48" spans="3:28" x14ac:dyDescent="0.2">
      <c r="C48" s="168"/>
      <c r="D48" s="168"/>
      <c r="E48" s="168"/>
      <c r="F48" s="168"/>
      <c r="G48" s="10"/>
      <c r="H48" s="10"/>
      <c r="AB48" t="s">
        <v>58</v>
      </c>
    </row>
    <row r="50" spans="28:28" x14ac:dyDescent="0.2">
      <c r="AB50" t="s">
        <v>59</v>
      </c>
    </row>
    <row r="51" spans="28:28" x14ac:dyDescent="0.2">
      <c r="AB51" t="s">
        <v>60</v>
      </c>
    </row>
    <row r="52" spans="28:28" x14ac:dyDescent="0.2">
      <c r="AB52" t="s">
        <v>61</v>
      </c>
    </row>
    <row r="53" spans="28:28" x14ac:dyDescent="0.2">
      <c r="AB53" t="s">
        <v>62</v>
      </c>
    </row>
    <row r="54" spans="28:28" x14ac:dyDescent="0.2">
      <c r="AB54" t="s">
        <v>32</v>
      </c>
    </row>
    <row r="55" spans="28:28" x14ac:dyDescent="0.2">
      <c r="AB55" t="s">
        <v>63</v>
      </c>
    </row>
    <row r="56" spans="28:28" x14ac:dyDescent="0.2">
      <c r="AB56" t="s">
        <v>64</v>
      </c>
    </row>
    <row r="57" spans="28:28" x14ac:dyDescent="0.2">
      <c r="AB57" t="s">
        <v>65</v>
      </c>
    </row>
    <row r="58" spans="28:28" x14ac:dyDescent="0.2">
      <c r="AB58" t="s">
        <v>66</v>
      </c>
    </row>
    <row r="59" spans="28:28" x14ac:dyDescent="0.2">
      <c r="AB59" t="s">
        <v>67</v>
      </c>
    </row>
    <row r="60" spans="28:28" x14ac:dyDescent="0.2">
      <c r="AB60" t="s">
        <v>68</v>
      </c>
    </row>
    <row r="61" spans="28:28" x14ac:dyDescent="0.2">
      <c r="AB61" t="s">
        <v>69</v>
      </c>
    </row>
    <row r="62" spans="28:28" x14ac:dyDescent="0.2">
      <c r="AB62" t="s">
        <v>70</v>
      </c>
    </row>
    <row r="63" spans="28:28" x14ac:dyDescent="0.2">
      <c r="AB63" t="s">
        <v>71</v>
      </c>
    </row>
    <row r="64" spans="28:28" x14ac:dyDescent="0.2">
      <c r="AB64" t="s">
        <v>72</v>
      </c>
    </row>
    <row r="65" spans="28:28" x14ac:dyDescent="0.2">
      <c r="AB65" t="s">
        <v>73</v>
      </c>
    </row>
    <row r="66" spans="28:28" x14ac:dyDescent="0.2">
      <c r="AB66" t="s">
        <v>74</v>
      </c>
    </row>
    <row r="67" spans="28:28" x14ac:dyDescent="0.2">
      <c r="AB67" t="s">
        <v>75</v>
      </c>
    </row>
    <row r="68" spans="28:28" x14ac:dyDescent="0.2">
      <c r="AB68" t="s">
        <v>76</v>
      </c>
    </row>
    <row r="69" spans="28:28" x14ac:dyDescent="0.2">
      <c r="AB69" t="s">
        <v>77</v>
      </c>
    </row>
    <row r="70" spans="28:28" x14ac:dyDescent="0.2">
      <c r="AB70" t="s">
        <v>34</v>
      </c>
    </row>
    <row r="71" spans="28:28" x14ac:dyDescent="0.2">
      <c r="AB71" t="s">
        <v>78</v>
      </c>
    </row>
    <row r="72" spans="28:28" x14ac:dyDescent="0.2">
      <c r="AB72" t="s">
        <v>79</v>
      </c>
    </row>
    <row r="73" spans="28:28" x14ac:dyDescent="0.2">
      <c r="AB73" t="s">
        <v>80</v>
      </c>
    </row>
    <row r="74" spans="28:28" x14ac:dyDescent="0.2">
      <c r="AB74" t="s">
        <v>81</v>
      </c>
    </row>
    <row r="75" spans="28:28" x14ac:dyDescent="0.2">
      <c r="AB75" t="s">
        <v>82</v>
      </c>
    </row>
    <row r="76" spans="28:28" x14ac:dyDescent="0.2">
      <c r="AB76" t="s">
        <v>83</v>
      </c>
    </row>
    <row r="77" spans="28:28" x14ac:dyDescent="0.2">
      <c r="AB77" t="s">
        <v>84</v>
      </c>
    </row>
    <row r="78" spans="28:28" x14ac:dyDescent="0.2">
      <c r="AB78" t="s">
        <v>85</v>
      </c>
    </row>
    <row r="79" spans="28:28" x14ac:dyDescent="0.2">
      <c r="AB79" t="s">
        <v>86</v>
      </c>
    </row>
    <row r="80" spans="28:28" x14ac:dyDescent="0.2">
      <c r="AB80" t="s">
        <v>87</v>
      </c>
    </row>
    <row r="81" spans="28:28" x14ac:dyDescent="0.2">
      <c r="AB81" t="s">
        <v>88</v>
      </c>
    </row>
    <row r="82" spans="28:28" x14ac:dyDescent="0.2">
      <c r="AB82" t="s">
        <v>89</v>
      </c>
    </row>
    <row r="83" spans="28:28" x14ac:dyDescent="0.2">
      <c r="AB83" t="s">
        <v>90</v>
      </c>
    </row>
    <row r="84" spans="28:28" x14ac:dyDescent="0.2">
      <c r="AB84" t="s">
        <v>91</v>
      </c>
    </row>
    <row r="85" spans="28:28" x14ac:dyDescent="0.2">
      <c r="AB85" t="s">
        <v>92</v>
      </c>
    </row>
    <row r="86" spans="28:28" x14ac:dyDescent="0.2">
      <c r="AB86" t="s">
        <v>93</v>
      </c>
    </row>
    <row r="87" spans="28:28" x14ac:dyDescent="0.2">
      <c r="AB87" t="s">
        <v>94</v>
      </c>
    </row>
    <row r="88" spans="28:28" x14ac:dyDescent="0.2">
      <c r="AB88" t="s">
        <v>95</v>
      </c>
    </row>
    <row r="90" spans="28:28" x14ac:dyDescent="0.2">
      <c r="AB90" t="s">
        <v>36</v>
      </c>
    </row>
    <row r="91" spans="28:28" x14ac:dyDescent="0.2">
      <c r="AB91" t="s">
        <v>96</v>
      </c>
    </row>
    <row r="92" spans="28:28" x14ac:dyDescent="0.2">
      <c r="AB92" t="s">
        <v>97</v>
      </c>
    </row>
    <row r="93" spans="28:28" x14ac:dyDescent="0.2">
      <c r="AB93" t="s">
        <v>98</v>
      </c>
    </row>
    <row r="94" spans="28:28" x14ac:dyDescent="0.2">
      <c r="AB94" t="s">
        <v>99</v>
      </c>
    </row>
    <row r="96" spans="28:28" x14ac:dyDescent="0.2">
      <c r="AB96" t="s">
        <v>38</v>
      </c>
    </row>
    <row r="98" spans="28:28" x14ac:dyDescent="0.2">
      <c r="AB98" t="s">
        <v>40</v>
      </c>
    </row>
    <row r="100" spans="28:28" x14ac:dyDescent="0.2">
      <c r="AB100" t="s">
        <v>42</v>
      </c>
    </row>
    <row r="102" spans="28:28" x14ac:dyDescent="0.2">
      <c r="AB102" t="s">
        <v>100</v>
      </c>
    </row>
    <row r="103" spans="28:28" x14ac:dyDescent="0.2">
      <c r="AB103" t="s">
        <v>101</v>
      </c>
    </row>
    <row r="105" spans="28:28" x14ac:dyDescent="0.2">
      <c r="AB105" t="s">
        <v>102</v>
      </c>
    </row>
    <row r="106" spans="28:28" x14ac:dyDescent="0.2">
      <c r="AB106" t="s">
        <v>103</v>
      </c>
    </row>
    <row r="107" spans="28:28" x14ac:dyDescent="0.2">
      <c r="AB107" t="s">
        <v>104</v>
      </c>
    </row>
    <row r="108" spans="28:28" x14ac:dyDescent="0.2">
      <c r="AB108" t="s">
        <v>105</v>
      </c>
    </row>
    <row r="109" spans="28:28" x14ac:dyDescent="0.2">
      <c r="AB109" t="s">
        <v>106</v>
      </c>
    </row>
    <row r="110" spans="28:28" x14ac:dyDescent="0.2">
      <c r="AB110" t="s">
        <v>107</v>
      </c>
    </row>
    <row r="111" spans="28:28" x14ac:dyDescent="0.2">
      <c r="AB111" t="s">
        <v>108</v>
      </c>
    </row>
    <row r="112" spans="28:28" x14ac:dyDescent="0.2">
      <c r="AB112" t="s">
        <v>109</v>
      </c>
    </row>
    <row r="113" spans="28:28" x14ac:dyDescent="0.2">
      <c r="AB113" t="s">
        <v>110</v>
      </c>
    </row>
    <row r="114" spans="28:28" x14ac:dyDescent="0.2">
      <c r="AB114" t="s">
        <v>111</v>
      </c>
    </row>
    <row r="115" spans="28:28" x14ac:dyDescent="0.2">
      <c r="AB115" t="s">
        <v>112</v>
      </c>
    </row>
  </sheetData>
  <sheetProtection password="F8BD" sheet="1" objects="1" scenarios="1"/>
  <mergeCells count="70">
    <mergeCell ref="M42:N42"/>
    <mergeCell ref="M43:N43"/>
    <mergeCell ref="M44:N44"/>
    <mergeCell ref="M37:N37"/>
    <mergeCell ref="M38:N38"/>
    <mergeCell ref="M39:N39"/>
    <mergeCell ref="M40:N40"/>
    <mergeCell ref="M28:N28"/>
    <mergeCell ref="M29:N29"/>
    <mergeCell ref="M30:N30"/>
    <mergeCell ref="M31:N31"/>
    <mergeCell ref="M24:N24"/>
    <mergeCell ref="M25:N25"/>
    <mergeCell ref="M26:N26"/>
    <mergeCell ref="M27:N27"/>
    <mergeCell ref="J38:K38"/>
    <mergeCell ref="J24:K24"/>
    <mergeCell ref="J25:K25"/>
    <mergeCell ref="J26:K26"/>
    <mergeCell ref="J27:K27"/>
    <mergeCell ref="J28:K28"/>
    <mergeCell ref="J29:K29"/>
    <mergeCell ref="J30:K30"/>
    <mergeCell ref="J31:K31"/>
    <mergeCell ref="J35:K35"/>
    <mergeCell ref="J36:K36"/>
    <mergeCell ref="J37:K37"/>
    <mergeCell ref="M35:N35"/>
    <mergeCell ref="M36:N36"/>
    <mergeCell ref="C32:F32"/>
    <mergeCell ref="C33:F33"/>
    <mergeCell ref="C34:F34"/>
    <mergeCell ref="C35:F35"/>
    <mergeCell ref="C36:F36"/>
    <mergeCell ref="J32:K32"/>
    <mergeCell ref="J33:K33"/>
    <mergeCell ref="J34:K34"/>
    <mergeCell ref="M32:N32"/>
    <mergeCell ref="M33:N33"/>
    <mergeCell ref="M34:N34"/>
    <mergeCell ref="C37:F37"/>
    <mergeCell ref="C24:F24"/>
    <mergeCell ref="C25:F25"/>
    <mergeCell ref="C26:F26"/>
    <mergeCell ref="C27:F27"/>
    <mergeCell ref="C28:F28"/>
    <mergeCell ref="C29:F29"/>
    <mergeCell ref="J45:K45"/>
    <mergeCell ref="C40:F40"/>
    <mergeCell ref="C41:F41"/>
    <mergeCell ref="C42:F42"/>
    <mergeCell ref="J41:K41"/>
    <mergeCell ref="J42:K42"/>
    <mergeCell ref="J43:K43"/>
    <mergeCell ref="C13:N13"/>
    <mergeCell ref="C48:F48"/>
    <mergeCell ref="C44:F44"/>
    <mergeCell ref="C45:F45"/>
    <mergeCell ref="C46:F46"/>
    <mergeCell ref="C47:F47"/>
    <mergeCell ref="C43:F43"/>
    <mergeCell ref="C38:F38"/>
    <mergeCell ref="J39:K39"/>
    <mergeCell ref="J40:K40"/>
    <mergeCell ref="M45:N45"/>
    <mergeCell ref="C39:F39"/>
    <mergeCell ref="M41:N41"/>
    <mergeCell ref="J44:K44"/>
    <mergeCell ref="C30:F30"/>
    <mergeCell ref="C31:F31"/>
  </mergeCells>
  <phoneticPr fontId="21" type="noConversion"/>
  <conditionalFormatting sqref="C24:F45">
    <cfRule type="expression" dxfId="9" priority="1" stopIfTrue="1">
      <formula>$Q24&gt;0</formula>
    </cfRule>
    <cfRule type="expression" dxfId="8" priority="2" stopIfTrue="1">
      <formula>$Q24=0</formula>
    </cfRule>
  </conditionalFormatting>
  <conditionalFormatting sqref="H24:H45">
    <cfRule type="expression" dxfId="7" priority="3" stopIfTrue="1">
      <formula>$Q24&gt;0</formula>
    </cfRule>
    <cfRule type="expression" dxfId="6" priority="4" stopIfTrue="1">
      <formula>$Q24=0</formula>
    </cfRule>
  </conditionalFormatting>
  <conditionalFormatting sqref="J24:K45">
    <cfRule type="expression" dxfId="5" priority="5" stopIfTrue="1">
      <formula>$Q24&gt;0</formula>
    </cfRule>
    <cfRule type="expression" dxfId="4" priority="6" stopIfTrue="1">
      <formula>$Q24=0</formula>
    </cfRule>
  </conditionalFormatting>
  <conditionalFormatting sqref="M24:N45">
    <cfRule type="expression" dxfId="3" priority="7" stopIfTrue="1">
      <formula>$Q24&gt;0</formula>
    </cfRule>
    <cfRule type="expression" dxfId="2" priority="8" stopIfTrue="1">
      <formula>$Q24=0</formula>
    </cfRule>
  </conditionalFormatting>
  <dataValidations count="2">
    <dataValidation type="list" allowBlank="1" showInputMessage="1" showErrorMessage="1" sqref="C24:F45">
      <formula1>$AB$24:$AB$122</formula1>
    </dataValidation>
    <dataValidation type="list" allowBlank="1" showInputMessage="1" showErrorMessage="1" sqref="H24:H45">
      <formula1>"kW, kWh"</formula1>
    </dataValidation>
  </dataValidations>
  <pageMargins left="0.75" right="0.75" top="1" bottom="1" header="0.5" footer="0.5"/>
  <pageSetup scale="56" orientation="portrait" r:id="rId1"/>
  <headerFooter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3:N48"/>
  <sheetViews>
    <sheetView showGridLines="0" workbookViewId="0">
      <pane ySplit="25" topLeftCell="A26" activePane="bottomLeft" state="frozenSplit"/>
      <selection pane="bottomLeft" activeCell="H48" sqref="H48:I48"/>
    </sheetView>
  </sheetViews>
  <sheetFormatPr defaultRowHeight="12.75" x14ac:dyDescent="0.2"/>
  <cols>
    <col min="1" max="1" width="13.7109375" style="19" customWidth="1"/>
    <col min="2" max="2" width="32.28515625" style="19" customWidth="1"/>
    <col min="3" max="3" width="16" style="19" customWidth="1"/>
    <col min="4" max="4" width="9.140625" style="19"/>
    <col min="5" max="5" width="3.42578125" style="19" customWidth="1"/>
    <col min="6" max="7" width="16.140625" style="19" customWidth="1"/>
    <col min="8" max="8" width="10.5703125" style="19" customWidth="1"/>
    <col min="9" max="9" width="5.42578125" style="19" customWidth="1"/>
    <col min="10" max="10" width="4.85546875" style="19" customWidth="1"/>
    <col min="11" max="11" width="4.28515625" style="19" customWidth="1"/>
    <col min="12" max="13" width="16.140625" style="19" customWidth="1"/>
    <col min="14" max="16384" width="9.140625" style="19"/>
  </cols>
  <sheetData>
    <row r="13" spans="2:12" ht="42.75" customHeight="1" x14ac:dyDescent="0.2">
      <c r="B13" s="173" t="s">
        <v>245</v>
      </c>
      <c r="C13" s="173"/>
      <c r="D13" s="173"/>
      <c r="E13" s="173"/>
      <c r="F13" s="173"/>
      <c r="G13" s="173"/>
      <c r="H13" s="173"/>
      <c r="I13" s="173"/>
      <c r="J13" s="173"/>
      <c r="K13" s="173"/>
      <c r="L13" s="173"/>
    </row>
    <row r="15" spans="2:12" ht="1.5" customHeight="1" x14ac:dyDescent="0.2"/>
    <row r="16" spans="2:12" ht="1.5" customHeight="1" x14ac:dyDescent="0.2"/>
    <row r="17" spans="2:14" ht="1.5" customHeight="1" x14ac:dyDescent="0.2"/>
    <row r="18" spans="2:14" ht="1.5" customHeight="1" x14ac:dyDescent="0.2"/>
    <row r="19" spans="2:14" ht="1.5" customHeight="1" x14ac:dyDescent="0.2"/>
    <row r="20" spans="2:14" ht="1.5" customHeight="1" x14ac:dyDescent="0.2"/>
    <row r="21" spans="2:14" ht="1.5" customHeight="1" x14ac:dyDescent="0.2">
      <c r="B21" s="148"/>
      <c r="C21" s="147"/>
      <c r="D21" s="149"/>
      <c r="E21" s="147"/>
      <c r="F21" s="147"/>
      <c r="G21" s="147"/>
      <c r="H21" s="147"/>
      <c r="I21" s="147"/>
      <c r="J21" s="172"/>
      <c r="K21" s="172"/>
      <c r="L21" s="147"/>
      <c r="M21" s="147"/>
    </row>
    <row r="22" spans="2:14" s="93" customFormat="1" ht="1.5" customHeight="1" x14ac:dyDescent="0.3">
      <c r="B22" s="92"/>
      <c r="D22" s="94"/>
      <c r="F22" s="92"/>
      <c r="J22" s="94"/>
    </row>
    <row r="23" spans="2:14" ht="16.5" x14ac:dyDescent="0.3">
      <c r="B23" s="91"/>
      <c r="D23" s="94"/>
      <c r="E23" s="93"/>
      <c r="F23" s="92"/>
      <c r="G23" s="93"/>
      <c r="H23" s="93"/>
      <c r="I23" s="93"/>
      <c r="J23" s="94"/>
    </row>
    <row r="24" spans="2:14" ht="38.25" x14ac:dyDescent="0.2">
      <c r="B24" s="148" t="s">
        <v>209</v>
      </c>
      <c r="C24" s="147"/>
      <c r="D24" s="149" t="s">
        <v>210</v>
      </c>
      <c r="E24" s="147"/>
      <c r="F24" s="147" t="s">
        <v>240</v>
      </c>
      <c r="G24" s="147" t="s">
        <v>241</v>
      </c>
      <c r="H24" s="147" t="s">
        <v>242</v>
      </c>
      <c r="I24" s="147"/>
      <c r="J24" s="172" t="s">
        <v>243</v>
      </c>
      <c r="K24" s="172"/>
      <c r="L24" s="147" t="s">
        <v>215</v>
      </c>
      <c r="M24" s="147" t="s">
        <v>244</v>
      </c>
    </row>
    <row r="26" spans="2:14" hidden="1" x14ac:dyDescent="0.2"/>
    <row r="27" spans="2:14" ht="25.5" customHeight="1" thickBot="1" x14ac:dyDescent="0.25">
      <c r="B27" s="95" t="str">
        <f>IF('3. Rate Classes'!Q24=1,'3. Rate Classes'!C24, 0)</f>
        <v>Residential</v>
      </c>
      <c r="C27" s="96"/>
      <c r="D27" s="97" t="str">
        <f>IF(OR(VLOOKUP($B27, '3. Rate Classes'!$C$24:$H$45,6,0)=0, ISERROR(VLOOKUP($B27, '3. Rate Classes'!$C$24:$H$45,6,0))), "", VLOOKUP($B27, '3. Rate Classes'!$C$24:$H$45,6,0))</f>
        <v>kWh</v>
      </c>
      <c r="F27" s="150">
        <v>262832708</v>
      </c>
      <c r="G27" s="150"/>
      <c r="H27" s="176">
        <v>1.0356000000000001</v>
      </c>
      <c r="I27" s="176"/>
      <c r="J27" s="174" t="str">
        <f t="shared" ref="J27:J32" si="0">IF(ISERROR(F27/(G27*30.4*24)), "", IF(D27="kW", F27/(G27*30.4*24), ""))</f>
        <v/>
      </c>
      <c r="K27" s="174"/>
      <c r="L27" s="98">
        <f>IF(OR(H27=0, OR(ISBLANK(H27), TRIM(H27)="")), F27, F27*H27)</f>
        <v>272189552.4048</v>
      </c>
      <c r="M27" s="98">
        <f>IF(OR(H27=0, OR(ISBLANK(H27), TRIM(H27)="")), G27, G27)</f>
        <v>0</v>
      </c>
      <c r="N27" s="13"/>
    </row>
    <row r="28" spans="2:14" ht="25.5" customHeight="1" thickBot="1" x14ac:dyDescent="0.25">
      <c r="B28" s="95" t="str">
        <f>IF('3. Rate Classes'!Q25=1,'3. Rate Classes'!C25, 0)</f>
        <v>General Service Less Than 50 kW</v>
      </c>
      <c r="C28" s="96"/>
      <c r="D28" s="97" t="str">
        <f>IF(OR(VLOOKUP($B28, '3. Rate Classes'!$C$24:$H$45,6,0)=0, ISERROR(VLOOKUP($B28, '3. Rate Classes'!$C$24:$H$45,6,0))), "", VLOOKUP($B28, '3. Rate Classes'!$C$24:$H$45,6,0))</f>
        <v>kWh</v>
      </c>
      <c r="F28" s="151">
        <v>108173255</v>
      </c>
      <c r="G28" s="151"/>
      <c r="H28" s="176">
        <v>1.0356000000000001</v>
      </c>
      <c r="I28" s="176"/>
      <c r="J28" s="174" t="str">
        <f t="shared" si="0"/>
        <v/>
      </c>
      <c r="K28" s="174"/>
      <c r="L28" s="98">
        <f t="shared" ref="L28:L48" si="1">IF(OR(H28=0, OR(ISBLANK(H28), TRIM(H28)="")), F28, F28*H28)</f>
        <v>112024222.87800001</v>
      </c>
      <c r="M28" s="98">
        <f t="shared" ref="M28:M48" si="2">IF(OR(H28=0, OR(ISBLANK(H28), TRIM(H28)="")), G28, G28)</f>
        <v>0</v>
      </c>
    </row>
    <row r="29" spans="2:14" ht="25.5" customHeight="1" thickBot="1" x14ac:dyDescent="0.25">
      <c r="B29" s="95" t="str">
        <f>IF('3. Rate Classes'!Q26=1,'3. Rate Classes'!C26, 0)</f>
        <v>General Service 50 to 999 kW</v>
      </c>
      <c r="C29" s="96"/>
      <c r="D29" s="97" t="str">
        <f>IF(OR(VLOOKUP($B29, '3. Rate Classes'!$C$24:$H$45,6,0)=0, ISERROR(VLOOKUP($B29, '3. Rate Classes'!$C$24:$H$45,6,0))), "", VLOOKUP($B29, '3. Rate Classes'!$C$24:$H$45,6,0))</f>
        <v>kW</v>
      </c>
      <c r="F29" s="151">
        <v>225654890</v>
      </c>
      <c r="G29" s="150">
        <v>617147</v>
      </c>
      <c r="H29" s="175"/>
      <c r="I29" s="175"/>
      <c r="J29" s="174">
        <f t="shared" si="0"/>
        <v>0.50115411615089345</v>
      </c>
      <c r="K29" s="174"/>
      <c r="L29" s="98">
        <f t="shared" si="1"/>
        <v>225654890</v>
      </c>
      <c r="M29" s="98">
        <f t="shared" si="2"/>
        <v>617147</v>
      </c>
    </row>
    <row r="30" spans="2:14" ht="25.5" customHeight="1" thickBot="1" x14ac:dyDescent="0.25">
      <c r="B30" s="95" t="str">
        <f>IF('3. Rate Classes'!Q27=1,'3. Rate Classes'!C27, 0)</f>
        <v>General Service 1,000 to 4,999 kW</v>
      </c>
      <c r="C30" s="96"/>
      <c r="D30" s="97" t="str">
        <f>IF(OR(VLOOKUP($B30, '3. Rate Classes'!$C$24:$H$45,6,0)=0, ISERROR(VLOOKUP($B30, '3. Rate Classes'!$C$24:$H$45,6,0))), "", VLOOKUP($B30, '3. Rate Classes'!$C$24:$H$45,6,0))</f>
        <v>kW</v>
      </c>
      <c r="F30" s="151">
        <v>163185559</v>
      </c>
      <c r="G30" s="151">
        <v>342743</v>
      </c>
      <c r="H30" s="175"/>
      <c r="I30" s="175"/>
      <c r="J30" s="174">
        <f t="shared" si="0"/>
        <v>0.65257180303911411</v>
      </c>
      <c r="K30" s="174"/>
      <c r="L30" s="98">
        <f t="shared" si="1"/>
        <v>163185559</v>
      </c>
      <c r="M30" s="98">
        <f t="shared" si="2"/>
        <v>342743</v>
      </c>
    </row>
    <row r="31" spans="2:14" ht="25.5" customHeight="1" thickBot="1" x14ac:dyDescent="0.25">
      <c r="B31" s="95" t="str">
        <f>IF('3. Rate Classes'!Q28=1,'3. Rate Classes'!C28, 0)</f>
        <v>Large Use</v>
      </c>
      <c r="C31" s="96"/>
      <c r="D31" s="97" t="str">
        <f>IF(OR(VLOOKUP($B31, '3. Rate Classes'!$C$24:$H$45,6,0)=0, ISERROR(VLOOKUP($B31, '3. Rate Classes'!$C$24:$H$45,6,0))), "", VLOOKUP($B31, '3. Rate Classes'!$C$24:$H$45,6,0))</f>
        <v>kW</v>
      </c>
      <c r="F31" s="151">
        <v>253616043</v>
      </c>
      <c r="G31" s="150">
        <v>401335</v>
      </c>
      <c r="H31" s="175"/>
      <c r="I31" s="175"/>
      <c r="J31" s="174">
        <f t="shared" si="0"/>
        <v>0.86613354942681431</v>
      </c>
      <c r="K31" s="174"/>
      <c r="L31" s="98">
        <f t="shared" si="1"/>
        <v>253616043</v>
      </c>
      <c r="M31" s="98">
        <f t="shared" si="2"/>
        <v>401335</v>
      </c>
    </row>
    <row r="32" spans="2:14" ht="25.5" customHeight="1" thickBot="1" x14ac:dyDescent="0.25">
      <c r="B32" s="95" t="str">
        <f>IF('3. Rate Classes'!Q29=1,'3. Rate Classes'!C29, 0)</f>
        <v>Unmetered Scattered Load</v>
      </c>
      <c r="C32" s="96"/>
      <c r="D32" s="97" t="str">
        <f>IF(OR(VLOOKUP($B32, '3. Rate Classes'!$C$24:$H$45,6,0)=0, ISERROR(VLOOKUP($B32, '3. Rate Classes'!$C$24:$H$45,6,0))), "", VLOOKUP($B32, '3. Rate Classes'!$C$24:$H$45,6,0))</f>
        <v>kWh</v>
      </c>
      <c r="F32" s="151">
        <v>2176365</v>
      </c>
      <c r="G32" s="151"/>
      <c r="H32" s="176">
        <v>1.0356000000000001</v>
      </c>
      <c r="I32" s="176"/>
      <c r="J32" s="174" t="str">
        <f t="shared" si="0"/>
        <v/>
      </c>
      <c r="K32" s="174"/>
      <c r="L32" s="98">
        <f t="shared" si="1"/>
        <v>2253843.594</v>
      </c>
      <c r="M32" s="98">
        <f t="shared" si="2"/>
        <v>0</v>
      </c>
    </row>
    <row r="33" spans="2:13" ht="25.5" customHeight="1" thickBot="1" x14ac:dyDescent="0.25">
      <c r="B33" s="95" t="str">
        <f>IF('3. Rate Classes'!Q30=1,'3. Rate Classes'!C30, 0)</f>
        <v>Sentinel Lighting</v>
      </c>
      <c r="C33" s="96"/>
      <c r="D33" s="97" t="str">
        <f>IF(OR(VLOOKUP($B33, '3. Rate Classes'!$C$24:$H$45,6,0)=0, ISERROR(VLOOKUP($B33, '3. Rate Classes'!$C$24:$H$45,6,0))), "", VLOOKUP($B33, '3. Rate Classes'!$C$24:$H$45,6,0))</f>
        <v>kW</v>
      </c>
      <c r="F33" s="151">
        <v>608868</v>
      </c>
      <c r="G33" s="150">
        <v>1430</v>
      </c>
      <c r="H33" s="175"/>
      <c r="I33" s="175"/>
      <c r="J33" s="174">
        <f t="shared" ref="J33:J48" si="3">IF(ISERROR(F33/(G33*30.4*24)), "", IF(D33="kW", F33/(G33*30.4*24), ""))</f>
        <v>0.58358253588516751</v>
      </c>
      <c r="K33" s="174"/>
      <c r="L33" s="98">
        <f t="shared" si="1"/>
        <v>608868</v>
      </c>
      <c r="M33" s="98">
        <f t="shared" si="2"/>
        <v>1430</v>
      </c>
    </row>
    <row r="34" spans="2:13" ht="25.5" customHeight="1" thickBot="1" x14ac:dyDescent="0.25">
      <c r="B34" s="95" t="str">
        <f>IF('3. Rate Classes'!Q31=1,'3. Rate Classes'!C31, 0)</f>
        <v>Street Lighting</v>
      </c>
      <c r="C34" s="96"/>
      <c r="D34" s="97" t="str">
        <f>IF(OR(VLOOKUP($B34, '3. Rate Classes'!$C$24:$H$45,6,0)=0, ISERROR(VLOOKUP($B34, '3. Rate Classes'!$C$24:$H$45,6,0))), "", VLOOKUP($B34, '3. Rate Classes'!$C$24:$H$45,6,0))</f>
        <v>kW</v>
      </c>
      <c r="F34" s="151">
        <v>9005139</v>
      </c>
      <c r="G34" s="151">
        <v>24131</v>
      </c>
      <c r="H34" s="175"/>
      <c r="I34" s="175"/>
      <c r="J34" s="174">
        <f t="shared" si="3"/>
        <v>0.51148190714499142</v>
      </c>
      <c r="K34" s="174"/>
      <c r="L34" s="98">
        <f t="shared" si="1"/>
        <v>9005139</v>
      </c>
      <c r="M34" s="98">
        <f t="shared" si="2"/>
        <v>24131</v>
      </c>
    </row>
    <row r="35" spans="2:13" ht="25.5" hidden="1" customHeight="1" thickBot="1" x14ac:dyDescent="0.25">
      <c r="B35" s="95">
        <f>IF('3. Rate Classes'!Q32=1,'3. Rate Classes'!C32, 0)</f>
        <v>0</v>
      </c>
      <c r="C35" s="96"/>
      <c r="D35" s="97" t="e">
        <f>IF(OR(VLOOKUP($B35, '3. Rate Classes'!$C$24:$H$45,6,0)=0, ISERROR(VLOOKUP($B35, '3. Rate Classes'!$C$24:$H$45,6,0))), "", VLOOKUP($B35, '3. Rate Classes'!$C$24:$H$45,6,0))</f>
        <v>#N/A</v>
      </c>
      <c r="F35" s="151"/>
      <c r="G35" s="150"/>
      <c r="H35" s="175"/>
      <c r="I35" s="175"/>
      <c r="J35" s="174" t="str">
        <f t="shared" si="3"/>
        <v/>
      </c>
      <c r="K35" s="174"/>
      <c r="L35" s="98">
        <f t="shared" si="1"/>
        <v>0</v>
      </c>
      <c r="M35" s="98">
        <f t="shared" si="2"/>
        <v>0</v>
      </c>
    </row>
    <row r="36" spans="2:13" ht="25.5" hidden="1" customHeight="1" thickBot="1" x14ac:dyDescent="0.25">
      <c r="B36" s="95">
        <f>IF('3. Rate Classes'!Q33=1,'3. Rate Classes'!C33, 0)</f>
        <v>0</v>
      </c>
      <c r="C36" s="96"/>
      <c r="D36" s="97" t="e">
        <f>IF(OR(VLOOKUP($B36, '3. Rate Classes'!$C$24:$H$45,6,0)=0, ISERROR(VLOOKUP($B36, '3. Rate Classes'!$C$24:$H$45,6,0))), "", VLOOKUP($B36, '3. Rate Classes'!$C$24:$H$45,6,0))</f>
        <v>#N/A</v>
      </c>
      <c r="F36" s="151"/>
      <c r="G36" s="151"/>
      <c r="H36" s="175"/>
      <c r="I36" s="175"/>
      <c r="J36" s="174" t="str">
        <f t="shared" si="3"/>
        <v/>
      </c>
      <c r="K36" s="174"/>
      <c r="L36" s="98">
        <f t="shared" si="1"/>
        <v>0</v>
      </c>
      <c r="M36" s="98">
        <f t="shared" si="2"/>
        <v>0</v>
      </c>
    </row>
    <row r="37" spans="2:13" ht="25.5" hidden="1" customHeight="1" thickBot="1" x14ac:dyDescent="0.25">
      <c r="B37" s="95">
        <f>IF('3. Rate Classes'!Q34=1,'3. Rate Classes'!C34, 0)</f>
        <v>0</v>
      </c>
      <c r="C37" s="96"/>
      <c r="D37" s="97" t="e">
        <f>IF(OR(VLOOKUP($B37, '3. Rate Classes'!$C$24:$H$45,6,0)=0, ISERROR(VLOOKUP($B37, '3. Rate Classes'!$C$24:$H$45,6,0))), "", VLOOKUP($B37, '3. Rate Classes'!$C$24:$H$45,6,0))</f>
        <v>#N/A</v>
      </c>
      <c r="F37" s="151"/>
      <c r="G37" s="150"/>
      <c r="H37" s="175"/>
      <c r="I37" s="175"/>
      <c r="J37" s="174" t="str">
        <f t="shared" si="3"/>
        <v/>
      </c>
      <c r="K37" s="174"/>
      <c r="L37" s="98">
        <f t="shared" si="1"/>
        <v>0</v>
      </c>
      <c r="M37" s="98">
        <f t="shared" si="2"/>
        <v>0</v>
      </c>
    </row>
    <row r="38" spans="2:13" ht="25.5" hidden="1" customHeight="1" thickBot="1" x14ac:dyDescent="0.25">
      <c r="B38" s="95">
        <f>IF('3. Rate Classes'!Q35=1,'3. Rate Classes'!C35, 0)</f>
        <v>0</v>
      </c>
      <c r="C38" s="96"/>
      <c r="D38" s="97" t="e">
        <f>IF(OR(VLOOKUP($B38, '3. Rate Classes'!$C$24:$H$45,6,0)=0, ISERROR(VLOOKUP($B38, '3. Rate Classes'!$C$24:$H$45,6,0))), "", VLOOKUP($B38, '3. Rate Classes'!$C$24:$H$45,6,0))</f>
        <v>#N/A</v>
      </c>
      <c r="F38" s="151"/>
      <c r="G38" s="151"/>
      <c r="H38" s="175"/>
      <c r="I38" s="175"/>
      <c r="J38" s="174" t="str">
        <f t="shared" si="3"/>
        <v/>
      </c>
      <c r="K38" s="174"/>
      <c r="L38" s="98">
        <f t="shared" si="1"/>
        <v>0</v>
      </c>
      <c r="M38" s="98">
        <f t="shared" si="2"/>
        <v>0</v>
      </c>
    </row>
    <row r="39" spans="2:13" ht="25.5" hidden="1" customHeight="1" thickBot="1" x14ac:dyDescent="0.25">
      <c r="B39" s="95">
        <f>IF('3. Rate Classes'!Q36=1,'3. Rate Classes'!C36, 0)</f>
        <v>0</v>
      </c>
      <c r="C39" s="96"/>
      <c r="D39" s="97" t="e">
        <f>IF(OR(VLOOKUP($B39, '3. Rate Classes'!$C$24:$H$45,6,0)=0, ISERROR(VLOOKUP($B39, '3. Rate Classes'!$C$24:$H$45,6,0))), "", VLOOKUP($B39, '3. Rate Classes'!$C$24:$H$45,6,0))</f>
        <v>#N/A</v>
      </c>
      <c r="F39" s="151"/>
      <c r="G39" s="150"/>
      <c r="H39" s="175"/>
      <c r="I39" s="175"/>
      <c r="J39" s="174" t="str">
        <f t="shared" si="3"/>
        <v/>
      </c>
      <c r="K39" s="174"/>
      <c r="L39" s="98">
        <f t="shared" si="1"/>
        <v>0</v>
      </c>
      <c r="M39" s="98">
        <f t="shared" si="2"/>
        <v>0</v>
      </c>
    </row>
    <row r="40" spans="2:13" ht="25.5" hidden="1" customHeight="1" thickBot="1" x14ac:dyDescent="0.25">
      <c r="B40" s="95">
        <f>IF('3. Rate Classes'!Q37=1,'3. Rate Classes'!C37, 0)</f>
        <v>0</v>
      </c>
      <c r="C40" s="96"/>
      <c r="D40" s="97" t="e">
        <f>IF(OR(VLOOKUP($B40, '3. Rate Classes'!$C$24:$H$45,6,0)=0, ISERROR(VLOOKUP($B40, '3. Rate Classes'!$C$24:$H$45,6,0))), "", VLOOKUP($B40, '3. Rate Classes'!$C$24:$H$45,6,0))</f>
        <v>#N/A</v>
      </c>
      <c r="F40" s="151"/>
      <c r="G40" s="151"/>
      <c r="H40" s="175"/>
      <c r="I40" s="175"/>
      <c r="J40" s="174" t="str">
        <f t="shared" si="3"/>
        <v/>
      </c>
      <c r="K40" s="174"/>
      <c r="L40" s="98">
        <f t="shared" si="1"/>
        <v>0</v>
      </c>
      <c r="M40" s="98">
        <f t="shared" si="2"/>
        <v>0</v>
      </c>
    </row>
    <row r="41" spans="2:13" ht="25.5" hidden="1" customHeight="1" thickBot="1" x14ac:dyDescent="0.25">
      <c r="B41" s="95">
        <f>IF('3. Rate Classes'!Q38=1,'3. Rate Classes'!C38, 0)</f>
        <v>0</v>
      </c>
      <c r="C41" s="96"/>
      <c r="D41" s="97" t="e">
        <f>IF(OR(VLOOKUP($B41, '3. Rate Classes'!$C$24:$H$45,6,0)=0, ISERROR(VLOOKUP($B41, '3. Rate Classes'!$C$24:$H$45,6,0))), "", VLOOKUP($B41, '3. Rate Classes'!$C$24:$H$45,6,0))</f>
        <v>#N/A</v>
      </c>
      <c r="F41" s="151"/>
      <c r="G41" s="150"/>
      <c r="H41" s="175"/>
      <c r="I41" s="175"/>
      <c r="J41" s="174" t="str">
        <f t="shared" si="3"/>
        <v/>
      </c>
      <c r="K41" s="174"/>
      <c r="L41" s="98">
        <f t="shared" si="1"/>
        <v>0</v>
      </c>
      <c r="M41" s="98">
        <f t="shared" si="2"/>
        <v>0</v>
      </c>
    </row>
    <row r="42" spans="2:13" ht="25.5" hidden="1" customHeight="1" thickBot="1" x14ac:dyDescent="0.25">
      <c r="B42" s="95">
        <f>IF('3. Rate Classes'!Q39=1,'3. Rate Classes'!C39, 0)</f>
        <v>0</v>
      </c>
      <c r="C42" s="96"/>
      <c r="D42" s="97" t="e">
        <f>IF(OR(VLOOKUP($B42, '3. Rate Classes'!$C$24:$H$45,6,0)=0, ISERROR(VLOOKUP($B42, '3. Rate Classes'!$C$24:$H$45,6,0))), "", VLOOKUP($B42, '3. Rate Classes'!$C$24:$H$45,6,0))</f>
        <v>#N/A</v>
      </c>
      <c r="F42" s="151"/>
      <c r="G42" s="151"/>
      <c r="H42" s="175"/>
      <c r="I42" s="175"/>
      <c r="J42" s="174" t="str">
        <f t="shared" si="3"/>
        <v/>
      </c>
      <c r="K42" s="174"/>
      <c r="L42" s="98">
        <f t="shared" si="1"/>
        <v>0</v>
      </c>
      <c r="M42" s="98">
        <f t="shared" si="2"/>
        <v>0</v>
      </c>
    </row>
    <row r="43" spans="2:13" ht="25.5" hidden="1" customHeight="1" thickBot="1" x14ac:dyDescent="0.25">
      <c r="B43" s="95">
        <f>IF('3. Rate Classes'!Q40=1,'3. Rate Classes'!C40, 0)</f>
        <v>0</v>
      </c>
      <c r="C43" s="96"/>
      <c r="D43" s="97" t="e">
        <f>IF(OR(VLOOKUP($B43, '3. Rate Classes'!$C$24:$H$45,6,0)=0, ISERROR(VLOOKUP($B43, '3. Rate Classes'!$C$24:$H$45,6,0))), "", VLOOKUP($B43, '3. Rate Classes'!$C$24:$H$45,6,0))</f>
        <v>#N/A</v>
      </c>
      <c r="F43" s="151"/>
      <c r="G43" s="150"/>
      <c r="H43" s="175"/>
      <c r="I43" s="175"/>
      <c r="J43" s="174" t="str">
        <f t="shared" si="3"/>
        <v/>
      </c>
      <c r="K43" s="174"/>
      <c r="L43" s="98">
        <f t="shared" si="1"/>
        <v>0</v>
      </c>
      <c r="M43" s="98">
        <f t="shared" si="2"/>
        <v>0</v>
      </c>
    </row>
    <row r="44" spans="2:13" ht="25.5" hidden="1" customHeight="1" thickBot="1" x14ac:dyDescent="0.25">
      <c r="B44" s="95">
        <f>IF('3. Rate Classes'!Q41=1,'3. Rate Classes'!C41, 0)</f>
        <v>0</v>
      </c>
      <c r="C44" s="96"/>
      <c r="D44" s="97" t="e">
        <f>IF(OR(VLOOKUP($B44, '3. Rate Classes'!$C$24:$H$45,6,0)=0, ISERROR(VLOOKUP($B44, '3. Rate Classes'!$C$24:$H$45,6,0))), "", VLOOKUP($B44, '3. Rate Classes'!$C$24:$H$45,6,0))</f>
        <v>#N/A</v>
      </c>
      <c r="F44" s="151"/>
      <c r="G44" s="151"/>
      <c r="H44" s="175"/>
      <c r="I44" s="175"/>
      <c r="J44" s="174" t="str">
        <f t="shared" si="3"/>
        <v/>
      </c>
      <c r="K44" s="174"/>
      <c r="L44" s="98">
        <f t="shared" si="1"/>
        <v>0</v>
      </c>
      <c r="M44" s="98">
        <f t="shared" si="2"/>
        <v>0</v>
      </c>
    </row>
    <row r="45" spans="2:13" ht="25.5" hidden="1" customHeight="1" thickBot="1" x14ac:dyDescent="0.25">
      <c r="B45" s="95">
        <f>IF('3. Rate Classes'!Q42=1,'3. Rate Classes'!C42, 0)</f>
        <v>0</v>
      </c>
      <c r="C45" s="96"/>
      <c r="D45" s="97" t="e">
        <f>IF(OR(VLOOKUP($B45, '3. Rate Classes'!$C$24:$H$45,6,0)=0, ISERROR(VLOOKUP($B45, '3. Rate Classes'!$C$24:$H$45,6,0))), "", VLOOKUP($B45, '3. Rate Classes'!$C$24:$H$45,6,0))</f>
        <v>#N/A</v>
      </c>
      <c r="F45" s="151"/>
      <c r="G45" s="150"/>
      <c r="H45" s="175"/>
      <c r="I45" s="175"/>
      <c r="J45" s="174" t="str">
        <f t="shared" si="3"/>
        <v/>
      </c>
      <c r="K45" s="174"/>
      <c r="L45" s="98">
        <f t="shared" si="1"/>
        <v>0</v>
      </c>
      <c r="M45" s="98">
        <f t="shared" si="2"/>
        <v>0</v>
      </c>
    </row>
    <row r="46" spans="2:13" ht="25.5" hidden="1" customHeight="1" thickBot="1" x14ac:dyDescent="0.25">
      <c r="B46" s="95">
        <f>IF('3. Rate Classes'!Q43=1,'3. Rate Classes'!C43, 0)</f>
        <v>0</v>
      </c>
      <c r="C46" s="96"/>
      <c r="D46" s="97" t="e">
        <f>IF(OR(VLOOKUP($B46, '3. Rate Classes'!$C$24:$H$45,6,0)=0, ISERROR(VLOOKUP($B46, '3. Rate Classes'!$C$24:$H$45,6,0))), "", VLOOKUP($B46, '3. Rate Classes'!$C$24:$H$45,6,0))</f>
        <v>#N/A</v>
      </c>
      <c r="F46" s="151"/>
      <c r="G46" s="151"/>
      <c r="H46" s="175"/>
      <c r="I46" s="175"/>
      <c r="J46" s="174" t="str">
        <f t="shared" si="3"/>
        <v/>
      </c>
      <c r="K46" s="174"/>
      <c r="L46" s="98">
        <f t="shared" si="1"/>
        <v>0</v>
      </c>
      <c r="M46" s="98">
        <f t="shared" si="2"/>
        <v>0</v>
      </c>
    </row>
    <row r="47" spans="2:13" ht="25.5" hidden="1" customHeight="1" thickBot="1" x14ac:dyDescent="0.25">
      <c r="B47" s="95">
        <f>IF('3. Rate Classes'!Q44=1,'3. Rate Classes'!C44, 0)</f>
        <v>0</v>
      </c>
      <c r="C47" s="96"/>
      <c r="D47" s="97" t="e">
        <f>IF(OR(VLOOKUP($B47, '3. Rate Classes'!$C$24:$H$45,6,0)=0, ISERROR(VLOOKUP($B47, '3. Rate Classes'!$C$24:$H$45,6,0))), "", VLOOKUP($B47, '3. Rate Classes'!$C$24:$H$45,6,0))</f>
        <v>#N/A</v>
      </c>
      <c r="F47" s="151"/>
      <c r="G47" s="150"/>
      <c r="H47" s="175"/>
      <c r="I47" s="175"/>
      <c r="J47" s="174" t="str">
        <f t="shared" si="3"/>
        <v/>
      </c>
      <c r="K47" s="174"/>
      <c r="L47" s="98">
        <f t="shared" si="1"/>
        <v>0</v>
      </c>
      <c r="M47" s="98">
        <f t="shared" si="2"/>
        <v>0</v>
      </c>
    </row>
    <row r="48" spans="2:13" ht="25.5" hidden="1" customHeight="1" thickBot="1" x14ac:dyDescent="0.25">
      <c r="B48" s="95">
        <f>IF('3. Rate Classes'!Q45=1,'3. Rate Classes'!C45, 0)</f>
        <v>0</v>
      </c>
      <c r="C48" s="96"/>
      <c r="D48" s="97" t="e">
        <f>IF(OR(VLOOKUP($B48, '3. Rate Classes'!$C$24:$H$45,6,0)=0, ISERROR(VLOOKUP($B48, '3. Rate Classes'!$C$24:$H$45,6,0))), "", VLOOKUP($B48, '3. Rate Classes'!$C$24:$H$45,6,0))</f>
        <v>#N/A</v>
      </c>
      <c r="F48" s="151"/>
      <c r="G48" s="151"/>
      <c r="H48" s="175"/>
      <c r="I48" s="175"/>
      <c r="J48" s="174" t="str">
        <f t="shared" si="3"/>
        <v/>
      </c>
      <c r="K48" s="174"/>
      <c r="L48" s="98">
        <f t="shared" si="1"/>
        <v>0</v>
      </c>
      <c r="M48" s="98">
        <f t="shared" si="2"/>
        <v>0</v>
      </c>
    </row>
  </sheetData>
  <sheetProtection password="F8BD" sheet="1" objects="1" scenarios="1"/>
  <mergeCells count="47">
    <mergeCell ref="H38:I38"/>
    <mergeCell ref="H27:I27"/>
    <mergeCell ref="H28:I28"/>
    <mergeCell ref="H29:I29"/>
    <mergeCell ref="H30:I30"/>
    <mergeCell ref="H31:I31"/>
    <mergeCell ref="H32:I32"/>
    <mergeCell ref="H45:I45"/>
    <mergeCell ref="H46:I46"/>
    <mergeCell ref="H47:I47"/>
    <mergeCell ref="H48:I48"/>
    <mergeCell ref="J27:K27"/>
    <mergeCell ref="J28:K28"/>
    <mergeCell ref="J29:K29"/>
    <mergeCell ref="J30:K30"/>
    <mergeCell ref="J31:K31"/>
    <mergeCell ref="J32:K32"/>
    <mergeCell ref="H39:I39"/>
    <mergeCell ref="H40:I40"/>
    <mergeCell ref="H41:I41"/>
    <mergeCell ref="H42:I42"/>
    <mergeCell ref="H43:I43"/>
    <mergeCell ref="H44:I44"/>
    <mergeCell ref="J41:K41"/>
    <mergeCell ref="J42:K42"/>
    <mergeCell ref="J47:K47"/>
    <mergeCell ref="J48:K48"/>
    <mergeCell ref="J43:K43"/>
    <mergeCell ref="J44:K44"/>
    <mergeCell ref="J45:K45"/>
    <mergeCell ref="J46:K46"/>
    <mergeCell ref="J21:K21"/>
    <mergeCell ref="J24:K24"/>
    <mergeCell ref="B13:L13"/>
    <mergeCell ref="J39:K39"/>
    <mergeCell ref="J40:K40"/>
    <mergeCell ref="J33:K33"/>
    <mergeCell ref="J34:K34"/>
    <mergeCell ref="J35:K35"/>
    <mergeCell ref="J36:K36"/>
    <mergeCell ref="J37:K37"/>
    <mergeCell ref="J38:K38"/>
    <mergeCell ref="H33:I33"/>
    <mergeCell ref="H34:I34"/>
    <mergeCell ref="H35:I35"/>
    <mergeCell ref="H36:I36"/>
    <mergeCell ref="H37:I37"/>
  </mergeCells>
  <phoneticPr fontId="21" type="noConversion"/>
  <conditionalFormatting sqref="H27:I48">
    <cfRule type="expression" dxfId="1" priority="1" stopIfTrue="1">
      <formula>$D27="kWh"</formula>
    </cfRule>
    <cfRule type="expression" dxfId="0" priority="2" stopIfTrue="1">
      <formula>$D27="kW"</formula>
    </cfRule>
  </conditionalFormatting>
  <dataValidations disablePrompts="1" count="1">
    <dataValidation type="list" allowBlank="1" showInputMessage="1" showErrorMessage="1" sqref="D22 J22">
      <formula1>"Yes, No"</formula1>
    </dataValidation>
  </dataValidations>
  <pageMargins left="0.75" right="0.75" top="1" bottom="1" header="0.5" footer="0.5"/>
  <pageSetup scale="74" orientation="landscape"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5:I58"/>
  <sheetViews>
    <sheetView showGridLines="0" workbookViewId="0">
      <pane ySplit="16" topLeftCell="A17" activePane="bottomLeft" state="frozenSplit"/>
      <selection activeCell="I48" sqref="I48"/>
      <selection pane="bottomLeft" activeCell="A57" sqref="A1:I57"/>
    </sheetView>
  </sheetViews>
  <sheetFormatPr defaultRowHeight="12.75" x14ac:dyDescent="0.2"/>
  <cols>
    <col min="1" max="1" width="11.85546875" customWidth="1"/>
    <col min="2" max="2" width="62.85546875" bestFit="1" customWidth="1"/>
    <col min="3" max="3" width="15.42578125" customWidth="1"/>
    <col min="5" max="5" width="15.140625" customWidth="1"/>
    <col min="6" max="6" width="6.28515625" customWidth="1"/>
    <col min="7" max="7" width="15.140625" customWidth="1"/>
    <col min="8" max="8" width="5.42578125" customWidth="1"/>
    <col min="9" max="9" width="15.140625" customWidth="1"/>
  </cols>
  <sheetData>
    <row r="15" spans="2:9" x14ac:dyDescent="0.2">
      <c r="B15" s="145"/>
      <c r="C15" s="146"/>
      <c r="D15" s="5"/>
      <c r="E15" s="146"/>
      <c r="F15" s="5"/>
      <c r="G15" s="146"/>
      <c r="H15" s="5"/>
      <c r="I15" s="146"/>
    </row>
    <row r="17" spans="2:9" ht="15.75" x14ac:dyDescent="0.25">
      <c r="B17" s="17"/>
      <c r="C17" s="17"/>
      <c r="D17" s="18"/>
      <c r="E17" s="21"/>
      <c r="F17" s="17"/>
      <c r="G17" s="21"/>
      <c r="H17" s="17"/>
    </row>
    <row r="18" spans="2:9" ht="25.5" x14ac:dyDescent="0.2">
      <c r="B18" s="144" t="s">
        <v>235</v>
      </c>
      <c r="C18" s="143" t="s">
        <v>210</v>
      </c>
      <c r="E18" s="143" t="s">
        <v>236</v>
      </c>
      <c r="G18" s="143" t="s">
        <v>237</v>
      </c>
      <c r="I18" s="143" t="s">
        <v>238</v>
      </c>
    </row>
    <row r="19" spans="2:9" x14ac:dyDescent="0.2">
      <c r="B19" s="19"/>
      <c r="C19" s="19"/>
      <c r="D19" s="19"/>
      <c r="E19" s="19"/>
      <c r="F19" s="19"/>
      <c r="G19" s="19"/>
      <c r="H19" s="19"/>
    </row>
    <row r="20" spans="2:9" ht="16.5" x14ac:dyDescent="0.3">
      <c r="B20" s="1" t="s">
        <v>114</v>
      </c>
      <c r="C20" s="1"/>
      <c r="D20" s="26"/>
      <c r="E20" s="27" t="s">
        <v>115</v>
      </c>
      <c r="F20" s="28"/>
      <c r="G20" s="27" t="s">
        <v>115</v>
      </c>
      <c r="H20" s="28"/>
      <c r="I20" s="27" t="s">
        <v>115</v>
      </c>
    </row>
    <row r="21" spans="2:9" x14ac:dyDescent="0.2">
      <c r="B21" s="19"/>
      <c r="C21" s="19"/>
      <c r="E21" s="19"/>
      <c r="F21" s="19"/>
      <c r="G21" s="19"/>
      <c r="H21" s="19"/>
    </row>
    <row r="22" spans="2:9" ht="17.25" x14ac:dyDescent="0.3">
      <c r="B22" s="35" t="s">
        <v>116</v>
      </c>
      <c r="C22" s="33" t="s">
        <v>113</v>
      </c>
      <c r="D22" s="36"/>
      <c r="E22" s="32">
        <v>3.22</v>
      </c>
      <c r="F22" s="31"/>
      <c r="G22" s="32">
        <v>3.57</v>
      </c>
      <c r="H22" s="30"/>
      <c r="I22" s="100">
        <v>3.57</v>
      </c>
    </row>
    <row r="23" spans="2:9" ht="17.25" x14ac:dyDescent="0.3">
      <c r="B23" s="31"/>
      <c r="C23" s="31"/>
      <c r="D23" s="36"/>
      <c r="E23" s="32"/>
      <c r="F23" s="31"/>
      <c r="G23" s="32"/>
      <c r="H23" s="30"/>
      <c r="I23" s="32"/>
    </row>
    <row r="24" spans="2:9" ht="17.25" x14ac:dyDescent="0.3">
      <c r="B24" s="35" t="s">
        <v>117</v>
      </c>
      <c r="C24" s="33" t="s">
        <v>113</v>
      </c>
      <c r="D24" s="36"/>
      <c r="E24" s="32">
        <v>0.79</v>
      </c>
      <c r="F24" s="31"/>
      <c r="G24" s="32">
        <v>0.8</v>
      </c>
      <c r="H24" s="30"/>
      <c r="I24" s="100">
        <v>0.8</v>
      </c>
    </row>
    <row r="25" spans="2:9" ht="17.25" x14ac:dyDescent="0.3">
      <c r="B25" s="31"/>
      <c r="C25" s="31"/>
      <c r="D25" s="36"/>
      <c r="E25" s="32"/>
      <c r="F25" s="31"/>
      <c r="G25" s="32"/>
      <c r="H25" s="30"/>
      <c r="I25" s="32"/>
    </row>
    <row r="26" spans="2:9" ht="17.25" x14ac:dyDescent="0.3">
      <c r="B26" s="35" t="s">
        <v>118</v>
      </c>
      <c r="C26" s="33" t="s">
        <v>113</v>
      </c>
      <c r="D26" s="36"/>
      <c r="E26" s="32">
        <v>1.77</v>
      </c>
      <c r="F26" s="31"/>
      <c r="G26" s="32">
        <v>1.86</v>
      </c>
      <c r="H26" s="30"/>
      <c r="I26" s="100">
        <v>1.86</v>
      </c>
    </row>
    <row r="27" spans="2:9" x14ac:dyDescent="0.2">
      <c r="B27" s="19"/>
      <c r="C27" s="19"/>
      <c r="E27" s="19"/>
      <c r="F27" s="19"/>
      <c r="G27" s="19"/>
      <c r="H27" s="19"/>
    </row>
    <row r="28" spans="2:9" x14ac:dyDescent="0.2">
      <c r="B28" s="19"/>
      <c r="C28" s="19"/>
      <c r="E28" s="19"/>
      <c r="F28" s="19"/>
      <c r="G28" s="19"/>
      <c r="H28" s="19"/>
    </row>
    <row r="29" spans="2:9" ht="25.5" x14ac:dyDescent="0.2">
      <c r="B29" s="144" t="s">
        <v>239</v>
      </c>
      <c r="C29" s="143" t="s">
        <v>210</v>
      </c>
      <c r="E29" s="143" t="s">
        <v>236</v>
      </c>
      <c r="G29" s="143" t="s">
        <v>237</v>
      </c>
      <c r="I29" s="143" t="s">
        <v>238</v>
      </c>
    </row>
    <row r="30" spans="2:9" ht="15.75" x14ac:dyDescent="0.25">
      <c r="B30" s="20"/>
      <c r="C30" s="18"/>
      <c r="E30" s="17"/>
      <c r="F30" s="17"/>
      <c r="G30" s="17"/>
      <c r="H30" s="17"/>
    </row>
    <row r="31" spans="2:9" ht="3" customHeight="1" x14ac:dyDescent="0.25">
      <c r="B31" s="17"/>
      <c r="C31" s="18"/>
      <c r="E31" s="21"/>
      <c r="F31" s="17"/>
      <c r="G31" s="21"/>
      <c r="H31" s="17"/>
    </row>
    <row r="32" spans="2:9" ht="3" customHeight="1" x14ac:dyDescent="0.2">
      <c r="B32" s="19"/>
      <c r="C32" s="19"/>
      <c r="E32" s="19"/>
      <c r="F32" s="19"/>
      <c r="G32" s="19"/>
      <c r="H32" s="19"/>
    </row>
    <row r="33" spans="2:9" ht="16.5" x14ac:dyDescent="0.3">
      <c r="B33" s="1" t="s">
        <v>114</v>
      </c>
      <c r="C33" s="1"/>
      <c r="D33" s="26"/>
      <c r="E33" s="27" t="s">
        <v>115</v>
      </c>
      <c r="F33" s="28"/>
      <c r="G33" s="27" t="s">
        <v>115</v>
      </c>
      <c r="H33" s="19"/>
      <c r="I33" s="27" t="s">
        <v>115</v>
      </c>
    </row>
    <row r="34" spans="2:9" x14ac:dyDescent="0.2">
      <c r="B34" s="19"/>
      <c r="C34" s="19"/>
      <c r="E34" s="19"/>
      <c r="F34" s="19"/>
      <c r="G34" s="19"/>
      <c r="H34" s="19"/>
    </row>
    <row r="35" spans="2:9" ht="17.25" x14ac:dyDescent="0.3">
      <c r="B35" s="35" t="s">
        <v>116</v>
      </c>
      <c r="C35" s="33" t="s">
        <v>113</v>
      </c>
      <c r="D35" s="36"/>
      <c r="E35" s="32">
        <v>2.65</v>
      </c>
      <c r="F35" s="31"/>
      <c r="G35" s="32">
        <v>2.65</v>
      </c>
      <c r="H35" s="17"/>
      <c r="I35" s="100">
        <v>2.65</v>
      </c>
    </row>
    <row r="36" spans="2:9" ht="15.75" x14ac:dyDescent="0.25">
      <c r="B36" s="17"/>
      <c r="C36" s="17"/>
      <c r="D36" s="37"/>
      <c r="E36" s="22"/>
      <c r="F36" s="17"/>
      <c r="G36" s="22"/>
      <c r="H36" s="17"/>
      <c r="I36" s="22"/>
    </row>
    <row r="37" spans="2:9" ht="17.25" x14ac:dyDescent="0.3">
      <c r="B37" s="35" t="s">
        <v>117</v>
      </c>
      <c r="C37" s="33" t="s">
        <v>113</v>
      </c>
      <c r="D37" s="36"/>
      <c r="E37" s="32">
        <v>0.64</v>
      </c>
      <c r="F37" s="31"/>
      <c r="G37" s="32">
        <v>0.64</v>
      </c>
      <c r="H37" s="17"/>
      <c r="I37" s="100">
        <v>0.64</v>
      </c>
    </row>
    <row r="38" spans="2:9" ht="15.75" x14ac:dyDescent="0.25">
      <c r="B38" s="17"/>
      <c r="C38" s="17"/>
      <c r="D38" s="37"/>
      <c r="E38" s="22"/>
      <c r="F38" s="17"/>
      <c r="G38" s="22"/>
      <c r="H38" s="17"/>
      <c r="I38" s="22"/>
    </row>
    <row r="39" spans="2:9" ht="17.25" x14ac:dyDescent="0.3">
      <c r="B39" s="35" t="s">
        <v>118</v>
      </c>
      <c r="C39" s="33" t="s">
        <v>113</v>
      </c>
      <c r="D39" s="36"/>
      <c r="E39" s="32">
        <v>1.5</v>
      </c>
      <c r="F39" s="31"/>
      <c r="G39" s="32">
        <v>1.5</v>
      </c>
      <c r="H39" s="17"/>
      <c r="I39" s="100">
        <v>1.5</v>
      </c>
    </row>
    <row r="40" spans="2:9" ht="15.75" x14ac:dyDescent="0.25">
      <c r="B40" s="17"/>
      <c r="C40" s="17"/>
      <c r="D40" s="37"/>
      <c r="E40" s="22"/>
      <c r="F40" s="17"/>
      <c r="G40" s="22"/>
      <c r="H40" s="17"/>
      <c r="I40" s="22"/>
    </row>
    <row r="41" spans="2:9" ht="17.25" x14ac:dyDescent="0.3">
      <c r="B41" s="35" t="s">
        <v>119</v>
      </c>
      <c r="C41" s="33" t="s">
        <v>113</v>
      </c>
      <c r="D41" s="36"/>
      <c r="E41" s="32">
        <f>E39+E37</f>
        <v>2.14</v>
      </c>
      <c r="F41" s="31"/>
      <c r="G41" s="32">
        <f>G39+G37</f>
        <v>2.14</v>
      </c>
      <c r="H41" s="17"/>
      <c r="I41" s="100">
        <f>I39+I37</f>
        <v>2.14</v>
      </c>
    </row>
    <row r="42" spans="2:9" ht="15.75" x14ac:dyDescent="0.25">
      <c r="B42" s="17"/>
      <c r="C42" s="17"/>
      <c r="E42" s="22"/>
      <c r="F42" s="19"/>
      <c r="G42" s="22"/>
      <c r="H42" s="19"/>
    </row>
    <row r="43" spans="2:9" x14ac:dyDescent="0.2">
      <c r="C43" s="19"/>
      <c r="E43" s="19"/>
      <c r="F43" s="19"/>
      <c r="G43" s="19"/>
      <c r="H43" s="19"/>
    </row>
    <row r="44" spans="2:9" ht="15.75" x14ac:dyDescent="0.25">
      <c r="B44" s="20"/>
      <c r="C44" s="19"/>
      <c r="E44" s="19"/>
      <c r="F44" s="19"/>
      <c r="G44" s="19"/>
      <c r="H44" s="19"/>
    </row>
    <row r="45" spans="2:9" ht="25.5" x14ac:dyDescent="0.2">
      <c r="B45" s="144" t="s">
        <v>120</v>
      </c>
      <c r="C45" s="143" t="s">
        <v>210</v>
      </c>
      <c r="E45" s="143" t="s">
        <v>236</v>
      </c>
      <c r="G45" s="143" t="s">
        <v>237</v>
      </c>
      <c r="I45" s="143" t="s">
        <v>238</v>
      </c>
    </row>
    <row r="46" spans="2:9" x14ac:dyDescent="0.2">
      <c r="B46" s="19"/>
      <c r="C46" s="19"/>
      <c r="E46" s="19"/>
      <c r="F46" s="19"/>
      <c r="G46" s="19"/>
      <c r="H46" s="19"/>
    </row>
    <row r="47" spans="2:9" ht="16.5" x14ac:dyDescent="0.3">
      <c r="B47" s="1" t="s">
        <v>114</v>
      </c>
      <c r="C47" s="1"/>
      <c r="D47" s="26"/>
      <c r="E47" s="27" t="s">
        <v>115</v>
      </c>
      <c r="F47" s="28"/>
      <c r="G47" s="27" t="s">
        <v>115</v>
      </c>
      <c r="H47" s="19"/>
      <c r="I47" s="27" t="s">
        <v>115</v>
      </c>
    </row>
    <row r="48" spans="2:9" x14ac:dyDescent="0.2">
      <c r="B48" s="19"/>
      <c r="C48" s="19"/>
      <c r="E48" s="19"/>
      <c r="F48" s="19"/>
      <c r="G48" s="19"/>
      <c r="H48" s="19"/>
    </row>
    <row r="49" spans="2:9" ht="17.25" x14ac:dyDescent="0.3">
      <c r="B49" s="35" t="s">
        <v>121</v>
      </c>
      <c r="C49" s="33" t="s">
        <v>113</v>
      </c>
      <c r="D49" s="36"/>
      <c r="E49" s="38">
        <v>4.7E-2</v>
      </c>
      <c r="F49" s="31"/>
      <c r="G49" s="38">
        <v>0</v>
      </c>
      <c r="H49" s="23"/>
      <c r="I49" s="38">
        <v>0</v>
      </c>
    </row>
    <row r="50" spans="2:9" ht="15.75" x14ac:dyDescent="0.25">
      <c r="B50" s="17"/>
      <c r="C50" s="17"/>
      <c r="D50" s="37"/>
      <c r="E50" s="24"/>
      <c r="F50" s="25"/>
      <c r="G50" s="24"/>
      <c r="H50" s="23"/>
      <c r="I50" s="24"/>
    </row>
    <row r="51" spans="2:9" ht="17.25" x14ac:dyDescent="0.3">
      <c r="B51" s="35" t="s">
        <v>122</v>
      </c>
      <c r="C51" s="33" t="s">
        <v>113</v>
      </c>
      <c r="D51" s="36"/>
      <c r="E51" s="38">
        <v>-2.5000000000000001E-2</v>
      </c>
      <c r="F51" s="31"/>
      <c r="G51" s="38">
        <v>0</v>
      </c>
      <c r="H51" s="23"/>
      <c r="I51" s="38">
        <v>0</v>
      </c>
    </row>
    <row r="52" spans="2:9" ht="15.75" x14ac:dyDescent="0.25">
      <c r="B52" s="17"/>
      <c r="C52" s="17"/>
      <c r="D52" s="37"/>
      <c r="E52" s="24"/>
      <c r="F52" s="25"/>
      <c r="G52" s="24"/>
      <c r="H52" s="23"/>
      <c r="I52" s="24"/>
    </row>
    <row r="53" spans="2:9" ht="17.25" x14ac:dyDescent="0.3">
      <c r="B53" s="35" t="s">
        <v>123</v>
      </c>
      <c r="C53" s="33" t="s">
        <v>113</v>
      </c>
      <c r="D53" s="36"/>
      <c r="E53" s="38">
        <v>5.8000000000000003E-2</v>
      </c>
      <c r="F53" s="34"/>
      <c r="G53" s="38">
        <v>0</v>
      </c>
      <c r="H53" s="23"/>
      <c r="I53" s="38">
        <v>0</v>
      </c>
    </row>
    <row r="54" spans="2:9" ht="17.25" x14ac:dyDescent="0.3">
      <c r="B54" s="31"/>
      <c r="C54" s="31"/>
      <c r="D54" s="36"/>
      <c r="E54" s="34"/>
      <c r="F54" s="34"/>
      <c r="G54" s="34"/>
      <c r="H54" s="23"/>
      <c r="I54" s="34"/>
    </row>
    <row r="55" spans="2:9" ht="17.25" x14ac:dyDescent="0.3">
      <c r="B55" s="35" t="s">
        <v>124</v>
      </c>
      <c r="C55" s="33" t="s">
        <v>113</v>
      </c>
      <c r="D55" s="36"/>
      <c r="E55" s="38">
        <v>-7.4999999999999997E-2</v>
      </c>
      <c r="F55" s="34"/>
      <c r="G55" s="38">
        <v>0</v>
      </c>
      <c r="H55" s="23"/>
      <c r="I55" s="38">
        <v>0</v>
      </c>
    </row>
    <row r="56" spans="2:9" ht="17.25" x14ac:dyDescent="0.3">
      <c r="B56" s="31"/>
      <c r="C56" s="33"/>
      <c r="D56" s="36"/>
      <c r="E56" s="34"/>
      <c r="F56" s="34"/>
      <c r="G56" s="34"/>
      <c r="H56" s="25"/>
      <c r="I56" s="34"/>
    </row>
    <row r="57" spans="2:9" ht="18" thickBot="1" x14ac:dyDescent="0.35">
      <c r="B57" s="35" t="s">
        <v>120</v>
      </c>
      <c r="C57" s="33" t="s">
        <v>113</v>
      </c>
      <c r="D57" s="36"/>
      <c r="E57" s="39">
        <f>SUM(E49:E55)</f>
        <v>5.0000000000000044E-3</v>
      </c>
      <c r="F57" s="34"/>
      <c r="G57" s="39">
        <f>SUM(G49:G55)</f>
        <v>0</v>
      </c>
      <c r="H57" s="23"/>
      <c r="I57" s="39">
        <f>SUM(I49:I55)</f>
        <v>0</v>
      </c>
    </row>
    <row r="58" spans="2:9" x14ac:dyDescent="0.2">
      <c r="B58" s="17"/>
      <c r="C58" s="17"/>
      <c r="D58" s="18"/>
      <c r="E58" s="17"/>
      <c r="F58" s="17"/>
      <c r="G58" s="17"/>
      <c r="H58" s="17"/>
    </row>
  </sheetData>
  <sheetProtection password="F8BD" sheet="1" objects="1" scenarios="1"/>
  <phoneticPr fontId="21" type="noConversion"/>
  <pageMargins left="0.75" right="0.75" top="1" bottom="1" header="0.5" footer="0.5"/>
  <pageSetup scale="56" orientation="portrait" r:id="rId1"/>
  <headerFooter alignWithMargins="0">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9:Q75"/>
  <sheetViews>
    <sheetView showGridLines="0" topLeftCell="B1" zoomScaleNormal="100" workbookViewId="0">
      <pane ySplit="16" topLeftCell="A29" activePane="bottomLeft" state="frozenSplit"/>
      <selection activeCell="I48" sqref="I48"/>
      <selection pane="bottomLeft" activeCell="M47" sqref="M47"/>
    </sheetView>
  </sheetViews>
  <sheetFormatPr defaultRowHeight="12.75" x14ac:dyDescent="0.2"/>
  <cols>
    <col min="1" max="1" width="11.85546875" style="19" hidden="1" customWidth="1"/>
    <col min="2" max="2" width="30.140625" style="19" customWidth="1"/>
    <col min="3" max="3" width="3.85546875" style="19" customWidth="1"/>
    <col min="4" max="4" width="13.28515625" style="19" customWidth="1"/>
    <col min="5" max="5" width="15.140625" style="19" customWidth="1"/>
    <col min="6" max="6" width="13.28515625" style="19" customWidth="1"/>
    <col min="7" max="7" width="2.85546875" style="19" customWidth="1"/>
    <col min="8" max="8" width="13.28515625" style="19" customWidth="1"/>
    <col min="9" max="9" width="9.42578125" style="19" bestFit="1" customWidth="1"/>
    <col min="10" max="10" width="13.28515625" style="19" customWidth="1"/>
    <col min="11" max="11" width="3.140625" style="19" customWidth="1"/>
    <col min="12" max="12" width="13.28515625" style="19" customWidth="1"/>
    <col min="13" max="13" width="9.42578125" style="19" bestFit="1" customWidth="1"/>
    <col min="14" max="14" width="13.28515625" style="19" customWidth="1"/>
    <col min="15" max="15" width="3.7109375" style="19" customWidth="1"/>
    <col min="16" max="16" width="13.28515625" style="19" customWidth="1"/>
    <col min="17" max="16384" width="9.140625" style="19"/>
  </cols>
  <sheetData>
    <row r="19" spans="2:17" ht="33.75" customHeight="1" x14ac:dyDescent="0.25">
      <c r="B19" s="17"/>
      <c r="C19" s="17"/>
      <c r="D19" s="18"/>
      <c r="E19" s="21"/>
      <c r="F19" s="17"/>
      <c r="G19" s="21"/>
      <c r="H19" s="17"/>
    </row>
    <row r="20" spans="2:17" ht="20.25" x14ac:dyDescent="0.3">
      <c r="B20" s="40"/>
      <c r="C20" s="17"/>
      <c r="D20" s="17"/>
      <c r="E20" s="17"/>
      <c r="F20" s="17"/>
      <c r="G20" s="17"/>
      <c r="H20" s="17"/>
      <c r="I20" s="17"/>
      <c r="J20" s="17"/>
      <c r="K20" s="17"/>
      <c r="L20" s="17"/>
      <c r="M20" s="17"/>
      <c r="N20" s="17"/>
      <c r="O20" s="17"/>
      <c r="P20" s="17"/>
      <c r="Q20" s="17"/>
    </row>
    <row r="21" spans="2:17" ht="15.75" x14ac:dyDescent="0.25">
      <c r="B21" s="142" t="s">
        <v>228</v>
      </c>
      <c r="C21" s="141"/>
      <c r="D21" s="177" t="s">
        <v>229</v>
      </c>
      <c r="E21" s="177"/>
      <c r="F21" s="177"/>
      <c r="G21" s="141"/>
      <c r="H21" s="177" t="s">
        <v>232</v>
      </c>
      <c r="I21" s="177"/>
      <c r="J21" s="177"/>
      <c r="K21" s="141"/>
      <c r="L21" s="177" t="s">
        <v>231</v>
      </c>
      <c r="M21" s="177"/>
      <c r="N21" s="177"/>
      <c r="O21" s="141"/>
      <c r="P21" s="142" t="s">
        <v>230</v>
      </c>
      <c r="Q21" s="41"/>
    </row>
    <row r="22" spans="2:17" ht="33" x14ac:dyDescent="0.3">
      <c r="B22" s="45" t="s">
        <v>125</v>
      </c>
      <c r="C22" s="29"/>
      <c r="D22" s="46" t="s">
        <v>126</v>
      </c>
      <c r="E22" s="46" t="s">
        <v>115</v>
      </c>
      <c r="F22" s="46" t="s">
        <v>127</v>
      </c>
      <c r="G22" s="29"/>
      <c r="H22" s="46" t="s">
        <v>126</v>
      </c>
      <c r="I22" s="46" t="s">
        <v>115</v>
      </c>
      <c r="J22" s="46" t="s">
        <v>127</v>
      </c>
      <c r="K22" s="29"/>
      <c r="L22" s="46" t="s">
        <v>126</v>
      </c>
      <c r="M22" s="46" t="s">
        <v>115</v>
      </c>
      <c r="N22" s="46" t="s">
        <v>127</v>
      </c>
      <c r="O22" s="29"/>
      <c r="P22" s="46" t="s">
        <v>127</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128</v>
      </c>
      <c r="C24" s="17"/>
      <c r="D24" s="155">
        <v>137672</v>
      </c>
      <c r="E24" s="156">
        <v>3.22</v>
      </c>
      <c r="F24" s="157">
        <v>443303.84</v>
      </c>
      <c r="G24" s="17"/>
      <c r="H24" s="155">
        <v>140483</v>
      </c>
      <c r="I24" s="156">
        <v>0.79</v>
      </c>
      <c r="J24" s="158">
        <v>110981.57</v>
      </c>
      <c r="K24" s="17"/>
      <c r="L24" s="155">
        <v>140483</v>
      </c>
      <c r="M24" s="156">
        <v>1.77</v>
      </c>
      <c r="N24" s="157">
        <v>248654.91</v>
      </c>
      <c r="O24" s="17"/>
      <c r="P24" s="47">
        <f t="shared" ref="P24:P35" si="0">J24+N24</f>
        <v>359636.47999999998</v>
      </c>
      <c r="Q24" s="17"/>
    </row>
    <row r="25" spans="2:17" ht="15.75" x14ac:dyDescent="0.25">
      <c r="B25" s="48" t="s">
        <v>129</v>
      </c>
      <c r="C25" s="17"/>
      <c r="D25" s="155">
        <v>141720</v>
      </c>
      <c r="E25" s="156">
        <v>3.22</v>
      </c>
      <c r="F25" s="157">
        <v>456338.4</v>
      </c>
      <c r="G25" s="17"/>
      <c r="H25" s="155">
        <v>141720</v>
      </c>
      <c r="I25" s="156">
        <v>0.79</v>
      </c>
      <c r="J25" s="158">
        <v>111958.8</v>
      </c>
      <c r="K25" s="17"/>
      <c r="L25" s="155">
        <v>141720</v>
      </c>
      <c r="M25" s="156">
        <v>1.77</v>
      </c>
      <c r="N25" s="157">
        <v>250844.4</v>
      </c>
      <c r="O25" s="17"/>
      <c r="P25" s="47">
        <f t="shared" si="0"/>
        <v>362803.20000000001</v>
      </c>
      <c r="Q25" s="17"/>
    </row>
    <row r="26" spans="2:17" ht="15.75" x14ac:dyDescent="0.25">
      <c r="B26" s="48" t="s">
        <v>130</v>
      </c>
      <c r="C26" s="17"/>
      <c r="D26" s="155">
        <v>125938</v>
      </c>
      <c r="E26" s="156">
        <v>3.22</v>
      </c>
      <c r="F26" s="157">
        <v>405520.36000000004</v>
      </c>
      <c r="G26" s="17"/>
      <c r="H26" s="155">
        <v>134327</v>
      </c>
      <c r="I26" s="156">
        <v>0.79</v>
      </c>
      <c r="J26" s="158">
        <v>106118.33</v>
      </c>
      <c r="K26" s="17"/>
      <c r="L26" s="155">
        <v>134327</v>
      </c>
      <c r="M26" s="156">
        <v>1.77</v>
      </c>
      <c r="N26" s="157">
        <v>237758.79</v>
      </c>
      <c r="O26" s="17"/>
      <c r="P26" s="47">
        <f t="shared" si="0"/>
        <v>343877.12</v>
      </c>
      <c r="Q26" s="17"/>
    </row>
    <row r="27" spans="2:17" ht="15.75" x14ac:dyDescent="0.25">
      <c r="B27" s="48" t="s">
        <v>131</v>
      </c>
      <c r="C27" s="17"/>
      <c r="D27" s="155">
        <v>100555</v>
      </c>
      <c r="E27" s="156">
        <v>3.22</v>
      </c>
      <c r="F27" s="157">
        <v>323787.10000000003</v>
      </c>
      <c r="G27" s="17"/>
      <c r="H27" s="155">
        <v>120588</v>
      </c>
      <c r="I27" s="156">
        <v>0.79</v>
      </c>
      <c r="J27" s="158">
        <v>95264.52</v>
      </c>
      <c r="K27" s="17"/>
      <c r="L27" s="155">
        <v>120588</v>
      </c>
      <c r="M27" s="156">
        <v>1.77</v>
      </c>
      <c r="N27" s="157">
        <v>213440.76</v>
      </c>
      <c r="O27" s="17"/>
      <c r="P27" s="47">
        <f t="shared" si="0"/>
        <v>308705.28000000003</v>
      </c>
      <c r="Q27" s="17"/>
    </row>
    <row r="28" spans="2:17" ht="15.75" x14ac:dyDescent="0.25">
      <c r="B28" s="48" t="s">
        <v>132</v>
      </c>
      <c r="C28" s="17"/>
      <c r="D28" s="155">
        <v>113349</v>
      </c>
      <c r="E28" s="156">
        <v>3.22</v>
      </c>
      <c r="F28" s="157">
        <v>364983.78</v>
      </c>
      <c r="G28" s="17"/>
      <c r="H28" s="155">
        <v>143773</v>
      </c>
      <c r="I28" s="156">
        <v>0.79</v>
      </c>
      <c r="J28" s="158">
        <v>113580.67</v>
      </c>
      <c r="K28" s="17"/>
      <c r="L28" s="155">
        <v>143773</v>
      </c>
      <c r="M28" s="156">
        <v>1.77</v>
      </c>
      <c r="N28" s="157">
        <v>254478.21</v>
      </c>
      <c r="O28" s="17"/>
      <c r="P28" s="47">
        <f t="shared" si="0"/>
        <v>368058.88</v>
      </c>
      <c r="Q28" s="17"/>
    </row>
    <row r="29" spans="2:17" ht="15.75" x14ac:dyDescent="0.25">
      <c r="B29" s="48" t="s">
        <v>133</v>
      </c>
      <c r="C29" s="17"/>
      <c r="D29" s="155">
        <v>128122</v>
      </c>
      <c r="E29" s="156">
        <v>3.22</v>
      </c>
      <c r="F29" s="157">
        <v>412552.84</v>
      </c>
      <c r="G29" s="17"/>
      <c r="H29" s="155">
        <v>158673</v>
      </c>
      <c r="I29" s="156">
        <v>0.79</v>
      </c>
      <c r="J29" s="158">
        <v>125351.67000000001</v>
      </c>
      <c r="K29" s="17"/>
      <c r="L29" s="155">
        <v>158673</v>
      </c>
      <c r="M29" s="156">
        <v>1.77</v>
      </c>
      <c r="N29" s="157">
        <v>280851.21000000002</v>
      </c>
      <c r="O29" s="17"/>
      <c r="P29" s="47">
        <f t="shared" si="0"/>
        <v>406202.88</v>
      </c>
      <c r="Q29" s="17"/>
    </row>
    <row r="30" spans="2:17" ht="15.75" x14ac:dyDescent="0.25">
      <c r="B30" s="48" t="s">
        <v>134</v>
      </c>
      <c r="C30" s="17"/>
      <c r="D30" s="155">
        <v>138620</v>
      </c>
      <c r="E30" s="156">
        <v>3.22</v>
      </c>
      <c r="F30" s="157">
        <v>446356.4</v>
      </c>
      <c r="G30" s="17"/>
      <c r="H30" s="155">
        <v>178027</v>
      </c>
      <c r="I30" s="156">
        <v>0.79</v>
      </c>
      <c r="J30" s="158">
        <v>140641.33000000002</v>
      </c>
      <c r="K30" s="17"/>
      <c r="L30" s="155">
        <v>178027</v>
      </c>
      <c r="M30" s="156">
        <v>1.77</v>
      </c>
      <c r="N30" s="157">
        <v>315107.78999999998</v>
      </c>
      <c r="O30" s="17"/>
      <c r="P30" s="47">
        <f t="shared" si="0"/>
        <v>455749.12</v>
      </c>
      <c r="Q30" s="17"/>
    </row>
    <row r="31" spans="2:17" ht="15.75" x14ac:dyDescent="0.25">
      <c r="B31" s="48" t="s">
        <v>135</v>
      </c>
      <c r="C31" s="17"/>
      <c r="D31" s="155">
        <v>130247</v>
      </c>
      <c r="E31" s="156">
        <v>3.22</v>
      </c>
      <c r="F31" s="157">
        <v>419395.34</v>
      </c>
      <c r="G31" s="17"/>
      <c r="H31" s="155">
        <v>158653</v>
      </c>
      <c r="I31" s="156">
        <v>0.79</v>
      </c>
      <c r="J31" s="158">
        <v>125335.87000000001</v>
      </c>
      <c r="K31" s="17"/>
      <c r="L31" s="155">
        <v>158653</v>
      </c>
      <c r="M31" s="156">
        <v>1.77</v>
      </c>
      <c r="N31" s="157">
        <v>280815.81</v>
      </c>
      <c r="O31" s="17"/>
      <c r="P31" s="47">
        <f t="shared" si="0"/>
        <v>406151.67999999999</v>
      </c>
      <c r="Q31" s="17"/>
    </row>
    <row r="32" spans="2:17" ht="15.75" x14ac:dyDescent="0.25">
      <c r="B32" s="48" t="s">
        <v>136</v>
      </c>
      <c r="C32" s="17"/>
      <c r="D32" s="155">
        <v>136358</v>
      </c>
      <c r="E32" s="156">
        <v>3.22</v>
      </c>
      <c r="F32" s="157">
        <v>439072.76</v>
      </c>
      <c r="G32" s="17"/>
      <c r="H32" s="155">
        <v>165303</v>
      </c>
      <c r="I32" s="156">
        <v>0.79</v>
      </c>
      <c r="J32" s="158">
        <v>130589.37000000001</v>
      </c>
      <c r="K32" s="17"/>
      <c r="L32" s="155">
        <v>165303</v>
      </c>
      <c r="M32" s="156">
        <v>1.77</v>
      </c>
      <c r="N32" s="157">
        <v>292586.31</v>
      </c>
      <c r="O32" s="17"/>
      <c r="P32" s="47">
        <f t="shared" si="0"/>
        <v>423175.67999999999</v>
      </c>
      <c r="Q32" s="17"/>
    </row>
    <row r="33" spans="2:17" ht="15.75" x14ac:dyDescent="0.25">
      <c r="B33" s="48" t="s">
        <v>137</v>
      </c>
      <c r="C33" s="17"/>
      <c r="D33" s="155">
        <v>112271</v>
      </c>
      <c r="E33" s="156">
        <v>3.22</v>
      </c>
      <c r="F33" s="157">
        <v>361512.62</v>
      </c>
      <c r="G33" s="17"/>
      <c r="H33" s="155">
        <v>122696</v>
      </c>
      <c r="I33" s="156">
        <v>0.79</v>
      </c>
      <c r="J33" s="158">
        <v>96929.840000000011</v>
      </c>
      <c r="K33" s="17"/>
      <c r="L33" s="155">
        <v>122696</v>
      </c>
      <c r="M33" s="156">
        <v>1.77</v>
      </c>
      <c r="N33" s="157">
        <v>217171.92</v>
      </c>
      <c r="O33" s="17"/>
      <c r="P33" s="47">
        <f t="shared" si="0"/>
        <v>314101.76000000001</v>
      </c>
      <c r="Q33" s="17"/>
    </row>
    <row r="34" spans="2:17" ht="15.75" x14ac:dyDescent="0.25">
      <c r="B34" s="48" t="s">
        <v>138</v>
      </c>
      <c r="C34" s="17"/>
      <c r="D34" s="155">
        <v>129664</v>
      </c>
      <c r="E34" s="156">
        <v>3.22</v>
      </c>
      <c r="F34" s="157">
        <v>417518.08000000002</v>
      </c>
      <c r="G34" s="17"/>
      <c r="H34" s="155">
        <v>134964</v>
      </c>
      <c r="I34" s="156">
        <v>0.79</v>
      </c>
      <c r="J34" s="158">
        <v>106621.56</v>
      </c>
      <c r="K34" s="17"/>
      <c r="L34" s="155">
        <v>134964</v>
      </c>
      <c r="M34" s="156">
        <v>1.77</v>
      </c>
      <c r="N34" s="157">
        <v>238886.28</v>
      </c>
      <c r="O34" s="17"/>
      <c r="P34" s="47">
        <f t="shared" si="0"/>
        <v>345507.83999999997</v>
      </c>
      <c r="Q34" s="17"/>
    </row>
    <row r="35" spans="2:17" ht="15.75" x14ac:dyDescent="0.25">
      <c r="B35" s="48" t="s">
        <v>139</v>
      </c>
      <c r="C35" s="17"/>
      <c r="D35" s="155">
        <v>132455</v>
      </c>
      <c r="E35" s="156">
        <v>3.22</v>
      </c>
      <c r="F35" s="157">
        <v>426505.10000000003</v>
      </c>
      <c r="G35" s="17"/>
      <c r="H35" s="155">
        <v>149858</v>
      </c>
      <c r="I35" s="156">
        <v>0.79</v>
      </c>
      <c r="J35" s="158">
        <v>118387.82</v>
      </c>
      <c r="K35" s="17"/>
      <c r="L35" s="155">
        <v>149858</v>
      </c>
      <c r="M35" s="156">
        <v>1.77</v>
      </c>
      <c r="N35" s="157">
        <v>265248.65999999997</v>
      </c>
      <c r="O35" s="17"/>
      <c r="P35" s="47">
        <f t="shared" si="0"/>
        <v>383636.47999999998</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140</v>
      </c>
      <c r="C37" s="17"/>
      <c r="D37" s="50">
        <f>SUM(D24:D35)</f>
        <v>1526971</v>
      </c>
      <c r="E37" s="51">
        <f>IF(D37&lt;&gt;0,F37/D37,0)</f>
        <v>3.22</v>
      </c>
      <c r="F37" s="52">
        <f>SUM(F24:F35)</f>
        <v>4916846.62</v>
      </c>
      <c r="G37" s="17"/>
      <c r="H37" s="50">
        <f>SUM(H24:H35)</f>
        <v>1749065</v>
      </c>
      <c r="I37" s="51">
        <f>IF(H37&lt;&gt;0,J37/H37,0)</f>
        <v>0.79000000000000015</v>
      </c>
      <c r="J37" s="52">
        <f>SUM(J24:J35)</f>
        <v>1381761.3500000003</v>
      </c>
      <c r="K37" s="17"/>
      <c r="L37" s="50">
        <f>SUM(L24:L35)</f>
        <v>1749065</v>
      </c>
      <c r="M37" s="51">
        <f>IF(L37&lt;&gt;0,N37/L37,0)</f>
        <v>1.7699999999999998</v>
      </c>
      <c r="N37" s="52">
        <f>SUM(N24:N35)</f>
        <v>3095845.05</v>
      </c>
      <c r="O37" s="17"/>
      <c r="P37" s="52">
        <f>SUM(P24:P35)</f>
        <v>4477606.4000000004</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2" t="s">
        <v>233</v>
      </c>
      <c r="C39" s="141"/>
      <c r="D39" s="177" t="s">
        <v>229</v>
      </c>
      <c r="E39" s="177"/>
      <c r="F39" s="177"/>
      <c r="G39" s="141"/>
      <c r="H39" s="177" t="s">
        <v>232</v>
      </c>
      <c r="I39" s="177"/>
      <c r="J39" s="177"/>
      <c r="K39" s="141"/>
      <c r="L39" s="177" t="s">
        <v>231</v>
      </c>
      <c r="M39" s="177"/>
      <c r="N39" s="177"/>
      <c r="O39" s="141"/>
      <c r="P39" s="142" t="s">
        <v>230</v>
      </c>
      <c r="Q39" s="17"/>
    </row>
    <row r="40" spans="2:17" ht="16.5" x14ac:dyDescent="0.3">
      <c r="B40" s="45"/>
      <c r="C40" s="29"/>
      <c r="D40" s="46"/>
      <c r="E40" s="46"/>
      <c r="F40" s="46"/>
      <c r="G40" s="29"/>
      <c r="H40" s="46"/>
      <c r="I40" s="46"/>
      <c r="J40" s="46"/>
      <c r="K40" s="29"/>
      <c r="L40" s="46"/>
      <c r="M40" s="46"/>
      <c r="N40" s="46"/>
      <c r="O40" s="29"/>
      <c r="P40" s="46"/>
      <c r="Q40" s="17"/>
    </row>
    <row r="41" spans="2:17" ht="33" x14ac:dyDescent="0.3">
      <c r="B41" s="45" t="s">
        <v>125</v>
      </c>
      <c r="C41" s="29"/>
      <c r="D41" s="46" t="s">
        <v>126</v>
      </c>
      <c r="E41" s="46" t="s">
        <v>115</v>
      </c>
      <c r="F41" s="46" t="s">
        <v>127</v>
      </c>
      <c r="G41" s="29"/>
      <c r="H41" s="46" t="s">
        <v>126</v>
      </c>
      <c r="I41" s="46" t="s">
        <v>115</v>
      </c>
      <c r="J41" s="46" t="s">
        <v>127</v>
      </c>
      <c r="K41" s="29"/>
      <c r="L41" s="46" t="s">
        <v>126</v>
      </c>
      <c r="M41" s="46" t="s">
        <v>115</v>
      </c>
      <c r="N41" s="46" t="s">
        <v>127</v>
      </c>
      <c r="O41" s="29"/>
      <c r="P41" s="46" t="s">
        <v>127</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128</v>
      </c>
      <c r="C43" s="17"/>
      <c r="D43" s="155">
        <v>11115</v>
      </c>
      <c r="E43" s="156">
        <v>2.65</v>
      </c>
      <c r="F43" s="157">
        <v>29454.75</v>
      </c>
      <c r="G43" s="17"/>
      <c r="H43" s="155">
        <v>11115</v>
      </c>
      <c r="I43" s="156">
        <v>0.64</v>
      </c>
      <c r="J43" s="157">
        <v>7113.6</v>
      </c>
      <c r="K43" s="17"/>
      <c r="L43" s="155">
        <v>11115</v>
      </c>
      <c r="M43" s="156">
        <v>1.5</v>
      </c>
      <c r="N43" s="157">
        <v>16672.5</v>
      </c>
      <c r="O43" s="17"/>
      <c r="P43" s="47">
        <f t="shared" ref="P43:P54" si="1">J43+N43</f>
        <v>23786.1</v>
      </c>
      <c r="Q43" s="17"/>
    </row>
    <row r="44" spans="2:17" ht="15.75" x14ac:dyDescent="0.25">
      <c r="B44" s="48" t="s">
        <v>129</v>
      </c>
      <c r="C44" s="17"/>
      <c r="D44" s="155">
        <v>11243</v>
      </c>
      <c r="E44" s="156">
        <v>2.65</v>
      </c>
      <c r="F44" s="157">
        <v>29793.95</v>
      </c>
      <c r="G44" s="17"/>
      <c r="H44" s="155">
        <v>11243</v>
      </c>
      <c r="I44" s="156">
        <v>0.64</v>
      </c>
      <c r="J44" s="157">
        <v>7195.52</v>
      </c>
      <c r="K44" s="17"/>
      <c r="L44" s="155">
        <v>11243</v>
      </c>
      <c r="M44" s="156">
        <v>1.5</v>
      </c>
      <c r="N44" s="157">
        <v>16864.5</v>
      </c>
      <c r="O44" s="17"/>
      <c r="P44" s="47">
        <f t="shared" si="1"/>
        <v>24060.02</v>
      </c>
      <c r="Q44" s="17"/>
    </row>
    <row r="45" spans="2:17" ht="15.75" x14ac:dyDescent="0.25">
      <c r="B45" s="48" t="s">
        <v>130</v>
      </c>
      <c r="C45" s="17"/>
      <c r="D45" s="155">
        <v>11161</v>
      </c>
      <c r="E45" s="156">
        <v>2.65</v>
      </c>
      <c r="F45" s="157">
        <v>29576.649999999998</v>
      </c>
      <c r="G45" s="17"/>
      <c r="H45" s="155">
        <v>11161</v>
      </c>
      <c r="I45" s="156">
        <v>0.64</v>
      </c>
      <c r="J45" s="157">
        <v>7143.04</v>
      </c>
      <c r="K45" s="17"/>
      <c r="L45" s="155">
        <v>11161</v>
      </c>
      <c r="M45" s="156">
        <v>1.5</v>
      </c>
      <c r="N45" s="157">
        <v>16741.5</v>
      </c>
      <c r="O45" s="17"/>
      <c r="P45" s="47">
        <f t="shared" si="1"/>
        <v>23884.54</v>
      </c>
      <c r="Q45" s="17"/>
    </row>
    <row r="46" spans="2:17" ht="15.75" x14ac:dyDescent="0.25">
      <c r="B46" s="48" t="s">
        <v>131</v>
      </c>
      <c r="C46" s="17"/>
      <c r="D46" s="155">
        <v>9788</v>
      </c>
      <c r="E46" s="156">
        <v>2.65</v>
      </c>
      <c r="F46" s="157">
        <v>25938.2</v>
      </c>
      <c r="G46" s="17"/>
      <c r="H46" s="155">
        <v>9788</v>
      </c>
      <c r="I46" s="156">
        <v>0.64</v>
      </c>
      <c r="J46" s="157">
        <v>6264.32</v>
      </c>
      <c r="K46" s="17"/>
      <c r="L46" s="155">
        <v>9788</v>
      </c>
      <c r="M46" s="156">
        <v>1.5</v>
      </c>
      <c r="N46" s="157">
        <v>14682</v>
      </c>
      <c r="O46" s="17"/>
      <c r="P46" s="47">
        <f t="shared" si="1"/>
        <v>20946.32</v>
      </c>
      <c r="Q46" s="17"/>
    </row>
    <row r="47" spans="2:17" ht="15.75" x14ac:dyDescent="0.25">
      <c r="B47" s="48" t="s">
        <v>132</v>
      </c>
      <c r="C47" s="17"/>
      <c r="D47" s="155">
        <v>12618</v>
      </c>
      <c r="E47" s="156">
        <v>2.65</v>
      </c>
      <c r="F47" s="157">
        <v>33437.699999999997</v>
      </c>
      <c r="G47" s="17"/>
      <c r="H47" s="155">
        <v>12618</v>
      </c>
      <c r="I47" s="156">
        <v>0.64</v>
      </c>
      <c r="J47" s="157">
        <v>8075.52</v>
      </c>
      <c r="K47" s="17"/>
      <c r="L47" s="155">
        <v>12618</v>
      </c>
      <c r="M47" s="156">
        <v>1.5</v>
      </c>
      <c r="N47" s="157">
        <v>18927</v>
      </c>
      <c r="O47" s="17"/>
      <c r="P47" s="47">
        <f t="shared" si="1"/>
        <v>27002.52</v>
      </c>
      <c r="Q47" s="17"/>
    </row>
    <row r="48" spans="2:17" ht="15.75" x14ac:dyDescent="0.25">
      <c r="B48" s="48" t="s">
        <v>133</v>
      </c>
      <c r="C48" s="17"/>
      <c r="D48" s="155">
        <v>15062</v>
      </c>
      <c r="E48" s="156">
        <v>2.65</v>
      </c>
      <c r="F48" s="157">
        <v>39914.299999999996</v>
      </c>
      <c r="G48" s="17"/>
      <c r="H48" s="155">
        <v>15062</v>
      </c>
      <c r="I48" s="156">
        <v>0.64</v>
      </c>
      <c r="J48" s="157">
        <v>9639.68</v>
      </c>
      <c r="K48" s="17"/>
      <c r="L48" s="155">
        <v>15062</v>
      </c>
      <c r="M48" s="156">
        <v>1.5</v>
      </c>
      <c r="N48" s="157">
        <v>22593</v>
      </c>
      <c r="O48" s="17"/>
      <c r="P48" s="47">
        <f t="shared" si="1"/>
        <v>32232.68</v>
      </c>
      <c r="Q48" s="17"/>
    </row>
    <row r="49" spans="2:17" ht="15.75" x14ac:dyDescent="0.25">
      <c r="B49" s="48" t="s">
        <v>134</v>
      </c>
      <c r="C49" s="17"/>
      <c r="D49" s="155">
        <v>15332</v>
      </c>
      <c r="E49" s="156">
        <v>2.65</v>
      </c>
      <c r="F49" s="157">
        <v>40629.799999999996</v>
      </c>
      <c r="G49" s="17"/>
      <c r="H49" s="155">
        <v>15332</v>
      </c>
      <c r="I49" s="156">
        <v>0.64</v>
      </c>
      <c r="J49" s="157">
        <v>9812.48</v>
      </c>
      <c r="K49" s="17"/>
      <c r="L49" s="155">
        <v>15332</v>
      </c>
      <c r="M49" s="156">
        <v>1.5</v>
      </c>
      <c r="N49" s="157">
        <v>22998</v>
      </c>
      <c r="O49" s="17"/>
      <c r="P49" s="47">
        <f t="shared" si="1"/>
        <v>32810.479999999996</v>
      </c>
      <c r="Q49" s="17"/>
    </row>
    <row r="50" spans="2:17" ht="15.75" x14ac:dyDescent="0.25">
      <c r="B50" s="48" t="s">
        <v>135</v>
      </c>
      <c r="C50" s="17"/>
      <c r="D50" s="155">
        <v>12796</v>
      </c>
      <c r="E50" s="156">
        <v>2.65</v>
      </c>
      <c r="F50" s="157">
        <v>33909.4</v>
      </c>
      <c r="G50" s="17"/>
      <c r="H50" s="155">
        <v>12796</v>
      </c>
      <c r="I50" s="156">
        <v>0.64</v>
      </c>
      <c r="J50" s="157">
        <v>8189.4400000000005</v>
      </c>
      <c r="K50" s="17"/>
      <c r="L50" s="155">
        <v>12796</v>
      </c>
      <c r="M50" s="156">
        <v>1.5</v>
      </c>
      <c r="N50" s="157">
        <v>19194</v>
      </c>
      <c r="O50" s="17"/>
      <c r="P50" s="47">
        <f t="shared" si="1"/>
        <v>27383.440000000002</v>
      </c>
      <c r="Q50" s="17"/>
    </row>
    <row r="51" spans="2:17" ht="15.75" x14ac:dyDescent="0.25">
      <c r="B51" s="48" t="s">
        <v>136</v>
      </c>
      <c r="C51" s="17"/>
      <c r="D51" s="155">
        <v>13457</v>
      </c>
      <c r="E51" s="156">
        <v>2.65</v>
      </c>
      <c r="F51" s="157">
        <v>35661.049999999996</v>
      </c>
      <c r="G51" s="17"/>
      <c r="H51" s="155">
        <v>13457</v>
      </c>
      <c r="I51" s="156">
        <v>0.64</v>
      </c>
      <c r="J51" s="157">
        <v>8612.48</v>
      </c>
      <c r="K51" s="17"/>
      <c r="L51" s="155">
        <v>13457</v>
      </c>
      <c r="M51" s="156">
        <v>1.5</v>
      </c>
      <c r="N51" s="157">
        <v>20185.5</v>
      </c>
      <c r="O51" s="17"/>
      <c r="P51" s="47">
        <f t="shared" si="1"/>
        <v>28797.98</v>
      </c>
      <c r="Q51" s="17"/>
    </row>
    <row r="52" spans="2:17" ht="15.75" x14ac:dyDescent="0.25">
      <c r="B52" s="48" t="s">
        <v>137</v>
      </c>
      <c r="C52" s="17"/>
      <c r="D52" s="155">
        <v>10386</v>
      </c>
      <c r="E52" s="156">
        <v>2.65</v>
      </c>
      <c r="F52" s="157">
        <v>27522.899999999998</v>
      </c>
      <c r="G52" s="17"/>
      <c r="H52" s="155">
        <v>10386</v>
      </c>
      <c r="I52" s="156">
        <v>0.64</v>
      </c>
      <c r="J52" s="157">
        <v>6647.04</v>
      </c>
      <c r="K52" s="17"/>
      <c r="L52" s="155">
        <v>10386</v>
      </c>
      <c r="M52" s="156">
        <v>1.5</v>
      </c>
      <c r="N52" s="157">
        <v>15579</v>
      </c>
      <c r="O52" s="17"/>
      <c r="P52" s="47">
        <f t="shared" si="1"/>
        <v>22226.04</v>
      </c>
      <c r="Q52" s="17"/>
    </row>
    <row r="53" spans="2:17" ht="15.75" x14ac:dyDescent="0.25">
      <c r="B53" s="48" t="s">
        <v>138</v>
      </c>
      <c r="C53" s="17"/>
      <c r="D53" s="155">
        <v>10415</v>
      </c>
      <c r="E53" s="156">
        <v>2.65</v>
      </c>
      <c r="F53" s="157">
        <v>27599.75</v>
      </c>
      <c r="G53" s="17"/>
      <c r="H53" s="155">
        <v>10415</v>
      </c>
      <c r="I53" s="156">
        <v>0.64</v>
      </c>
      <c r="J53" s="157">
        <v>6665.6</v>
      </c>
      <c r="K53" s="17"/>
      <c r="L53" s="155">
        <v>10415</v>
      </c>
      <c r="M53" s="156">
        <v>1.5</v>
      </c>
      <c r="N53" s="157">
        <v>15622.5</v>
      </c>
      <c r="O53" s="17"/>
      <c r="P53" s="47">
        <f t="shared" si="1"/>
        <v>22288.1</v>
      </c>
      <c r="Q53" s="17"/>
    </row>
    <row r="54" spans="2:17" ht="15.75" x14ac:dyDescent="0.25">
      <c r="B54" s="48" t="s">
        <v>139</v>
      </c>
      <c r="C54" s="17"/>
      <c r="D54" s="155">
        <v>12426</v>
      </c>
      <c r="E54" s="156">
        <v>2.65</v>
      </c>
      <c r="F54" s="157">
        <v>32928.9</v>
      </c>
      <c r="G54" s="17"/>
      <c r="H54" s="155">
        <v>12426</v>
      </c>
      <c r="I54" s="156">
        <v>0.64</v>
      </c>
      <c r="J54" s="157">
        <v>7952.64</v>
      </c>
      <c r="K54" s="17"/>
      <c r="L54" s="155">
        <v>12426</v>
      </c>
      <c r="M54" s="156">
        <v>1.5</v>
      </c>
      <c r="N54" s="157">
        <v>18639</v>
      </c>
      <c r="O54" s="17"/>
      <c r="P54" s="47">
        <f t="shared" si="1"/>
        <v>26591.64</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140</v>
      </c>
      <c r="C56" s="17"/>
      <c r="D56" s="50">
        <f>SUM(D43:D54)</f>
        <v>145799</v>
      </c>
      <c r="E56" s="51">
        <f>IF(D56&lt;&gt;0,F56/D56,0)</f>
        <v>2.6500000000000004</v>
      </c>
      <c r="F56" s="52">
        <f>SUM(F43:F54)</f>
        <v>386367.35000000003</v>
      </c>
      <c r="G56" s="17"/>
      <c r="H56" s="50">
        <f>SUM(H43:H54)</f>
        <v>145799</v>
      </c>
      <c r="I56" s="51">
        <f>IF(H56&lt;&gt;0,J56/H56,0)</f>
        <v>0.64</v>
      </c>
      <c r="J56" s="52">
        <f>SUM(J43:J54)</f>
        <v>93311.360000000001</v>
      </c>
      <c r="K56" s="17"/>
      <c r="L56" s="50">
        <f>SUM(L43:L54)</f>
        <v>145799</v>
      </c>
      <c r="M56" s="51">
        <f>IF(L56&lt;&gt;0,N56/L56,0)</f>
        <v>1.5</v>
      </c>
      <c r="N56" s="52">
        <f>SUM(N43:N54)</f>
        <v>218698.5</v>
      </c>
      <c r="O56" s="17"/>
      <c r="P56" s="52">
        <f>SUM(P43:P54)</f>
        <v>312009.86000000004</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42" t="s">
        <v>140</v>
      </c>
      <c r="C58" s="141"/>
      <c r="D58" s="177" t="s">
        <v>229</v>
      </c>
      <c r="E58" s="177"/>
      <c r="F58" s="177"/>
      <c r="G58" s="141"/>
      <c r="H58" s="177" t="s">
        <v>232</v>
      </c>
      <c r="I58" s="177"/>
      <c r="J58" s="177"/>
      <c r="K58" s="141"/>
      <c r="L58" s="177" t="s">
        <v>231</v>
      </c>
      <c r="M58" s="177"/>
      <c r="N58" s="177"/>
      <c r="O58" s="141"/>
      <c r="P58" s="142" t="s">
        <v>230</v>
      </c>
      <c r="Q58" s="17"/>
    </row>
    <row r="59" spans="2:17" ht="15.75" x14ac:dyDescent="0.25">
      <c r="B59" s="17"/>
      <c r="C59" s="17"/>
      <c r="D59" s="178"/>
      <c r="E59" s="178"/>
      <c r="F59" s="178"/>
      <c r="G59" s="44"/>
      <c r="H59" s="178"/>
      <c r="I59" s="178"/>
      <c r="J59" s="178"/>
      <c r="K59" s="44"/>
      <c r="L59" s="178"/>
      <c r="M59" s="178"/>
      <c r="N59" s="178"/>
      <c r="O59" s="44"/>
      <c r="P59" s="43"/>
      <c r="Q59" s="17"/>
    </row>
    <row r="60" spans="2:17" ht="33" x14ac:dyDescent="0.3">
      <c r="B60" s="42" t="s">
        <v>125</v>
      </c>
      <c r="C60" s="17"/>
      <c r="D60" s="46" t="s">
        <v>126</v>
      </c>
      <c r="E60" s="46" t="s">
        <v>115</v>
      </c>
      <c r="F60" s="46" t="s">
        <v>127</v>
      </c>
      <c r="G60" s="29"/>
      <c r="H60" s="46" t="s">
        <v>126</v>
      </c>
      <c r="I60" s="46" t="s">
        <v>115</v>
      </c>
      <c r="J60" s="46" t="s">
        <v>127</v>
      </c>
      <c r="K60" s="29"/>
      <c r="L60" s="46" t="s">
        <v>126</v>
      </c>
      <c r="M60" s="46" t="s">
        <v>115</v>
      </c>
      <c r="N60" s="46" t="s">
        <v>127</v>
      </c>
      <c r="O60" s="29"/>
      <c r="P60" s="46" t="s">
        <v>127</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128</v>
      </c>
      <c r="C62" s="17"/>
      <c r="D62" s="53">
        <f t="shared" ref="D62:D73" si="2">D24+D43</f>
        <v>148787</v>
      </c>
      <c r="E62" s="87">
        <f t="shared" ref="E62:E73" si="3">IF(D62&lt;&gt;0,F62/D62,0)</f>
        <v>3.1774186588882096</v>
      </c>
      <c r="F62" s="47">
        <f t="shared" ref="F62:F73" si="4">F24+F43</f>
        <v>472758.59</v>
      </c>
      <c r="G62" s="17"/>
      <c r="H62" s="53">
        <f t="shared" ref="H62:H73" si="5">H24+H43</f>
        <v>151598</v>
      </c>
      <c r="I62" s="87">
        <f t="shared" ref="I62:I73" si="6">IF(H62&lt;&gt;0,J62/H62,0)</f>
        <v>0.77900216361693431</v>
      </c>
      <c r="J62" s="47">
        <f t="shared" ref="J62:J73" si="7">J24+J43</f>
        <v>118095.17000000001</v>
      </c>
      <c r="K62" s="17"/>
      <c r="L62" s="53">
        <f t="shared" ref="L62:L73" si="8">L24+L43</f>
        <v>151598</v>
      </c>
      <c r="M62" s="87">
        <f t="shared" ref="M62:M73" si="9">IF(L62&lt;&gt;0,N62/L62,0)</f>
        <v>1.7502038945104819</v>
      </c>
      <c r="N62" s="47">
        <f t="shared" ref="N62:N73" si="10">N24+N43</f>
        <v>265327.41000000003</v>
      </c>
      <c r="O62" s="17"/>
      <c r="P62" s="47">
        <f t="shared" ref="P62:P73" si="11">J62+N62</f>
        <v>383422.58000000007</v>
      </c>
      <c r="Q62" s="17"/>
    </row>
    <row r="63" spans="2:17" ht="15.75" x14ac:dyDescent="0.25">
      <c r="B63" s="48" t="s">
        <v>129</v>
      </c>
      <c r="C63" s="17"/>
      <c r="D63" s="53">
        <f t="shared" si="2"/>
        <v>152963</v>
      </c>
      <c r="E63" s="87">
        <f t="shared" si="3"/>
        <v>3.178104182057099</v>
      </c>
      <c r="F63" s="47">
        <f t="shared" si="4"/>
        <v>486132.35000000003</v>
      </c>
      <c r="G63" s="17"/>
      <c r="H63" s="53">
        <f t="shared" si="5"/>
        <v>152963</v>
      </c>
      <c r="I63" s="87">
        <f t="shared" si="6"/>
        <v>0.7789747847518681</v>
      </c>
      <c r="J63" s="47">
        <f t="shared" si="7"/>
        <v>119154.32</v>
      </c>
      <c r="K63" s="17"/>
      <c r="L63" s="53">
        <f t="shared" si="8"/>
        <v>152963</v>
      </c>
      <c r="M63" s="87">
        <f t="shared" si="9"/>
        <v>1.7501546125533627</v>
      </c>
      <c r="N63" s="47">
        <f t="shared" si="10"/>
        <v>267708.90000000002</v>
      </c>
      <c r="O63" s="17"/>
      <c r="P63" s="47">
        <f t="shared" si="11"/>
        <v>386863.22000000003</v>
      </c>
      <c r="Q63" s="17"/>
    </row>
    <row r="64" spans="2:17" ht="15.75" x14ac:dyDescent="0.25">
      <c r="B64" s="48" t="s">
        <v>130</v>
      </c>
      <c r="C64" s="17"/>
      <c r="D64" s="53">
        <f t="shared" si="2"/>
        <v>137099</v>
      </c>
      <c r="E64" s="87">
        <f t="shared" si="3"/>
        <v>3.1735972545386915</v>
      </c>
      <c r="F64" s="47">
        <f t="shared" si="4"/>
        <v>435097.01000000007</v>
      </c>
      <c r="G64" s="17"/>
      <c r="H64" s="53">
        <f t="shared" si="5"/>
        <v>145488</v>
      </c>
      <c r="I64" s="87">
        <f t="shared" si="6"/>
        <v>0.77849286539096008</v>
      </c>
      <c r="J64" s="47">
        <f t="shared" si="7"/>
        <v>113261.37</v>
      </c>
      <c r="K64" s="17"/>
      <c r="L64" s="53">
        <f t="shared" si="8"/>
        <v>145488</v>
      </c>
      <c r="M64" s="87">
        <f t="shared" si="9"/>
        <v>1.7492871577037281</v>
      </c>
      <c r="N64" s="47">
        <f t="shared" si="10"/>
        <v>254500.29</v>
      </c>
      <c r="O64" s="17"/>
      <c r="P64" s="47">
        <f t="shared" si="11"/>
        <v>367761.66000000003</v>
      </c>
      <c r="Q64" s="17"/>
    </row>
    <row r="65" spans="2:17" ht="15.75" x14ac:dyDescent="0.25">
      <c r="B65" s="48" t="s">
        <v>131</v>
      </c>
      <c r="C65" s="17"/>
      <c r="D65" s="53">
        <f t="shared" si="2"/>
        <v>110343</v>
      </c>
      <c r="E65" s="87">
        <f t="shared" si="3"/>
        <v>3.1694380250672904</v>
      </c>
      <c r="F65" s="47">
        <f t="shared" si="4"/>
        <v>349725.30000000005</v>
      </c>
      <c r="G65" s="17"/>
      <c r="H65" s="53">
        <f t="shared" si="5"/>
        <v>130376</v>
      </c>
      <c r="I65" s="87">
        <f t="shared" si="6"/>
        <v>0.77873872491869667</v>
      </c>
      <c r="J65" s="47">
        <f t="shared" si="7"/>
        <v>101528.84</v>
      </c>
      <c r="K65" s="17"/>
      <c r="L65" s="53">
        <f t="shared" si="8"/>
        <v>130376</v>
      </c>
      <c r="M65" s="87">
        <f t="shared" si="9"/>
        <v>1.7497297048536542</v>
      </c>
      <c r="N65" s="47">
        <f t="shared" si="10"/>
        <v>228122.76</v>
      </c>
      <c r="O65" s="17"/>
      <c r="P65" s="47">
        <f t="shared" si="11"/>
        <v>329651.59999999998</v>
      </c>
      <c r="Q65" s="17"/>
    </row>
    <row r="66" spans="2:17" ht="15.75" x14ac:dyDescent="0.25">
      <c r="B66" s="48" t="s">
        <v>132</v>
      </c>
      <c r="C66" s="17"/>
      <c r="D66" s="53">
        <f t="shared" si="2"/>
        <v>125967</v>
      </c>
      <c r="E66" s="87">
        <f t="shared" si="3"/>
        <v>3.1629036176141372</v>
      </c>
      <c r="F66" s="47">
        <f t="shared" si="4"/>
        <v>398421.48000000004</v>
      </c>
      <c r="G66" s="17"/>
      <c r="H66" s="53">
        <f t="shared" si="5"/>
        <v>156391</v>
      </c>
      <c r="I66" s="87">
        <f t="shared" si="6"/>
        <v>0.77789764116860949</v>
      </c>
      <c r="J66" s="47">
        <f t="shared" si="7"/>
        <v>121656.19</v>
      </c>
      <c r="K66" s="17"/>
      <c r="L66" s="53">
        <f t="shared" si="8"/>
        <v>156391</v>
      </c>
      <c r="M66" s="87">
        <f t="shared" si="9"/>
        <v>1.7482157541034968</v>
      </c>
      <c r="N66" s="47">
        <f t="shared" si="10"/>
        <v>273405.20999999996</v>
      </c>
      <c r="O66" s="17"/>
      <c r="P66" s="47">
        <f t="shared" si="11"/>
        <v>395061.39999999997</v>
      </c>
      <c r="Q66" s="17"/>
    </row>
    <row r="67" spans="2:17" ht="15.75" x14ac:dyDescent="0.25">
      <c r="B67" s="48" t="s">
        <v>133</v>
      </c>
      <c r="C67" s="17"/>
      <c r="D67" s="53">
        <f t="shared" si="2"/>
        <v>143184</v>
      </c>
      <c r="E67" s="87">
        <f t="shared" si="3"/>
        <v>3.1600398089171975</v>
      </c>
      <c r="F67" s="47">
        <f t="shared" si="4"/>
        <v>452467.14</v>
      </c>
      <c r="G67" s="17"/>
      <c r="H67" s="53">
        <f t="shared" si="5"/>
        <v>173735</v>
      </c>
      <c r="I67" s="87">
        <f t="shared" si="6"/>
        <v>0.7769957118600167</v>
      </c>
      <c r="J67" s="47">
        <f t="shared" si="7"/>
        <v>134991.35</v>
      </c>
      <c r="K67" s="17"/>
      <c r="L67" s="53">
        <f t="shared" si="8"/>
        <v>173735</v>
      </c>
      <c r="M67" s="87">
        <f t="shared" si="9"/>
        <v>1.7465922813480301</v>
      </c>
      <c r="N67" s="47">
        <f t="shared" si="10"/>
        <v>303444.21000000002</v>
      </c>
      <c r="O67" s="17"/>
      <c r="P67" s="47">
        <f t="shared" si="11"/>
        <v>438435.56000000006</v>
      </c>
      <c r="Q67" s="17"/>
    </row>
    <row r="68" spans="2:17" ht="15.75" x14ac:dyDescent="0.25">
      <c r="B68" s="48" t="s">
        <v>134</v>
      </c>
      <c r="C68" s="17"/>
      <c r="D68" s="53">
        <f t="shared" si="2"/>
        <v>153952</v>
      </c>
      <c r="E68" s="87">
        <f t="shared" si="3"/>
        <v>3.1632339950114323</v>
      </c>
      <c r="F68" s="47">
        <f t="shared" si="4"/>
        <v>486986.2</v>
      </c>
      <c r="G68" s="17"/>
      <c r="H68" s="53">
        <f t="shared" si="5"/>
        <v>193359</v>
      </c>
      <c r="I68" s="87">
        <f t="shared" si="6"/>
        <v>0.77810606178145325</v>
      </c>
      <c r="J68" s="47">
        <f t="shared" si="7"/>
        <v>150453.81000000003</v>
      </c>
      <c r="K68" s="17"/>
      <c r="L68" s="53">
        <f t="shared" si="8"/>
        <v>193359</v>
      </c>
      <c r="M68" s="87">
        <f t="shared" si="9"/>
        <v>1.7485909112066156</v>
      </c>
      <c r="N68" s="47">
        <f t="shared" si="10"/>
        <v>338105.79</v>
      </c>
      <c r="O68" s="17"/>
      <c r="P68" s="47">
        <f t="shared" si="11"/>
        <v>488559.6</v>
      </c>
      <c r="Q68" s="17"/>
    </row>
    <row r="69" spans="2:17" ht="15.75" x14ac:dyDescent="0.25">
      <c r="B69" s="48" t="s">
        <v>135</v>
      </c>
      <c r="C69" s="17"/>
      <c r="D69" s="53">
        <f t="shared" si="2"/>
        <v>143043</v>
      </c>
      <c r="E69" s="87">
        <f t="shared" si="3"/>
        <v>3.1690102976028189</v>
      </c>
      <c r="F69" s="47">
        <f t="shared" si="4"/>
        <v>453304.74000000005</v>
      </c>
      <c r="G69" s="17"/>
      <c r="H69" s="53">
        <f t="shared" si="5"/>
        <v>171449</v>
      </c>
      <c r="I69" s="87">
        <f t="shared" si="6"/>
        <v>0.77880483409060419</v>
      </c>
      <c r="J69" s="47">
        <f t="shared" si="7"/>
        <v>133525.31</v>
      </c>
      <c r="K69" s="17"/>
      <c r="L69" s="53">
        <f t="shared" si="8"/>
        <v>171449</v>
      </c>
      <c r="M69" s="87">
        <f t="shared" si="9"/>
        <v>1.7498487013630875</v>
      </c>
      <c r="N69" s="47">
        <f t="shared" si="10"/>
        <v>300009.81</v>
      </c>
      <c r="O69" s="17"/>
      <c r="P69" s="47">
        <f t="shared" si="11"/>
        <v>433535.12</v>
      </c>
      <c r="Q69" s="17"/>
    </row>
    <row r="70" spans="2:17" ht="15.75" x14ac:dyDescent="0.25">
      <c r="B70" s="48" t="s">
        <v>136</v>
      </c>
      <c r="C70" s="17"/>
      <c r="D70" s="53">
        <f t="shared" si="2"/>
        <v>149815</v>
      </c>
      <c r="E70" s="87">
        <f t="shared" si="3"/>
        <v>3.1688002536461637</v>
      </c>
      <c r="F70" s="47">
        <f t="shared" si="4"/>
        <v>474733.81</v>
      </c>
      <c r="G70" s="17"/>
      <c r="H70" s="53">
        <f t="shared" si="5"/>
        <v>178760</v>
      </c>
      <c r="I70" s="87">
        <f t="shared" si="6"/>
        <v>0.77870804430521368</v>
      </c>
      <c r="J70" s="47">
        <f t="shared" si="7"/>
        <v>139201.85</v>
      </c>
      <c r="K70" s="17"/>
      <c r="L70" s="53">
        <f t="shared" si="8"/>
        <v>178760</v>
      </c>
      <c r="M70" s="87">
        <f t="shared" si="9"/>
        <v>1.7496744797493846</v>
      </c>
      <c r="N70" s="47">
        <f t="shared" si="10"/>
        <v>312771.81</v>
      </c>
      <c r="O70" s="17"/>
      <c r="P70" s="47">
        <f t="shared" si="11"/>
        <v>451973.66000000003</v>
      </c>
      <c r="Q70" s="17"/>
    </row>
    <row r="71" spans="2:17" ht="15.75" x14ac:dyDescent="0.25">
      <c r="B71" s="48" t="s">
        <v>137</v>
      </c>
      <c r="C71" s="17"/>
      <c r="D71" s="53">
        <f t="shared" si="2"/>
        <v>122657</v>
      </c>
      <c r="E71" s="87">
        <f t="shared" si="3"/>
        <v>3.1717351639123739</v>
      </c>
      <c r="F71" s="47">
        <f t="shared" si="4"/>
        <v>389035.52000000002</v>
      </c>
      <c r="G71" s="17"/>
      <c r="H71" s="53">
        <f t="shared" si="5"/>
        <v>133082</v>
      </c>
      <c r="I71" s="87">
        <f t="shared" si="6"/>
        <v>0.77829368359357387</v>
      </c>
      <c r="J71" s="47">
        <f t="shared" si="7"/>
        <v>103576.88</v>
      </c>
      <c r="K71" s="17"/>
      <c r="L71" s="53">
        <f t="shared" si="8"/>
        <v>133082</v>
      </c>
      <c r="M71" s="87">
        <f t="shared" si="9"/>
        <v>1.7489286304684331</v>
      </c>
      <c r="N71" s="47">
        <f t="shared" si="10"/>
        <v>232750.92</v>
      </c>
      <c r="O71" s="17"/>
      <c r="P71" s="47">
        <f t="shared" si="11"/>
        <v>336327.80000000005</v>
      </c>
      <c r="Q71" s="17"/>
    </row>
    <row r="72" spans="2:17" ht="15.75" x14ac:dyDescent="0.25">
      <c r="B72" s="48" t="s">
        <v>138</v>
      </c>
      <c r="C72" s="17"/>
      <c r="D72" s="53">
        <f t="shared" si="2"/>
        <v>140079</v>
      </c>
      <c r="E72" s="87">
        <f t="shared" si="3"/>
        <v>3.1776199858651193</v>
      </c>
      <c r="F72" s="47">
        <f t="shared" si="4"/>
        <v>445117.83</v>
      </c>
      <c r="G72" s="17"/>
      <c r="H72" s="53">
        <f t="shared" si="5"/>
        <v>145379</v>
      </c>
      <c r="I72" s="87">
        <f t="shared" si="6"/>
        <v>0.77925395002029185</v>
      </c>
      <c r="J72" s="47">
        <f t="shared" si="7"/>
        <v>113287.16</v>
      </c>
      <c r="K72" s="17"/>
      <c r="L72" s="53">
        <f t="shared" si="8"/>
        <v>145379</v>
      </c>
      <c r="M72" s="87">
        <f t="shared" si="9"/>
        <v>1.7506571100365251</v>
      </c>
      <c r="N72" s="47">
        <f t="shared" si="10"/>
        <v>254508.78</v>
      </c>
      <c r="O72" s="17"/>
      <c r="P72" s="47">
        <f t="shared" si="11"/>
        <v>367795.94</v>
      </c>
      <c r="Q72" s="17"/>
    </row>
    <row r="73" spans="2:17" ht="15.75" x14ac:dyDescent="0.25">
      <c r="B73" s="48" t="s">
        <v>139</v>
      </c>
      <c r="C73" s="17"/>
      <c r="D73" s="53">
        <f t="shared" si="2"/>
        <v>144881</v>
      </c>
      <c r="E73" s="87">
        <f t="shared" si="3"/>
        <v>3.1711128443343162</v>
      </c>
      <c r="F73" s="47">
        <f t="shared" si="4"/>
        <v>459434.00000000006</v>
      </c>
      <c r="G73" s="17"/>
      <c r="H73" s="53">
        <f t="shared" si="5"/>
        <v>162284</v>
      </c>
      <c r="I73" s="87">
        <f t="shared" si="6"/>
        <v>0.77851457937935964</v>
      </c>
      <c r="J73" s="47">
        <f t="shared" si="7"/>
        <v>126340.46</v>
      </c>
      <c r="K73" s="17"/>
      <c r="L73" s="53">
        <f t="shared" si="8"/>
        <v>162284</v>
      </c>
      <c r="M73" s="87">
        <f t="shared" si="9"/>
        <v>1.7493262428828471</v>
      </c>
      <c r="N73" s="47">
        <f t="shared" si="10"/>
        <v>283887.65999999997</v>
      </c>
      <c r="O73" s="17"/>
      <c r="P73" s="47">
        <f t="shared" si="11"/>
        <v>410228.12</v>
      </c>
      <c r="Q73" s="17"/>
    </row>
    <row r="74" spans="2:17" x14ac:dyDescent="0.2">
      <c r="B74" s="17"/>
      <c r="C74" s="17"/>
      <c r="D74" s="17"/>
      <c r="E74" s="17"/>
      <c r="F74" s="17"/>
      <c r="G74" s="17"/>
      <c r="H74" s="17"/>
      <c r="I74" s="17"/>
      <c r="J74" s="17"/>
      <c r="K74" s="17"/>
      <c r="L74" s="17"/>
      <c r="M74" s="17"/>
      <c r="N74" s="17"/>
      <c r="O74" s="17"/>
      <c r="P74" s="47"/>
      <c r="Q74" s="17"/>
    </row>
    <row r="75" spans="2:17" ht="19.5" thickBot="1" x14ac:dyDescent="0.35">
      <c r="B75" s="49" t="s">
        <v>140</v>
      </c>
      <c r="C75" s="17"/>
      <c r="D75" s="50">
        <f>SUM(D62:D73)</f>
        <v>1672770</v>
      </c>
      <c r="E75" s="51">
        <f>IF(D75&lt;&gt;0,F75/D75,0)</f>
        <v>3.1703186750121062</v>
      </c>
      <c r="F75" s="52">
        <f>SUM(F62:F73)</f>
        <v>5303213.9700000007</v>
      </c>
      <c r="G75" s="17"/>
      <c r="H75" s="50">
        <f>SUM(H62:H73)</f>
        <v>1894864</v>
      </c>
      <c r="I75" s="51">
        <f>IF(H75&lt;&gt;0,J75/H75,0)</f>
        <v>0.77845835373937111</v>
      </c>
      <c r="J75" s="52">
        <f>SUM(J62:J73)</f>
        <v>1475072.7099999997</v>
      </c>
      <c r="K75" s="17"/>
      <c r="L75" s="50">
        <f>SUM(L62:L73)</f>
        <v>1894864</v>
      </c>
      <c r="M75" s="51">
        <f>IF(L75&lt;&gt;0,N75/L75,0)</f>
        <v>1.7492250367308682</v>
      </c>
      <c r="N75" s="52">
        <f>SUM(N62:N73)</f>
        <v>3314543.55</v>
      </c>
      <c r="O75" s="17"/>
      <c r="P75" s="52">
        <f>SUM(P62:P73)</f>
        <v>4789616.2600000007</v>
      </c>
      <c r="Q75" s="17"/>
    </row>
  </sheetData>
  <sheetProtection password="F8BD" sheet="1" objects="1" scenarios="1"/>
  <mergeCells count="12">
    <mergeCell ref="H58:J58"/>
    <mergeCell ref="L58:N58"/>
    <mergeCell ref="H59:J59"/>
    <mergeCell ref="L59:N59"/>
    <mergeCell ref="D21:F21"/>
    <mergeCell ref="H21:J21"/>
    <mergeCell ref="L21:N21"/>
    <mergeCell ref="D59:F59"/>
    <mergeCell ref="D39:F39"/>
    <mergeCell ref="H39:J39"/>
    <mergeCell ref="L39:N39"/>
    <mergeCell ref="D58:F58"/>
  </mergeCells>
  <phoneticPr fontId="21" type="noConversion"/>
  <pageMargins left="0.75" right="0.75" top="1" bottom="0.37" header="0.5" footer="0.17"/>
  <pageSetup scale="53" orientation="portrait" r:id="rId1"/>
  <headerFooter alignWithMargins="0">
    <oddFooter>&amp;C&amp;A</oddFooter>
  </headerFooter>
  <colBreaks count="1" manualBreakCount="1">
    <brk id="24" max="7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3:Q75"/>
  <sheetViews>
    <sheetView showGridLines="0" topLeftCell="B1" zoomScaleNormal="100" workbookViewId="0">
      <pane ySplit="16" topLeftCell="A41" activePane="bottomLeft" state="frozenSplit"/>
      <selection activeCell="I48" sqref="I48"/>
      <selection pane="bottomLeft" activeCell="N25" sqref="N25"/>
    </sheetView>
  </sheetViews>
  <sheetFormatPr defaultRowHeight="12.75" x14ac:dyDescent="0.2"/>
  <cols>
    <col min="1" max="1" width="11.85546875" style="19" hidden="1" customWidth="1"/>
    <col min="2" max="2" width="30.140625" style="19" customWidth="1"/>
    <col min="3" max="3" width="3.85546875" style="19" customWidth="1"/>
    <col min="4" max="4" width="13.85546875" style="19" customWidth="1"/>
    <col min="5" max="5" width="15.140625" style="19" customWidth="1"/>
    <col min="6" max="6" width="13.85546875" style="19" customWidth="1"/>
    <col min="7" max="7" width="2.85546875" style="19" customWidth="1"/>
    <col min="8" max="8" width="13.85546875" style="19" customWidth="1"/>
    <col min="9" max="9" width="10.140625" style="19" bestFit="1" customWidth="1"/>
    <col min="10" max="10" width="13.85546875" style="19" customWidth="1"/>
    <col min="11" max="11" width="3.140625" style="19" customWidth="1"/>
    <col min="12" max="12" width="13.85546875" style="19" customWidth="1"/>
    <col min="13" max="13" width="9.42578125" style="19" bestFit="1" customWidth="1"/>
    <col min="14" max="14" width="13.85546875" style="19" customWidth="1"/>
    <col min="15" max="15" width="3.7109375" style="19" customWidth="1"/>
    <col min="16" max="16" width="13.85546875" style="19" customWidth="1"/>
    <col min="17" max="16384" width="9.140625" style="19"/>
  </cols>
  <sheetData>
    <row r="13" spans="2:12" ht="34.5" customHeight="1" x14ac:dyDescent="0.2">
      <c r="B13" s="179" t="s">
        <v>234</v>
      </c>
      <c r="C13" s="179"/>
      <c r="D13" s="179"/>
      <c r="E13" s="179"/>
      <c r="F13" s="179"/>
      <c r="G13" s="179"/>
      <c r="H13" s="179"/>
      <c r="I13" s="179"/>
      <c r="J13" s="179"/>
      <c r="K13" s="179"/>
      <c r="L13" s="179"/>
    </row>
    <row r="19" spans="2:17" ht="15.75" x14ac:dyDescent="0.25">
      <c r="B19" s="17"/>
      <c r="C19" s="17"/>
      <c r="D19" s="18"/>
      <c r="E19" s="21"/>
      <c r="F19" s="17"/>
      <c r="G19" s="21"/>
      <c r="H19" s="17"/>
    </row>
    <row r="20" spans="2:17" ht="15.75" x14ac:dyDescent="0.2">
      <c r="B20" s="142" t="s">
        <v>228</v>
      </c>
      <c r="C20" s="141"/>
      <c r="D20" s="177" t="s">
        <v>229</v>
      </c>
      <c r="E20" s="177"/>
      <c r="F20" s="177"/>
      <c r="G20" s="141"/>
      <c r="H20" s="177" t="s">
        <v>232</v>
      </c>
      <c r="I20" s="177"/>
      <c r="J20" s="177"/>
      <c r="K20" s="141"/>
      <c r="L20" s="177" t="s">
        <v>231</v>
      </c>
      <c r="M20" s="177"/>
      <c r="N20" s="177"/>
      <c r="O20" s="141"/>
      <c r="P20" s="142" t="s">
        <v>230</v>
      </c>
      <c r="Q20" s="17"/>
    </row>
    <row r="21" spans="2:17" ht="15.75" x14ac:dyDescent="0.25">
      <c r="B21" s="17"/>
      <c r="C21" s="17"/>
      <c r="D21" s="178"/>
      <c r="E21" s="178"/>
      <c r="F21" s="178"/>
      <c r="G21" s="44"/>
      <c r="H21" s="178"/>
      <c r="I21" s="178"/>
      <c r="J21" s="178"/>
      <c r="K21" s="44"/>
      <c r="L21" s="178"/>
      <c r="M21" s="178"/>
      <c r="N21" s="178"/>
      <c r="O21" s="17"/>
      <c r="P21" s="43"/>
      <c r="Q21" s="41"/>
    </row>
    <row r="22" spans="2:17" ht="16.5" x14ac:dyDescent="0.3">
      <c r="B22" s="45" t="s">
        <v>125</v>
      </c>
      <c r="C22" s="29"/>
      <c r="D22" s="46" t="s">
        <v>126</v>
      </c>
      <c r="E22" s="46" t="s">
        <v>115</v>
      </c>
      <c r="F22" s="46" t="s">
        <v>127</v>
      </c>
      <c r="G22" s="29"/>
      <c r="H22" s="46" t="s">
        <v>126</v>
      </c>
      <c r="I22" s="46" t="s">
        <v>115</v>
      </c>
      <c r="J22" s="46" t="s">
        <v>127</v>
      </c>
      <c r="K22" s="29"/>
      <c r="L22" s="46" t="s">
        <v>126</v>
      </c>
      <c r="M22" s="46" t="s">
        <v>115</v>
      </c>
      <c r="N22" s="46" t="s">
        <v>127</v>
      </c>
      <c r="O22" s="29"/>
      <c r="P22" s="46" t="s">
        <v>127</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128</v>
      </c>
      <c r="C24" s="17"/>
      <c r="D24" s="88">
        <f>'6. Historical Wholesale'!D24</f>
        <v>137672</v>
      </c>
      <c r="E24" s="89">
        <f>'5. UTRs and Sub-Transmission'!G22</f>
        <v>3.57</v>
      </c>
      <c r="F24" s="90">
        <f>D24*E24</f>
        <v>491489.04</v>
      </c>
      <c r="G24" s="17"/>
      <c r="H24" s="88">
        <f>'6. Historical Wholesale'!H24</f>
        <v>140483</v>
      </c>
      <c r="I24" s="89">
        <f>'5. UTRs and Sub-Transmission'!G24</f>
        <v>0.8</v>
      </c>
      <c r="J24" s="90">
        <f>H24*I24</f>
        <v>112386.40000000001</v>
      </c>
      <c r="K24" s="17"/>
      <c r="L24" s="88">
        <f>'6. Historical Wholesale'!L24</f>
        <v>140483</v>
      </c>
      <c r="M24" s="89">
        <f>'5. UTRs and Sub-Transmission'!G26</f>
        <v>1.86</v>
      </c>
      <c r="N24" s="90">
        <f>L24*M24</f>
        <v>261298.38</v>
      </c>
      <c r="O24" s="17"/>
      <c r="P24" s="47">
        <f t="shared" ref="P24:P35" si="0">J24+N24</f>
        <v>373684.78</v>
      </c>
      <c r="Q24" s="17"/>
    </row>
    <row r="25" spans="2:17" ht="15.75" x14ac:dyDescent="0.25">
      <c r="B25" s="48" t="s">
        <v>129</v>
      </c>
      <c r="C25" s="17"/>
      <c r="D25" s="88">
        <f>'6. Historical Wholesale'!D25</f>
        <v>141720</v>
      </c>
      <c r="E25" s="89">
        <f>E24</f>
        <v>3.57</v>
      </c>
      <c r="F25" s="90">
        <f t="shared" ref="F25:F35" si="1">D25*E25</f>
        <v>505940.39999999997</v>
      </c>
      <c r="G25" s="17"/>
      <c r="H25" s="88">
        <f>'6. Historical Wholesale'!H25</f>
        <v>141720</v>
      </c>
      <c r="I25" s="89">
        <f>I24</f>
        <v>0.8</v>
      </c>
      <c r="J25" s="90">
        <f t="shared" ref="J25:J35" si="2">H25*I25</f>
        <v>113376</v>
      </c>
      <c r="K25" s="17"/>
      <c r="L25" s="88">
        <f>'6. Historical Wholesale'!L25</f>
        <v>141720</v>
      </c>
      <c r="M25" s="89">
        <f>M24</f>
        <v>1.86</v>
      </c>
      <c r="N25" s="90">
        <f t="shared" ref="N25:N35" si="3">L25*M25</f>
        <v>263599.2</v>
      </c>
      <c r="O25" s="17"/>
      <c r="P25" s="47">
        <f t="shared" si="0"/>
        <v>376975.2</v>
      </c>
      <c r="Q25" s="17"/>
    </row>
    <row r="26" spans="2:17" ht="15.75" x14ac:dyDescent="0.25">
      <c r="B26" s="48" t="s">
        <v>130</v>
      </c>
      <c r="C26" s="17"/>
      <c r="D26" s="88">
        <f>'6. Historical Wholesale'!D26</f>
        <v>125938</v>
      </c>
      <c r="E26" s="89">
        <f t="shared" ref="E26:E35" si="4">E25</f>
        <v>3.57</v>
      </c>
      <c r="F26" s="90">
        <f t="shared" si="1"/>
        <v>449598.66</v>
      </c>
      <c r="G26" s="17"/>
      <c r="H26" s="88">
        <f>'6. Historical Wholesale'!H26</f>
        <v>134327</v>
      </c>
      <c r="I26" s="89">
        <f t="shared" ref="I26:I35" si="5">I25</f>
        <v>0.8</v>
      </c>
      <c r="J26" s="90">
        <f t="shared" si="2"/>
        <v>107461.6</v>
      </c>
      <c r="K26" s="17"/>
      <c r="L26" s="88">
        <f>'6. Historical Wholesale'!L26</f>
        <v>134327</v>
      </c>
      <c r="M26" s="89">
        <f t="shared" ref="M26:M35" si="6">M25</f>
        <v>1.86</v>
      </c>
      <c r="N26" s="90">
        <f t="shared" si="3"/>
        <v>249848.22</v>
      </c>
      <c r="O26" s="17"/>
      <c r="P26" s="47">
        <f t="shared" si="0"/>
        <v>357309.82</v>
      </c>
      <c r="Q26" s="17"/>
    </row>
    <row r="27" spans="2:17" ht="15.75" x14ac:dyDescent="0.25">
      <c r="B27" s="48" t="s">
        <v>131</v>
      </c>
      <c r="C27" s="17"/>
      <c r="D27" s="88">
        <f>'6. Historical Wholesale'!D27</f>
        <v>100555</v>
      </c>
      <c r="E27" s="89">
        <f t="shared" si="4"/>
        <v>3.57</v>
      </c>
      <c r="F27" s="90">
        <f t="shared" si="1"/>
        <v>358981.35</v>
      </c>
      <c r="G27" s="17"/>
      <c r="H27" s="88">
        <f>'6. Historical Wholesale'!H27</f>
        <v>120588</v>
      </c>
      <c r="I27" s="89">
        <f t="shared" si="5"/>
        <v>0.8</v>
      </c>
      <c r="J27" s="90">
        <f t="shared" si="2"/>
        <v>96470.400000000009</v>
      </c>
      <c r="K27" s="17"/>
      <c r="L27" s="88">
        <f>'6. Historical Wholesale'!L27</f>
        <v>120588</v>
      </c>
      <c r="M27" s="89">
        <f t="shared" si="6"/>
        <v>1.86</v>
      </c>
      <c r="N27" s="90">
        <f t="shared" si="3"/>
        <v>224293.68000000002</v>
      </c>
      <c r="O27" s="17"/>
      <c r="P27" s="47">
        <f t="shared" si="0"/>
        <v>320764.08</v>
      </c>
      <c r="Q27" s="17"/>
    </row>
    <row r="28" spans="2:17" ht="15.75" x14ac:dyDescent="0.25">
      <c r="B28" s="48" t="s">
        <v>132</v>
      </c>
      <c r="C28" s="17"/>
      <c r="D28" s="88">
        <f>'6. Historical Wholesale'!D28</f>
        <v>113349</v>
      </c>
      <c r="E28" s="89">
        <f t="shared" si="4"/>
        <v>3.57</v>
      </c>
      <c r="F28" s="90">
        <f t="shared" si="1"/>
        <v>404655.93</v>
      </c>
      <c r="G28" s="17"/>
      <c r="H28" s="88">
        <f>'6. Historical Wholesale'!H28</f>
        <v>143773</v>
      </c>
      <c r="I28" s="89">
        <f t="shared" si="5"/>
        <v>0.8</v>
      </c>
      <c r="J28" s="90">
        <f t="shared" si="2"/>
        <v>115018.40000000001</v>
      </c>
      <c r="K28" s="17"/>
      <c r="L28" s="88">
        <f>'6. Historical Wholesale'!L28</f>
        <v>143773</v>
      </c>
      <c r="M28" s="89">
        <f t="shared" si="6"/>
        <v>1.86</v>
      </c>
      <c r="N28" s="90">
        <f t="shared" si="3"/>
        <v>267417.78000000003</v>
      </c>
      <c r="O28" s="17"/>
      <c r="P28" s="47">
        <f t="shared" si="0"/>
        <v>382436.18000000005</v>
      </c>
      <c r="Q28" s="17"/>
    </row>
    <row r="29" spans="2:17" ht="15.75" x14ac:dyDescent="0.25">
      <c r="B29" s="48" t="s">
        <v>133</v>
      </c>
      <c r="C29" s="17"/>
      <c r="D29" s="88">
        <f>'6. Historical Wholesale'!D29</f>
        <v>128122</v>
      </c>
      <c r="E29" s="89">
        <f t="shared" si="4"/>
        <v>3.57</v>
      </c>
      <c r="F29" s="90">
        <f t="shared" si="1"/>
        <v>457395.54</v>
      </c>
      <c r="G29" s="17"/>
      <c r="H29" s="88">
        <f>'6. Historical Wholesale'!H29</f>
        <v>158673</v>
      </c>
      <c r="I29" s="89">
        <f t="shared" si="5"/>
        <v>0.8</v>
      </c>
      <c r="J29" s="90">
        <f t="shared" si="2"/>
        <v>126938.40000000001</v>
      </c>
      <c r="K29" s="17"/>
      <c r="L29" s="88">
        <f>'6. Historical Wholesale'!L29</f>
        <v>158673</v>
      </c>
      <c r="M29" s="89">
        <f t="shared" si="6"/>
        <v>1.86</v>
      </c>
      <c r="N29" s="90">
        <f t="shared" si="3"/>
        <v>295131.78000000003</v>
      </c>
      <c r="O29" s="17"/>
      <c r="P29" s="47">
        <f t="shared" si="0"/>
        <v>422070.18000000005</v>
      </c>
      <c r="Q29" s="17"/>
    </row>
    <row r="30" spans="2:17" ht="15.75" x14ac:dyDescent="0.25">
      <c r="B30" s="48" t="s">
        <v>134</v>
      </c>
      <c r="C30" s="17"/>
      <c r="D30" s="88">
        <f>'6. Historical Wholesale'!D30</f>
        <v>138620</v>
      </c>
      <c r="E30" s="89">
        <f t="shared" si="4"/>
        <v>3.57</v>
      </c>
      <c r="F30" s="90">
        <f t="shared" si="1"/>
        <v>494873.39999999997</v>
      </c>
      <c r="G30" s="17"/>
      <c r="H30" s="88">
        <f>'6. Historical Wholesale'!H30</f>
        <v>178027</v>
      </c>
      <c r="I30" s="89">
        <f t="shared" si="5"/>
        <v>0.8</v>
      </c>
      <c r="J30" s="90">
        <f t="shared" si="2"/>
        <v>142421.6</v>
      </c>
      <c r="K30" s="17"/>
      <c r="L30" s="88">
        <f>'6. Historical Wholesale'!L30</f>
        <v>178027</v>
      </c>
      <c r="M30" s="89">
        <f t="shared" si="6"/>
        <v>1.86</v>
      </c>
      <c r="N30" s="90">
        <f t="shared" si="3"/>
        <v>331130.22000000003</v>
      </c>
      <c r="O30" s="17"/>
      <c r="P30" s="47">
        <f t="shared" si="0"/>
        <v>473551.82000000007</v>
      </c>
      <c r="Q30" s="17"/>
    </row>
    <row r="31" spans="2:17" ht="15.75" x14ac:dyDescent="0.25">
      <c r="B31" s="48" t="s">
        <v>135</v>
      </c>
      <c r="C31" s="17"/>
      <c r="D31" s="88">
        <f>'6. Historical Wholesale'!D31</f>
        <v>130247</v>
      </c>
      <c r="E31" s="89">
        <f t="shared" si="4"/>
        <v>3.57</v>
      </c>
      <c r="F31" s="90">
        <f t="shared" si="1"/>
        <v>464981.79</v>
      </c>
      <c r="G31" s="17"/>
      <c r="H31" s="88">
        <f>'6. Historical Wholesale'!H31</f>
        <v>158653</v>
      </c>
      <c r="I31" s="89">
        <f t="shared" si="5"/>
        <v>0.8</v>
      </c>
      <c r="J31" s="90">
        <f t="shared" si="2"/>
        <v>126922.40000000001</v>
      </c>
      <c r="K31" s="17"/>
      <c r="L31" s="88">
        <f>'6. Historical Wholesale'!L31</f>
        <v>158653</v>
      </c>
      <c r="M31" s="89">
        <f t="shared" si="6"/>
        <v>1.86</v>
      </c>
      <c r="N31" s="90">
        <f t="shared" si="3"/>
        <v>295094.58</v>
      </c>
      <c r="O31" s="17"/>
      <c r="P31" s="47">
        <f t="shared" si="0"/>
        <v>422016.98000000004</v>
      </c>
      <c r="Q31" s="17"/>
    </row>
    <row r="32" spans="2:17" ht="15.75" x14ac:dyDescent="0.25">
      <c r="B32" s="48" t="s">
        <v>136</v>
      </c>
      <c r="C32" s="17"/>
      <c r="D32" s="88">
        <f>'6. Historical Wholesale'!D32</f>
        <v>136358</v>
      </c>
      <c r="E32" s="89">
        <f t="shared" si="4"/>
        <v>3.57</v>
      </c>
      <c r="F32" s="90">
        <f t="shared" si="1"/>
        <v>486798.06</v>
      </c>
      <c r="G32" s="17"/>
      <c r="H32" s="88">
        <f>'6. Historical Wholesale'!H32</f>
        <v>165303</v>
      </c>
      <c r="I32" s="89">
        <f t="shared" si="5"/>
        <v>0.8</v>
      </c>
      <c r="J32" s="90">
        <f t="shared" si="2"/>
        <v>132242.4</v>
      </c>
      <c r="K32" s="17"/>
      <c r="L32" s="88">
        <f>'6. Historical Wholesale'!L32</f>
        <v>165303</v>
      </c>
      <c r="M32" s="89">
        <f t="shared" si="6"/>
        <v>1.86</v>
      </c>
      <c r="N32" s="90">
        <f t="shared" si="3"/>
        <v>307463.58</v>
      </c>
      <c r="O32" s="17"/>
      <c r="P32" s="47">
        <f t="shared" si="0"/>
        <v>439705.98</v>
      </c>
      <c r="Q32" s="17"/>
    </row>
    <row r="33" spans="2:17" ht="15.75" x14ac:dyDescent="0.25">
      <c r="B33" s="48" t="s">
        <v>137</v>
      </c>
      <c r="C33" s="17"/>
      <c r="D33" s="88">
        <f>'6. Historical Wholesale'!D33</f>
        <v>112271</v>
      </c>
      <c r="E33" s="89">
        <f t="shared" si="4"/>
        <v>3.57</v>
      </c>
      <c r="F33" s="90">
        <f t="shared" si="1"/>
        <v>400807.47</v>
      </c>
      <c r="G33" s="17"/>
      <c r="H33" s="88">
        <f>'6. Historical Wholesale'!H33</f>
        <v>122696</v>
      </c>
      <c r="I33" s="89">
        <f t="shared" si="5"/>
        <v>0.8</v>
      </c>
      <c r="J33" s="90">
        <f t="shared" si="2"/>
        <v>98156.800000000003</v>
      </c>
      <c r="K33" s="17"/>
      <c r="L33" s="88">
        <f>'6. Historical Wholesale'!L33</f>
        <v>122696</v>
      </c>
      <c r="M33" s="89">
        <f t="shared" si="6"/>
        <v>1.86</v>
      </c>
      <c r="N33" s="90">
        <f t="shared" si="3"/>
        <v>228214.56</v>
      </c>
      <c r="O33" s="17"/>
      <c r="P33" s="47">
        <f t="shared" si="0"/>
        <v>326371.36</v>
      </c>
      <c r="Q33" s="17"/>
    </row>
    <row r="34" spans="2:17" ht="15.75" x14ac:dyDescent="0.25">
      <c r="B34" s="48" t="s">
        <v>138</v>
      </c>
      <c r="C34" s="17"/>
      <c r="D34" s="88">
        <f>'6. Historical Wholesale'!D34</f>
        <v>129664</v>
      </c>
      <c r="E34" s="89">
        <f t="shared" si="4"/>
        <v>3.57</v>
      </c>
      <c r="F34" s="90">
        <f t="shared" si="1"/>
        <v>462900.47999999998</v>
      </c>
      <c r="G34" s="17"/>
      <c r="H34" s="88">
        <f>'6. Historical Wholesale'!H34</f>
        <v>134964</v>
      </c>
      <c r="I34" s="89">
        <f t="shared" si="5"/>
        <v>0.8</v>
      </c>
      <c r="J34" s="90">
        <f t="shared" si="2"/>
        <v>107971.20000000001</v>
      </c>
      <c r="K34" s="17"/>
      <c r="L34" s="88">
        <f>'6. Historical Wholesale'!L34</f>
        <v>134964</v>
      </c>
      <c r="M34" s="89">
        <f t="shared" si="6"/>
        <v>1.86</v>
      </c>
      <c r="N34" s="90">
        <f t="shared" si="3"/>
        <v>251033.04</v>
      </c>
      <c r="O34" s="17"/>
      <c r="P34" s="47">
        <f t="shared" si="0"/>
        <v>359004.24</v>
      </c>
      <c r="Q34" s="17"/>
    </row>
    <row r="35" spans="2:17" ht="15.75" x14ac:dyDescent="0.25">
      <c r="B35" s="48" t="s">
        <v>139</v>
      </c>
      <c r="C35" s="17"/>
      <c r="D35" s="88">
        <f>'6. Historical Wholesale'!D35</f>
        <v>132455</v>
      </c>
      <c r="E35" s="89">
        <f t="shared" si="4"/>
        <v>3.57</v>
      </c>
      <c r="F35" s="90">
        <f t="shared" si="1"/>
        <v>472864.35</v>
      </c>
      <c r="G35" s="17"/>
      <c r="H35" s="88">
        <f>'6. Historical Wholesale'!H35</f>
        <v>149858</v>
      </c>
      <c r="I35" s="89">
        <f t="shared" si="5"/>
        <v>0.8</v>
      </c>
      <c r="J35" s="90">
        <f t="shared" si="2"/>
        <v>119886.40000000001</v>
      </c>
      <c r="K35" s="17"/>
      <c r="L35" s="88">
        <f>'6. Historical Wholesale'!L35</f>
        <v>149858</v>
      </c>
      <c r="M35" s="89">
        <f t="shared" si="6"/>
        <v>1.86</v>
      </c>
      <c r="N35" s="90">
        <f t="shared" si="3"/>
        <v>278735.88</v>
      </c>
      <c r="O35" s="17"/>
      <c r="P35" s="47">
        <f t="shared" si="0"/>
        <v>398622.28</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140</v>
      </c>
      <c r="C37" s="17"/>
      <c r="D37" s="50">
        <f>SUM(D24:D35)</f>
        <v>1526971</v>
      </c>
      <c r="E37" s="51">
        <f>IF(D37&lt;&gt;0,F37/D37,0)</f>
        <v>3.5699999999999994</v>
      </c>
      <c r="F37" s="52">
        <f>SUM(F24:F35)</f>
        <v>5451286.4699999988</v>
      </c>
      <c r="G37" s="17"/>
      <c r="H37" s="50">
        <f>SUM(H24:H35)</f>
        <v>1749065</v>
      </c>
      <c r="I37" s="51">
        <f>IF(H37&lt;&gt;0,J37/H37,0)</f>
        <v>0.8</v>
      </c>
      <c r="J37" s="52">
        <f>SUM(J24:J35)</f>
        <v>1399252</v>
      </c>
      <c r="K37" s="17"/>
      <c r="L37" s="50">
        <f>SUM(L24:L35)</f>
        <v>1749065</v>
      </c>
      <c r="M37" s="51">
        <f>IF(L37&lt;&gt;0,N37/L37,0)</f>
        <v>1.8600000000000003</v>
      </c>
      <c r="N37" s="52">
        <f>SUM(N24:N35)</f>
        <v>3253260.9000000004</v>
      </c>
      <c r="O37" s="17"/>
      <c r="P37" s="52">
        <f>SUM(P24:P35)</f>
        <v>4652512.9000000004</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2" t="s">
        <v>233</v>
      </c>
      <c r="C39" s="141"/>
      <c r="D39" s="177" t="s">
        <v>229</v>
      </c>
      <c r="E39" s="177"/>
      <c r="F39" s="177"/>
      <c r="G39" s="141"/>
      <c r="H39" s="177" t="s">
        <v>232</v>
      </c>
      <c r="I39" s="177"/>
      <c r="J39" s="177"/>
      <c r="K39" s="141"/>
      <c r="L39" s="177" t="s">
        <v>231</v>
      </c>
      <c r="M39" s="177"/>
      <c r="N39" s="177"/>
      <c r="O39" s="141"/>
      <c r="P39" s="142" t="s">
        <v>230</v>
      </c>
      <c r="Q39" s="17"/>
    </row>
    <row r="40" spans="2:17" ht="16.5" x14ac:dyDescent="0.3">
      <c r="B40" s="45"/>
      <c r="C40" s="29"/>
      <c r="D40" s="46"/>
      <c r="E40" s="46"/>
      <c r="F40" s="46"/>
      <c r="G40" s="29"/>
      <c r="H40" s="46"/>
      <c r="I40" s="46"/>
      <c r="J40" s="46"/>
      <c r="K40" s="29"/>
      <c r="L40" s="46"/>
      <c r="M40" s="46"/>
      <c r="N40" s="46"/>
      <c r="O40" s="29"/>
      <c r="P40" s="46"/>
      <c r="Q40" s="17"/>
    </row>
    <row r="41" spans="2:17" ht="16.5" x14ac:dyDescent="0.3">
      <c r="B41" s="45" t="s">
        <v>125</v>
      </c>
      <c r="C41" s="29"/>
      <c r="D41" s="46" t="s">
        <v>126</v>
      </c>
      <c r="E41" s="46" t="s">
        <v>115</v>
      </c>
      <c r="F41" s="46" t="s">
        <v>127</v>
      </c>
      <c r="G41" s="29"/>
      <c r="H41" s="46" t="s">
        <v>126</v>
      </c>
      <c r="I41" s="46" t="s">
        <v>115</v>
      </c>
      <c r="J41" s="46" t="s">
        <v>127</v>
      </c>
      <c r="K41" s="29"/>
      <c r="L41" s="46" t="s">
        <v>126</v>
      </c>
      <c r="M41" s="46" t="s">
        <v>115</v>
      </c>
      <c r="N41" s="46" t="s">
        <v>127</v>
      </c>
      <c r="O41" s="29"/>
      <c r="P41" s="46" t="s">
        <v>127</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128</v>
      </c>
      <c r="C43" s="17"/>
      <c r="D43" s="88">
        <f>'6. Historical Wholesale'!D43</f>
        <v>11115</v>
      </c>
      <c r="E43" s="89">
        <f>'5. UTRs and Sub-Transmission'!G35+'5. UTRs and Sub-Transmission'!G49</f>
        <v>2.65</v>
      </c>
      <c r="F43" s="90">
        <f>D43*E43</f>
        <v>29454.75</v>
      </c>
      <c r="G43" s="17"/>
      <c r="H43" s="88">
        <f>'6. Historical Wholesale'!H43</f>
        <v>11115</v>
      </c>
      <c r="I43" s="89">
        <f>'5. UTRs and Sub-Transmission'!G37+'5. UTRs and Sub-Transmission'!G51</f>
        <v>0.64</v>
      </c>
      <c r="J43" s="90">
        <f>H43*I43</f>
        <v>7113.6</v>
      </c>
      <c r="K43" s="17"/>
      <c r="L43" s="88">
        <f>'6. Historical Wholesale'!L43</f>
        <v>11115</v>
      </c>
      <c r="M43" s="89">
        <f>'5. UTRs and Sub-Transmission'!G39</f>
        <v>1.5</v>
      </c>
      <c r="N43" s="90">
        <f>L43*M43</f>
        <v>16672.5</v>
      </c>
      <c r="O43" s="17"/>
      <c r="P43" s="47">
        <f t="shared" ref="P43:P54" si="7">J43+N43</f>
        <v>23786.1</v>
      </c>
      <c r="Q43" s="17"/>
    </row>
    <row r="44" spans="2:17" ht="15.75" x14ac:dyDescent="0.25">
      <c r="B44" s="48" t="s">
        <v>129</v>
      </c>
      <c r="C44" s="17"/>
      <c r="D44" s="88">
        <f>'6. Historical Wholesale'!D44</f>
        <v>11243</v>
      </c>
      <c r="E44" s="89">
        <f>E43</f>
        <v>2.65</v>
      </c>
      <c r="F44" s="90">
        <f t="shared" ref="F44:F54" si="8">D44*E44</f>
        <v>29793.95</v>
      </c>
      <c r="G44" s="17"/>
      <c r="H44" s="88">
        <f>'6. Historical Wholesale'!H44</f>
        <v>11243</v>
      </c>
      <c r="I44" s="89">
        <f>I43</f>
        <v>0.64</v>
      </c>
      <c r="J44" s="90">
        <f t="shared" ref="J44:J54" si="9">H44*I44</f>
        <v>7195.52</v>
      </c>
      <c r="K44" s="17"/>
      <c r="L44" s="88">
        <f>'6. Historical Wholesale'!L44</f>
        <v>11243</v>
      </c>
      <c r="M44" s="89">
        <f>M43</f>
        <v>1.5</v>
      </c>
      <c r="N44" s="90">
        <f t="shared" ref="N44:N54" si="10">L44*M44</f>
        <v>16864.5</v>
      </c>
      <c r="O44" s="17"/>
      <c r="P44" s="47">
        <f t="shared" si="7"/>
        <v>24060.02</v>
      </c>
      <c r="Q44" s="17"/>
    </row>
    <row r="45" spans="2:17" ht="15.75" x14ac:dyDescent="0.25">
      <c r="B45" s="48" t="s">
        <v>130</v>
      </c>
      <c r="C45" s="17"/>
      <c r="D45" s="88">
        <f>'6. Historical Wholesale'!D45</f>
        <v>11161</v>
      </c>
      <c r="E45" s="89">
        <f t="shared" ref="E45:E54" si="11">E44</f>
        <v>2.65</v>
      </c>
      <c r="F45" s="90">
        <f t="shared" si="8"/>
        <v>29576.649999999998</v>
      </c>
      <c r="G45" s="17"/>
      <c r="H45" s="88">
        <f>'6. Historical Wholesale'!H45</f>
        <v>11161</v>
      </c>
      <c r="I45" s="89">
        <f t="shared" ref="I45:I54" si="12">I44</f>
        <v>0.64</v>
      </c>
      <c r="J45" s="90">
        <f t="shared" si="9"/>
        <v>7143.04</v>
      </c>
      <c r="K45" s="17"/>
      <c r="L45" s="88">
        <f>'6. Historical Wholesale'!L45</f>
        <v>11161</v>
      </c>
      <c r="M45" s="89">
        <f>M44</f>
        <v>1.5</v>
      </c>
      <c r="N45" s="90">
        <f t="shared" si="10"/>
        <v>16741.5</v>
      </c>
      <c r="O45" s="17"/>
      <c r="P45" s="47">
        <f t="shared" si="7"/>
        <v>23884.54</v>
      </c>
      <c r="Q45" s="17"/>
    </row>
    <row r="46" spans="2:17" ht="15.75" x14ac:dyDescent="0.25">
      <c r="B46" s="48" t="s">
        <v>131</v>
      </c>
      <c r="C46" s="17"/>
      <c r="D46" s="88">
        <f>'6. Historical Wholesale'!D46</f>
        <v>9788</v>
      </c>
      <c r="E46" s="89">
        <f t="shared" si="11"/>
        <v>2.65</v>
      </c>
      <c r="F46" s="90">
        <f t="shared" si="8"/>
        <v>25938.2</v>
      </c>
      <c r="G46" s="17"/>
      <c r="H46" s="88">
        <f>'6. Historical Wholesale'!H46</f>
        <v>9788</v>
      </c>
      <c r="I46" s="89">
        <f t="shared" si="12"/>
        <v>0.64</v>
      </c>
      <c r="J46" s="90">
        <f t="shared" si="9"/>
        <v>6264.32</v>
      </c>
      <c r="K46" s="17"/>
      <c r="L46" s="88">
        <f>'6. Historical Wholesale'!L46</f>
        <v>9788</v>
      </c>
      <c r="M46" s="89">
        <f t="shared" ref="M46:M54" si="13">M45</f>
        <v>1.5</v>
      </c>
      <c r="N46" s="90">
        <f t="shared" si="10"/>
        <v>14682</v>
      </c>
      <c r="O46" s="17"/>
      <c r="P46" s="47">
        <f t="shared" si="7"/>
        <v>20946.32</v>
      </c>
      <c r="Q46" s="17"/>
    </row>
    <row r="47" spans="2:17" ht="15.75" x14ac:dyDescent="0.25">
      <c r="B47" s="48" t="s">
        <v>132</v>
      </c>
      <c r="C47" s="17"/>
      <c r="D47" s="88">
        <f>'6. Historical Wholesale'!D47</f>
        <v>12618</v>
      </c>
      <c r="E47" s="89">
        <f t="shared" si="11"/>
        <v>2.65</v>
      </c>
      <c r="F47" s="90">
        <f t="shared" si="8"/>
        <v>33437.699999999997</v>
      </c>
      <c r="G47" s="17"/>
      <c r="H47" s="88">
        <f>'6. Historical Wholesale'!H47</f>
        <v>12618</v>
      </c>
      <c r="I47" s="89">
        <f t="shared" si="12"/>
        <v>0.64</v>
      </c>
      <c r="J47" s="90">
        <f t="shared" si="9"/>
        <v>8075.52</v>
      </c>
      <c r="K47" s="17"/>
      <c r="L47" s="88">
        <f>'6. Historical Wholesale'!L47</f>
        <v>12618</v>
      </c>
      <c r="M47" s="89">
        <f t="shared" si="13"/>
        <v>1.5</v>
      </c>
      <c r="N47" s="90">
        <f t="shared" si="10"/>
        <v>18927</v>
      </c>
      <c r="O47" s="17"/>
      <c r="P47" s="47">
        <f t="shared" si="7"/>
        <v>27002.52</v>
      </c>
      <c r="Q47" s="17"/>
    </row>
    <row r="48" spans="2:17" ht="15.75" x14ac:dyDescent="0.25">
      <c r="B48" s="48" t="s">
        <v>133</v>
      </c>
      <c r="C48" s="17"/>
      <c r="D48" s="88">
        <f>'6. Historical Wholesale'!D48</f>
        <v>15062</v>
      </c>
      <c r="E48" s="89">
        <f t="shared" si="11"/>
        <v>2.65</v>
      </c>
      <c r="F48" s="90">
        <f t="shared" si="8"/>
        <v>39914.299999999996</v>
      </c>
      <c r="G48" s="17"/>
      <c r="H48" s="88">
        <f>'6. Historical Wholesale'!H48</f>
        <v>15062</v>
      </c>
      <c r="I48" s="89">
        <f t="shared" si="12"/>
        <v>0.64</v>
      </c>
      <c r="J48" s="90">
        <f t="shared" si="9"/>
        <v>9639.68</v>
      </c>
      <c r="K48" s="17"/>
      <c r="L48" s="88">
        <f>'6. Historical Wholesale'!L48</f>
        <v>15062</v>
      </c>
      <c r="M48" s="89">
        <f t="shared" si="13"/>
        <v>1.5</v>
      </c>
      <c r="N48" s="90">
        <f t="shared" si="10"/>
        <v>22593</v>
      </c>
      <c r="O48" s="17"/>
      <c r="P48" s="47">
        <f t="shared" si="7"/>
        <v>32232.68</v>
      </c>
      <c r="Q48" s="17"/>
    </row>
    <row r="49" spans="2:17" ht="15.75" x14ac:dyDescent="0.25">
      <c r="B49" s="48" t="s">
        <v>134</v>
      </c>
      <c r="C49" s="17"/>
      <c r="D49" s="88">
        <f>'6. Historical Wholesale'!D49</f>
        <v>15332</v>
      </c>
      <c r="E49" s="89">
        <f t="shared" si="11"/>
        <v>2.65</v>
      </c>
      <c r="F49" s="90">
        <f t="shared" si="8"/>
        <v>40629.799999999996</v>
      </c>
      <c r="G49" s="17"/>
      <c r="H49" s="88">
        <f>'6. Historical Wholesale'!H49</f>
        <v>15332</v>
      </c>
      <c r="I49" s="89">
        <f t="shared" si="12"/>
        <v>0.64</v>
      </c>
      <c r="J49" s="90">
        <f t="shared" si="9"/>
        <v>9812.48</v>
      </c>
      <c r="K49" s="17"/>
      <c r="L49" s="88">
        <f>'6. Historical Wholesale'!L49</f>
        <v>15332</v>
      </c>
      <c r="M49" s="89">
        <f t="shared" si="13"/>
        <v>1.5</v>
      </c>
      <c r="N49" s="90">
        <f t="shared" si="10"/>
        <v>22998</v>
      </c>
      <c r="O49" s="17"/>
      <c r="P49" s="47">
        <f t="shared" si="7"/>
        <v>32810.479999999996</v>
      </c>
      <c r="Q49" s="17"/>
    </row>
    <row r="50" spans="2:17" ht="15.75" x14ac:dyDescent="0.25">
      <c r="B50" s="48" t="s">
        <v>135</v>
      </c>
      <c r="C50" s="17"/>
      <c r="D50" s="88">
        <f>'6. Historical Wholesale'!D50</f>
        <v>12796</v>
      </c>
      <c r="E50" s="89">
        <f t="shared" si="11"/>
        <v>2.65</v>
      </c>
      <c r="F50" s="90">
        <f t="shared" si="8"/>
        <v>33909.4</v>
      </c>
      <c r="G50" s="17"/>
      <c r="H50" s="88">
        <f>'6. Historical Wholesale'!H50</f>
        <v>12796</v>
      </c>
      <c r="I50" s="89">
        <f t="shared" si="12"/>
        <v>0.64</v>
      </c>
      <c r="J50" s="90">
        <f t="shared" si="9"/>
        <v>8189.4400000000005</v>
      </c>
      <c r="K50" s="17"/>
      <c r="L50" s="88">
        <f>'6. Historical Wholesale'!L50</f>
        <v>12796</v>
      </c>
      <c r="M50" s="89">
        <f t="shared" si="13"/>
        <v>1.5</v>
      </c>
      <c r="N50" s="90">
        <f t="shared" si="10"/>
        <v>19194</v>
      </c>
      <c r="O50" s="17"/>
      <c r="P50" s="47">
        <f t="shared" si="7"/>
        <v>27383.440000000002</v>
      </c>
      <c r="Q50" s="17"/>
    </row>
    <row r="51" spans="2:17" ht="15.75" x14ac:dyDescent="0.25">
      <c r="B51" s="48" t="s">
        <v>136</v>
      </c>
      <c r="C51" s="17"/>
      <c r="D51" s="88">
        <f>'6. Historical Wholesale'!D51</f>
        <v>13457</v>
      </c>
      <c r="E51" s="89">
        <f t="shared" si="11"/>
        <v>2.65</v>
      </c>
      <c r="F51" s="90">
        <f t="shared" si="8"/>
        <v>35661.049999999996</v>
      </c>
      <c r="G51" s="17"/>
      <c r="H51" s="88">
        <f>'6. Historical Wholesale'!H51</f>
        <v>13457</v>
      </c>
      <c r="I51" s="89">
        <f t="shared" si="12"/>
        <v>0.64</v>
      </c>
      <c r="J51" s="90">
        <f t="shared" si="9"/>
        <v>8612.48</v>
      </c>
      <c r="K51" s="17"/>
      <c r="L51" s="88">
        <f>'6. Historical Wholesale'!L51</f>
        <v>13457</v>
      </c>
      <c r="M51" s="89">
        <f t="shared" si="13"/>
        <v>1.5</v>
      </c>
      <c r="N51" s="90">
        <f t="shared" si="10"/>
        <v>20185.5</v>
      </c>
      <c r="O51" s="17"/>
      <c r="P51" s="47">
        <f t="shared" si="7"/>
        <v>28797.98</v>
      </c>
      <c r="Q51" s="17"/>
    </row>
    <row r="52" spans="2:17" ht="15.75" x14ac:dyDescent="0.25">
      <c r="B52" s="48" t="s">
        <v>137</v>
      </c>
      <c r="C52" s="17"/>
      <c r="D52" s="88">
        <f>'6. Historical Wholesale'!D52</f>
        <v>10386</v>
      </c>
      <c r="E52" s="89">
        <f t="shared" si="11"/>
        <v>2.65</v>
      </c>
      <c r="F52" s="90">
        <f t="shared" si="8"/>
        <v>27522.899999999998</v>
      </c>
      <c r="G52" s="17"/>
      <c r="H52" s="88">
        <f>'6. Historical Wholesale'!H52</f>
        <v>10386</v>
      </c>
      <c r="I52" s="89">
        <f t="shared" si="12"/>
        <v>0.64</v>
      </c>
      <c r="J52" s="90">
        <f t="shared" si="9"/>
        <v>6647.04</v>
      </c>
      <c r="K52" s="17"/>
      <c r="L52" s="88">
        <f>'6. Historical Wholesale'!L52</f>
        <v>10386</v>
      </c>
      <c r="M52" s="89">
        <f t="shared" si="13"/>
        <v>1.5</v>
      </c>
      <c r="N52" s="90">
        <f t="shared" si="10"/>
        <v>15579</v>
      </c>
      <c r="O52" s="17"/>
      <c r="P52" s="47">
        <f t="shared" si="7"/>
        <v>22226.04</v>
      </c>
      <c r="Q52" s="17"/>
    </row>
    <row r="53" spans="2:17" ht="15.75" x14ac:dyDescent="0.25">
      <c r="B53" s="48" t="s">
        <v>138</v>
      </c>
      <c r="C53" s="17"/>
      <c r="D53" s="88">
        <f>'6. Historical Wholesale'!D53</f>
        <v>10415</v>
      </c>
      <c r="E53" s="89">
        <f t="shared" si="11"/>
        <v>2.65</v>
      </c>
      <c r="F53" s="90">
        <f t="shared" si="8"/>
        <v>27599.75</v>
      </c>
      <c r="G53" s="17"/>
      <c r="H53" s="88">
        <f>'6. Historical Wholesale'!H53</f>
        <v>10415</v>
      </c>
      <c r="I53" s="89">
        <f t="shared" si="12"/>
        <v>0.64</v>
      </c>
      <c r="J53" s="90">
        <f t="shared" si="9"/>
        <v>6665.6</v>
      </c>
      <c r="K53" s="17"/>
      <c r="L53" s="88">
        <f>'6. Historical Wholesale'!L53</f>
        <v>10415</v>
      </c>
      <c r="M53" s="89">
        <f t="shared" si="13"/>
        <v>1.5</v>
      </c>
      <c r="N53" s="90">
        <f t="shared" si="10"/>
        <v>15622.5</v>
      </c>
      <c r="O53" s="17"/>
      <c r="P53" s="47">
        <f t="shared" si="7"/>
        <v>22288.1</v>
      </c>
      <c r="Q53" s="17"/>
    </row>
    <row r="54" spans="2:17" ht="15.75" x14ac:dyDescent="0.25">
      <c r="B54" s="48" t="s">
        <v>139</v>
      </c>
      <c r="C54" s="17"/>
      <c r="D54" s="88">
        <f>'6. Historical Wholesale'!D54</f>
        <v>12426</v>
      </c>
      <c r="E54" s="89">
        <f t="shared" si="11"/>
        <v>2.65</v>
      </c>
      <c r="F54" s="90">
        <f t="shared" si="8"/>
        <v>32928.9</v>
      </c>
      <c r="G54" s="17"/>
      <c r="H54" s="88">
        <f>'6. Historical Wholesale'!H54</f>
        <v>12426</v>
      </c>
      <c r="I54" s="89">
        <f t="shared" si="12"/>
        <v>0.64</v>
      </c>
      <c r="J54" s="90">
        <f t="shared" si="9"/>
        <v>7952.64</v>
      </c>
      <c r="K54" s="17"/>
      <c r="L54" s="88">
        <f>'6. Historical Wholesale'!L54</f>
        <v>12426</v>
      </c>
      <c r="M54" s="89">
        <f t="shared" si="13"/>
        <v>1.5</v>
      </c>
      <c r="N54" s="90">
        <f t="shared" si="10"/>
        <v>18639</v>
      </c>
      <c r="O54" s="17"/>
      <c r="P54" s="47">
        <f t="shared" si="7"/>
        <v>26591.64</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140</v>
      </c>
      <c r="C56" s="17"/>
      <c r="D56" s="50">
        <f>SUM(D43:D54)</f>
        <v>145799</v>
      </c>
      <c r="E56" s="51">
        <f>IF(D56&lt;&gt;0,F56/D56,0)</f>
        <v>2.6500000000000004</v>
      </c>
      <c r="F56" s="52">
        <f>SUM(F43:F54)</f>
        <v>386367.35000000003</v>
      </c>
      <c r="G56" s="17"/>
      <c r="H56" s="50">
        <f>SUM(H43:H54)</f>
        <v>145799</v>
      </c>
      <c r="I56" s="51">
        <f>IF(H56&lt;&gt;0,J56/H56,0)</f>
        <v>0.64</v>
      </c>
      <c r="J56" s="52">
        <f>SUM(J43:J54)</f>
        <v>93311.360000000001</v>
      </c>
      <c r="K56" s="17"/>
      <c r="L56" s="50">
        <f>SUM(L43:L54)</f>
        <v>145799</v>
      </c>
      <c r="M56" s="51">
        <f>IF(L56&lt;&gt;0,N56/L56,0)</f>
        <v>1.5</v>
      </c>
      <c r="N56" s="52">
        <f>SUM(N43:N54)</f>
        <v>218698.5</v>
      </c>
      <c r="O56" s="17"/>
      <c r="P56" s="52">
        <f>SUM(P43:P54)</f>
        <v>312009.86000000004</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42" t="s">
        <v>140</v>
      </c>
      <c r="C58" s="141"/>
      <c r="D58" s="177" t="s">
        <v>229</v>
      </c>
      <c r="E58" s="177"/>
      <c r="F58" s="177"/>
      <c r="G58" s="141"/>
      <c r="H58" s="177" t="s">
        <v>232</v>
      </c>
      <c r="I58" s="177"/>
      <c r="J58" s="177"/>
      <c r="K58" s="141"/>
      <c r="L58" s="177" t="s">
        <v>231</v>
      </c>
      <c r="M58" s="177"/>
      <c r="N58" s="177"/>
      <c r="O58" s="141"/>
      <c r="P58" s="142" t="s">
        <v>230</v>
      </c>
      <c r="Q58" s="17"/>
    </row>
    <row r="59" spans="2:17" ht="15.75" x14ac:dyDescent="0.25">
      <c r="B59" s="17"/>
      <c r="C59" s="17"/>
      <c r="D59" s="178"/>
      <c r="E59" s="178"/>
      <c r="F59" s="178"/>
      <c r="G59" s="44"/>
      <c r="H59" s="178"/>
      <c r="I59" s="178"/>
      <c r="J59" s="178"/>
      <c r="K59" s="44"/>
      <c r="L59" s="178"/>
      <c r="M59" s="178"/>
      <c r="N59" s="178"/>
      <c r="O59" s="44"/>
      <c r="P59" s="43"/>
      <c r="Q59" s="17"/>
    </row>
    <row r="60" spans="2:17" ht="16.5" x14ac:dyDescent="0.3">
      <c r="B60" s="42" t="s">
        <v>125</v>
      </c>
      <c r="C60" s="17"/>
      <c r="D60" s="46" t="s">
        <v>126</v>
      </c>
      <c r="E60" s="46" t="s">
        <v>115</v>
      </c>
      <c r="F60" s="46" t="s">
        <v>127</v>
      </c>
      <c r="G60" s="29"/>
      <c r="H60" s="46" t="s">
        <v>126</v>
      </c>
      <c r="I60" s="46" t="s">
        <v>115</v>
      </c>
      <c r="J60" s="46" t="s">
        <v>127</v>
      </c>
      <c r="K60" s="29"/>
      <c r="L60" s="46" t="s">
        <v>126</v>
      </c>
      <c r="M60" s="46" t="s">
        <v>115</v>
      </c>
      <c r="N60" s="46" t="s">
        <v>127</v>
      </c>
      <c r="O60" s="29"/>
      <c r="P60" s="46" t="s">
        <v>127</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128</v>
      </c>
      <c r="C62" s="17"/>
      <c r="D62" s="53">
        <f t="shared" ref="D62:D73" si="14">D24+D43</f>
        <v>148787</v>
      </c>
      <c r="E62" s="54">
        <f t="shared" ref="E62:E73" si="15">IF(D62&lt;&gt;0,F62/D62,0)</f>
        <v>3.5012722213634255</v>
      </c>
      <c r="F62" s="47">
        <f t="shared" ref="F62:F73" si="16">F24+F43</f>
        <v>520943.79</v>
      </c>
      <c r="G62" s="17"/>
      <c r="H62" s="53">
        <f t="shared" ref="H62:H73" si="17">H24+H43</f>
        <v>151598</v>
      </c>
      <c r="I62" s="54">
        <f t="shared" ref="I62:I73" si="18">IF(H62&lt;&gt;0,J62/H62,0)</f>
        <v>0.78826897452472999</v>
      </c>
      <c r="J62" s="47">
        <f t="shared" ref="J62:J73" si="19">J24+J43</f>
        <v>119500.00000000001</v>
      </c>
      <c r="K62" s="17"/>
      <c r="L62" s="53">
        <f t="shared" ref="L62:L73" si="20">L24+L43</f>
        <v>151598</v>
      </c>
      <c r="M62" s="54">
        <f t="shared" ref="M62:M73" si="21">IF(L62&lt;&gt;0,N62/L62,0)</f>
        <v>1.8336051926806423</v>
      </c>
      <c r="N62" s="47">
        <f t="shared" ref="N62:N73" si="22">N24+N43</f>
        <v>277970.88</v>
      </c>
      <c r="O62" s="17"/>
      <c r="P62" s="47">
        <f t="shared" ref="P62:P73" si="23">J62+N62</f>
        <v>397470.88</v>
      </c>
      <c r="Q62" s="17"/>
    </row>
    <row r="63" spans="2:17" ht="15.75" x14ac:dyDescent="0.25">
      <c r="B63" s="48" t="s">
        <v>129</v>
      </c>
      <c r="C63" s="17"/>
      <c r="D63" s="53">
        <f t="shared" si="14"/>
        <v>152963</v>
      </c>
      <c r="E63" s="54">
        <f t="shared" si="15"/>
        <v>3.5023786798114576</v>
      </c>
      <c r="F63" s="47">
        <f t="shared" si="16"/>
        <v>535734.35</v>
      </c>
      <c r="G63" s="17"/>
      <c r="H63" s="53">
        <f t="shared" si="17"/>
        <v>152963</v>
      </c>
      <c r="I63" s="54">
        <f t="shared" si="18"/>
        <v>0.78823977040199267</v>
      </c>
      <c r="J63" s="47">
        <f t="shared" si="19"/>
        <v>120571.52</v>
      </c>
      <c r="K63" s="17"/>
      <c r="L63" s="53">
        <f t="shared" si="20"/>
        <v>152963</v>
      </c>
      <c r="M63" s="54">
        <f t="shared" si="21"/>
        <v>1.8335394834044836</v>
      </c>
      <c r="N63" s="47">
        <f t="shared" si="22"/>
        <v>280463.7</v>
      </c>
      <c r="O63" s="17"/>
      <c r="P63" s="47">
        <f t="shared" si="23"/>
        <v>401035.22000000003</v>
      </c>
      <c r="Q63" s="17"/>
    </row>
    <row r="64" spans="2:17" ht="15.75" x14ac:dyDescent="0.25">
      <c r="B64" s="48" t="s">
        <v>130</v>
      </c>
      <c r="C64" s="17"/>
      <c r="D64" s="53">
        <f t="shared" si="14"/>
        <v>137099</v>
      </c>
      <c r="E64" s="54">
        <f t="shared" si="15"/>
        <v>3.4951043406589397</v>
      </c>
      <c r="F64" s="47">
        <f t="shared" si="16"/>
        <v>479175.31</v>
      </c>
      <c r="G64" s="17"/>
      <c r="H64" s="53">
        <f t="shared" si="17"/>
        <v>145488</v>
      </c>
      <c r="I64" s="54">
        <f t="shared" si="18"/>
        <v>0.78772572308369071</v>
      </c>
      <c r="J64" s="47">
        <f t="shared" si="19"/>
        <v>114604.64</v>
      </c>
      <c r="K64" s="17"/>
      <c r="L64" s="53">
        <f t="shared" si="20"/>
        <v>145488</v>
      </c>
      <c r="M64" s="54">
        <f t="shared" si="21"/>
        <v>1.8323828769383039</v>
      </c>
      <c r="N64" s="47">
        <f t="shared" si="22"/>
        <v>266589.71999999997</v>
      </c>
      <c r="O64" s="17"/>
      <c r="P64" s="47">
        <f t="shared" si="23"/>
        <v>381194.36</v>
      </c>
      <c r="Q64" s="17"/>
    </row>
    <row r="65" spans="2:17" ht="15.75" x14ac:dyDescent="0.25">
      <c r="B65" s="48" t="s">
        <v>131</v>
      </c>
      <c r="C65" s="17"/>
      <c r="D65" s="53">
        <f t="shared" si="14"/>
        <v>110343</v>
      </c>
      <c r="E65" s="54">
        <f t="shared" si="15"/>
        <v>3.4883911983542228</v>
      </c>
      <c r="F65" s="47">
        <f t="shared" si="16"/>
        <v>384919.55</v>
      </c>
      <c r="G65" s="17"/>
      <c r="H65" s="53">
        <f t="shared" si="17"/>
        <v>130376</v>
      </c>
      <c r="I65" s="54">
        <f t="shared" si="18"/>
        <v>0.78798797324660985</v>
      </c>
      <c r="J65" s="47">
        <f t="shared" si="19"/>
        <v>102734.72</v>
      </c>
      <c r="K65" s="17"/>
      <c r="L65" s="53">
        <f t="shared" si="20"/>
        <v>130376</v>
      </c>
      <c r="M65" s="54">
        <f t="shared" si="21"/>
        <v>1.8329729398048722</v>
      </c>
      <c r="N65" s="47">
        <f t="shared" si="22"/>
        <v>238975.68000000002</v>
      </c>
      <c r="O65" s="17"/>
      <c r="P65" s="47">
        <f t="shared" si="23"/>
        <v>341710.4</v>
      </c>
      <c r="Q65" s="17"/>
    </row>
    <row r="66" spans="2:17" ht="15.75" x14ac:dyDescent="0.25">
      <c r="B66" s="48" t="s">
        <v>132</v>
      </c>
      <c r="C66" s="17"/>
      <c r="D66" s="53">
        <f t="shared" si="14"/>
        <v>125967</v>
      </c>
      <c r="E66" s="54">
        <f t="shared" si="15"/>
        <v>3.4778444354473792</v>
      </c>
      <c r="F66" s="47">
        <f t="shared" si="16"/>
        <v>438093.63</v>
      </c>
      <c r="G66" s="17"/>
      <c r="H66" s="53">
        <f t="shared" si="17"/>
        <v>156391</v>
      </c>
      <c r="I66" s="54">
        <f t="shared" si="18"/>
        <v>0.78709081724651686</v>
      </c>
      <c r="J66" s="47">
        <f t="shared" si="19"/>
        <v>123093.92000000001</v>
      </c>
      <c r="K66" s="17"/>
      <c r="L66" s="53">
        <f t="shared" si="20"/>
        <v>156391</v>
      </c>
      <c r="M66" s="54">
        <f t="shared" si="21"/>
        <v>1.830954338804663</v>
      </c>
      <c r="N66" s="47">
        <f t="shared" si="22"/>
        <v>286344.78000000003</v>
      </c>
      <c r="O66" s="17"/>
      <c r="P66" s="47">
        <f t="shared" si="23"/>
        <v>409438.70000000007</v>
      </c>
      <c r="Q66" s="17"/>
    </row>
    <row r="67" spans="2:17" ht="15.75" x14ac:dyDescent="0.25">
      <c r="B67" s="48" t="s">
        <v>133</v>
      </c>
      <c r="C67" s="17"/>
      <c r="D67" s="53">
        <f t="shared" si="14"/>
        <v>143184</v>
      </c>
      <c r="E67" s="54">
        <f t="shared" si="15"/>
        <v>3.4732221477260028</v>
      </c>
      <c r="F67" s="47">
        <f t="shared" si="16"/>
        <v>497309.83999999997</v>
      </c>
      <c r="G67" s="17"/>
      <c r="H67" s="53">
        <f t="shared" si="17"/>
        <v>173735</v>
      </c>
      <c r="I67" s="54">
        <f t="shared" si="18"/>
        <v>0.78612875931735127</v>
      </c>
      <c r="J67" s="47">
        <f t="shared" si="19"/>
        <v>136578.08000000002</v>
      </c>
      <c r="K67" s="17"/>
      <c r="L67" s="53">
        <f t="shared" si="20"/>
        <v>173735</v>
      </c>
      <c r="M67" s="54">
        <f t="shared" si="21"/>
        <v>1.8287897084640403</v>
      </c>
      <c r="N67" s="47">
        <f t="shared" si="22"/>
        <v>317724.78000000003</v>
      </c>
      <c r="O67" s="17"/>
      <c r="P67" s="47">
        <f t="shared" si="23"/>
        <v>454302.86000000004</v>
      </c>
      <c r="Q67" s="17"/>
    </row>
    <row r="68" spans="2:17" ht="15.75" x14ac:dyDescent="0.25">
      <c r="B68" s="48" t="s">
        <v>134</v>
      </c>
      <c r="C68" s="17"/>
      <c r="D68" s="53">
        <f t="shared" si="14"/>
        <v>153952</v>
      </c>
      <c r="E68" s="54">
        <f t="shared" si="15"/>
        <v>3.4783776761588023</v>
      </c>
      <c r="F68" s="47">
        <f t="shared" si="16"/>
        <v>535503.19999999995</v>
      </c>
      <c r="G68" s="17"/>
      <c r="H68" s="53">
        <f t="shared" si="17"/>
        <v>193359</v>
      </c>
      <c r="I68" s="54">
        <f t="shared" si="18"/>
        <v>0.7873131325668834</v>
      </c>
      <c r="J68" s="47">
        <f t="shared" si="19"/>
        <v>152234.08000000002</v>
      </c>
      <c r="K68" s="17"/>
      <c r="L68" s="53">
        <f t="shared" si="20"/>
        <v>193359</v>
      </c>
      <c r="M68" s="54">
        <f t="shared" si="21"/>
        <v>1.8314545482754878</v>
      </c>
      <c r="N68" s="47">
        <f t="shared" si="22"/>
        <v>354128.22000000003</v>
      </c>
      <c r="O68" s="17"/>
      <c r="P68" s="47">
        <f t="shared" si="23"/>
        <v>506362.30000000005</v>
      </c>
      <c r="Q68" s="17"/>
    </row>
    <row r="69" spans="2:17" ht="15.75" x14ac:dyDescent="0.25">
      <c r="B69" s="48" t="s">
        <v>135</v>
      </c>
      <c r="C69" s="17"/>
      <c r="D69" s="53">
        <f t="shared" si="14"/>
        <v>143043</v>
      </c>
      <c r="E69" s="54">
        <f t="shared" si="15"/>
        <v>3.4877008312185844</v>
      </c>
      <c r="F69" s="47">
        <f t="shared" si="16"/>
        <v>498891.19</v>
      </c>
      <c r="G69" s="17"/>
      <c r="H69" s="53">
        <f t="shared" si="17"/>
        <v>171449</v>
      </c>
      <c r="I69" s="54">
        <f t="shared" si="18"/>
        <v>0.78805848969664449</v>
      </c>
      <c r="J69" s="47">
        <f t="shared" si="19"/>
        <v>135111.84</v>
      </c>
      <c r="K69" s="17"/>
      <c r="L69" s="53">
        <f t="shared" si="20"/>
        <v>171449</v>
      </c>
      <c r="M69" s="54">
        <f t="shared" si="21"/>
        <v>1.8331316018174502</v>
      </c>
      <c r="N69" s="47">
        <f t="shared" si="22"/>
        <v>314288.58</v>
      </c>
      <c r="O69" s="17"/>
      <c r="P69" s="47">
        <f t="shared" si="23"/>
        <v>449400.42000000004</v>
      </c>
      <c r="Q69" s="17"/>
    </row>
    <row r="70" spans="2:17" ht="15.75" x14ac:dyDescent="0.25">
      <c r="B70" s="48" t="s">
        <v>136</v>
      </c>
      <c r="C70" s="17"/>
      <c r="D70" s="53">
        <f t="shared" si="14"/>
        <v>149815</v>
      </c>
      <c r="E70" s="54">
        <f t="shared" si="15"/>
        <v>3.4873618129025798</v>
      </c>
      <c r="F70" s="47">
        <f t="shared" si="16"/>
        <v>522459.11</v>
      </c>
      <c r="G70" s="17"/>
      <c r="H70" s="53">
        <f t="shared" si="17"/>
        <v>178760</v>
      </c>
      <c r="I70" s="54">
        <f t="shared" si="18"/>
        <v>0.78795524725889465</v>
      </c>
      <c r="J70" s="47">
        <f t="shared" si="19"/>
        <v>140854.88</v>
      </c>
      <c r="K70" s="17"/>
      <c r="L70" s="53">
        <f t="shared" si="20"/>
        <v>178760</v>
      </c>
      <c r="M70" s="54">
        <f t="shared" si="21"/>
        <v>1.832899306332513</v>
      </c>
      <c r="N70" s="47">
        <f t="shared" si="22"/>
        <v>327649.08</v>
      </c>
      <c r="O70" s="17"/>
      <c r="P70" s="47">
        <f t="shared" si="23"/>
        <v>468503.96</v>
      </c>
      <c r="Q70" s="17"/>
    </row>
    <row r="71" spans="2:17" ht="15.75" x14ac:dyDescent="0.25">
      <c r="B71" s="48" t="s">
        <v>137</v>
      </c>
      <c r="C71" s="17"/>
      <c r="D71" s="53">
        <f t="shared" si="14"/>
        <v>122657</v>
      </c>
      <c r="E71" s="54">
        <f t="shared" si="15"/>
        <v>3.4920988610515504</v>
      </c>
      <c r="F71" s="47">
        <f t="shared" si="16"/>
        <v>428330.37</v>
      </c>
      <c r="G71" s="17"/>
      <c r="H71" s="53">
        <f t="shared" si="17"/>
        <v>133082</v>
      </c>
      <c r="I71" s="54">
        <f t="shared" si="18"/>
        <v>0.78751326249981213</v>
      </c>
      <c r="J71" s="47">
        <f t="shared" si="19"/>
        <v>104803.84</v>
      </c>
      <c r="K71" s="17"/>
      <c r="L71" s="53">
        <f t="shared" si="20"/>
        <v>133082</v>
      </c>
      <c r="M71" s="54">
        <f t="shared" si="21"/>
        <v>1.8319048406245773</v>
      </c>
      <c r="N71" s="47">
        <f t="shared" si="22"/>
        <v>243793.56</v>
      </c>
      <c r="O71" s="17"/>
      <c r="P71" s="47">
        <f t="shared" si="23"/>
        <v>348597.4</v>
      </c>
      <c r="Q71" s="17"/>
    </row>
    <row r="72" spans="2:17" ht="15.75" x14ac:dyDescent="0.25">
      <c r="B72" s="48" t="s">
        <v>138</v>
      </c>
      <c r="C72" s="17"/>
      <c r="D72" s="53">
        <f t="shared" si="14"/>
        <v>140079</v>
      </c>
      <c r="E72" s="54">
        <f t="shared" si="15"/>
        <v>3.501597170168262</v>
      </c>
      <c r="F72" s="47">
        <f t="shared" si="16"/>
        <v>490500.23</v>
      </c>
      <c r="G72" s="17"/>
      <c r="H72" s="53">
        <f t="shared" si="17"/>
        <v>145379</v>
      </c>
      <c r="I72" s="54">
        <f t="shared" si="18"/>
        <v>0.78853754668831133</v>
      </c>
      <c r="J72" s="47">
        <f t="shared" si="19"/>
        <v>114636.80000000002</v>
      </c>
      <c r="K72" s="17"/>
      <c r="L72" s="53">
        <f t="shared" si="20"/>
        <v>145379</v>
      </c>
      <c r="M72" s="54">
        <f t="shared" si="21"/>
        <v>1.8342094800487005</v>
      </c>
      <c r="N72" s="47">
        <f t="shared" si="22"/>
        <v>266655.54000000004</v>
      </c>
      <c r="O72" s="17"/>
      <c r="P72" s="47">
        <f t="shared" si="23"/>
        <v>381292.34000000008</v>
      </c>
      <c r="Q72" s="17"/>
    </row>
    <row r="73" spans="2:17" ht="15.75" x14ac:dyDescent="0.25">
      <c r="B73" s="48" t="s">
        <v>139</v>
      </c>
      <c r="C73" s="17"/>
      <c r="D73" s="53">
        <f t="shared" si="14"/>
        <v>144881</v>
      </c>
      <c r="E73" s="54">
        <f t="shared" si="15"/>
        <v>3.4910944154167902</v>
      </c>
      <c r="F73" s="47">
        <f t="shared" si="16"/>
        <v>505793.25</v>
      </c>
      <c r="G73" s="17"/>
      <c r="H73" s="53">
        <f t="shared" si="17"/>
        <v>162284</v>
      </c>
      <c r="I73" s="54">
        <f t="shared" si="18"/>
        <v>0.78774888467131698</v>
      </c>
      <c r="J73" s="47">
        <f t="shared" si="19"/>
        <v>127839.04000000001</v>
      </c>
      <c r="K73" s="17"/>
      <c r="L73" s="53">
        <f t="shared" si="20"/>
        <v>162284</v>
      </c>
      <c r="M73" s="54">
        <f t="shared" si="21"/>
        <v>1.8324349905104631</v>
      </c>
      <c r="N73" s="47">
        <f t="shared" si="22"/>
        <v>297374.88</v>
      </c>
      <c r="O73" s="17"/>
      <c r="P73" s="47">
        <f t="shared" si="23"/>
        <v>425213.92000000004</v>
      </c>
      <c r="Q73" s="17"/>
    </row>
    <row r="74" spans="2:17" x14ac:dyDescent="0.2">
      <c r="B74" s="17"/>
      <c r="C74" s="17"/>
      <c r="D74" s="17"/>
      <c r="E74" s="17"/>
      <c r="F74" s="17"/>
      <c r="G74" s="17"/>
      <c r="H74" s="17"/>
      <c r="I74" s="17"/>
      <c r="J74" s="17"/>
      <c r="K74" s="17"/>
      <c r="L74" s="17"/>
      <c r="M74" s="17"/>
      <c r="N74" s="17"/>
      <c r="O74" s="17"/>
      <c r="P74" s="47"/>
      <c r="Q74" s="17"/>
    </row>
    <row r="75" spans="2:17" ht="19.5" thickBot="1" x14ac:dyDescent="0.35">
      <c r="B75" s="49" t="s">
        <v>140</v>
      </c>
      <c r="C75" s="17"/>
      <c r="D75" s="50">
        <f>SUM(D62:D73)</f>
        <v>1672770</v>
      </c>
      <c r="E75" s="51">
        <f>IF(D75&lt;&gt;0,F75/D75,0)</f>
        <v>3.4898125982651531</v>
      </c>
      <c r="F75" s="52">
        <f>SUM(F62:F73)</f>
        <v>5837653.8200000003</v>
      </c>
      <c r="G75" s="17"/>
      <c r="H75" s="50">
        <f>SUM(H62:H73)</f>
        <v>1894864</v>
      </c>
      <c r="I75" s="51">
        <f>IF(H75&lt;&gt;0,J75/H75,0)</f>
        <v>0.78768891065532953</v>
      </c>
      <c r="J75" s="52">
        <f>SUM(J62:J73)</f>
        <v>1492563.3600000003</v>
      </c>
      <c r="K75" s="17"/>
      <c r="L75" s="50">
        <f>SUM(L62:L73)</f>
        <v>1894864</v>
      </c>
      <c r="M75" s="51">
        <f>IF(L75&lt;&gt;0,N75/L75,0)</f>
        <v>1.8323000489744909</v>
      </c>
      <c r="N75" s="52">
        <f>SUM(N62:N73)</f>
        <v>3471959.4</v>
      </c>
      <c r="O75" s="17"/>
      <c r="P75" s="52">
        <f>SUM(P62:P73)</f>
        <v>4964522.76</v>
      </c>
      <c r="Q75" s="17"/>
    </row>
  </sheetData>
  <sheetProtection password="F8BD" sheet="1" objects="1" scenarios="1"/>
  <mergeCells count="16">
    <mergeCell ref="H59:J59"/>
    <mergeCell ref="L59:N59"/>
    <mergeCell ref="D21:F21"/>
    <mergeCell ref="H21:J21"/>
    <mergeCell ref="L21:N21"/>
    <mergeCell ref="D59:F59"/>
    <mergeCell ref="D58:F58"/>
    <mergeCell ref="H58:J58"/>
    <mergeCell ref="L58:N58"/>
    <mergeCell ref="B13:L13"/>
    <mergeCell ref="D20:F20"/>
    <mergeCell ref="H20:J20"/>
    <mergeCell ref="L20:N20"/>
    <mergeCell ref="D39:F39"/>
    <mergeCell ref="H39:J39"/>
    <mergeCell ref="L39:N39"/>
  </mergeCells>
  <phoneticPr fontId="21" type="noConversion"/>
  <pageMargins left="0.75" right="0.53" top="1" bottom="0.37" header="0.5" footer="0.17"/>
  <pageSetup scale="51" orientation="portrait" r:id="rId1"/>
  <headerFooter alignWithMargins="0">
    <oddFooter>&amp;C&amp;A</oddFooter>
  </headerFooter>
  <colBreaks count="1" manualBreakCount="1">
    <brk id="24" max="7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Q75"/>
  <sheetViews>
    <sheetView showGridLines="0" topLeftCell="B1" zoomScaleNormal="100" workbookViewId="0">
      <pane ySplit="16" topLeftCell="A17" activePane="bottomLeft" state="frozenSplit"/>
      <selection activeCell="I48" sqref="I48"/>
      <selection pane="bottomLeft" activeCell="B20" sqref="B20:P20"/>
    </sheetView>
  </sheetViews>
  <sheetFormatPr defaultRowHeight="12.75" x14ac:dyDescent="0.2"/>
  <cols>
    <col min="1" max="1" width="11.85546875" style="19" hidden="1" customWidth="1"/>
    <col min="2" max="2" width="30.140625" style="19" customWidth="1"/>
    <col min="3" max="3" width="3.85546875" style="19" customWidth="1"/>
    <col min="4" max="4" width="14.42578125" style="19" customWidth="1"/>
    <col min="5" max="5" width="10.140625" style="19" bestFit="1" customWidth="1"/>
    <col min="6" max="6" width="14.42578125" style="19" customWidth="1"/>
    <col min="7" max="7" width="2.85546875" style="19" customWidth="1"/>
    <col min="8" max="8" width="14.42578125" style="19" customWidth="1"/>
    <col min="9" max="9" width="9.7109375" style="19" bestFit="1" customWidth="1"/>
    <col min="10" max="10" width="14.42578125" style="19" customWidth="1"/>
    <col min="11" max="11" width="3.140625" style="19" customWidth="1"/>
    <col min="12" max="12" width="14.42578125" style="19" customWidth="1"/>
    <col min="13" max="13" width="9.7109375" style="19" bestFit="1" customWidth="1"/>
    <col min="14" max="14" width="14.42578125" style="19" customWidth="1"/>
    <col min="15" max="15" width="3.7109375" style="19" customWidth="1"/>
    <col min="16" max="16" width="15.7109375" style="19" customWidth="1"/>
    <col min="17" max="16384" width="9.140625" style="19"/>
  </cols>
  <sheetData>
    <row r="13" spans="2:13" ht="32.25" customHeight="1" x14ac:dyDescent="0.2">
      <c r="B13" s="173" t="s">
        <v>227</v>
      </c>
      <c r="C13" s="173"/>
      <c r="D13" s="173"/>
      <c r="E13" s="173"/>
      <c r="F13" s="173"/>
      <c r="G13" s="173"/>
      <c r="H13" s="173"/>
      <c r="I13" s="173"/>
      <c r="J13" s="173"/>
      <c r="K13" s="173"/>
      <c r="L13" s="173"/>
      <c r="M13" s="173"/>
    </row>
    <row r="19" spans="2:17" ht="15.75" x14ac:dyDescent="0.25">
      <c r="B19" s="17"/>
      <c r="C19" s="17"/>
      <c r="D19" s="18"/>
      <c r="E19" s="21"/>
      <c r="F19" s="17"/>
      <c r="G19" s="21"/>
      <c r="H19" s="17"/>
    </row>
    <row r="20" spans="2:17" ht="15.75" x14ac:dyDescent="0.2">
      <c r="B20" s="142" t="s">
        <v>228</v>
      </c>
      <c r="C20" s="141"/>
      <c r="D20" s="177" t="s">
        <v>229</v>
      </c>
      <c r="E20" s="177"/>
      <c r="F20" s="177"/>
      <c r="G20" s="141"/>
      <c r="H20" s="177" t="s">
        <v>232</v>
      </c>
      <c r="I20" s="177"/>
      <c r="J20" s="177"/>
      <c r="K20" s="141"/>
      <c r="L20" s="177" t="s">
        <v>231</v>
      </c>
      <c r="M20" s="177"/>
      <c r="N20" s="177"/>
      <c r="O20" s="141"/>
      <c r="P20" s="142" t="s">
        <v>230</v>
      </c>
      <c r="Q20" s="17"/>
    </row>
    <row r="21" spans="2:17" ht="15.75" x14ac:dyDescent="0.25">
      <c r="B21" s="17"/>
      <c r="C21" s="17"/>
      <c r="D21" s="178"/>
      <c r="E21" s="178"/>
      <c r="F21" s="178"/>
      <c r="G21" s="44"/>
      <c r="H21" s="178"/>
      <c r="I21" s="178"/>
      <c r="J21" s="178"/>
      <c r="K21" s="44"/>
      <c r="L21" s="178"/>
      <c r="M21" s="178"/>
      <c r="N21" s="178"/>
      <c r="O21" s="17"/>
      <c r="P21" s="43"/>
      <c r="Q21" s="41"/>
    </row>
    <row r="22" spans="2:17" ht="16.5" x14ac:dyDescent="0.3">
      <c r="B22" s="45" t="s">
        <v>125</v>
      </c>
      <c r="C22" s="29"/>
      <c r="D22" s="46" t="s">
        <v>126</v>
      </c>
      <c r="E22" s="46" t="s">
        <v>115</v>
      </c>
      <c r="F22" s="46" t="s">
        <v>127</v>
      </c>
      <c r="G22" s="29"/>
      <c r="H22" s="46" t="s">
        <v>126</v>
      </c>
      <c r="I22" s="46" t="s">
        <v>115</v>
      </c>
      <c r="J22" s="46" t="s">
        <v>127</v>
      </c>
      <c r="K22" s="29"/>
      <c r="L22" s="46" t="s">
        <v>126</v>
      </c>
      <c r="M22" s="46" t="s">
        <v>115</v>
      </c>
      <c r="N22" s="46" t="s">
        <v>127</v>
      </c>
      <c r="O22" s="29"/>
      <c r="P22" s="46" t="s">
        <v>127</v>
      </c>
      <c r="Q22" s="17"/>
    </row>
    <row r="23" spans="2:17" x14ac:dyDescent="0.2">
      <c r="B23" s="17"/>
      <c r="C23" s="17"/>
      <c r="D23" s="17"/>
      <c r="E23" s="17"/>
      <c r="F23" s="17"/>
      <c r="G23" s="17"/>
      <c r="H23" s="17"/>
      <c r="I23" s="17"/>
      <c r="J23" s="17"/>
      <c r="K23" s="17"/>
      <c r="L23" s="17"/>
      <c r="M23" s="17"/>
      <c r="N23" s="17"/>
      <c r="O23" s="17"/>
      <c r="P23" s="17"/>
      <c r="Q23" s="17"/>
    </row>
    <row r="24" spans="2:17" ht="15.75" x14ac:dyDescent="0.25">
      <c r="B24" s="48" t="s">
        <v>128</v>
      </c>
      <c r="C24" s="17"/>
      <c r="D24" s="88">
        <f>'6. Historical Wholesale'!D24</f>
        <v>137672</v>
      </c>
      <c r="E24" s="89">
        <f>'5. UTRs and Sub-Transmission'!I22</f>
        <v>3.57</v>
      </c>
      <c r="F24" s="90">
        <f t="shared" ref="F24:F35" si="0">D24*E24</f>
        <v>491489.04</v>
      </c>
      <c r="G24" s="17"/>
      <c r="H24" s="88">
        <f>'6. Historical Wholesale'!H24</f>
        <v>140483</v>
      </c>
      <c r="I24" s="89">
        <f>'5. UTRs and Sub-Transmission'!I24</f>
        <v>0.8</v>
      </c>
      <c r="J24" s="90">
        <f t="shared" ref="J24:J35" si="1">H24*I24</f>
        <v>112386.40000000001</v>
      </c>
      <c r="K24" s="17"/>
      <c r="L24" s="88">
        <f>'6. Historical Wholesale'!L24</f>
        <v>140483</v>
      </c>
      <c r="M24" s="89">
        <f>'5. UTRs and Sub-Transmission'!I26</f>
        <v>1.86</v>
      </c>
      <c r="N24" s="90">
        <f t="shared" ref="N24:N35" si="2">L24*M24</f>
        <v>261298.38</v>
      </c>
      <c r="O24" s="17"/>
      <c r="P24" s="47">
        <f t="shared" ref="P24:P35" si="3">J24+N24</f>
        <v>373684.78</v>
      </c>
      <c r="Q24" s="17"/>
    </row>
    <row r="25" spans="2:17" ht="15.75" x14ac:dyDescent="0.25">
      <c r="B25" s="48" t="s">
        <v>129</v>
      </c>
      <c r="C25" s="17"/>
      <c r="D25" s="88">
        <f>'6. Historical Wholesale'!D25</f>
        <v>141720</v>
      </c>
      <c r="E25" s="89">
        <f t="shared" ref="E25:E35" si="4">E24</f>
        <v>3.57</v>
      </c>
      <c r="F25" s="90">
        <f t="shared" si="0"/>
        <v>505940.39999999997</v>
      </c>
      <c r="G25" s="17"/>
      <c r="H25" s="88">
        <f>'6. Historical Wholesale'!H25</f>
        <v>141720</v>
      </c>
      <c r="I25" s="89">
        <f t="shared" ref="I25:I35" si="5">I24</f>
        <v>0.8</v>
      </c>
      <c r="J25" s="90">
        <f t="shared" si="1"/>
        <v>113376</v>
      </c>
      <c r="K25" s="17"/>
      <c r="L25" s="88">
        <f>'6. Historical Wholesale'!L25</f>
        <v>141720</v>
      </c>
      <c r="M25" s="89">
        <f t="shared" ref="M25:M35" si="6">M24</f>
        <v>1.86</v>
      </c>
      <c r="N25" s="90">
        <f t="shared" si="2"/>
        <v>263599.2</v>
      </c>
      <c r="O25" s="17"/>
      <c r="P25" s="47">
        <f t="shared" si="3"/>
        <v>376975.2</v>
      </c>
      <c r="Q25" s="17"/>
    </row>
    <row r="26" spans="2:17" ht="15.75" x14ac:dyDescent="0.25">
      <c r="B26" s="48" t="s">
        <v>130</v>
      </c>
      <c r="C26" s="17"/>
      <c r="D26" s="88">
        <f>'6. Historical Wholesale'!D26</f>
        <v>125938</v>
      </c>
      <c r="E26" s="89">
        <f t="shared" si="4"/>
        <v>3.57</v>
      </c>
      <c r="F26" s="90">
        <f t="shared" si="0"/>
        <v>449598.66</v>
      </c>
      <c r="G26" s="17"/>
      <c r="H26" s="88">
        <f>'6. Historical Wholesale'!H26</f>
        <v>134327</v>
      </c>
      <c r="I26" s="89">
        <f t="shared" si="5"/>
        <v>0.8</v>
      </c>
      <c r="J26" s="90">
        <f t="shared" si="1"/>
        <v>107461.6</v>
      </c>
      <c r="K26" s="17"/>
      <c r="L26" s="88">
        <f>'6. Historical Wholesale'!L26</f>
        <v>134327</v>
      </c>
      <c r="M26" s="89">
        <f t="shared" si="6"/>
        <v>1.86</v>
      </c>
      <c r="N26" s="90">
        <f t="shared" si="2"/>
        <v>249848.22</v>
      </c>
      <c r="O26" s="17"/>
      <c r="P26" s="47">
        <f t="shared" si="3"/>
        <v>357309.82</v>
      </c>
      <c r="Q26" s="17"/>
    </row>
    <row r="27" spans="2:17" ht="15.75" x14ac:dyDescent="0.25">
      <c r="B27" s="48" t="s">
        <v>131</v>
      </c>
      <c r="C27" s="17"/>
      <c r="D27" s="88">
        <f>'6. Historical Wholesale'!D27</f>
        <v>100555</v>
      </c>
      <c r="E27" s="89">
        <f t="shared" si="4"/>
        <v>3.57</v>
      </c>
      <c r="F27" s="90">
        <f t="shared" si="0"/>
        <v>358981.35</v>
      </c>
      <c r="G27" s="17"/>
      <c r="H27" s="88">
        <f>'6. Historical Wholesale'!H27</f>
        <v>120588</v>
      </c>
      <c r="I27" s="89">
        <f t="shared" si="5"/>
        <v>0.8</v>
      </c>
      <c r="J27" s="90">
        <f t="shared" si="1"/>
        <v>96470.400000000009</v>
      </c>
      <c r="K27" s="17"/>
      <c r="L27" s="88">
        <f>'6. Historical Wholesale'!L27</f>
        <v>120588</v>
      </c>
      <c r="M27" s="89">
        <f t="shared" si="6"/>
        <v>1.86</v>
      </c>
      <c r="N27" s="90">
        <f t="shared" si="2"/>
        <v>224293.68000000002</v>
      </c>
      <c r="O27" s="17"/>
      <c r="P27" s="47">
        <f t="shared" si="3"/>
        <v>320764.08</v>
      </c>
      <c r="Q27" s="17"/>
    </row>
    <row r="28" spans="2:17" ht="15.75" x14ac:dyDescent="0.25">
      <c r="B28" s="48" t="s">
        <v>132</v>
      </c>
      <c r="C28" s="17"/>
      <c r="D28" s="88">
        <f>'6. Historical Wholesale'!D28</f>
        <v>113349</v>
      </c>
      <c r="E28" s="89">
        <f t="shared" si="4"/>
        <v>3.57</v>
      </c>
      <c r="F28" s="90">
        <f t="shared" si="0"/>
        <v>404655.93</v>
      </c>
      <c r="G28" s="17"/>
      <c r="H28" s="88">
        <f>'6. Historical Wholesale'!H28</f>
        <v>143773</v>
      </c>
      <c r="I28" s="89">
        <f t="shared" si="5"/>
        <v>0.8</v>
      </c>
      <c r="J28" s="90">
        <f t="shared" si="1"/>
        <v>115018.40000000001</v>
      </c>
      <c r="K28" s="17"/>
      <c r="L28" s="88">
        <f>'6. Historical Wholesale'!L28</f>
        <v>143773</v>
      </c>
      <c r="M28" s="89">
        <f t="shared" si="6"/>
        <v>1.86</v>
      </c>
      <c r="N28" s="90">
        <f t="shared" si="2"/>
        <v>267417.78000000003</v>
      </c>
      <c r="O28" s="17"/>
      <c r="P28" s="47">
        <f t="shared" si="3"/>
        <v>382436.18000000005</v>
      </c>
      <c r="Q28" s="17"/>
    </row>
    <row r="29" spans="2:17" ht="15.75" x14ac:dyDescent="0.25">
      <c r="B29" s="48" t="s">
        <v>133</v>
      </c>
      <c r="C29" s="17"/>
      <c r="D29" s="88">
        <f>'6. Historical Wholesale'!D29</f>
        <v>128122</v>
      </c>
      <c r="E29" s="89">
        <f t="shared" si="4"/>
        <v>3.57</v>
      </c>
      <c r="F29" s="90">
        <f t="shared" si="0"/>
        <v>457395.54</v>
      </c>
      <c r="G29" s="17"/>
      <c r="H29" s="88">
        <f>'6. Historical Wholesale'!H29</f>
        <v>158673</v>
      </c>
      <c r="I29" s="89">
        <f t="shared" si="5"/>
        <v>0.8</v>
      </c>
      <c r="J29" s="90">
        <f t="shared" si="1"/>
        <v>126938.40000000001</v>
      </c>
      <c r="K29" s="17"/>
      <c r="L29" s="88">
        <f>'6. Historical Wholesale'!L29</f>
        <v>158673</v>
      </c>
      <c r="M29" s="89">
        <f t="shared" si="6"/>
        <v>1.86</v>
      </c>
      <c r="N29" s="90">
        <f t="shared" si="2"/>
        <v>295131.78000000003</v>
      </c>
      <c r="O29" s="17"/>
      <c r="P29" s="47">
        <f t="shared" si="3"/>
        <v>422070.18000000005</v>
      </c>
      <c r="Q29" s="17"/>
    </row>
    <row r="30" spans="2:17" ht="15.75" x14ac:dyDescent="0.25">
      <c r="B30" s="48" t="s">
        <v>134</v>
      </c>
      <c r="C30" s="17"/>
      <c r="D30" s="88">
        <f>'6. Historical Wholesale'!D30</f>
        <v>138620</v>
      </c>
      <c r="E30" s="89">
        <f t="shared" si="4"/>
        <v>3.57</v>
      </c>
      <c r="F30" s="90">
        <f t="shared" si="0"/>
        <v>494873.39999999997</v>
      </c>
      <c r="G30" s="17"/>
      <c r="H30" s="88">
        <f>'6. Historical Wholesale'!H30</f>
        <v>178027</v>
      </c>
      <c r="I30" s="89">
        <f t="shared" si="5"/>
        <v>0.8</v>
      </c>
      <c r="J30" s="90">
        <f t="shared" si="1"/>
        <v>142421.6</v>
      </c>
      <c r="K30" s="17"/>
      <c r="L30" s="88">
        <f>'6. Historical Wholesale'!L30</f>
        <v>178027</v>
      </c>
      <c r="M30" s="89">
        <f t="shared" si="6"/>
        <v>1.86</v>
      </c>
      <c r="N30" s="90">
        <f t="shared" si="2"/>
        <v>331130.22000000003</v>
      </c>
      <c r="O30" s="17"/>
      <c r="P30" s="47">
        <f t="shared" si="3"/>
        <v>473551.82000000007</v>
      </c>
      <c r="Q30" s="17"/>
    </row>
    <row r="31" spans="2:17" ht="15.75" x14ac:dyDescent="0.25">
      <c r="B31" s="48" t="s">
        <v>135</v>
      </c>
      <c r="C31" s="17"/>
      <c r="D31" s="88">
        <f>'6. Historical Wholesale'!D31</f>
        <v>130247</v>
      </c>
      <c r="E31" s="89">
        <f t="shared" si="4"/>
        <v>3.57</v>
      </c>
      <c r="F31" s="90">
        <f t="shared" si="0"/>
        <v>464981.79</v>
      </c>
      <c r="G31" s="17"/>
      <c r="H31" s="88">
        <f>'6. Historical Wholesale'!H31</f>
        <v>158653</v>
      </c>
      <c r="I31" s="89">
        <f t="shared" si="5"/>
        <v>0.8</v>
      </c>
      <c r="J31" s="90">
        <f t="shared" si="1"/>
        <v>126922.40000000001</v>
      </c>
      <c r="K31" s="17"/>
      <c r="L31" s="88">
        <f>'6. Historical Wholesale'!L31</f>
        <v>158653</v>
      </c>
      <c r="M31" s="89">
        <f t="shared" si="6"/>
        <v>1.86</v>
      </c>
      <c r="N31" s="90">
        <f t="shared" si="2"/>
        <v>295094.58</v>
      </c>
      <c r="O31" s="17"/>
      <c r="P31" s="47">
        <f t="shared" si="3"/>
        <v>422016.98000000004</v>
      </c>
      <c r="Q31" s="17"/>
    </row>
    <row r="32" spans="2:17" ht="15.75" x14ac:dyDescent="0.25">
      <c r="B32" s="48" t="s">
        <v>136</v>
      </c>
      <c r="C32" s="17"/>
      <c r="D32" s="88">
        <f>'6. Historical Wholesale'!D32</f>
        <v>136358</v>
      </c>
      <c r="E32" s="89">
        <f t="shared" si="4"/>
        <v>3.57</v>
      </c>
      <c r="F32" s="90">
        <f t="shared" si="0"/>
        <v>486798.06</v>
      </c>
      <c r="G32" s="17"/>
      <c r="H32" s="88">
        <f>'6. Historical Wholesale'!H32</f>
        <v>165303</v>
      </c>
      <c r="I32" s="89">
        <f t="shared" si="5"/>
        <v>0.8</v>
      </c>
      <c r="J32" s="90">
        <f t="shared" si="1"/>
        <v>132242.4</v>
      </c>
      <c r="K32" s="17"/>
      <c r="L32" s="88">
        <f>'6. Historical Wholesale'!L32</f>
        <v>165303</v>
      </c>
      <c r="M32" s="89">
        <f t="shared" si="6"/>
        <v>1.86</v>
      </c>
      <c r="N32" s="90">
        <f t="shared" si="2"/>
        <v>307463.58</v>
      </c>
      <c r="O32" s="17"/>
      <c r="P32" s="47">
        <f t="shared" si="3"/>
        <v>439705.98</v>
      </c>
      <c r="Q32" s="17"/>
    </row>
    <row r="33" spans="2:17" ht="15.75" x14ac:dyDescent="0.25">
      <c r="B33" s="48" t="s">
        <v>137</v>
      </c>
      <c r="C33" s="17"/>
      <c r="D33" s="88">
        <f>'6. Historical Wholesale'!D33</f>
        <v>112271</v>
      </c>
      <c r="E33" s="89">
        <f t="shared" si="4"/>
        <v>3.57</v>
      </c>
      <c r="F33" s="90">
        <f t="shared" si="0"/>
        <v>400807.47</v>
      </c>
      <c r="G33" s="17"/>
      <c r="H33" s="88">
        <f>'6. Historical Wholesale'!H33</f>
        <v>122696</v>
      </c>
      <c r="I33" s="89">
        <f t="shared" si="5"/>
        <v>0.8</v>
      </c>
      <c r="J33" s="90">
        <f t="shared" si="1"/>
        <v>98156.800000000003</v>
      </c>
      <c r="K33" s="17"/>
      <c r="L33" s="88">
        <f>'6. Historical Wholesale'!L33</f>
        <v>122696</v>
      </c>
      <c r="M33" s="89">
        <f t="shared" si="6"/>
        <v>1.86</v>
      </c>
      <c r="N33" s="90">
        <f t="shared" si="2"/>
        <v>228214.56</v>
      </c>
      <c r="O33" s="17"/>
      <c r="P33" s="47">
        <f t="shared" si="3"/>
        <v>326371.36</v>
      </c>
      <c r="Q33" s="17"/>
    </row>
    <row r="34" spans="2:17" ht="15.75" x14ac:dyDescent="0.25">
      <c r="B34" s="48" t="s">
        <v>138</v>
      </c>
      <c r="C34" s="17"/>
      <c r="D34" s="88">
        <f>'6. Historical Wholesale'!D34</f>
        <v>129664</v>
      </c>
      <c r="E34" s="89">
        <f t="shared" si="4"/>
        <v>3.57</v>
      </c>
      <c r="F34" s="90">
        <f t="shared" si="0"/>
        <v>462900.47999999998</v>
      </c>
      <c r="G34" s="17"/>
      <c r="H34" s="88">
        <f>'6. Historical Wholesale'!H34</f>
        <v>134964</v>
      </c>
      <c r="I34" s="89">
        <f t="shared" si="5"/>
        <v>0.8</v>
      </c>
      <c r="J34" s="90">
        <f t="shared" si="1"/>
        <v>107971.20000000001</v>
      </c>
      <c r="K34" s="17"/>
      <c r="L34" s="88">
        <f>'6. Historical Wholesale'!L34</f>
        <v>134964</v>
      </c>
      <c r="M34" s="89">
        <f t="shared" si="6"/>
        <v>1.86</v>
      </c>
      <c r="N34" s="90">
        <f t="shared" si="2"/>
        <v>251033.04</v>
      </c>
      <c r="O34" s="17"/>
      <c r="P34" s="47">
        <f t="shared" si="3"/>
        <v>359004.24</v>
      </c>
      <c r="Q34" s="17"/>
    </row>
    <row r="35" spans="2:17" ht="15.75" x14ac:dyDescent="0.25">
      <c r="B35" s="48" t="s">
        <v>139</v>
      </c>
      <c r="C35" s="17"/>
      <c r="D35" s="88">
        <f>'6. Historical Wholesale'!D35</f>
        <v>132455</v>
      </c>
      <c r="E35" s="89">
        <f t="shared" si="4"/>
        <v>3.57</v>
      </c>
      <c r="F35" s="90">
        <f t="shared" si="0"/>
        <v>472864.35</v>
      </c>
      <c r="G35" s="17"/>
      <c r="H35" s="88">
        <f>'6. Historical Wholesale'!H35</f>
        <v>149858</v>
      </c>
      <c r="I35" s="89">
        <f t="shared" si="5"/>
        <v>0.8</v>
      </c>
      <c r="J35" s="90">
        <f t="shared" si="1"/>
        <v>119886.40000000001</v>
      </c>
      <c r="K35" s="17"/>
      <c r="L35" s="88">
        <f>'6. Historical Wholesale'!L35</f>
        <v>149858</v>
      </c>
      <c r="M35" s="89">
        <f t="shared" si="6"/>
        <v>1.86</v>
      </c>
      <c r="N35" s="90">
        <f t="shared" si="2"/>
        <v>278735.88</v>
      </c>
      <c r="O35" s="17"/>
      <c r="P35" s="47">
        <f t="shared" si="3"/>
        <v>398622.28</v>
      </c>
      <c r="Q35" s="17"/>
    </row>
    <row r="36" spans="2:17" x14ac:dyDescent="0.2">
      <c r="B36" s="17"/>
      <c r="C36" s="17"/>
      <c r="D36" s="17"/>
      <c r="E36" s="17"/>
      <c r="F36" s="17"/>
      <c r="G36" s="17"/>
      <c r="H36" s="17"/>
      <c r="I36" s="17"/>
      <c r="J36" s="17"/>
      <c r="K36" s="17"/>
      <c r="L36" s="17"/>
      <c r="M36" s="17"/>
      <c r="N36" s="17"/>
      <c r="O36" s="17"/>
      <c r="P36" s="17"/>
      <c r="Q36" s="17"/>
    </row>
    <row r="37" spans="2:17" ht="19.5" thickBot="1" x14ac:dyDescent="0.35">
      <c r="B37" s="49" t="s">
        <v>140</v>
      </c>
      <c r="C37" s="17"/>
      <c r="D37" s="50">
        <f>SUM(D24:D35)</f>
        <v>1526971</v>
      </c>
      <c r="E37" s="51">
        <f>IF(D37&lt;&gt;0,F37/D37,0)</f>
        <v>3.5699999999999994</v>
      </c>
      <c r="F37" s="52">
        <f>SUM(F24:F35)</f>
        <v>5451286.4699999988</v>
      </c>
      <c r="G37" s="17"/>
      <c r="H37" s="50">
        <f>SUM(H24:H35)</f>
        <v>1749065</v>
      </c>
      <c r="I37" s="51">
        <f>IF(H37&lt;&gt;0,J37/H37,0)</f>
        <v>0.8</v>
      </c>
      <c r="J37" s="52">
        <f>SUM(J24:J35)</f>
        <v>1399252</v>
      </c>
      <c r="K37" s="17"/>
      <c r="L37" s="50">
        <f>SUM(L24:L35)</f>
        <v>1749065</v>
      </c>
      <c r="M37" s="51">
        <f>IF(L37&lt;&gt;0,N37/L37,0)</f>
        <v>1.8600000000000003</v>
      </c>
      <c r="N37" s="52">
        <f>SUM(N24:N35)</f>
        <v>3253260.9000000004</v>
      </c>
      <c r="O37" s="17"/>
      <c r="P37" s="52">
        <f>SUM(P24:P35)</f>
        <v>4652512.9000000004</v>
      </c>
      <c r="Q37" s="17"/>
    </row>
    <row r="38" spans="2:17" x14ac:dyDescent="0.2">
      <c r="B38" s="17"/>
      <c r="C38" s="17"/>
      <c r="D38" s="17"/>
      <c r="E38" s="17"/>
      <c r="F38" s="17"/>
      <c r="G38" s="17"/>
      <c r="H38" s="17"/>
      <c r="I38" s="17"/>
      <c r="J38" s="17"/>
      <c r="K38" s="17"/>
      <c r="L38" s="17"/>
      <c r="M38" s="17"/>
      <c r="N38" s="17"/>
      <c r="O38" s="17"/>
      <c r="P38" s="17"/>
      <c r="Q38" s="17"/>
    </row>
    <row r="39" spans="2:17" ht="15.75" x14ac:dyDescent="0.2">
      <c r="B39" s="142" t="s">
        <v>233</v>
      </c>
      <c r="C39" s="17"/>
      <c r="D39" s="177" t="s">
        <v>229</v>
      </c>
      <c r="E39" s="177"/>
      <c r="F39" s="177"/>
      <c r="G39" s="141"/>
      <c r="H39" s="177" t="s">
        <v>232</v>
      </c>
      <c r="I39" s="177"/>
      <c r="J39" s="177"/>
      <c r="K39" s="141"/>
      <c r="L39" s="177" t="s">
        <v>231</v>
      </c>
      <c r="M39" s="177"/>
      <c r="N39" s="177"/>
      <c r="O39" s="141"/>
      <c r="P39" s="142" t="s">
        <v>230</v>
      </c>
      <c r="Q39" s="17"/>
    </row>
    <row r="40" spans="2:17" ht="16.5" x14ac:dyDescent="0.3">
      <c r="B40" s="45"/>
      <c r="C40" s="29"/>
      <c r="D40" s="46"/>
      <c r="E40" s="46"/>
      <c r="F40" s="46"/>
      <c r="G40" s="29"/>
      <c r="H40" s="46"/>
      <c r="I40" s="46"/>
      <c r="J40" s="46"/>
      <c r="K40" s="29"/>
      <c r="L40" s="46"/>
      <c r="M40" s="46"/>
      <c r="N40" s="46"/>
      <c r="O40" s="29"/>
      <c r="P40" s="46"/>
      <c r="Q40" s="17"/>
    </row>
    <row r="41" spans="2:17" ht="16.5" x14ac:dyDescent="0.3">
      <c r="B41" s="45" t="s">
        <v>125</v>
      </c>
      <c r="C41" s="29"/>
      <c r="D41" s="46" t="s">
        <v>126</v>
      </c>
      <c r="E41" s="46" t="s">
        <v>115</v>
      </c>
      <c r="F41" s="46" t="s">
        <v>127</v>
      </c>
      <c r="G41" s="29"/>
      <c r="H41" s="46" t="s">
        <v>126</v>
      </c>
      <c r="I41" s="46" t="s">
        <v>115</v>
      </c>
      <c r="J41" s="46" t="s">
        <v>127</v>
      </c>
      <c r="K41" s="29"/>
      <c r="L41" s="46" t="s">
        <v>126</v>
      </c>
      <c r="M41" s="46" t="s">
        <v>115</v>
      </c>
      <c r="N41" s="46" t="s">
        <v>127</v>
      </c>
      <c r="O41" s="29"/>
      <c r="P41" s="46" t="s">
        <v>127</v>
      </c>
      <c r="Q41" s="17"/>
    </row>
    <row r="42" spans="2:17" x14ac:dyDescent="0.2">
      <c r="B42" s="17"/>
      <c r="C42" s="17"/>
      <c r="D42" s="17"/>
      <c r="E42" s="17"/>
      <c r="F42" s="17"/>
      <c r="G42" s="17"/>
      <c r="H42" s="17"/>
      <c r="I42" s="17"/>
      <c r="J42" s="17"/>
      <c r="K42" s="17"/>
      <c r="L42" s="17"/>
      <c r="M42" s="17"/>
      <c r="N42" s="17"/>
      <c r="O42" s="17"/>
      <c r="P42" s="17"/>
      <c r="Q42" s="17"/>
    </row>
    <row r="43" spans="2:17" ht="15.75" x14ac:dyDescent="0.25">
      <c r="B43" s="48" t="s">
        <v>128</v>
      </c>
      <c r="C43" s="17"/>
      <c r="D43" s="88">
        <f>'6. Historical Wholesale'!D43</f>
        <v>11115</v>
      </c>
      <c r="E43" s="89">
        <f>'5. UTRs and Sub-Transmission'!I35+'5. UTRs and Sub-Transmission'!I49</f>
        <v>2.65</v>
      </c>
      <c r="F43" s="90">
        <f t="shared" ref="F43:F54" si="7">D43*E43</f>
        <v>29454.75</v>
      </c>
      <c r="G43" s="17"/>
      <c r="H43" s="88">
        <f>'6. Historical Wholesale'!H43</f>
        <v>11115</v>
      </c>
      <c r="I43" s="89">
        <f>'5. UTRs and Sub-Transmission'!I37+'5. UTRs and Sub-Transmission'!I51</f>
        <v>0.64</v>
      </c>
      <c r="J43" s="90">
        <f t="shared" ref="J43:J54" si="8">H43*I43</f>
        <v>7113.6</v>
      </c>
      <c r="K43" s="17"/>
      <c r="L43" s="88">
        <f>'6. Historical Wholesale'!L43</f>
        <v>11115</v>
      </c>
      <c r="M43" s="89">
        <f>'5. UTRs and Sub-Transmission'!I39</f>
        <v>1.5</v>
      </c>
      <c r="N43" s="90">
        <f t="shared" ref="N43:N54" si="9">L43*M43</f>
        <v>16672.5</v>
      </c>
      <c r="O43" s="17"/>
      <c r="P43" s="47">
        <f t="shared" ref="P43:P54" si="10">J43+N43</f>
        <v>23786.1</v>
      </c>
      <c r="Q43" s="17"/>
    </row>
    <row r="44" spans="2:17" ht="15.75" x14ac:dyDescent="0.25">
      <c r="B44" s="48" t="s">
        <v>129</v>
      </c>
      <c r="C44" s="17"/>
      <c r="D44" s="88">
        <f>'6. Historical Wholesale'!D44</f>
        <v>11243</v>
      </c>
      <c r="E44" s="89">
        <f t="shared" ref="E44:E54" si="11">E43</f>
        <v>2.65</v>
      </c>
      <c r="F44" s="90">
        <f t="shared" si="7"/>
        <v>29793.95</v>
      </c>
      <c r="G44" s="17"/>
      <c r="H44" s="88">
        <f>'6. Historical Wholesale'!H44</f>
        <v>11243</v>
      </c>
      <c r="I44" s="89">
        <f t="shared" ref="I44:I54" si="12">I43</f>
        <v>0.64</v>
      </c>
      <c r="J44" s="90">
        <f t="shared" si="8"/>
        <v>7195.52</v>
      </c>
      <c r="K44" s="17"/>
      <c r="L44" s="88">
        <f>'6. Historical Wholesale'!L44</f>
        <v>11243</v>
      </c>
      <c r="M44" s="89">
        <f t="shared" ref="M44:M54" si="13">M43</f>
        <v>1.5</v>
      </c>
      <c r="N44" s="90">
        <f t="shared" si="9"/>
        <v>16864.5</v>
      </c>
      <c r="O44" s="17"/>
      <c r="P44" s="47">
        <f t="shared" si="10"/>
        <v>24060.02</v>
      </c>
      <c r="Q44" s="17"/>
    </row>
    <row r="45" spans="2:17" ht="15.75" x14ac:dyDescent="0.25">
      <c r="B45" s="48" t="s">
        <v>130</v>
      </c>
      <c r="C45" s="17"/>
      <c r="D45" s="88">
        <f>'6. Historical Wholesale'!D45</f>
        <v>11161</v>
      </c>
      <c r="E45" s="89">
        <f t="shared" si="11"/>
        <v>2.65</v>
      </c>
      <c r="F45" s="90">
        <f t="shared" si="7"/>
        <v>29576.649999999998</v>
      </c>
      <c r="G45" s="17"/>
      <c r="H45" s="88">
        <f>'6. Historical Wholesale'!H45</f>
        <v>11161</v>
      </c>
      <c r="I45" s="89">
        <f t="shared" si="12"/>
        <v>0.64</v>
      </c>
      <c r="J45" s="90">
        <f t="shared" si="8"/>
        <v>7143.04</v>
      </c>
      <c r="K45" s="17"/>
      <c r="L45" s="88">
        <f>'6. Historical Wholesale'!L45</f>
        <v>11161</v>
      </c>
      <c r="M45" s="89">
        <f t="shared" si="13"/>
        <v>1.5</v>
      </c>
      <c r="N45" s="90">
        <f t="shared" si="9"/>
        <v>16741.5</v>
      </c>
      <c r="O45" s="17"/>
      <c r="P45" s="47">
        <f t="shared" si="10"/>
        <v>23884.54</v>
      </c>
      <c r="Q45" s="17"/>
    </row>
    <row r="46" spans="2:17" ht="15.75" x14ac:dyDescent="0.25">
      <c r="B46" s="48" t="s">
        <v>131</v>
      </c>
      <c r="C46" s="17"/>
      <c r="D46" s="88">
        <f>'6. Historical Wholesale'!D46</f>
        <v>9788</v>
      </c>
      <c r="E46" s="89">
        <f t="shared" si="11"/>
        <v>2.65</v>
      </c>
      <c r="F46" s="90">
        <f t="shared" si="7"/>
        <v>25938.2</v>
      </c>
      <c r="G46" s="17"/>
      <c r="H46" s="88">
        <f>'6. Historical Wholesale'!H46</f>
        <v>9788</v>
      </c>
      <c r="I46" s="89">
        <f t="shared" si="12"/>
        <v>0.64</v>
      </c>
      <c r="J46" s="90">
        <f t="shared" si="8"/>
        <v>6264.32</v>
      </c>
      <c r="K46" s="17"/>
      <c r="L46" s="88">
        <f>'6. Historical Wholesale'!L46</f>
        <v>9788</v>
      </c>
      <c r="M46" s="89">
        <f t="shared" si="13"/>
        <v>1.5</v>
      </c>
      <c r="N46" s="90">
        <f t="shared" si="9"/>
        <v>14682</v>
      </c>
      <c r="O46" s="17"/>
      <c r="P46" s="47">
        <f t="shared" si="10"/>
        <v>20946.32</v>
      </c>
      <c r="Q46" s="17"/>
    </row>
    <row r="47" spans="2:17" ht="15.75" x14ac:dyDescent="0.25">
      <c r="B47" s="48" t="s">
        <v>132</v>
      </c>
      <c r="C47" s="17"/>
      <c r="D47" s="88">
        <f>'6. Historical Wholesale'!D47</f>
        <v>12618</v>
      </c>
      <c r="E47" s="89">
        <f t="shared" si="11"/>
        <v>2.65</v>
      </c>
      <c r="F47" s="90">
        <f t="shared" si="7"/>
        <v>33437.699999999997</v>
      </c>
      <c r="G47" s="17"/>
      <c r="H47" s="88">
        <f>'6. Historical Wholesale'!H47</f>
        <v>12618</v>
      </c>
      <c r="I47" s="89">
        <f t="shared" si="12"/>
        <v>0.64</v>
      </c>
      <c r="J47" s="90">
        <f t="shared" si="8"/>
        <v>8075.52</v>
      </c>
      <c r="K47" s="17"/>
      <c r="L47" s="88">
        <f>'6. Historical Wholesale'!L47</f>
        <v>12618</v>
      </c>
      <c r="M47" s="89">
        <f t="shared" si="13"/>
        <v>1.5</v>
      </c>
      <c r="N47" s="90">
        <f t="shared" si="9"/>
        <v>18927</v>
      </c>
      <c r="O47" s="17"/>
      <c r="P47" s="47">
        <f t="shared" si="10"/>
        <v>27002.52</v>
      </c>
      <c r="Q47" s="17"/>
    </row>
    <row r="48" spans="2:17" ht="15.75" x14ac:dyDescent="0.25">
      <c r="B48" s="48" t="s">
        <v>133</v>
      </c>
      <c r="C48" s="17"/>
      <c r="D48" s="88">
        <f>'6. Historical Wholesale'!D48</f>
        <v>15062</v>
      </c>
      <c r="E48" s="89">
        <f t="shared" si="11"/>
        <v>2.65</v>
      </c>
      <c r="F48" s="90">
        <f t="shared" si="7"/>
        <v>39914.299999999996</v>
      </c>
      <c r="G48" s="17"/>
      <c r="H48" s="88">
        <f>'6. Historical Wholesale'!H48</f>
        <v>15062</v>
      </c>
      <c r="I48" s="89">
        <f t="shared" si="12"/>
        <v>0.64</v>
      </c>
      <c r="J48" s="90">
        <f t="shared" si="8"/>
        <v>9639.68</v>
      </c>
      <c r="K48" s="17"/>
      <c r="L48" s="88">
        <f>'6. Historical Wholesale'!L48</f>
        <v>15062</v>
      </c>
      <c r="M48" s="89">
        <f t="shared" si="13"/>
        <v>1.5</v>
      </c>
      <c r="N48" s="90">
        <f t="shared" si="9"/>
        <v>22593</v>
      </c>
      <c r="O48" s="17"/>
      <c r="P48" s="47">
        <f t="shared" si="10"/>
        <v>32232.68</v>
      </c>
      <c r="Q48" s="17"/>
    </row>
    <row r="49" spans="2:17" ht="15.75" x14ac:dyDescent="0.25">
      <c r="B49" s="48" t="s">
        <v>134</v>
      </c>
      <c r="C49" s="17"/>
      <c r="D49" s="88">
        <f>'6. Historical Wholesale'!D49</f>
        <v>15332</v>
      </c>
      <c r="E49" s="89">
        <f t="shared" si="11"/>
        <v>2.65</v>
      </c>
      <c r="F49" s="90">
        <f t="shared" si="7"/>
        <v>40629.799999999996</v>
      </c>
      <c r="G49" s="17"/>
      <c r="H49" s="88">
        <f>'6. Historical Wholesale'!H49</f>
        <v>15332</v>
      </c>
      <c r="I49" s="89">
        <f t="shared" si="12"/>
        <v>0.64</v>
      </c>
      <c r="J49" s="90">
        <f t="shared" si="8"/>
        <v>9812.48</v>
      </c>
      <c r="K49" s="17"/>
      <c r="L49" s="88">
        <f>'6. Historical Wholesale'!L49</f>
        <v>15332</v>
      </c>
      <c r="M49" s="89">
        <f t="shared" si="13"/>
        <v>1.5</v>
      </c>
      <c r="N49" s="90">
        <f t="shared" si="9"/>
        <v>22998</v>
      </c>
      <c r="O49" s="17"/>
      <c r="P49" s="47">
        <f t="shared" si="10"/>
        <v>32810.479999999996</v>
      </c>
      <c r="Q49" s="17"/>
    </row>
    <row r="50" spans="2:17" ht="15.75" x14ac:dyDescent="0.25">
      <c r="B50" s="48" t="s">
        <v>135</v>
      </c>
      <c r="C50" s="17"/>
      <c r="D50" s="88">
        <f>'6. Historical Wholesale'!D50</f>
        <v>12796</v>
      </c>
      <c r="E50" s="89">
        <f t="shared" si="11"/>
        <v>2.65</v>
      </c>
      <c r="F50" s="90">
        <f t="shared" si="7"/>
        <v>33909.4</v>
      </c>
      <c r="G50" s="17"/>
      <c r="H50" s="88">
        <f>'6. Historical Wholesale'!H50</f>
        <v>12796</v>
      </c>
      <c r="I50" s="89">
        <f t="shared" si="12"/>
        <v>0.64</v>
      </c>
      <c r="J50" s="90">
        <f t="shared" si="8"/>
        <v>8189.4400000000005</v>
      </c>
      <c r="K50" s="17"/>
      <c r="L50" s="88">
        <f>'6. Historical Wholesale'!L50</f>
        <v>12796</v>
      </c>
      <c r="M50" s="89">
        <f t="shared" si="13"/>
        <v>1.5</v>
      </c>
      <c r="N50" s="90">
        <f t="shared" si="9"/>
        <v>19194</v>
      </c>
      <c r="O50" s="17"/>
      <c r="P50" s="47">
        <f t="shared" si="10"/>
        <v>27383.440000000002</v>
      </c>
      <c r="Q50" s="17"/>
    </row>
    <row r="51" spans="2:17" ht="15.75" x14ac:dyDescent="0.25">
      <c r="B51" s="48" t="s">
        <v>136</v>
      </c>
      <c r="C51" s="17"/>
      <c r="D51" s="88">
        <f>'6. Historical Wholesale'!D51</f>
        <v>13457</v>
      </c>
      <c r="E51" s="89">
        <f t="shared" si="11"/>
        <v>2.65</v>
      </c>
      <c r="F51" s="90">
        <f t="shared" si="7"/>
        <v>35661.049999999996</v>
      </c>
      <c r="G51" s="17"/>
      <c r="H51" s="88">
        <f>'6. Historical Wholesale'!H51</f>
        <v>13457</v>
      </c>
      <c r="I51" s="89">
        <f t="shared" si="12"/>
        <v>0.64</v>
      </c>
      <c r="J51" s="90">
        <f t="shared" si="8"/>
        <v>8612.48</v>
      </c>
      <c r="K51" s="17"/>
      <c r="L51" s="88">
        <f>'6. Historical Wholesale'!L51</f>
        <v>13457</v>
      </c>
      <c r="M51" s="89">
        <f t="shared" si="13"/>
        <v>1.5</v>
      </c>
      <c r="N51" s="90">
        <f t="shared" si="9"/>
        <v>20185.5</v>
      </c>
      <c r="O51" s="17"/>
      <c r="P51" s="47">
        <f t="shared" si="10"/>
        <v>28797.98</v>
      </c>
      <c r="Q51" s="17"/>
    </row>
    <row r="52" spans="2:17" ht="15.75" x14ac:dyDescent="0.25">
      <c r="B52" s="48" t="s">
        <v>137</v>
      </c>
      <c r="C52" s="17"/>
      <c r="D52" s="88">
        <f>'6. Historical Wholesale'!D52</f>
        <v>10386</v>
      </c>
      <c r="E52" s="89">
        <f t="shared" si="11"/>
        <v>2.65</v>
      </c>
      <c r="F52" s="90">
        <f t="shared" si="7"/>
        <v>27522.899999999998</v>
      </c>
      <c r="G52" s="17"/>
      <c r="H52" s="88">
        <f>'6. Historical Wholesale'!H52</f>
        <v>10386</v>
      </c>
      <c r="I52" s="89">
        <f t="shared" si="12"/>
        <v>0.64</v>
      </c>
      <c r="J52" s="90">
        <f t="shared" si="8"/>
        <v>6647.04</v>
      </c>
      <c r="K52" s="17"/>
      <c r="L52" s="88">
        <f>'6. Historical Wholesale'!L52</f>
        <v>10386</v>
      </c>
      <c r="M52" s="89">
        <f t="shared" si="13"/>
        <v>1.5</v>
      </c>
      <c r="N52" s="90">
        <f t="shared" si="9"/>
        <v>15579</v>
      </c>
      <c r="O52" s="17"/>
      <c r="P52" s="47">
        <f t="shared" si="10"/>
        <v>22226.04</v>
      </c>
      <c r="Q52" s="17"/>
    </row>
    <row r="53" spans="2:17" ht="15.75" x14ac:dyDescent="0.25">
      <c r="B53" s="48" t="s">
        <v>138</v>
      </c>
      <c r="C53" s="17"/>
      <c r="D53" s="88">
        <f>'6. Historical Wholesale'!D53</f>
        <v>10415</v>
      </c>
      <c r="E53" s="89">
        <f t="shared" si="11"/>
        <v>2.65</v>
      </c>
      <c r="F53" s="90">
        <f t="shared" si="7"/>
        <v>27599.75</v>
      </c>
      <c r="G53" s="17"/>
      <c r="H53" s="88">
        <f>'6. Historical Wholesale'!H53</f>
        <v>10415</v>
      </c>
      <c r="I53" s="89">
        <f t="shared" si="12"/>
        <v>0.64</v>
      </c>
      <c r="J53" s="90">
        <f t="shared" si="8"/>
        <v>6665.6</v>
      </c>
      <c r="K53" s="17"/>
      <c r="L53" s="88">
        <f>'6. Historical Wholesale'!L53</f>
        <v>10415</v>
      </c>
      <c r="M53" s="89">
        <f t="shared" si="13"/>
        <v>1.5</v>
      </c>
      <c r="N53" s="90">
        <f t="shared" si="9"/>
        <v>15622.5</v>
      </c>
      <c r="O53" s="17"/>
      <c r="P53" s="47">
        <f t="shared" si="10"/>
        <v>22288.1</v>
      </c>
      <c r="Q53" s="17"/>
    </row>
    <row r="54" spans="2:17" ht="15.75" x14ac:dyDescent="0.25">
      <c r="B54" s="48" t="s">
        <v>139</v>
      </c>
      <c r="C54" s="17"/>
      <c r="D54" s="88">
        <f>'6. Historical Wholesale'!D54</f>
        <v>12426</v>
      </c>
      <c r="E54" s="89">
        <f t="shared" si="11"/>
        <v>2.65</v>
      </c>
      <c r="F54" s="90">
        <f t="shared" si="7"/>
        <v>32928.9</v>
      </c>
      <c r="G54" s="17"/>
      <c r="H54" s="88">
        <f>'6. Historical Wholesale'!H54</f>
        <v>12426</v>
      </c>
      <c r="I54" s="89">
        <f t="shared" si="12"/>
        <v>0.64</v>
      </c>
      <c r="J54" s="90">
        <f t="shared" si="8"/>
        <v>7952.64</v>
      </c>
      <c r="K54" s="17"/>
      <c r="L54" s="88">
        <f>'6. Historical Wholesale'!L54</f>
        <v>12426</v>
      </c>
      <c r="M54" s="89">
        <f t="shared" si="13"/>
        <v>1.5</v>
      </c>
      <c r="N54" s="90">
        <f t="shared" si="9"/>
        <v>18639</v>
      </c>
      <c r="O54" s="17"/>
      <c r="P54" s="47">
        <f t="shared" si="10"/>
        <v>26591.64</v>
      </c>
      <c r="Q54" s="17"/>
    </row>
    <row r="55" spans="2:17" x14ac:dyDescent="0.2">
      <c r="B55" s="17"/>
      <c r="C55" s="17"/>
      <c r="D55" s="17"/>
      <c r="E55" s="17"/>
      <c r="F55" s="17"/>
      <c r="G55" s="17"/>
      <c r="H55" s="17"/>
      <c r="I55" s="17"/>
      <c r="J55" s="17"/>
      <c r="K55" s="17"/>
      <c r="L55" s="17"/>
      <c r="M55" s="17"/>
      <c r="N55" s="17"/>
      <c r="O55" s="17"/>
      <c r="P55" s="17"/>
      <c r="Q55" s="17"/>
    </row>
    <row r="56" spans="2:17" ht="19.5" thickBot="1" x14ac:dyDescent="0.35">
      <c r="B56" s="49" t="s">
        <v>140</v>
      </c>
      <c r="C56" s="17"/>
      <c r="D56" s="50">
        <f>SUM(D43:D54)</f>
        <v>145799</v>
      </c>
      <c r="E56" s="51">
        <f>IF(D56&lt;&gt;0,F56/D56,0)</f>
        <v>2.6500000000000004</v>
      </c>
      <c r="F56" s="52">
        <f>SUM(F43:F54)</f>
        <v>386367.35000000003</v>
      </c>
      <c r="G56" s="17"/>
      <c r="H56" s="50">
        <f>SUM(H43:H54)</f>
        <v>145799</v>
      </c>
      <c r="I56" s="51">
        <f>IF(H56&lt;&gt;0,J56/H56,0)</f>
        <v>0.64</v>
      </c>
      <c r="J56" s="52">
        <f>SUM(J43:J54)</f>
        <v>93311.360000000001</v>
      </c>
      <c r="K56" s="17"/>
      <c r="L56" s="50">
        <f>SUM(L43:L54)</f>
        <v>145799</v>
      </c>
      <c r="M56" s="51">
        <f>IF(L56&lt;&gt;0,N56/L56,0)</f>
        <v>1.5</v>
      </c>
      <c r="N56" s="52">
        <f>SUM(N43:N54)</f>
        <v>218698.5</v>
      </c>
      <c r="O56" s="17"/>
      <c r="P56" s="52">
        <f>SUM(P43:P54)</f>
        <v>312009.86000000004</v>
      </c>
      <c r="Q56" s="17"/>
    </row>
    <row r="57" spans="2:17" x14ac:dyDescent="0.2">
      <c r="B57" s="17"/>
      <c r="C57" s="17"/>
      <c r="D57" s="17"/>
      <c r="E57" s="17"/>
      <c r="F57" s="17"/>
      <c r="G57" s="17"/>
      <c r="H57" s="17"/>
      <c r="I57" s="17"/>
      <c r="J57" s="17"/>
      <c r="K57" s="17"/>
      <c r="L57" s="17"/>
      <c r="M57" s="17"/>
      <c r="N57" s="17"/>
      <c r="O57" s="17"/>
      <c r="P57" s="17"/>
      <c r="Q57" s="17"/>
    </row>
    <row r="58" spans="2:17" ht="15.75" x14ac:dyDescent="0.2">
      <c r="B58" s="142" t="s">
        <v>140</v>
      </c>
      <c r="C58" s="17"/>
      <c r="D58" s="177" t="s">
        <v>229</v>
      </c>
      <c r="E58" s="177"/>
      <c r="F58" s="177"/>
      <c r="G58" s="141"/>
      <c r="H58" s="177" t="s">
        <v>232</v>
      </c>
      <c r="I58" s="177"/>
      <c r="J58" s="177"/>
      <c r="K58" s="141"/>
      <c r="L58" s="177" t="s">
        <v>231</v>
      </c>
      <c r="M58" s="177"/>
      <c r="N58" s="177"/>
      <c r="O58" s="141"/>
      <c r="P58" s="142" t="s">
        <v>230</v>
      </c>
      <c r="Q58" s="17"/>
    </row>
    <row r="59" spans="2:17" ht="15.75" x14ac:dyDescent="0.25">
      <c r="B59" s="17"/>
      <c r="C59" s="17"/>
      <c r="D59" s="178"/>
      <c r="E59" s="178"/>
      <c r="F59" s="178"/>
      <c r="G59" s="44"/>
      <c r="H59" s="178"/>
      <c r="I59" s="178"/>
      <c r="J59" s="178"/>
      <c r="K59" s="44"/>
      <c r="L59" s="178"/>
      <c r="M59" s="178"/>
      <c r="N59" s="178"/>
      <c r="O59" s="44"/>
      <c r="P59" s="43"/>
      <c r="Q59" s="17"/>
    </row>
    <row r="60" spans="2:17" ht="16.5" x14ac:dyDescent="0.3">
      <c r="B60" s="42" t="s">
        <v>125</v>
      </c>
      <c r="C60" s="17"/>
      <c r="D60" s="46" t="s">
        <v>126</v>
      </c>
      <c r="E60" s="46" t="s">
        <v>115</v>
      </c>
      <c r="F60" s="46" t="s">
        <v>127</v>
      </c>
      <c r="G60" s="29"/>
      <c r="H60" s="46" t="s">
        <v>126</v>
      </c>
      <c r="I60" s="46" t="s">
        <v>115</v>
      </c>
      <c r="J60" s="46" t="s">
        <v>127</v>
      </c>
      <c r="K60" s="29"/>
      <c r="L60" s="46" t="s">
        <v>126</v>
      </c>
      <c r="M60" s="46" t="s">
        <v>115</v>
      </c>
      <c r="N60" s="46" t="s">
        <v>127</v>
      </c>
      <c r="O60" s="29"/>
      <c r="P60" s="46" t="s">
        <v>127</v>
      </c>
      <c r="Q60" s="17"/>
    </row>
    <row r="61" spans="2:17" x14ac:dyDescent="0.2">
      <c r="B61" s="17"/>
      <c r="C61" s="17"/>
      <c r="D61" s="17"/>
      <c r="E61" s="17"/>
      <c r="F61" s="17"/>
      <c r="G61" s="17"/>
      <c r="H61" s="17"/>
      <c r="I61" s="17"/>
      <c r="J61" s="17"/>
      <c r="K61" s="17"/>
      <c r="L61" s="17"/>
      <c r="M61" s="17"/>
      <c r="N61" s="17"/>
      <c r="O61" s="17"/>
      <c r="P61" s="17"/>
      <c r="Q61" s="17"/>
    </row>
    <row r="62" spans="2:17" ht="15.75" x14ac:dyDescent="0.25">
      <c r="B62" s="48" t="s">
        <v>128</v>
      </c>
      <c r="C62" s="17"/>
      <c r="D62" s="53">
        <f t="shared" ref="D62:D73" si="14">D24+D43</f>
        <v>148787</v>
      </c>
      <c r="E62" s="54">
        <f t="shared" ref="E62:E73" si="15">IF(D62&lt;&gt;0,F62/D62,0)</f>
        <v>3.5012722213634255</v>
      </c>
      <c r="F62" s="47">
        <f t="shared" ref="F62:F73" si="16">F24+F43</f>
        <v>520943.79</v>
      </c>
      <c r="G62" s="17"/>
      <c r="H62" s="53">
        <f t="shared" ref="H62:H73" si="17">H24+H43</f>
        <v>151598</v>
      </c>
      <c r="I62" s="54">
        <f t="shared" ref="I62:I73" si="18">IF(H62&lt;&gt;0,J62/H62,0)</f>
        <v>0.78826897452472999</v>
      </c>
      <c r="J62" s="47">
        <f t="shared" ref="J62:J73" si="19">J24+J43</f>
        <v>119500.00000000001</v>
      </c>
      <c r="K62" s="17"/>
      <c r="L62" s="53">
        <f t="shared" ref="L62:L73" si="20">L24+L43</f>
        <v>151598</v>
      </c>
      <c r="M62" s="54">
        <f t="shared" ref="M62:M73" si="21">IF(L62&lt;&gt;0,N62/L62,0)</f>
        <v>1.8336051926806423</v>
      </c>
      <c r="N62" s="47">
        <f t="shared" ref="N62:N73" si="22">N24+N43</f>
        <v>277970.88</v>
      </c>
      <c r="O62" s="17"/>
      <c r="P62" s="47">
        <f t="shared" ref="P62:P73" si="23">J62+N62</f>
        <v>397470.88</v>
      </c>
      <c r="Q62" s="17"/>
    </row>
    <row r="63" spans="2:17" ht="15.75" x14ac:dyDescent="0.25">
      <c r="B63" s="48" t="s">
        <v>129</v>
      </c>
      <c r="C63" s="17"/>
      <c r="D63" s="53">
        <f t="shared" si="14"/>
        <v>152963</v>
      </c>
      <c r="E63" s="54">
        <f t="shared" si="15"/>
        <v>3.5023786798114576</v>
      </c>
      <c r="F63" s="47">
        <f t="shared" si="16"/>
        <v>535734.35</v>
      </c>
      <c r="G63" s="17"/>
      <c r="H63" s="53">
        <f t="shared" si="17"/>
        <v>152963</v>
      </c>
      <c r="I63" s="54">
        <f t="shared" si="18"/>
        <v>0.78823977040199267</v>
      </c>
      <c r="J63" s="47">
        <f t="shared" si="19"/>
        <v>120571.52</v>
      </c>
      <c r="K63" s="17"/>
      <c r="L63" s="53">
        <f t="shared" si="20"/>
        <v>152963</v>
      </c>
      <c r="M63" s="54">
        <f t="shared" si="21"/>
        <v>1.8335394834044836</v>
      </c>
      <c r="N63" s="47">
        <f t="shared" si="22"/>
        <v>280463.7</v>
      </c>
      <c r="O63" s="17"/>
      <c r="P63" s="47">
        <f t="shared" si="23"/>
        <v>401035.22000000003</v>
      </c>
      <c r="Q63" s="17"/>
    </row>
    <row r="64" spans="2:17" ht="15.75" x14ac:dyDescent="0.25">
      <c r="B64" s="48" t="s">
        <v>130</v>
      </c>
      <c r="C64" s="17"/>
      <c r="D64" s="53">
        <f t="shared" si="14"/>
        <v>137099</v>
      </c>
      <c r="E64" s="54">
        <f t="shared" si="15"/>
        <v>3.4951043406589397</v>
      </c>
      <c r="F64" s="47">
        <f t="shared" si="16"/>
        <v>479175.31</v>
      </c>
      <c r="G64" s="17"/>
      <c r="H64" s="53">
        <f t="shared" si="17"/>
        <v>145488</v>
      </c>
      <c r="I64" s="54">
        <f t="shared" si="18"/>
        <v>0.78772572308369071</v>
      </c>
      <c r="J64" s="47">
        <f t="shared" si="19"/>
        <v>114604.64</v>
      </c>
      <c r="K64" s="17"/>
      <c r="L64" s="53">
        <f t="shared" si="20"/>
        <v>145488</v>
      </c>
      <c r="M64" s="54">
        <f t="shared" si="21"/>
        <v>1.8323828769383039</v>
      </c>
      <c r="N64" s="47">
        <f t="shared" si="22"/>
        <v>266589.71999999997</v>
      </c>
      <c r="O64" s="17"/>
      <c r="P64" s="47">
        <f t="shared" si="23"/>
        <v>381194.36</v>
      </c>
      <c r="Q64" s="17"/>
    </row>
    <row r="65" spans="2:17" ht="15.75" x14ac:dyDescent="0.25">
      <c r="B65" s="48" t="s">
        <v>131</v>
      </c>
      <c r="C65" s="17"/>
      <c r="D65" s="53">
        <f t="shared" si="14"/>
        <v>110343</v>
      </c>
      <c r="E65" s="54">
        <f t="shared" si="15"/>
        <v>3.4883911983542228</v>
      </c>
      <c r="F65" s="47">
        <f t="shared" si="16"/>
        <v>384919.55</v>
      </c>
      <c r="G65" s="17"/>
      <c r="H65" s="53">
        <f t="shared" si="17"/>
        <v>130376</v>
      </c>
      <c r="I65" s="54">
        <f t="shared" si="18"/>
        <v>0.78798797324660985</v>
      </c>
      <c r="J65" s="47">
        <f t="shared" si="19"/>
        <v>102734.72</v>
      </c>
      <c r="K65" s="17"/>
      <c r="L65" s="53">
        <f t="shared" si="20"/>
        <v>130376</v>
      </c>
      <c r="M65" s="54">
        <f t="shared" si="21"/>
        <v>1.8329729398048722</v>
      </c>
      <c r="N65" s="47">
        <f t="shared" si="22"/>
        <v>238975.68000000002</v>
      </c>
      <c r="O65" s="17"/>
      <c r="P65" s="47">
        <f t="shared" si="23"/>
        <v>341710.4</v>
      </c>
      <c r="Q65" s="17"/>
    </row>
    <row r="66" spans="2:17" ht="15.75" x14ac:dyDescent="0.25">
      <c r="B66" s="48" t="s">
        <v>132</v>
      </c>
      <c r="C66" s="17"/>
      <c r="D66" s="53">
        <f t="shared" si="14"/>
        <v>125967</v>
      </c>
      <c r="E66" s="54">
        <f t="shared" si="15"/>
        <v>3.4778444354473792</v>
      </c>
      <c r="F66" s="47">
        <f t="shared" si="16"/>
        <v>438093.63</v>
      </c>
      <c r="G66" s="17"/>
      <c r="H66" s="53">
        <f t="shared" si="17"/>
        <v>156391</v>
      </c>
      <c r="I66" s="54">
        <f t="shared" si="18"/>
        <v>0.78709081724651686</v>
      </c>
      <c r="J66" s="47">
        <f t="shared" si="19"/>
        <v>123093.92000000001</v>
      </c>
      <c r="K66" s="17"/>
      <c r="L66" s="53">
        <f t="shared" si="20"/>
        <v>156391</v>
      </c>
      <c r="M66" s="54">
        <f t="shared" si="21"/>
        <v>1.830954338804663</v>
      </c>
      <c r="N66" s="47">
        <f t="shared" si="22"/>
        <v>286344.78000000003</v>
      </c>
      <c r="O66" s="17"/>
      <c r="P66" s="47">
        <f t="shared" si="23"/>
        <v>409438.70000000007</v>
      </c>
      <c r="Q66" s="17"/>
    </row>
    <row r="67" spans="2:17" ht="15.75" x14ac:dyDescent="0.25">
      <c r="B67" s="48" t="s">
        <v>133</v>
      </c>
      <c r="C67" s="17"/>
      <c r="D67" s="53">
        <f t="shared" si="14"/>
        <v>143184</v>
      </c>
      <c r="E67" s="54">
        <f t="shared" si="15"/>
        <v>3.4732221477260028</v>
      </c>
      <c r="F67" s="47">
        <f t="shared" si="16"/>
        <v>497309.83999999997</v>
      </c>
      <c r="G67" s="17"/>
      <c r="H67" s="53">
        <f t="shared" si="17"/>
        <v>173735</v>
      </c>
      <c r="I67" s="54">
        <f t="shared" si="18"/>
        <v>0.78612875931735127</v>
      </c>
      <c r="J67" s="47">
        <f t="shared" si="19"/>
        <v>136578.08000000002</v>
      </c>
      <c r="K67" s="17"/>
      <c r="L67" s="53">
        <f t="shared" si="20"/>
        <v>173735</v>
      </c>
      <c r="M67" s="54">
        <f t="shared" si="21"/>
        <v>1.8287897084640403</v>
      </c>
      <c r="N67" s="47">
        <f t="shared" si="22"/>
        <v>317724.78000000003</v>
      </c>
      <c r="O67" s="17"/>
      <c r="P67" s="47">
        <f t="shared" si="23"/>
        <v>454302.86000000004</v>
      </c>
      <c r="Q67" s="17"/>
    </row>
    <row r="68" spans="2:17" ht="15.75" x14ac:dyDescent="0.25">
      <c r="B68" s="48" t="s">
        <v>134</v>
      </c>
      <c r="C68" s="17"/>
      <c r="D68" s="53">
        <f t="shared" si="14"/>
        <v>153952</v>
      </c>
      <c r="E68" s="54">
        <f t="shared" si="15"/>
        <v>3.4783776761588023</v>
      </c>
      <c r="F68" s="47">
        <f t="shared" si="16"/>
        <v>535503.19999999995</v>
      </c>
      <c r="G68" s="17"/>
      <c r="H68" s="53">
        <f t="shared" si="17"/>
        <v>193359</v>
      </c>
      <c r="I68" s="54">
        <f t="shared" si="18"/>
        <v>0.7873131325668834</v>
      </c>
      <c r="J68" s="47">
        <f t="shared" si="19"/>
        <v>152234.08000000002</v>
      </c>
      <c r="K68" s="17"/>
      <c r="L68" s="53">
        <f t="shared" si="20"/>
        <v>193359</v>
      </c>
      <c r="M68" s="54">
        <f t="shared" si="21"/>
        <v>1.8314545482754878</v>
      </c>
      <c r="N68" s="47">
        <f t="shared" si="22"/>
        <v>354128.22000000003</v>
      </c>
      <c r="O68" s="17"/>
      <c r="P68" s="47">
        <f t="shared" si="23"/>
        <v>506362.30000000005</v>
      </c>
      <c r="Q68" s="17"/>
    </row>
    <row r="69" spans="2:17" ht="15.75" x14ac:dyDescent="0.25">
      <c r="B69" s="48" t="s">
        <v>135</v>
      </c>
      <c r="C69" s="17"/>
      <c r="D69" s="53">
        <f t="shared" si="14"/>
        <v>143043</v>
      </c>
      <c r="E69" s="54">
        <f t="shared" si="15"/>
        <v>3.4877008312185844</v>
      </c>
      <c r="F69" s="47">
        <f t="shared" si="16"/>
        <v>498891.19</v>
      </c>
      <c r="G69" s="17"/>
      <c r="H69" s="53">
        <f t="shared" si="17"/>
        <v>171449</v>
      </c>
      <c r="I69" s="54">
        <f t="shared" si="18"/>
        <v>0.78805848969664449</v>
      </c>
      <c r="J69" s="47">
        <f t="shared" si="19"/>
        <v>135111.84</v>
      </c>
      <c r="K69" s="17"/>
      <c r="L69" s="53">
        <f t="shared" si="20"/>
        <v>171449</v>
      </c>
      <c r="M69" s="54">
        <f t="shared" si="21"/>
        <v>1.8331316018174502</v>
      </c>
      <c r="N69" s="47">
        <f t="shared" si="22"/>
        <v>314288.58</v>
      </c>
      <c r="O69" s="17"/>
      <c r="P69" s="47">
        <f t="shared" si="23"/>
        <v>449400.42000000004</v>
      </c>
      <c r="Q69" s="17"/>
    </row>
    <row r="70" spans="2:17" ht="15.75" x14ac:dyDescent="0.25">
      <c r="B70" s="48" t="s">
        <v>136</v>
      </c>
      <c r="C70" s="17"/>
      <c r="D70" s="53">
        <f t="shared" si="14"/>
        <v>149815</v>
      </c>
      <c r="E70" s="54">
        <f t="shared" si="15"/>
        <v>3.4873618129025798</v>
      </c>
      <c r="F70" s="47">
        <f t="shared" si="16"/>
        <v>522459.11</v>
      </c>
      <c r="G70" s="17"/>
      <c r="H70" s="53">
        <f t="shared" si="17"/>
        <v>178760</v>
      </c>
      <c r="I70" s="54">
        <f t="shared" si="18"/>
        <v>0.78795524725889465</v>
      </c>
      <c r="J70" s="47">
        <f t="shared" si="19"/>
        <v>140854.88</v>
      </c>
      <c r="K70" s="17"/>
      <c r="L70" s="53">
        <f t="shared" si="20"/>
        <v>178760</v>
      </c>
      <c r="M70" s="54">
        <f t="shared" si="21"/>
        <v>1.832899306332513</v>
      </c>
      <c r="N70" s="47">
        <f t="shared" si="22"/>
        <v>327649.08</v>
      </c>
      <c r="O70" s="17"/>
      <c r="P70" s="47">
        <f t="shared" si="23"/>
        <v>468503.96</v>
      </c>
      <c r="Q70" s="17"/>
    </row>
    <row r="71" spans="2:17" ht="15.75" x14ac:dyDescent="0.25">
      <c r="B71" s="48" t="s">
        <v>137</v>
      </c>
      <c r="C71" s="17"/>
      <c r="D71" s="53">
        <f t="shared" si="14"/>
        <v>122657</v>
      </c>
      <c r="E71" s="54">
        <f t="shared" si="15"/>
        <v>3.4920988610515504</v>
      </c>
      <c r="F71" s="47">
        <f t="shared" si="16"/>
        <v>428330.37</v>
      </c>
      <c r="G71" s="17"/>
      <c r="H71" s="53">
        <f t="shared" si="17"/>
        <v>133082</v>
      </c>
      <c r="I71" s="54">
        <f t="shared" si="18"/>
        <v>0.78751326249981213</v>
      </c>
      <c r="J71" s="47">
        <f t="shared" si="19"/>
        <v>104803.84</v>
      </c>
      <c r="K71" s="17"/>
      <c r="L71" s="53">
        <f t="shared" si="20"/>
        <v>133082</v>
      </c>
      <c r="M71" s="54">
        <f t="shared" si="21"/>
        <v>1.8319048406245773</v>
      </c>
      <c r="N71" s="47">
        <f t="shared" si="22"/>
        <v>243793.56</v>
      </c>
      <c r="O71" s="17"/>
      <c r="P71" s="47">
        <f t="shared" si="23"/>
        <v>348597.4</v>
      </c>
      <c r="Q71" s="17"/>
    </row>
    <row r="72" spans="2:17" ht="15.75" x14ac:dyDescent="0.25">
      <c r="B72" s="48" t="s">
        <v>138</v>
      </c>
      <c r="C72" s="17"/>
      <c r="D72" s="53">
        <f t="shared" si="14"/>
        <v>140079</v>
      </c>
      <c r="E72" s="54">
        <f t="shared" si="15"/>
        <v>3.501597170168262</v>
      </c>
      <c r="F72" s="47">
        <f t="shared" si="16"/>
        <v>490500.23</v>
      </c>
      <c r="G72" s="17"/>
      <c r="H72" s="53">
        <f t="shared" si="17"/>
        <v>145379</v>
      </c>
      <c r="I72" s="54">
        <f t="shared" si="18"/>
        <v>0.78853754668831133</v>
      </c>
      <c r="J72" s="47">
        <f t="shared" si="19"/>
        <v>114636.80000000002</v>
      </c>
      <c r="K72" s="17"/>
      <c r="L72" s="53">
        <f t="shared" si="20"/>
        <v>145379</v>
      </c>
      <c r="M72" s="54">
        <f t="shared" si="21"/>
        <v>1.8342094800487005</v>
      </c>
      <c r="N72" s="47">
        <f t="shared" si="22"/>
        <v>266655.54000000004</v>
      </c>
      <c r="O72" s="17"/>
      <c r="P72" s="47">
        <f t="shared" si="23"/>
        <v>381292.34000000008</v>
      </c>
      <c r="Q72" s="17"/>
    </row>
    <row r="73" spans="2:17" ht="15.75" x14ac:dyDescent="0.25">
      <c r="B73" s="48" t="s">
        <v>139</v>
      </c>
      <c r="C73" s="17"/>
      <c r="D73" s="53">
        <f t="shared" si="14"/>
        <v>144881</v>
      </c>
      <c r="E73" s="54">
        <f t="shared" si="15"/>
        <v>3.4910944154167902</v>
      </c>
      <c r="F73" s="47">
        <f t="shared" si="16"/>
        <v>505793.25</v>
      </c>
      <c r="G73" s="17"/>
      <c r="H73" s="53">
        <f t="shared" si="17"/>
        <v>162284</v>
      </c>
      <c r="I73" s="54">
        <f t="shared" si="18"/>
        <v>0.78774888467131698</v>
      </c>
      <c r="J73" s="47">
        <f t="shared" si="19"/>
        <v>127839.04000000001</v>
      </c>
      <c r="K73" s="17"/>
      <c r="L73" s="53">
        <f t="shared" si="20"/>
        <v>162284</v>
      </c>
      <c r="M73" s="54">
        <f t="shared" si="21"/>
        <v>1.8324349905104631</v>
      </c>
      <c r="N73" s="47">
        <f t="shared" si="22"/>
        <v>297374.88</v>
      </c>
      <c r="O73" s="17"/>
      <c r="P73" s="47">
        <f t="shared" si="23"/>
        <v>425213.92000000004</v>
      </c>
      <c r="Q73" s="17"/>
    </row>
    <row r="74" spans="2:17" x14ac:dyDescent="0.2">
      <c r="B74" s="17"/>
      <c r="C74" s="17"/>
      <c r="D74" s="17"/>
      <c r="E74" s="17"/>
      <c r="F74" s="17"/>
      <c r="G74" s="17"/>
      <c r="H74" s="17"/>
      <c r="I74" s="17"/>
      <c r="J74" s="17"/>
      <c r="K74" s="17"/>
      <c r="L74" s="17"/>
      <c r="M74" s="17"/>
      <c r="N74" s="17"/>
      <c r="O74" s="17"/>
      <c r="P74" s="47"/>
      <c r="Q74" s="17"/>
    </row>
    <row r="75" spans="2:17" ht="19.5" thickBot="1" x14ac:dyDescent="0.35">
      <c r="B75" s="49" t="s">
        <v>140</v>
      </c>
      <c r="C75" s="17"/>
      <c r="D75" s="50">
        <f>SUM(D62:D73)</f>
        <v>1672770</v>
      </c>
      <c r="E75" s="51">
        <f>IF(D75&lt;&gt;0,F75/D75,0)</f>
        <v>3.4898125982651531</v>
      </c>
      <c r="F75" s="52">
        <f>SUM(F62:F73)</f>
        <v>5837653.8200000003</v>
      </c>
      <c r="G75" s="17"/>
      <c r="H75" s="50">
        <f>SUM(H62:H73)</f>
        <v>1894864</v>
      </c>
      <c r="I75" s="51">
        <f>IF(H75&lt;&gt;0,J75/H75,0)</f>
        <v>0.78768891065532953</v>
      </c>
      <c r="J75" s="52">
        <f>SUM(J62:J73)</f>
        <v>1492563.3600000003</v>
      </c>
      <c r="K75" s="17"/>
      <c r="L75" s="50">
        <f>SUM(L62:L73)</f>
        <v>1894864</v>
      </c>
      <c r="M75" s="51">
        <f>IF(L75&lt;&gt;0,N75/L75,0)</f>
        <v>1.8323000489744909</v>
      </c>
      <c r="N75" s="52">
        <f>SUM(N62:N73)</f>
        <v>3471959.4</v>
      </c>
      <c r="O75" s="17"/>
      <c r="P75" s="52">
        <f>SUM(P62:P73)</f>
        <v>4964522.76</v>
      </c>
      <c r="Q75" s="17"/>
    </row>
  </sheetData>
  <sheetProtection password="F8BD" sheet="1" objects="1" scenarios="1"/>
  <mergeCells count="16">
    <mergeCell ref="H59:J59"/>
    <mergeCell ref="L59:N59"/>
    <mergeCell ref="D21:F21"/>
    <mergeCell ref="H21:J21"/>
    <mergeCell ref="L21:N21"/>
    <mergeCell ref="D59:F59"/>
    <mergeCell ref="D58:F58"/>
    <mergeCell ref="H58:J58"/>
    <mergeCell ref="L58:N58"/>
    <mergeCell ref="B13:M13"/>
    <mergeCell ref="D20:F20"/>
    <mergeCell ref="H20:J20"/>
    <mergeCell ref="L20:N20"/>
    <mergeCell ref="D39:F39"/>
    <mergeCell ref="H39:J39"/>
    <mergeCell ref="L39:N39"/>
  </mergeCells>
  <phoneticPr fontId="21" type="noConversion"/>
  <pageMargins left="0.75" right="0.47" top="1" bottom="0.37" header="0.5" footer="0.17"/>
  <pageSetup scale="52" orientation="portrait" r:id="rId1"/>
  <headerFooter alignWithMargins="0">
    <oddFooter>&amp;C&amp;A</oddFooter>
  </headerFooter>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R56"/>
  <sheetViews>
    <sheetView showGridLines="0" topLeftCell="B1" workbookViewId="0">
      <pane ySplit="23" topLeftCell="A24" activePane="bottomLeft" state="frozenSplit"/>
      <selection pane="bottomLeft" activeCell="B51" sqref="B1:S51"/>
    </sheetView>
  </sheetViews>
  <sheetFormatPr defaultRowHeight="12.75" x14ac:dyDescent="0.2"/>
  <cols>
    <col min="1" max="1" width="13.7109375" hidden="1" customWidth="1"/>
    <col min="2" max="2" width="32.28515625" customWidth="1"/>
    <col min="3" max="3" width="16" customWidth="1"/>
    <col min="5" max="5" width="3.42578125" customWidth="1"/>
    <col min="6" max="6" width="16.140625" customWidth="1"/>
    <col min="7" max="7" width="2.5703125" customWidth="1"/>
    <col min="8" max="8" width="16.140625" customWidth="1"/>
    <col min="9" max="9" width="2.5703125" customWidth="1"/>
    <col min="10" max="10" width="16.140625" customWidth="1"/>
    <col min="11" max="11" width="2.5703125" customWidth="1"/>
    <col min="12" max="12" width="14.5703125" customWidth="1"/>
    <col min="13" max="13" width="2.5703125" customWidth="1"/>
    <col min="14" max="14" width="11.5703125" customWidth="1"/>
    <col min="15" max="15" width="2.5703125" customWidth="1"/>
    <col min="16" max="16" width="14.28515625" customWidth="1"/>
    <col min="17" max="17" width="2.5703125" customWidth="1"/>
    <col min="18" max="18" width="14.42578125" customWidth="1"/>
  </cols>
  <sheetData>
    <row r="13" spans="2:18" ht="15.75" x14ac:dyDescent="0.25">
      <c r="B13" s="140" t="s">
        <v>225</v>
      </c>
    </row>
    <row r="15" spans="2:18" ht="3" customHeight="1" x14ac:dyDescent="0.2"/>
    <row r="16" spans="2:18" ht="3" customHeight="1" x14ac:dyDescent="0.2">
      <c r="B16" s="131"/>
      <c r="C16" s="139"/>
      <c r="D16" s="139"/>
      <c r="E16" s="136"/>
      <c r="F16" s="139"/>
      <c r="G16" s="132"/>
      <c r="H16" s="139"/>
      <c r="I16" s="136"/>
      <c r="J16" s="139"/>
      <c r="K16" s="132"/>
      <c r="L16" s="139"/>
      <c r="M16" s="139"/>
      <c r="N16" s="139"/>
      <c r="O16" s="139"/>
      <c r="P16" s="139"/>
      <c r="Q16" s="139"/>
      <c r="R16" s="139"/>
    </row>
    <row r="17" spans="2:18" ht="3" customHeight="1" x14ac:dyDescent="0.2"/>
    <row r="18" spans="2:18" ht="3" customHeight="1" x14ac:dyDescent="0.2"/>
    <row r="19" spans="2:18" ht="3" customHeight="1" x14ac:dyDescent="0.2"/>
    <row r="20" spans="2:18" ht="3" customHeight="1" x14ac:dyDescent="0.2"/>
    <row r="21" spans="2:18" ht="16.5" x14ac:dyDescent="0.3">
      <c r="B21" s="9"/>
      <c r="D21" s="11"/>
      <c r="E21" s="5"/>
      <c r="F21" s="12"/>
      <c r="G21" s="12"/>
      <c r="H21" s="5"/>
      <c r="I21" s="5"/>
      <c r="J21" s="5"/>
      <c r="K21" s="11"/>
    </row>
    <row r="22" spans="2:18" ht="47.25" x14ac:dyDescent="0.2">
      <c r="B22" s="131" t="s">
        <v>209</v>
      </c>
      <c r="C22" s="139"/>
      <c r="D22" s="139" t="s">
        <v>210</v>
      </c>
      <c r="E22" s="136"/>
      <c r="F22" s="139" t="s">
        <v>226</v>
      </c>
      <c r="G22" s="132"/>
      <c r="H22" s="139" t="s">
        <v>215</v>
      </c>
      <c r="I22" s="136"/>
      <c r="J22" s="139" t="s">
        <v>216</v>
      </c>
      <c r="K22" s="132"/>
      <c r="L22" s="139" t="s">
        <v>217</v>
      </c>
      <c r="M22" s="139"/>
      <c r="N22" s="139" t="s">
        <v>218</v>
      </c>
      <c r="O22" s="139"/>
      <c r="P22" s="139" t="s">
        <v>223</v>
      </c>
      <c r="Q22" s="139"/>
      <c r="R22" s="139" t="s">
        <v>211</v>
      </c>
    </row>
    <row r="25" spans="2:18" ht="25.5" customHeight="1" thickBot="1" x14ac:dyDescent="0.25">
      <c r="B25" s="15" t="str">
        <f>IF('3. Rate Classes'!Q24=1,'3. Rate Classes'!C24, 0)</f>
        <v>Residential</v>
      </c>
      <c r="C25" s="8"/>
      <c r="D25" s="16" t="str">
        <f>IF(ISERROR(VLOOKUP($B25, '3. Rate Classes'!$C$24:$H$45,6,0)), "", VLOOKUP($B25, '3. Rate Classes'!$C$24:$H$45,6,0))</f>
        <v>kWh</v>
      </c>
      <c r="F25" s="70">
        <f>IF(ISERROR(VLOOKUP($B25,'3. Rate Classes'!$C$24:$N$45, 8,0)), "", VLOOKUP($B25,'3. Rate Classes'!$C$24:$N$45, 8,0))</f>
        <v>6.7999999999999996E-3</v>
      </c>
      <c r="G25" s="64"/>
      <c r="H25" s="64">
        <f>VLOOKUP('9. Adj Network to Current WS'!$B25, '4. RRR Data'!$B$27:$M$49,11,0)</f>
        <v>272189552.4048</v>
      </c>
      <c r="I25" s="72"/>
      <c r="J25" s="64">
        <f>VLOOKUP('9. Adj Network to Current WS'!$B25, '4. RRR Data'!$B$27:$M$49,12,0)</f>
        <v>0</v>
      </c>
      <c r="K25" s="58"/>
      <c r="L25" s="60">
        <f>IF(F25="", "", IF(D25="kWh", F25*H25, F25*J25))</f>
        <v>1850888.9563526399</v>
      </c>
      <c r="M25" s="55"/>
      <c r="N25" s="61">
        <f>IF(ISERROR(L25/$L$49), "", L25/$L$49)</f>
        <v>0.29160134790505876</v>
      </c>
      <c r="O25" s="13"/>
      <c r="P25" s="62">
        <f>IF(ISERROR('7. Current Wholesale'!$F$75*N25), "", '7. Current Wholesale'!$F$75*N25)</f>
        <v>1702267.7225151153</v>
      </c>
      <c r="R25" s="63">
        <f>IF(D25="","",IF(D25="kWh",IF(H25&lt;&gt;0,P25/H25,),IF(J25&lt;&gt;0,P25/J25,0)))</f>
        <v>6.2539789182778941E-3</v>
      </c>
    </row>
    <row r="26" spans="2:18" ht="25.5" customHeight="1" thickBot="1" x14ac:dyDescent="0.25">
      <c r="B26" s="15" t="str">
        <f>IF('3. Rate Classes'!Q25=1,'3. Rate Classes'!C25, 0)</f>
        <v>General Service Less Than 50 kW</v>
      </c>
      <c r="C26" s="8"/>
      <c r="D26" s="16" t="str">
        <f>IF(ISERROR(VLOOKUP($B26, '3. Rate Classes'!$C$24:$H$45,6,0)), "", VLOOKUP($B26, '3. Rate Classes'!$C$24:$H$45,6,0))</f>
        <v>kWh</v>
      </c>
      <c r="F26" s="70">
        <f>IF(ISERROR(VLOOKUP($B26,'3. Rate Classes'!$C$24:$N$45, 8,0)), "", VLOOKUP($B26,'3. Rate Classes'!$C$24:$N$45, 8,0))</f>
        <v>6.3E-3</v>
      </c>
      <c r="G26" s="64"/>
      <c r="H26" s="64">
        <f>VLOOKUP('9. Adj Network to Current WS'!$B26, '4. RRR Data'!$B$27:$M$49,11,0)</f>
        <v>112024222.87800001</v>
      </c>
      <c r="I26" s="72"/>
      <c r="J26" s="64">
        <f>VLOOKUP('9. Adj Network to Current WS'!$B26, '4. RRR Data'!$B$27:$M$49,12,0)</f>
        <v>0</v>
      </c>
      <c r="K26" s="59"/>
      <c r="L26" s="60">
        <f t="shared" ref="L26:L46" si="0">IF(F26="", "", IF(D26="kWh", F26*H26, F26*J26))</f>
        <v>705752.6041314</v>
      </c>
      <c r="M26" s="55"/>
      <c r="N26" s="61">
        <f t="shared" ref="N26:N46" si="1">IF(ISERROR(L26/$L$49), "", L26/$L$49)</f>
        <v>0.11118895595863716</v>
      </c>
      <c r="P26" s="62">
        <f>IF(ISERROR('7. Current Wholesale'!$F$75*N26), "", '7. Current Wholesale'!$F$75*N26)</f>
        <v>649082.63349375001</v>
      </c>
      <c r="R26" s="63">
        <f t="shared" ref="R26:R46" si="2">IF(D26="","",IF(D26="kWh",IF(H26&lt;&gt;0,P26/H26,),IF(J26&lt;&gt;0,P26/J26,0)))</f>
        <v>5.794127527228049E-3</v>
      </c>
    </row>
    <row r="27" spans="2:18" ht="25.5" customHeight="1" thickBot="1" x14ac:dyDescent="0.25">
      <c r="B27" s="15" t="str">
        <f>IF('3. Rate Classes'!Q26=1,'3. Rate Classes'!C26, 0)</f>
        <v>General Service 50 to 999 kW</v>
      </c>
      <c r="C27" s="8"/>
      <c r="D27" s="16" t="str">
        <f>IF(ISERROR(VLOOKUP($B27, '3. Rate Classes'!$C$24:$H$45,6,0)), "", VLOOKUP($B27, '3. Rate Classes'!$C$24:$H$45,6,0))</f>
        <v>kW</v>
      </c>
      <c r="F27" s="70">
        <f>IF(ISERROR(VLOOKUP($B27,'3. Rate Classes'!$C$24:$N$45, 8,0)), "", VLOOKUP($B27,'3. Rate Classes'!$C$24:$N$45, 8,0))</f>
        <v>2.5648</v>
      </c>
      <c r="G27" s="64"/>
      <c r="H27" s="64">
        <f>VLOOKUP('9. Adj Network to Current WS'!$B27, '4. RRR Data'!$B$27:$M$49,11,0)</f>
        <v>225654890</v>
      </c>
      <c r="I27" s="72"/>
      <c r="J27" s="64">
        <f>VLOOKUP('9. Adj Network to Current WS'!$B27, '4. RRR Data'!$B$27:$M$49,12,0)</f>
        <v>617147</v>
      </c>
      <c r="K27" s="59"/>
      <c r="L27" s="60">
        <f t="shared" si="0"/>
        <v>1582858.6255999999</v>
      </c>
      <c r="M27" s="55"/>
      <c r="N27" s="61">
        <f t="shared" si="1"/>
        <v>0.24937406816542129</v>
      </c>
      <c r="P27" s="62">
        <f>IF(ISERROR('7. Current Wholesale'!$F$75*N27), "", '7. Current Wholesale'!$F$75*N27)</f>
        <v>1455759.481634812</v>
      </c>
      <c r="R27" s="63">
        <f t="shared" si="2"/>
        <v>2.3588536955292856</v>
      </c>
    </row>
    <row r="28" spans="2:18" ht="25.5" customHeight="1" thickBot="1" x14ac:dyDescent="0.25">
      <c r="B28" s="15" t="str">
        <f>IF('3. Rate Classes'!Q27=1,'3. Rate Classes'!C27, 0)</f>
        <v>General Service 1,000 to 4,999 kW</v>
      </c>
      <c r="C28" s="8"/>
      <c r="D28" s="16" t="str">
        <f>IF(ISERROR(VLOOKUP($B28, '3. Rate Classes'!$C$24:$H$45,6,0)), "", VLOOKUP($B28, '3. Rate Classes'!$C$24:$H$45,6,0))</f>
        <v>kW</v>
      </c>
      <c r="F28" s="70">
        <f>IF(ISERROR(VLOOKUP($B28,'3. Rate Classes'!$C$24:$N$45, 8,0)), "", VLOOKUP($B28,'3. Rate Classes'!$C$24:$N$45, 8,0))</f>
        <v>2.7241</v>
      </c>
      <c r="G28" s="64"/>
      <c r="H28" s="64">
        <f>VLOOKUP('9. Adj Network to Current WS'!$B28, '4. RRR Data'!$B$27:$M$49,11,0)</f>
        <v>163185559</v>
      </c>
      <c r="I28" s="72"/>
      <c r="J28" s="64">
        <f>VLOOKUP('9. Adj Network to Current WS'!$B28, '4. RRR Data'!$B$27:$M$49,12,0)</f>
        <v>342743</v>
      </c>
      <c r="K28" s="59"/>
      <c r="L28" s="60">
        <f t="shared" si="0"/>
        <v>933666.20629999996</v>
      </c>
      <c r="M28" s="55"/>
      <c r="N28" s="61">
        <f t="shared" si="1"/>
        <v>0.14709597964590737</v>
      </c>
      <c r="P28" s="62">
        <f>IF(ISERROR('7. Current Wholesale'!$F$75*N28), "", '7. Current Wholesale'!$F$75*N28)</f>
        <v>858695.40748657344</v>
      </c>
      <c r="R28" s="63">
        <f t="shared" si="2"/>
        <v>2.5053623487177665</v>
      </c>
    </row>
    <row r="29" spans="2:18" ht="25.5" customHeight="1" thickBot="1" x14ac:dyDescent="0.25">
      <c r="B29" s="15" t="str">
        <f>IF('3. Rate Classes'!Q28=1,'3. Rate Classes'!C28, 0)</f>
        <v>Large Use</v>
      </c>
      <c r="C29" s="8"/>
      <c r="D29" s="16" t="str">
        <f>IF(ISERROR(VLOOKUP($B29, '3. Rate Classes'!$C$24:$H$45,6,0)), "", VLOOKUP($B29, '3. Rate Classes'!$C$24:$H$45,6,0))</f>
        <v>kW</v>
      </c>
      <c r="F29" s="70">
        <f>IF(ISERROR(VLOOKUP($B29,'3. Rate Classes'!$C$24:$N$45, 8,0)), "", VLOOKUP($B29,'3. Rate Classes'!$C$24:$N$45, 8,0))</f>
        <v>3.0162</v>
      </c>
      <c r="G29" s="64"/>
      <c r="H29" s="64">
        <f>VLOOKUP('9. Adj Network to Current WS'!$B29, '4. RRR Data'!$B$27:$M$49,11,0)</f>
        <v>253616043</v>
      </c>
      <c r="I29" s="72"/>
      <c r="J29" s="64">
        <f>VLOOKUP('9. Adj Network to Current WS'!$B29, '4. RRR Data'!$B$27:$M$49,12,0)</f>
        <v>401335</v>
      </c>
      <c r="K29" s="59"/>
      <c r="L29" s="60">
        <f t="shared" si="0"/>
        <v>1210506.6270000001</v>
      </c>
      <c r="M29" s="55"/>
      <c r="N29" s="61">
        <f t="shared" si="1"/>
        <v>0.19071125951110479</v>
      </c>
      <c r="P29" s="62">
        <f>IF(ISERROR('7. Current Wholesale'!$F$75*N29), "", '7. Current Wholesale'!$F$75*N29)</f>
        <v>1113306.3126020122</v>
      </c>
      <c r="R29" s="63">
        <f t="shared" si="2"/>
        <v>2.7740075313690862</v>
      </c>
    </row>
    <row r="30" spans="2:18" ht="25.5" customHeight="1" thickBot="1" x14ac:dyDescent="0.25">
      <c r="B30" s="15" t="str">
        <f>IF('3. Rate Classes'!Q29=1,'3. Rate Classes'!C29, 0)</f>
        <v>Unmetered Scattered Load</v>
      </c>
      <c r="C30" s="8"/>
      <c r="D30" s="16" t="str">
        <f>IF(ISERROR(VLOOKUP($B30, '3. Rate Classes'!$C$24:$H$45,6,0)), "", VLOOKUP($B30, '3. Rate Classes'!$C$24:$H$45,6,0))</f>
        <v>kWh</v>
      </c>
      <c r="F30" s="70">
        <f>IF(ISERROR(VLOOKUP($B30,'3. Rate Classes'!$C$24:$N$45, 8,0)), "", VLOOKUP($B30,'3. Rate Classes'!$C$24:$N$45, 8,0))</f>
        <v>6.3E-3</v>
      </c>
      <c r="G30" s="64"/>
      <c r="H30" s="64">
        <f>VLOOKUP('9. Adj Network to Current WS'!$B30, '4. RRR Data'!$B$27:$M$49,11,0)</f>
        <v>2253843.594</v>
      </c>
      <c r="I30" s="72"/>
      <c r="J30" s="64">
        <f>VLOOKUP('9. Adj Network to Current WS'!$B30, '4. RRR Data'!$B$27:$M$49,12,0)</f>
        <v>0</v>
      </c>
      <c r="K30" s="59"/>
      <c r="L30" s="60">
        <f t="shared" si="0"/>
        <v>14199.214642200001</v>
      </c>
      <c r="M30" s="55"/>
      <c r="N30" s="61">
        <f t="shared" si="1"/>
        <v>2.2370386481845202E-3</v>
      </c>
      <c r="P30" s="62">
        <f>IF(ISERROR('7. Current Wholesale'!$F$75*N30), "", '7. Current Wholesale'!$F$75*N30)</f>
        <v>13059.057210062001</v>
      </c>
      <c r="R30" s="63">
        <f t="shared" si="2"/>
        <v>5.7941275272280499E-3</v>
      </c>
    </row>
    <row r="31" spans="2:18" ht="25.5" customHeight="1" thickBot="1" x14ac:dyDescent="0.25">
      <c r="B31" s="15" t="str">
        <f>IF('3. Rate Classes'!Q30=1,'3. Rate Classes'!C30, 0)</f>
        <v>Sentinel Lighting</v>
      </c>
      <c r="C31" s="8"/>
      <c r="D31" s="16" t="str">
        <f>IF(ISERROR(VLOOKUP($B31, '3. Rate Classes'!$C$24:$H$45,6,0)), "", VLOOKUP($B31, '3. Rate Classes'!$C$24:$H$45,6,0))</f>
        <v>kW</v>
      </c>
      <c r="F31" s="70">
        <f>IF(ISERROR(VLOOKUP($B31,'3. Rate Classes'!$C$24:$N$45, 8,0)), "", VLOOKUP($B31,'3. Rate Classes'!$C$24:$N$45, 8,0))</f>
        <v>1.9440999999999999</v>
      </c>
      <c r="G31" s="64"/>
      <c r="H31" s="64">
        <f>VLOOKUP('9. Adj Network to Current WS'!$B31, '4. RRR Data'!$B$27:$M$49,11,0)</f>
        <v>608868</v>
      </c>
      <c r="I31" s="72"/>
      <c r="J31" s="64">
        <f>VLOOKUP('9. Adj Network to Current WS'!$B31, '4. RRR Data'!$B$27:$M$49,12,0)</f>
        <v>1430</v>
      </c>
      <c r="K31" s="59"/>
      <c r="L31" s="60">
        <f t="shared" si="0"/>
        <v>2780.0630000000001</v>
      </c>
      <c r="M31" s="55"/>
      <c r="N31" s="61">
        <f t="shared" si="1"/>
        <v>4.3798960239002513E-4</v>
      </c>
      <c r="P31" s="62">
        <f>IF(ISERROR('7. Current Wholesale'!$F$75*N31), "", '7. Current Wholesale'!$F$75*N31)</f>
        <v>2556.8316755124115</v>
      </c>
      <c r="R31" s="63">
        <f t="shared" si="2"/>
        <v>1.787994178680008</v>
      </c>
    </row>
    <row r="32" spans="2:18" ht="25.5" customHeight="1" thickBot="1" x14ac:dyDescent="0.25">
      <c r="B32" s="15" t="str">
        <f>IF('3. Rate Classes'!Q31=1,'3. Rate Classes'!C31, 0)</f>
        <v>Street Lighting</v>
      </c>
      <c r="C32" s="8"/>
      <c r="D32" s="16" t="str">
        <f>IF(ISERROR(VLOOKUP($B32, '3. Rate Classes'!$C$24:$H$45,6,0)), "", VLOOKUP($B32, '3. Rate Classes'!$C$24:$H$45,6,0))</f>
        <v>kW</v>
      </c>
      <c r="F32" s="70">
        <f>IF(ISERROR(VLOOKUP($B32,'3. Rate Classes'!$C$24:$N$45, 8,0)), "", VLOOKUP($B32,'3. Rate Classes'!$C$24:$N$45, 8,0))</f>
        <v>1.9341999999999999</v>
      </c>
      <c r="G32" s="64"/>
      <c r="H32" s="64">
        <f>VLOOKUP('9. Adj Network to Current WS'!$B32, '4. RRR Data'!$B$27:$M$49,11,0)</f>
        <v>9005139</v>
      </c>
      <c r="I32" s="72"/>
      <c r="J32" s="64">
        <f>VLOOKUP('9. Adj Network to Current WS'!$B32, '4. RRR Data'!$B$27:$M$49,12,0)</f>
        <v>24131</v>
      </c>
      <c r="K32" s="59"/>
      <c r="L32" s="60">
        <f t="shared" si="0"/>
        <v>46674.180199999995</v>
      </c>
      <c r="M32" s="55"/>
      <c r="N32" s="61">
        <f t="shared" si="1"/>
        <v>7.3533605632960051E-3</v>
      </c>
      <c r="P32" s="62">
        <f>IF(ISERROR('7. Current Wholesale'!$F$75*N32), "", '7. Current Wholesale'!$F$75*N32)</f>
        <v>42926.373382162281</v>
      </c>
      <c r="R32" s="63">
        <f t="shared" si="2"/>
        <v>1.7788891211372211</v>
      </c>
    </row>
    <row r="33" spans="2:18" ht="25.5" hidden="1" customHeight="1" thickBot="1" x14ac:dyDescent="0.25">
      <c r="B33" s="15">
        <f>IF('3. Rate Classes'!Q32=1,'3. Rate Classes'!C32, 0)</f>
        <v>0</v>
      </c>
      <c r="C33" s="8"/>
      <c r="D33" s="16" t="str">
        <f>IF(ISERROR(VLOOKUP($B33, '3. Rate Classes'!$C$24:$H$45,6,0)), "", VLOOKUP($B33, '3. Rate Classes'!$C$24:$H$45,6,0))</f>
        <v/>
      </c>
      <c r="F33" s="70" t="str">
        <f>IF(ISERROR(VLOOKUP($B33,'3. Rate Classes'!$C$24:$N$45, 8,0)), "", VLOOKUP($B33,'3. Rate Classes'!$C$24:$N$45, 8,0))</f>
        <v/>
      </c>
      <c r="G33" s="64"/>
      <c r="H33" s="64">
        <f>VLOOKUP('9. Adj Network to Current WS'!$B33, '4. RRR Data'!$B$27:$M$49,11,0)</f>
        <v>0</v>
      </c>
      <c r="I33" s="72"/>
      <c r="J33" s="64">
        <f>VLOOKUP('9. Adj Network to Current WS'!$B33, '4. RRR Data'!$B$27:$M$49,12,0)</f>
        <v>0</v>
      </c>
      <c r="K33" s="59"/>
      <c r="L33" s="60" t="str">
        <f t="shared" si="0"/>
        <v/>
      </c>
      <c r="M33" s="55"/>
      <c r="N33" s="61" t="str">
        <f t="shared" si="1"/>
        <v/>
      </c>
      <c r="P33" s="62" t="str">
        <f>IF(ISERROR('7. Current Wholesale'!$F$75*N33), "", '7. Current Wholesale'!$F$75*N33)</f>
        <v/>
      </c>
      <c r="R33" s="63" t="str">
        <f t="shared" si="2"/>
        <v/>
      </c>
    </row>
    <row r="34" spans="2:18" ht="25.5" hidden="1" customHeight="1" thickBot="1" x14ac:dyDescent="0.25">
      <c r="B34" s="15">
        <f>IF('3. Rate Classes'!Q33=1,'3. Rate Classes'!C33, 0)</f>
        <v>0</v>
      </c>
      <c r="C34" s="8"/>
      <c r="D34" s="16" t="str">
        <f>IF(ISERROR(VLOOKUP($B34, '3. Rate Classes'!$C$24:$H$45,6,0)), "", VLOOKUP($B34, '3. Rate Classes'!$C$24:$H$45,6,0))</f>
        <v/>
      </c>
      <c r="F34" s="70" t="str">
        <f>IF(ISERROR(VLOOKUP($B34,'3. Rate Classes'!$C$24:$N$45, 8,0)), "", VLOOKUP($B34,'3. Rate Classes'!$C$24:$N$45, 8,0))</f>
        <v/>
      </c>
      <c r="G34" s="64"/>
      <c r="H34" s="64">
        <f>VLOOKUP('9. Adj Network to Current WS'!$B34, '4. RRR Data'!$B$27:$M$49,11,0)</f>
        <v>0</v>
      </c>
      <c r="I34" s="72"/>
      <c r="J34" s="64">
        <f>VLOOKUP('9. Adj Network to Current WS'!$B34, '4. RRR Data'!$B$27:$M$49,12,0)</f>
        <v>0</v>
      </c>
      <c r="K34" s="59"/>
      <c r="L34" s="60" t="str">
        <f t="shared" si="0"/>
        <v/>
      </c>
      <c r="M34" s="55"/>
      <c r="N34" s="61" t="str">
        <f t="shared" si="1"/>
        <v/>
      </c>
      <c r="P34" s="62" t="str">
        <f>IF(ISERROR('7. Current Wholesale'!$F$75*N34), "", '7. Current Wholesale'!$F$75*N34)</f>
        <v/>
      </c>
      <c r="R34" s="63" t="str">
        <f t="shared" si="2"/>
        <v/>
      </c>
    </row>
    <row r="35" spans="2:18" ht="25.5" hidden="1" customHeight="1" thickBot="1" x14ac:dyDescent="0.25">
      <c r="B35" s="15">
        <f>IF('3. Rate Classes'!Q34=1,'3. Rate Classes'!C34, 0)</f>
        <v>0</v>
      </c>
      <c r="C35" s="8"/>
      <c r="D35" s="16" t="str">
        <f>IF(ISERROR(VLOOKUP($B35, '3. Rate Classes'!$C$24:$H$45,6,0)), "", VLOOKUP($B35, '3. Rate Classes'!$C$24:$H$45,6,0))</f>
        <v/>
      </c>
      <c r="F35" s="70" t="str">
        <f>IF(ISERROR(VLOOKUP($B35,'3. Rate Classes'!$C$24:$N$45, 8,0)), "", VLOOKUP($B35,'3. Rate Classes'!$C$24:$N$45, 8,0))</f>
        <v/>
      </c>
      <c r="G35" s="64"/>
      <c r="H35" s="64">
        <f>VLOOKUP('9. Adj Network to Current WS'!$B35, '4. RRR Data'!$B$27:$M$49,11,0)</f>
        <v>0</v>
      </c>
      <c r="I35" s="72"/>
      <c r="J35" s="64">
        <f>VLOOKUP('9. Adj Network to Current WS'!$B35, '4. RRR Data'!$B$27:$M$49,12,0)</f>
        <v>0</v>
      </c>
      <c r="K35" s="59"/>
      <c r="L35" s="60" t="str">
        <f t="shared" si="0"/>
        <v/>
      </c>
      <c r="M35" s="55"/>
      <c r="N35" s="61" t="str">
        <f t="shared" si="1"/>
        <v/>
      </c>
      <c r="P35" s="62" t="str">
        <f>IF(ISERROR('7. Current Wholesale'!$F$75*N35), "", '7. Current Wholesale'!$F$75*N35)</f>
        <v/>
      </c>
      <c r="R35" s="63" t="str">
        <f t="shared" si="2"/>
        <v/>
      </c>
    </row>
    <row r="36" spans="2:18" ht="25.5" hidden="1" customHeight="1" thickBot="1" x14ac:dyDescent="0.25">
      <c r="B36" s="15">
        <f>IF('3. Rate Classes'!Q35=1,'3. Rate Classes'!C35, 0)</f>
        <v>0</v>
      </c>
      <c r="C36" s="8"/>
      <c r="D36" s="16" t="str">
        <f>IF(ISERROR(VLOOKUP($B36, '3. Rate Classes'!$C$24:$H$45,6,0)), "", VLOOKUP($B36, '3. Rate Classes'!$C$24:$H$45,6,0))</f>
        <v/>
      </c>
      <c r="F36" s="70" t="str">
        <f>IF(ISERROR(VLOOKUP($B36,'3. Rate Classes'!$C$24:$N$45, 8,0)), "", VLOOKUP($B36,'3. Rate Classes'!$C$24:$N$45, 8,0))</f>
        <v/>
      </c>
      <c r="G36" s="64"/>
      <c r="H36" s="64">
        <f>VLOOKUP('9. Adj Network to Current WS'!$B36, '4. RRR Data'!$B$27:$M$49,11,0)</f>
        <v>0</v>
      </c>
      <c r="I36" s="72"/>
      <c r="J36" s="64">
        <f>VLOOKUP('9. Adj Network to Current WS'!$B36, '4. RRR Data'!$B$27:$M$49,12,0)</f>
        <v>0</v>
      </c>
      <c r="K36" s="59"/>
      <c r="L36" s="60" t="str">
        <f t="shared" si="0"/>
        <v/>
      </c>
      <c r="M36" s="55"/>
      <c r="N36" s="61" t="str">
        <f t="shared" si="1"/>
        <v/>
      </c>
      <c r="P36" s="62" t="str">
        <f>IF(ISERROR('7. Current Wholesale'!$F$75*N36), "", '7. Current Wholesale'!$F$75*N36)</f>
        <v/>
      </c>
      <c r="R36" s="63" t="str">
        <f t="shared" si="2"/>
        <v/>
      </c>
    </row>
    <row r="37" spans="2:18" ht="25.5" hidden="1" customHeight="1" thickBot="1" x14ac:dyDescent="0.25">
      <c r="B37" s="15">
        <f>IF('3. Rate Classes'!Q36=1,'3. Rate Classes'!C36, 0)</f>
        <v>0</v>
      </c>
      <c r="C37" s="8"/>
      <c r="D37" s="16" t="str">
        <f>IF(ISERROR(VLOOKUP($B37, '3. Rate Classes'!$C$24:$H$45,6,0)), "", VLOOKUP($B37, '3. Rate Classes'!$C$24:$H$45,6,0))</f>
        <v/>
      </c>
      <c r="F37" s="70" t="str">
        <f>IF(ISERROR(VLOOKUP($B37,'3. Rate Classes'!$C$24:$N$45, 8,0)), "", VLOOKUP($B37,'3. Rate Classes'!$C$24:$N$45, 8,0))</f>
        <v/>
      </c>
      <c r="G37" s="64"/>
      <c r="H37" s="64">
        <f>VLOOKUP('9. Adj Network to Current WS'!$B37, '4. RRR Data'!$B$27:$M$49,11,0)</f>
        <v>0</v>
      </c>
      <c r="I37" s="72"/>
      <c r="J37" s="64">
        <f>VLOOKUP('9. Adj Network to Current WS'!$B37, '4. RRR Data'!$B$27:$M$49,12,0)</f>
        <v>0</v>
      </c>
      <c r="K37" s="59"/>
      <c r="L37" s="60" t="str">
        <f t="shared" si="0"/>
        <v/>
      </c>
      <c r="M37" s="55"/>
      <c r="N37" s="61" t="str">
        <f t="shared" si="1"/>
        <v/>
      </c>
      <c r="P37" s="62" t="str">
        <f>IF(ISERROR('7. Current Wholesale'!$F$75*N37), "", '7. Current Wholesale'!$F$75*N37)</f>
        <v/>
      </c>
      <c r="R37" s="63" t="str">
        <f t="shared" si="2"/>
        <v/>
      </c>
    </row>
    <row r="38" spans="2:18" ht="25.5" hidden="1" customHeight="1" thickBot="1" x14ac:dyDescent="0.25">
      <c r="B38" s="15">
        <f>IF('3. Rate Classes'!Q37=1,'3. Rate Classes'!C37, 0)</f>
        <v>0</v>
      </c>
      <c r="C38" s="8"/>
      <c r="D38" s="16" t="str">
        <f>IF(ISERROR(VLOOKUP($B38, '3. Rate Classes'!$C$24:$H$45,6,0)), "", VLOOKUP($B38, '3. Rate Classes'!$C$24:$H$45,6,0))</f>
        <v/>
      </c>
      <c r="F38" s="70" t="str">
        <f>IF(ISERROR(VLOOKUP($B38,'3. Rate Classes'!$C$24:$N$45, 8,0)), "", VLOOKUP($B38,'3. Rate Classes'!$C$24:$N$45, 8,0))</f>
        <v/>
      </c>
      <c r="G38" s="64"/>
      <c r="H38" s="64">
        <f>VLOOKUP('9. Adj Network to Current WS'!$B38, '4. RRR Data'!$B$27:$M$49,11,0)</f>
        <v>0</v>
      </c>
      <c r="I38" s="72"/>
      <c r="J38" s="64">
        <f>VLOOKUP('9. Adj Network to Current WS'!$B38, '4. RRR Data'!$B$27:$M$49,12,0)</f>
        <v>0</v>
      </c>
      <c r="K38" s="59"/>
      <c r="L38" s="60" t="str">
        <f t="shared" si="0"/>
        <v/>
      </c>
      <c r="M38" s="55"/>
      <c r="N38" s="61" t="str">
        <f t="shared" si="1"/>
        <v/>
      </c>
      <c r="P38" s="62" t="str">
        <f>IF(ISERROR('7. Current Wholesale'!$F$75*N38), "", '7. Current Wholesale'!$F$75*N38)</f>
        <v/>
      </c>
      <c r="R38" s="63" t="str">
        <f t="shared" si="2"/>
        <v/>
      </c>
    </row>
    <row r="39" spans="2:18" ht="25.5" hidden="1" customHeight="1" thickBot="1" x14ac:dyDescent="0.25">
      <c r="B39" s="15">
        <f>IF('3. Rate Classes'!Q38=1,'3. Rate Classes'!C38, 0)</f>
        <v>0</v>
      </c>
      <c r="C39" s="8"/>
      <c r="D39" s="16" t="str">
        <f>IF(ISERROR(VLOOKUP($B39, '3. Rate Classes'!$C$24:$H$45,6,0)), "", VLOOKUP($B39, '3. Rate Classes'!$C$24:$H$45,6,0))</f>
        <v/>
      </c>
      <c r="F39" s="70" t="str">
        <f>IF(ISERROR(VLOOKUP($B39,'3. Rate Classes'!$C$24:$N$45, 8,0)), "", VLOOKUP($B39,'3. Rate Classes'!$C$24:$N$45, 8,0))</f>
        <v/>
      </c>
      <c r="G39" s="64"/>
      <c r="H39" s="64">
        <f>VLOOKUP('9. Adj Network to Current WS'!$B39, '4. RRR Data'!$B$27:$M$49,11,0)</f>
        <v>0</v>
      </c>
      <c r="I39" s="72"/>
      <c r="J39" s="64">
        <f>VLOOKUP('9. Adj Network to Current WS'!$B39, '4. RRR Data'!$B$27:$M$49,12,0)</f>
        <v>0</v>
      </c>
      <c r="K39" s="59"/>
      <c r="L39" s="60" t="str">
        <f>IF(F39="", "", IF(D39="kWh", F39*H39, F39*J39))</f>
        <v/>
      </c>
      <c r="M39" s="55"/>
      <c r="N39" s="61" t="str">
        <f t="shared" si="1"/>
        <v/>
      </c>
      <c r="P39" s="62" t="str">
        <f>IF(ISERROR('7. Current Wholesale'!$F$75*N39), "", '7. Current Wholesale'!$F$75*N39)</f>
        <v/>
      </c>
      <c r="R39" s="63" t="str">
        <f t="shared" si="2"/>
        <v/>
      </c>
    </row>
    <row r="40" spans="2:18" ht="25.5" hidden="1" customHeight="1" thickBot="1" x14ac:dyDescent="0.25">
      <c r="B40" s="15">
        <f>IF('3. Rate Classes'!Q39=1,'3. Rate Classes'!C39, 0)</f>
        <v>0</v>
      </c>
      <c r="C40" s="8"/>
      <c r="D40" s="16" t="str">
        <f>IF(ISERROR(VLOOKUP($B40, '3. Rate Classes'!$C$24:$H$45,6,0)), "", VLOOKUP($B40, '3. Rate Classes'!$C$24:$H$45,6,0))</f>
        <v/>
      </c>
      <c r="F40" s="70" t="str">
        <f>IF(ISERROR(VLOOKUP($B40,'3. Rate Classes'!$C$24:$N$45, 8,0)), "", VLOOKUP($B40,'3. Rate Classes'!$C$24:$N$45, 8,0))</f>
        <v/>
      </c>
      <c r="G40" s="64"/>
      <c r="H40" s="64">
        <f>VLOOKUP('9. Adj Network to Current WS'!$B40, '4. RRR Data'!$B$27:$M$49,11,0)</f>
        <v>0</v>
      </c>
      <c r="I40" s="72"/>
      <c r="J40" s="64">
        <f>VLOOKUP('9. Adj Network to Current WS'!$B40, '4. RRR Data'!$B$27:$M$49,12,0)</f>
        <v>0</v>
      </c>
      <c r="K40" s="59"/>
      <c r="L40" s="60" t="str">
        <f t="shared" si="0"/>
        <v/>
      </c>
      <c r="M40" s="55"/>
      <c r="N40" s="61" t="str">
        <f t="shared" si="1"/>
        <v/>
      </c>
      <c r="P40" s="62" t="str">
        <f>IF(ISERROR('7. Current Wholesale'!$F$75*N40), "", '7. Current Wholesale'!$F$75*N40)</f>
        <v/>
      </c>
      <c r="R40" s="63" t="str">
        <f t="shared" si="2"/>
        <v/>
      </c>
    </row>
    <row r="41" spans="2:18" ht="25.5" hidden="1" customHeight="1" thickBot="1" x14ac:dyDescent="0.25">
      <c r="B41" s="15">
        <f>IF('3. Rate Classes'!Q40=1,'3. Rate Classes'!C40, 0)</f>
        <v>0</v>
      </c>
      <c r="C41" s="8"/>
      <c r="D41" s="16" t="str">
        <f>IF(ISERROR(VLOOKUP($B41, '3. Rate Classes'!$C$24:$H$45,6,0)), "", VLOOKUP($B41, '3. Rate Classes'!$C$24:$H$45,6,0))</f>
        <v/>
      </c>
      <c r="F41" s="70" t="str">
        <f>IF(ISERROR(VLOOKUP($B41,'3. Rate Classes'!$C$24:$N$45, 8,0)), "", VLOOKUP($B41,'3. Rate Classes'!$C$24:$N$45, 8,0))</f>
        <v/>
      </c>
      <c r="G41" s="64"/>
      <c r="H41" s="64">
        <f>VLOOKUP('9. Adj Network to Current WS'!$B41, '4. RRR Data'!$B$27:$M$49,11,0)</f>
        <v>0</v>
      </c>
      <c r="I41" s="72"/>
      <c r="J41" s="64">
        <f>VLOOKUP('9. Adj Network to Current WS'!$B41, '4. RRR Data'!$B$27:$M$49,12,0)</f>
        <v>0</v>
      </c>
      <c r="K41" s="59"/>
      <c r="L41" s="60" t="str">
        <f t="shared" si="0"/>
        <v/>
      </c>
      <c r="M41" s="55"/>
      <c r="N41" s="61" t="str">
        <f t="shared" si="1"/>
        <v/>
      </c>
      <c r="P41" s="62" t="str">
        <f>IF(ISERROR('7. Current Wholesale'!$F$75*N41), "", '7. Current Wholesale'!$F$75*N41)</f>
        <v/>
      </c>
      <c r="R41" s="63" t="str">
        <f t="shared" si="2"/>
        <v/>
      </c>
    </row>
    <row r="42" spans="2:18" ht="25.5" hidden="1" customHeight="1" thickBot="1" x14ac:dyDescent="0.25">
      <c r="B42" s="15">
        <f>IF('3. Rate Classes'!Q41=1,'3. Rate Classes'!C41, 0)</f>
        <v>0</v>
      </c>
      <c r="C42" s="8"/>
      <c r="D42" s="16" t="str">
        <f>IF(ISERROR(VLOOKUP($B42, '3. Rate Classes'!$C$24:$H$45,6,0)), "", VLOOKUP($B42, '3. Rate Classes'!$C$24:$H$45,6,0))</f>
        <v/>
      </c>
      <c r="F42" s="70" t="str">
        <f>IF(ISERROR(VLOOKUP($B42,'3. Rate Classes'!$C$24:$N$45, 8,0)), "", VLOOKUP($B42,'3. Rate Classes'!$C$24:$N$45, 8,0))</f>
        <v/>
      </c>
      <c r="G42" s="64"/>
      <c r="H42" s="64">
        <f>VLOOKUP('9. Adj Network to Current WS'!$B42, '4. RRR Data'!$B$27:$M$49,11,0)</f>
        <v>0</v>
      </c>
      <c r="I42" s="72"/>
      <c r="J42" s="64">
        <f>VLOOKUP('9. Adj Network to Current WS'!$B42, '4. RRR Data'!$B$27:$M$49,12,0)</f>
        <v>0</v>
      </c>
      <c r="K42" s="59"/>
      <c r="L42" s="60" t="str">
        <f t="shared" si="0"/>
        <v/>
      </c>
      <c r="M42" s="55"/>
      <c r="N42" s="61" t="str">
        <f t="shared" si="1"/>
        <v/>
      </c>
      <c r="P42" s="62" t="str">
        <f>IF(ISERROR('7. Current Wholesale'!$F$75*N42), "", '7. Current Wholesale'!$F$75*N42)</f>
        <v/>
      </c>
      <c r="R42" s="63" t="str">
        <f t="shared" si="2"/>
        <v/>
      </c>
    </row>
    <row r="43" spans="2:18" ht="25.5" hidden="1" customHeight="1" thickBot="1" x14ac:dyDescent="0.25">
      <c r="B43" s="15">
        <f>IF('3. Rate Classes'!Q42=1,'3. Rate Classes'!C42, 0)</f>
        <v>0</v>
      </c>
      <c r="C43" s="8"/>
      <c r="D43" s="16" t="str">
        <f>IF(ISERROR(VLOOKUP($B43, '3. Rate Classes'!$C$24:$H$45,6,0)), "", VLOOKUP($B43, '3. Rate Classes'!$C$24:$H$45,6,0))</f>
        <v/>
      </c>
      <c r="F43" s="70" t="str">
        <f>IF(ISERROR(VLOOKUP($B43,'3. Rate Classes'!$C$24:$N$45, 8,0)), "", VLOOKUP($B43,'3. Rate Classes'!$C$24:$N$45, 8,0))</f>
        <v/>
      </c>
      <c r="G43" s="64"/>
      <c r="H43" s="64">
        <f>VLOOKUP('9. Adj Network to Current WS'!$B43, '4. RRR Data'!$B$27:$M$49,11,0)</f>
        <v>0</v>
      </c>
      <c r="I43" s="72"/>
      <c r="J43" s="64">
        <f>VLOOKUP('9. Adj Network to Current WS'!$B43, '4. RRR Data'!$B$27:$M$49,12,0)</f>
        <v>0</v>
      </c>
      <c r="K43" s="59"/>
      <c r="L43" s="60" t="str">
        <f t="shared" si="0"/>
        <v/>
      </c>
      <c r="M43" s="55"/>
      <c r="N43" s="61" t="str">
        <f t="shared" si="1"/>
        <v/>
      </c>
      <c r="P43" s="62" t="str">
        <f>IF(ISERROR('7. Current Wholesale'!$F$75*N43), "", '7. Current Wholesale'!$F$75*N43)</f>
        <v/>
      </c>
      <c r="R43" s="63" t="str">
        <f t="shared" si="2"/>
        <v/>
      </c>
    </row>
    <row r="44" spans="2:18" ht="25.5" hidden="1" customHeight="1" thickBot="1" x14ac:dyDescent="0.25">
      <c r="B44" s="15">
        <f>IF('3. Rate Classes'!Q43=1,'3. Rate Classes'!C43, 0)</f>
        <v>0</v>
      </c>
      <c r="C44" s="8"/>
      <c r="D44" s="16" t="str">
        <f>IF(ISERROR(VLOOKUP($B44, '3. Rate Classes'!$C$24:$H$45,6,0)), "", VLOOKUP($B44, '3. Rate Classes'!$C$24:$H$45,6,0))</f>
        <v/>
      </c>
      <c r="F44" s="70" t="str">
        <f>IF(ISERROR(VLOOKUP($B44,'3. Rate Classes'!$C$24:$N$45, 8,0)), "", VLOOKUP($B44,'3. Rate Classes'!$C$24:$N$45, 8,0))</f>
        <v/>
      </c>
      <c r="G44" s="64"/>
      <c r="H44" s="64">
        <f>VLOOKUP('9. Adj Network to Current WS'!$B44, '4. RRR Data'!$B$27:$M$49,11,0)</f>
        <v>0</v>
      </c>
      <c r="I44" s="72"/>
      <c r="J44" s="64">
        <f>VLOOKUP('9. Adj Network to Current WS'!$B44, '4. RRR Data'!$B$27:$M$49,12,0)</f>
        <v>0</v>
      </c>
      <c r="K44" s="59"/>
      <c r="L44" s="60" t="str">
        <f t="shared" si="0"/>
        <v/>
      </c>
      <c r="M44" s="55"/>
      <c r="N44" s="61" t="str">
        <f t="shared" si="1"/>
        <v/>
      </c>
      <c r="P44" s="62" t="str">
        <f>IF(ISERROR('7. Current Wholesale'!$F$75*N44), "", '7. Current Wholesale'!$F$75*N44)</f>
        <v/>
      </c>
      <c r="R44" s="63" t="str">
        <f t="shared" si="2"/>
        <v/>
      </c>
    </row>
    <row r="45" spans="2:18" ht="25.5" hidden="1" customHeight="1" thickBot="1" x14ac:dyDescent="0.25">
      <c r="B45" s="15">
        <f>IF('3. Rate Classes'!Q44=1,'3. Rate Classes'!C44, 0)</f>
        <v>0</v>
      </c>
      <c r="C45" s="8"/>
      <c r="D45" s="16" t="str">
        <f>IF(ISERROR(VLOOKUP($B45, '3. Rate Classes'!$C$24:$H$45,6,0)), "", VLOOKUP($B45, '3. Rate Classes'!$C$24:$H$45,6,0))</f>
        <v/>
      </c>
      <c r="F45" s="70" t="str">
        <f>IF(ISERROR(VLOOKUP($B45,'3. Rate Classes'!$C$24:$N$45, 8,0)), "", VLOOKUP($B45,'3. Rate Classes'!$C$24:$N$45, 8,0))</f>
        <v/>
      </c>
      <c r="G45" s="64"/>
      <c r="H45" s="64">
        <f>VLOOKUP('9. Adj Network to Current WS'!$B45, '4. RRR Data'!$B$27:$M$49,11,0)</f>
        <v>0</v>
      </c>
      <c r="I45" s="72"/>
      <c r="J45" s="64">
        <f>VLOOKUP('9. Adj Network to Current WS'!$B45, '4. RRR Data'!$B$27:$M$49,12,0)</f>
        <v>0</v>
      </c>
      <c r="K45" s="59"/>
      <c r="L45" s="60" t="str">
        <f t="shared" si="0"/>
        <v/>
      </c>
      <c r="M45" s="55"/>
      <c r="N45" s="61" t="str">
        <f t="shared" si="1"/>
        <v/>
      </c>
      <c r="P45" s="62" t="str">
        <f>IF(ISERROR('7. Current Wholesale'!$F$75*N45), "", '7. Current Wholesale'!$F$75*N45)</f>
        <v/>
      </c>
      <c r="R45" s="63" t="str">
        <f t="shared" si="2"/>
        <v/>
      </c>
    </row>
    <row r="46" spans="2:18" ht="25.5" hidden="1" customHeight="1" thickBot="1" x14ac:dyDescent="0.25">
      <c r="B46" s="15">
        <f>IF('3. Rate Classes'!Q45=1,'3. Rate Classes'!C45, 0)</f>
        <v>0</v>
      </c>
      <c r="C46" s="8"/>
      <c r="D46" s="16" t="str">
        <f>IF(ISERROR(VLOOKUP($B46, '3. Rate Classes'!$C$24:$H$45,6,0)), "", VLOOKUP($B46, '3. Rate Classes'!$C$24:$H$45,6,0))</f>
        <v/>
      </c>
      <c r="F46" s="70" t="str">
        <f>IF(ISERROR(VLOOKUP($B46,'3. Rate Classes'!$C$24:$N$45, 8,0)), "", VLOOKUP($B46,'3. Rate Classes'!$C$24:$N$45, 8,0))</f>
        <v/>
      </c>
      <c r="G46" s="64"/>
      <c r="H46" s="64">
        <f>VLOOKUP('9. Adj Network to Current WS'!$B46, '4. RRR Data'!$B$27:$M$49,11,0)</f>
        <v>0</v>
      </c>
      <c r="I46" s="73"/>
      <c r="J46" s="64">
        <f>VLOOKUP('9. Adj Network to Current WS'!$B46, '4. RRR Data'!$B$27:$M$49,12,0)</f>
        <v>0</v>
      </c>
      <c r="K46" s="59"/>
      <c r="L46" s="60" t="str">
        <f t="shared" si="0"/>
        <v/>
      </c>
      <c r="M46" s="55"/>
      <c r="N46" s="61" t="str">
        <f t="shared" si="1"/>
        <v/>
      </c>
      <c r="P46" s="62" t="str">
        <f>IF(ISERROR('7. Current Wholesale'!$F$75*N46), "", '7. Current Wholesale'!$F$75*N46)</f>
        <v/>
      </c>
      <c r="R46" s="63" t="str">
        <f t="shared" si="2"/>
        <v/>
      </c>
    </row>
    <row r="47" spans="2:18" ht="13.5" hidden="1" thickBot="1" x14ac:dyDescent="0.25">
      <c r="F47" s="70"/>
      <c r="G47" s="74"/>
      <c r="H47" s="74"/>
      <c r="I47" s="74"/>
      <c r="J47" s="74"/>
      <c r="R47" s="63"/>
    </row>
    <row r="48" spans="2:18" ht="13.5" thickBot="1" x14ac:dyDescent="0.25">
      <c r="F48" s="70"/>
      <c r="G48" s="74"/>
      <c r="H48" s="74"/>
      <c r="I48" s="74"/>
      <c r="J48" s="74"/>
    </row>
    <row r="49" spans="6:12" ht="13.5" thickBot="1" x14ac:dyDescent="0.25">
      <c r="F49" s="70"/>
      <c r="G49" s="74"/>
      <c r="H49" s="74"/>
      <c r="I49" s="74"/>
      <c r="J49" s="74"/>
      <c r="L49" s="71">
        <f>SUM(L25:L46)</f>
        <v>6347326.4772262406</v>
      </c>
    </row>
    <row r="50" spans="6:12" ht="13.5" thickBot="1" x14ac:dyDescent="0.25">
      <c r="F50" s="70"/>
      <c r="G50" s="74"/>
      <c r="H50" s="74"/>
      <c r="I50" s="74"/>
      <c r="J50" s="74"/>
    </row>
    <row r="51" spans="6:12" ht="13.5" thickBot="1" x14ac:dyDescent="0.25">
      <c r="F51" s="70"/>
      <c r="G51" s="74"/>
      <c r="H51" s="74"/>
      <c r="I51" s="74"/>
      <c r="J51" s="74"/>
    </row>
    <row r="52" spans="6:12" ht="13.5" thickBot="1" x14ac:dyDescent="0.25">
      <c r="F52" s="64"/>
      <c r="G52" s="74"/>
      <c r="H52" s="74"/>
      <c r="I52" s="74"/>
      <c r="J52" s="74"/>
    </row>
    <row r="53" spans="6:12" ht="13.5" thickBot="1" x14ac:dyDescent="0.25">
      <c r="F53" s="64"/>
      <c r="G53" s="74"/>
      <c r="H53" s="74"/>
      <c r="I53" s="74"/>
      <c r="J53" s="74"/>
    </row>
    <row r="54" spans="6:12" ht="13.5" thickBot="1" x14ac:dyDescent="0.25">
      <c r="F54" s="64"/>
      <c r="G54" s="74"/>
      <c r="H54" s="74"/>
      <c r="I54" s="74"/>
      <c r="J54" s="74"/>
    </row>
    <row r="55" spans="6:12" ht="13.5" thickBot="1" x14ac:dyDescent="0.25">
      <c r="F55" s="64"/>
      <c r="G55" s="74"/>
      <c r="H55" s="74"/>
      <c r="I55" s="74"/>
      <c r="J55" s="74"/>
    </row>
    <row r="56" spans="6:12" ht="13.5" thickBot="1" x14ac:dyDescent="0.25">
      <c r="F56" s="56"/>
    </row>
  </sheetData>
  <sheetProtection password="F8BD" sheet="1" objects="1" scenarios="1"/>
  <phoneticPr fontId="21" type="noConversion"/>
  <pageMargins left="0.75" right="0.75" top="1" bottom="1" header="0.5" footer="0.5"/>
  <pageSetup scale="64" orientation="landscape" r:id="rId1"/>
  <headerFooter alignWithMargins="0">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1. Info</vt:lpstr>
      <vt:lpstr>2. Table of Contents</vt:lpstr>
      <vt:lpstr>3. Rate Classes</vt:lpstr>
      <vt:lpstr>4. RRR Data</vt:lpstr>
      <vt:lpstr>5. UTRs and Sub-Transmission</vt:lpstr>
      <vt:lpstr>6. Historical Wholesale</vt:lpstr>
      <vt:lpstr>7. Current Wholesale</vt:lpstr>
      <vt:lpstr>8. Forecast Wholesale</vt:lpstr>
      <vt:lpstr>9. Adj Network to Current WS</vt:lpstr>
      <vt:lpstr>10. Adj Conn. to Current WS</vt:lpstr>
      <vt:lpstr>11. Adj Network to Forecast WS</vt:lpstr>
      <vt:lpstr>12. Adj Conn. to Forecast WS</vt:lpstr>
      <vt:lpstr>13. Final 2013 RTS Rates</vt:lpstr>
      <vt:lpstr>hidden1</vt:lpstr>
      <vt:lpstr>classrange</vt:lpstr>
      <vt:lpstr>'1. Info'!Print_Area</vt:lpstr>
      <vt:lpstr>'10. Adj Conn. to Current WS'!Print_Area</vt:lpstr>
      <vt:lpstr>'11. Adj Network to Forecast WS'!Print_Area</vt:lpstr>
      <vt:lpstr>'12. Adj Conn. to Forecast WS'!Print_Area</vt:lpstr>
      <vt:lpstr>'13. Final 2013 RTS Rates'!Print_Area</vt:lpstr>
      <vt:lpstr>'3. Rate Classes'!Print_Area</vt:lpstr>
      <vt:lpstr>'5. UTRs and Sub-Transmission'!Print_Area</vt:lpstr>
      <vt:lpstr>'6. Historical Wholesale'!Print_Area</vt:lpstr>
      <vt:lpstr>'7. Current Wholesale'!Print_Area</vt:lpstr>
      <vt:lpstr>'8. Forecast Wholesale'!Print_Area</vt:lpstr>
      <vt:lpstr>'9. Adj Network to Current WS'!Print_Area</vt:lpstr>
      <vt:lpstr>'6. Historical Wholesale'!Print_Titles</vt:lpstr>
      <vt:lpstr>'7. Current Wholesale'!Print_Titles</vt:lpstr>
      <vt:lpstr>'8. Forecast Wholesale'!Print_Titles</vt:lpstr>
      <vt:lpstr>hidden1!ratedescription</vt:lpstr>
      <vt:lpstr>hidden1!units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abramoma</dc:creator>
  <cp:lastModifiedBy>Anna Luciani-Marzo</cp:lastModifiedBy>
  <cp:lastPrinted>2012-10-16T15:15:10Z</cp:lastPrinted>
  <dcterms:created xsi:type="dcterms:W3CDTF">2011-05-30T20:18:50Z</dcterms:created>
  <dcterms:modified xsi:type="dcterms:W3CDTF">2012-10-22T19:49:45Z</dcterms:modified>
</cp:coreProperties>
</file>