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0" windowWidth="16440" windowHeight="14250" tabRatio="981" activeTab="15"/>
  </bookViews>
  <sheets>
    <sheet name="Chart 1" sheetId="35" r:id="rId1"/>
    <sheet name="Exibit 3 Tables" sheetId="34" r:id="rId2"/>
    <sheet name="Summary" sheetId="11" r:id="rId3"/>
    <sheet name="Stats Sum" sheetId="33" r:id="rId4"/>
    <sheet name="Purchased Power Model " sheetId="19" r:id="rId5"/>
    <sheet name="Residential" sheetId="20" r:id="rId6"/>
    <sheet name="GS &lt; 50 kW" sheetId="25" r:id="rId7"/>
    <sheet name="GS &gt; 50 kW" sheetId="26" r:id="rId8"/>
    <sheet name="Rate Class Energy Model" sheetId="9" r:id="rId9"/>
    <sheet name="Rate Class Customer Model" sheetId="17" r:id="rId10"/>
    <sheet name="Rate Class Load Model" sheetId="18" r:id="rId11"/>
    <sheet name="Weather Analysis" sheetId="24" r:id="rId12"/>
    <sheet name="CDM Activity" sheetId="28" r:id="rId13"/>
    <sheet name="2012 COP Forecast" sheetId="29" r:id="rId14"/>
    <sheet name="2013 COP Forecast" sheetId="32" r:id="rId15"/>
    <sheet name="App.2-P_Loss Factors" sheetId="31"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Order1" hidden="1">255</definedName>
    <definedName name="_Sort" localSheetId="1" hidden="1">[7]Sheet1!$G$40:$K$40</definedName>
    <definedName name="_Sort" localSheetId="3" hidden="1">[6]Sheet1!$G$40:$K$40</definedName>
    <definedName name="_Sort" localSheetId="11" hidden="1">[2]Sheet1!$G$40:$K$40</definedName>
    <definedName name="_Sort" hidden="1">[1]Sheet1!$G$40:$K$40</definedName>
    <definedName name="CAfile" localSheetId="1">[8]Refs!$B$2</definedName>
    <definedName name="CAfile">[3]Refs!$B$2</definedName>
    <definedName name="CArevReq" localSheetId="1">[8]Refs!$B$6</definedName>
    <definedName name="CArevReq">[3]Refs!$B$6</definedName>
    <definedName name="ClassRange1" localSheetId="1">[8]Refs!$B$3</definedName>
    <definedName name="ClassRange1">[3]Refs!$B$3</definedName>
    <definedName name="ClassRange2" localSheetId="1">[8]Refs!$B$4</definedName>
    <definedName name="ClassRange2">[3]Refs!$B$4</definedName>
    <definedName name="FolderPath" localSheetId="1">[8]Menu!$C$8</definedName>
    <definedName name="FolderPath">[3]Menu!$C$8</definedName>
    <definedName name="NewRevReq" localSheetId="1">[8]Refs!$B$8</definedName>
    <definedName name="NewRevReq">[3]Refs!$B$8</definedName>
    <definedName name="PAGE11" localSheetId="1">#REF!</definedName>
    <definedName name="PAGE11" localSheetId="11">#REF!</definedName>
    <definedName name="PAGE11">#REF!</definedName>
    <definedName name="PAGE2" localSheetId="1">[7]Sheet1!$A$1:$I$40</definedName>
    <definedName name="PAGE2" localSheetId="3">[6]Sheet1!$A$1:$I$40</definedName>
    <definedName name="PAGE2" localSheetId="11">[2]Sheet1!$A$1:$I$40</definedName>
    <definedName name="PAGE2">[1]Sheet1!$A$1:$I$40</definedName>
    <definedName name="PAGE3" localSheetId="1">#REF!</definedName>
    <definedName name="PAGE3" localSheetId="11">#REF!</definedName>
    <definedName name="PAGE3">#REF!</definedName>
    <definedName name="PAGE4" localSheetId="1">#REF!</definedName>
    <definedName name="PAGE4" localSheetId="11">#REF!</definedName>
    <definedName name="PAGE4">#REF!</definedName>
    <definedName name="PAGE7" localSheetId="1">#REF!</definedName>
    <definedName name="PAGE7" localSheetId="11">#REF!</definedName>
    <definedName name="PAGE7">#REF!</definedName>
    <definedName name="PAGE9" localSheetId="1">#REF!</definedName>
    <definedName name="PAGE9" localSheetId="11">#REF!</definedName>
    <definedName name="PAGE9">#REF!</definedName>
    <definedName name="_xlnm.Print_Area" localSheetId="15">'App.2-P_Loss Factors'!$A$1:$I$70</definedName>
    <definedName name="_xlnm.Print_Area" localSheetId="12">'CDM Activity'!$A$1:$T$39</definedName>
    <definedName name="_xlnm.Print_Area" localSheetId="6">'GS &lt; 50 kW'!$L$27:$P$50</definedName>
    <definedName name="_xlnm.Print_Area" localSheetId="7">'GS &gt; 50 kW'!$K$27:$O$50</definedName>
    <definedName name="_xlnm.Print_Area" localSheetId="4">'Purchased Power Model '!$A$1:$J$163</definedName>
    <definedName name="_xlnm.Print_Area" localSheetId="9">'Rate Class Customer Model'!$A$1:$C$2</definedName>
    <definedName name="_xlnm.Print_Area" localSheetId="8">'Rate Class Energy Model'!$A$1:$I$2</definedName>
    <definedName name="_xlnm.Print_Area" localSheetId="10">'Rate Class Load Model'!$A$1:$A$1</definedName>
    <definedName name="_xlnm.Print_Area" localSheetId="5">Residential!$L$27:$P$50</definedName>
    <definedName name="_xlnm.Print_Area" localSheetId="2">Summary!$A$1:$M$45</definedName>
    <definedName name="RevReqLookupKey" localSheetId="1">[8]Refs!$B$5</definedName>
    <definedName name="RevReqLookupKey">[3]Refs!$B$5</definedName>
    <definedName name="RevReqRange" localSheetId="1">[8]Refs!$B$7</definedName>
    <definedName name="RevReqRange">[3]Refs!$B$7</definedName>
  </definedNames>
  <calcPr calcId="145621"/>
</workbook>
</file>

<file path=xl/calcChain.xml><?xml version="1.0" encoding="utf-8"?>
<calcChain xmlns="http://schemas.openxmlformats.org/spreadsheetml/2006/main">
  <c r="N64" i="11" l="1"/>
  <c r="M64" i="11"/>
  <c r="L64" i="11"/>
  <c r="K64" i="11"/>
  <c r="J64" i="11"/>
  <c r="I64" i="11"/>
  <c r="H64" i="11"/>
  <c r="G64" i="11"/>
  <c r="F64" i="11"/>
  <c r="E64" i="11"/>
  <c r="D64" i="11"/>
  <c r="C64" i="11"/>
  <c r="B64" i="11"/>
  <c r="C13" i="32"/>
  <c r="E78" i="32"/>
  <c r="E77" i="32"/>
  <c r="E76" i="32"/>
  <c r="E75" i="32"/>
  <c r="E74" i="32"/>
  <c r="E73" i="32"/>
  <c r="E13" i="32"/>
  <c r="D7" i="29"/>
  <c r="D7" i="32"/>
  <c r="D6" i="29"/>
  <c r="D6" i="32"/>
  <c r="D5" i="29"/>
  <c r="D5" i="32"/>
  <c r="D2" i="29"/>
  <c r="D2" i="32"/>
  <c r="D3" i="29"/>
  <c r="D3" i="32"/>
  <c r="D4" i="29"/>
  <c r="D4" i="32"/>
  <c r="E78" i="29"/>
  <c r="E48" i="29"/>
  <c r="E38" i="29"/>
  <c r="D338" i="34"/>
  <c r="C75" i="19"/>
  <c r="C87" i="19"/>
  <c r="C99" i="19"/>
  <c r="C111" i="19"/>
  <c r="C123" i="19"/>
  <c r="D75" i="19"/>
  <c r="D87" i="19"/>
  <c r="D99" i="19"/>
  <c r="D111" i="19"/>
  <c r="G122" i="19"/>
  <c r="C76" i="19"/>
  <c r="C88" i="19"/>
  <c r="C100" i="19"/>
  <c r="C112" i="19"/>
  <c r="C124" i="19"/>
  <c r="D76" i="19"/>
  <c r="D88" i="19"/>
  <c r="D100" i="19"/>
  <c r="D112" i="19"/>
  <c r="C77" i="19"/>
  <c r="C89" i="19"/>
  <c r="C101" i="19"/>
  <c r="C113" i="19"/>
  <c r="C125" i="19"/>
  <c r="D77" i="19"/>
  <c r="D89" i="19"/>
  <c r="D101" i="19"/>
  <c r="D113" i="19"/>
  <c r="C78" i="19"/>
  <c r="C90" i="19"/>
  <c r="C102" i="19"/>
  <c r="C114" i="19"/>
  <c r="C126" i="19"/>
  <c r="D78" i="19"/>
  <c r="D90" i="19"/>
  <c r="D102" i="19"/>
  <c r="D114" i="19"/>
  <c r="C79" i="19"/>
  <c r="C91" i="19"/>
  <c r="C103" i="19"/>
  <c r="C115" i="19"/>
  <c r="C127" i="19"/>
  <c r="D79" i="19"/>
  <c r="D91" i="19"/>
  <c r="D103" i="19"/>
  <c r="D115" i="19"/>
  <c r="C80" i="19"/>
  <c r="C92" i="19"/>
  <c r="C104" i="19"/>
  <c r="C116" i="19"/>
  <c r="C128" i="19"/>
  <c r="D80" i="19"/>
  <c r="D92" i="19"/>
  <c r="D104" i="19"/>
  <c r="D116" i="19"/>
  <c r="C81" i="19"/>
  <c r="C93" i="19"/>
  <c r="C105" i="19"/>
  <c r="C117" i="19"/>
  <c r="D81" i="19"/>
  <c r="D93" i="19"/>
  <c r="D105" i="19"/>
  <c r="D117" i="19"/>
  <c r="D129" i="19"/>
  <c r="C82" i="19"/>
  <c r="C94" i="19"/>
  <c r="C106" i="19"/>
  <c r="C118" i="19"/>
  <c r="C130" i="19"/>
  <c r="D82" i="19"/>
  <c r="D94" i="19"/>
  <c r="D106" i="19"/>
  <c r="D118" i="19"/>
  <c r="C83" i="19"/>
  <c r="C95" i="19"/>
  <c r="C107" i="19"/>
  <c r="C119" i="19"/>
  <c r="C131" i="19"/>
  <c r="D83" i="19"/>
  <c r="D95" i="19"/>
  <c r="D107" i="19"/>
  <c r="D119" i="19"/>
  <c r="C84" i="19"/>
  <c r="C96" i="19"/>
  <c r="C108" i="19"/>
  <c r="C120" i="19"/>
  <c r="C132" i="19"/>
  <c r="D84" i="19"/>
  <c r="D96" i="19"/>
  <c r="D108" i="19"/>
  <c r="D120" i="19"/>
  <c r="C85" i="19"/>
  <c r="C97" i="19"/>
  <c r="C109" i="19"/>
  <c r="C121" i="19"/>
  <c r="C133" i="19"/>
  <c r="D85" i="19"/>
  <c r="D97" i="19"/>
  <c r="D109" i="19"/>
  <c r="D121" i="19"/>
  <c r="C86" i="19"/>
  <c r="C98" i="19"/>
  <c r="C110" i="19"/>
  <c r="C122" i="19"/>
  <c r="C134" i="19"/>
  <c r="D86" i="19"/>
  <c r="D98" i="19"/>
  <c r="D110" i="19"/>
  <c r="D122" i="19"/>
  <c r="B3" i="19"/>
  <c r="B4" i="19"/>
  <c r="B5" i="19"/>
  <c r="B6" i="19"/>
  <c r="B7" i="19"/>
  <c r="B8" i="19"/>
  <c r="B9" i="19"/>
  <c r="B10" i="19"/>
  <c r="B11" i="19"/>
  <c r="B12" i="19"/>
  <c r="B13" i="19"/>
  <c r="B14" i="19"/>
  <c r="B150" i="19"/>
  <c r="B7" i="9"/>
  <c r="B15" i="19"/>
  <c r="B16" i="19"/>
  <c r="B17" i="19"/>
  <c r="B18" i="19"/>
  <c r="B19" i="19"/>
  <c r="B20" i="19"/>
  <c r="B21" i="19"/>
  <c r="B22" i="19"/>
  <c r="B23" i="19"/>
  <c r="B24" i="19"/>
  <c r="B25" i="19"/>
  <c r="B26" i="19"/>
  <c r="B27" i="19"/>
  <c r="B28" i="19"/>
  <c r="B29" i="19"/>
  <c r="B30" i="19"/>
  <c r="B31" i="19"/>
  <c r="B32" i="19"/>
  <c r="B33" i="19"/>
  <c r="B34" i="19"/>
  <c r="B35" i="19"/>
  <c r="B36" i="19"/>
  <c r="B37" i="19"/>
  <c r="B38" i="19"/>
  <c r="B152" i="19"/>
  <c r="B9" i="9"/>
  <c r="B39" i="19"/>
  <c r="B40" i="19"/>
  <c r="B41" i="19"/>
  <c r="B42" i="19"/>
  <c r="B43" i="19"/>
  <c r="B44" i="19"/>
  <c r="B45" i="19"/>
  <c r="B46" i="19"/>
  <c r="B47" i="19"/>
  <c r="B48" i="19"/>
  <c r="B49" i="19"/>
  <c r="B50" i="19"/>
  <c r="B51" i="19"/>
  <c r="B52" i="19"/>
  <c r="B53" i="19"/>
  <c r="B54" i="19"/>
  <c r="B55" i="19"/>
  <c r="B56" i="19"/>
  <c r="B57" i="19"/>
  <c r="B58" i="19"/>
  <c r="B59" i="19"/>
  <c r="B60" i="19"/>
  <c r="B61" i="19"/>
  <c r="B62" i="19"/>
  <c r="B154" i="19"/>
  <c r="B11" i="9"/>
  <c r="B63" i="19"/>
  <c r="B64" i="19"/>
  <c r="B65" i="19"/>
  <c r="B66" i="19"/>
  <c r="B67" i="19"/>
  <c r="B68" i="19"/>
  <c r="B69" i="19"/>
  <c r="B70" i="19"/>
  <c r="B71" i="19"/>
  <c r="B72" i="19"/>
  <c r="B73" i="19"/>
  <c r="B74" i="19"/>
  <c r="B75" i="19"/>
  <c r="B76" i="19"/>
  <c r="B77" i="19"/>
  <c r="B78" i="19"/>
  <c r="B79" i="19"/>
  <c r="B80" i="19"/>
  <c r="B81" i="19"/>
  <c r="B82" i="19"/>
  <c r="B83" i="19"/>
  <c r="B84" i="19"/>
  <c r="B85" i="19"/>
  <c r="B86" i="19"/>
  <c r="B156" i="19"/>
  <c r="B13" i="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58" i="19"/>
  <c r="B15" i="9"/>
  <c r="B111" i="19"/>
  <c r="B112" i="19"/>
  <c r="B113" i="19"/>
  <c r="B114" i="19"/>
  <c r="B115" i="19"/>
  <c r="B116" i="19"/>
  <c r="B117" i="19"/>
  <c r="B118" i="19"/>
  <c r="B119" i="19"/>
  <c r="B120" i="19"/>
  <c r="B121" i="19"/>
  <c r="B122" i="19"/>
  <c r="C135" i="19"/>
  <c r="C136" i="19"/>
  <c r="C137" i="19"/>
  <c r="C138" i="19"/>
  <c r="C139" i="19"/>
  <c r="C140" i="19"/>
  <c r="D141" i="19"/>
  <c r="G99" i="19"/>
  <c r="G100" i="19"/>
  <c r="G101" i="19"/>
  <c r="J101" i="19"/>
  <c r="G102" i="19"/>
  <c r="J102" i="19"/>
  <c r="G103" i="19"/>
  <c r="J103" i="19"/>
  <c r="G104" i="19"/>
  <c r="J104" i="19"/>
  <c r="G105" i="19"/>
  <c r="J105" i="19"/>
  <c r="G106" i="19"/>
  <c r="J106" i="19"/>
  <c r="G107" i="19"/>
  <c r="J107" i="19"/>
  <c r="G108" i="19"/>
  <c r="J108" i="19"/>
  <c r="G109" i="19"/>
  <c r="J109" i="19"/>
  <c r="G110" i="19"/>
  <c r="J110" i="19"/>
  <c r="J4" i="11"/>
  <c r="F302" i="34"/>
  <c r="G111" i="19"/>
  <c r="J111" i="19"/>
  <c r="G112" i="19"/>
  <c r="J112" i="19"/>
  <c r="G113" i="19"/>
  <c r="J113" i="19"/>
  <c r="G114" i="19"/>
  <c r="J114" i="19"/>
  <c r="G115" i="19"/>
  <c r="J115" i="19"/>
  <c r="G116" i="19"/>
  <c r="J116" i="19"/>
  <c r="G117" i="19"/>
  <c r="J117" i="19"/>
  <c r="G118" i="19"/>
  <c r="J118" i="19"/>
  <c r="G119" i="19"/>
  <c r="J119" i="19"/>
  <c r="G120" i="19"/>
  <c r="J120" i="19"/>
  <c r="G121" i="19"/>
  <c r="J121" i="19"/>
  <c r="J122" i="19"/>
  <c r="J159" i="19"/>
  <c r="K5" i="11"/>
  <c r="G303" i="34"/>
  <c r="G293" i="34"/>
  <c r="G64" i="34"/>
  <c r="G132" i="34"/>
  <c r="G146" i="34"/>
  <c r="G161" i="34"/>
  <c r="G167" i="34"/>
  <c r="G181" i="34"/>
  <c r="G196" i="34"/>
  <c r="G202" i="34"/>
  <c r="G208" i="34"/>
  <c r="G246" i="34"/>
  <c r="A134" i="34"/>
  <c r="A148" i="34"/>
  <c r="A169" i="34"/>
  <c r="A183" i="34"/>
  <c r="A266" i="34"/>
  <c r="A280" i="34"/>
  <c r="A135" i="34"/>
  <c r="A149" i="34"/>
  <c r="A170" i="34"/>
  <c r="A184" i="34"/>
  <c r="A267" i="34"/>
  <c r="A281" i="34"/>
  <c r="E267" i="34"/>
  <c r="F267" i="34"/>
  <c r="E268" i="34"/>
  <c r="F268" i="34"/>
  <c r="E269" i="34"/>
  <c r="F269" i="34"/>
  <c r="E270" i="34"/>
  <c r="F270" i="34"/>
  <c r="E271" i="34"/>
  <c r="F271" i="34"/>
  <c r="E272" i="34"/>
  <c r="F272" i="34"/>
  <c r="E273" i="34"/>
  <c r="F273" i="34"/>
  <c r="E274" i="34"/>
  <c r="F274" i="34"/>
  <c r="E275" i="34"/>
  <c r="F275" i="34"/>
  <c r="E266" i="34"/>
  <c r="F266" i="34"/>
  <c r="J258" i="34"/>
  <c r="J257" i="34"/>
  <c r="K246" i="34"/>
  <c r="B226" i="34"/>
  <c r="F221" i="34"/>
  <c r="E221" i="34"/>
  <c r="F220" i="34"/>
  <c r="E220" i="34"/>
  <c r="F219" i="34"/>
  <c r="E219" i="34"/>
  <c r="F218" i="34"/>
  <c r="E218" i="34"/>
  <c r="F217" i="34"/>
  <c r="E217" i="34"/>
  <c r="F216" i="34"/>
  <c r="E216" i="34"/>
  <c r="F215" i="34"/>
  <c r="E215" i="34"/>
  <c r="F214" i="34"/>
  <c r="E214" i="34"/>
  <c r="F210" i="34"/>
  <c r="G210" i="34"/>
  <c r="H210" i="34"/>
  <c r="I210" i="34"/>
  <c r="J210" i="34"/>
  <c r="I170" i="34"/>
  <c r="I171" i="34"/>
  <c r="I172" i="34"/>
  <c r="I169" i="34"/>
  <c r="D64" i="34"/>
  <c r="D132" i="34"/>
  <c r="D146" i="34"/>
  <c r="D161" i="34"/>
  <c r="E176" i="19"/>
  <c r="F176" i="19"/>
  <c r="E177" i="19"/>
  <c r="F177" i="19"/>
  <c r="E170" i="19"/>
  <c r="F170" i="19"/>
  <c r="E171" i="19"/>
  <c r="F171" i="19"/>
  <c r="E172" i="19"/>
  <c r="F172" i="19"/>
  <c r="E173" i="19"/>
  <c r="F173" i="19"/>
  <c r="E174" i="19"/>
  <c r="F174" i="19"/>
  <c r="E175" i="19"/>
  <c r="F175" i="19"/>
  <c r="E178" i="19"/>
  <c r="F178" i="19"/>
  <c r="E179" i="19"/>
  <c r="F179" i="19"/>
  <c r="E180" i="19"/>
  <c r="F180" i="19"/>
  <c r="E181" i="19"/>
  <c r="F181" i="19"/>
  <c r="I171" i="19"/>
  <c r="I172" i="19"/>
  <c r="I173" i="19"/>
  <c r="I174" i="19"/>
  <c r="I175" i="19"/>
  <c r="I176" i="19"/>
  <c r="I177" i="19"/>
  <c r="I178" i="19"/>
  <c r="I179" i="19"/>
  <c r="I180" i="19"/>
  <c r="I181" i="19"/>
  <c r="I170" i="19"/>
  <c r="G3" i="19"/>
  <c r="J3" i="19"/>
  <c r="G4" i="19"/>
  <c r="J4" i="19"/>
  <c r="G5" i="19"/>
  <c r="J5" i="19"/>
  <c r="G6" i="19"/>
  <c r="J6" i="19"/>
  <c r="G7" i="19"/>
  <c r="J7" i="19"/>
  <c r="G8" i="19"/>
  <c r="J8" i="19"/>
  <c r="G9" i="19"/>
  <c r="J9" i="19"/>
  <c r="G10" i="19"/>
  <c r="J10" i="19"/>
  <c r="G11" i="19"/>
  <c r="J11" i="19"/>
  <c r="G12" i="19"/>
  <c r="J12" i="19"/>
  <c r="G13" i="19"/>
  <c r="J13" i="19"/>
  <c r="G14" i="19"/>
  <c r="J14" i="19"/>
  <c r="D115" i="34"/>
  <c r="G15" i="19"/>
  <c r="J15" i="19"/>
  <c r="G16" i="19"/>
  <c r="J16" i="19"/>
  <c r="G17" i="19"/>
  <c r="J17" i="19"/>
  <c r="G18" i="19"/>
  <c r="J18" i="19"/>
  <c r="G19" i="19"/>
  <c r="J19" i="19"/>
  <c r="G20" i="19"/>
  <c r="J20" i="19"/>
  <c r="G21" i="19"/>
  <c r="J21" i="19"/>
  <c r="G22" i="19"/>
  <c r="J22" i="19"/>
  <c r="G23" i="19"/>
  <c r="J23" i="19"/>
  <c r="G24" i="19"/>
  <c r="J24" i="19"/>
  <c r="G25" i="19"/>
  <c r="J25" i="19"/>
  <c r="G26" i="19"/>
  <c r="J26" i="19"/>
  <c r="G27" i="19"/>
  <c r="J27" i="19"/>
  <c r="G28" i="19"/>
  <c r="J28" i="19"/>
  <c r="G29" i="19"/>
  <c r="J29" i="19"/>
  <c r="J152" i="19"/>
  <c r="G30" i="19"/>
  <c r="J30" i="19"/>
  <c r="G31" i="19"/>
  <c r="J31" i="19"/>
  <c r="G32" i="19"/>
  <c r="J32" i="19"/>
  <c r="G33" i="19"/>
  <c r="J33" i="19"/>
  <c r="G34" i="19"/>
  <c r="J34" i="19"/>
  <c r="G35" i="19"/>
  <c r="J35" i="19"/>
  <c r="G36" i="19"/>
  <c r="J36" i="19"/>
  <c r="G37" i="19"/>
  <c r="J37" i="19"/>
  <c r="G38" i="19"/>
  <c r="J38" i="19"/>
  <c r="G39" i="19"/>
  <c r="J39" i="19"/>
  <c r="J153" i="19"/>
  <c r="G40" i="19"/>
  <c r="J40" i="19"/>
  <c r="G41" i="19"/>
  <c r="J41" i="19"/>
  <c r="G42" i="19"/>
  <c r="J42" i="19"/>
  <c r="G43" i="19"/>
  <c r="J43" i="19"/>
  <c r="G44" i="19"/>
  <c r="J44" i="19"/>
  <c r="G45" i="19"/>
  <c r="J45" i="19"/>
  <c r="G46" i="19"/>
  <c r="J46" i="19"/>
  <c r="G47" i="19"/>
  <c r="J47" i="19"/>
  <c r="G48" i="19"/>
  <c r="J48" i="19"/>
  <c r="G49" i="19"/>
  <c r="J49" i="19"/>
  <c r="G50" i="19"/>
  <c r="J50" i="19"/>
  <c r="G51" i="19"/>
  <c r="J51" i="19"/>
  <c r="J154" i="19"/>
  <c r="G52" i="19"/>
  <c r="J52" i="19"/>
  <c r="G53" i="19"/>
  <c r="J53" i="19"/>
  <c r="G54" i="19"/>
  <c r="J54" i="19"/>
  <c r="G55" i="19"/>
  <c r="J55" i="19"/>
  <c r="G56" i="19"/>
  <c r="J56" i="19"/>
  <c r="G57" i="19"/>
  <c r="J57" i="19"/>
  <c r="G58" i="19"/>
  <c r="J58" i="19"/>
  <c r="G59" i="19"/>
  <c r="J59" i="19"/>
  <c r="G60" i="19"/>
  <c r="J60" i="19"/>
  <c r="G61" i="19"/>
  <c r="J61" i="19"/>
  <c r="G62" i="19"/>
  <c r="J62" i="19"/>
  <c r="G68" i="19"/>
  <c r="J68" i="19"/>
  <c r="G69" i="19"/>
  <c r="J69" i="19"/>
  <c r="G70" i="19"/>
  <c r="J70" i="19"/>
  <c r="G71" i="19"/>
  <c r="J71" i="19"/>
  <c r="G72" i="19"/>
  <c r="J72" i="19"/>
  <c r="G73" i="19"/>
  <c r="J73" i="19"/>
  <c r="G74" i="19"/>
  <c r="J74" i="19"/>
  <c r="G63" i="19"/>
  <c r="J63" i="19"/>
  <c r="G64" i="19"/>
  <c r="J64" i="19"/>
  <c r="G65" i="19"/>
  <c r="J65" i="19"/>
  <c r="G66" i="19"/>
  <c r="J66" i="19"/>
  <c r="G67" i="19"/>
  <c r="J67" i="19"/>
  <c r="G75" i="19"/>
  <c r="J75" i="19"/>
  <c r="G76" i="19"/>
  <c r="J76" i="19"/>
  <c r="G77" i="19"/>
  <c r="J77" i="19"/>
  <c r="G78" i="19"/>
  <c r="J78" i="19"/>
  <c r="G79" i="19"/>
  <c r="J79" i="19"/>
  <c r="G80" i="19"/>
  <c r="J80" i="19"/>
  <c r="G81" i="19"/>
  <c r="J81" i="19"/>
  <c r="G82" i="19"/>
  <c r="J82" i="19"/>
  <c r="G83" i="19"/>
  <c r="J83" i="19"/>
  <c r="G84" i="19"/>
  <c r="J84" i="19"/>
  <c r="G85" i="19"/>
  <c r="J85" i="19"/>
  <c r="G86" i="19"/>
  <c r="J86" i="19"/>
  <c r="G87" i="19"/>
  <c r="J87" i="19"/>
  <c r="G88" i="19"/>
  <c r="J88" i="19"/>
  <c r="G89" i="19"/>
  <c r="J89" i="19"/>
  <c r="G90" i="19"/>
  <c r="J90" i="19"/>
  <c r="G91" i="19"/>
  <c r="J91" i="19"/>
  <c r="G92" i="19"/>
  <c r="J92" i="19"/>
  <c r="G93" i="19"/>
  <c r="J93" i="19"/>
  <c r="G94" i="19"/>
  <c r="J94" i="19"/>
  <c r="G95" i="19"/>
  <c r="J95" i="19"/>
  <c r="G96" i="19"/>
  <c r="J96" i="19"/>
  <c r="G97" i="19"/>
  <c r="J97" i="19"/>
  <c r="G98" i="19"/>
  <c r="J98" i="19"/>
  <c r="E124" i="34"/>
  <c r="D117" i="34"/>
  <c r="D119" i="34"/>
  <c r="D121" i="34"/>
  <c r="D123" i="34"/>
  <c r="K61" i="11"/>
  <c r="J60" i="11"/>
  <c r="H4" i="11"/>
  <c r="H60" i="11"/>
  <c r="F4" i="11"/>
  <c r="F60" i="11"/>
  <c r="D4" i="11"/>
  <c r="D60" i="11"/>
  <c r="B4" i="11"/>
  <c r="B60" i="11"/>
  <c r="D110" i="34"/>
  <c r="D106" i="34"/>
  <c r="D107" i="34"/>
  <c r="D108" i="34"/>
  <c r="D109" i="34"/>
  <c r="D105" i="34"/>
  <c r="A110" i="34"/>
  <c r="A106" i="34"/>
  <c r="A107" i="34"/>
  <c r="A108" i="34"/>
  <c r="A109" i="34"/>
  <c r="A105" i="34"/>
  <c r="D103" i="34"/>
  <c r="D102" i="34"/>
  <c r="D101" i="34"/>
  <c r="C31" i="11"/>
  <c r="G33" i="34"/>
  <c r="B31" i="11"/>
  <c r="G32" i="34"/>
  <c r="C26" i="11"/>
  <c r="H33" i="34"/>
  <c r="B26" i="11"/>
  <c r="H32" i="34"/>
  <c r="D31" i="11"/>
  <c r="G34" i="34"/>
  <c r="D26" i="11"/>
  <c r="H34" i="34"/>
  <c r="E31" i="11"/>
  <c r="G35" i="34"/>
  <c r="E26" i="11"/>
  <c r="H35" i="34"/>
  <c r="F31" i="11"/>
  <c r="G36" i="34"/>
  <c r="F26" i="11"/>
  <c r="H36" i="34"/>
  <c r="G31" i="11"/>
  <c r="G37" i="34"/>
  <c r="G26" i="11"/>
  <c r="H37" i="34"/>
  <c r="G36" i="11"/>
  <c r="I37" i="34"/>
  <c r="F36" i="11"/>
  <c r="I36" i="34"/>
  <c r="H31" i="11"/>
  <c r="G38" i="34"/>
  <c r="H26" i="11"/>
  <c r="H38" i="34"/>
  <c r="H36" i="11"/>
  <c r="I38" i="34"/>
  <c r="I31" i="11"/>
  <c r="G39" i="34"/>
  <c r="I26" i="11"/>
  <c r="H39" i="34"/>
  <c r="I36" i="11"/>
  <c r="I39" i="34"/>
  <c r="J31" i="11"/>
  <c r="G40" i="34"/>
  <c r="J26" i="11"/>
  <c r="H40" i="34"/>
  <c r="J36" i="11"/>
  <c r="I40" i="34"/>
  <c r="K31" i="11"/>
  <c r="G41" i="34"/>
  <c r="K26" i="11"/>
  <c r="H41" i="34"/>
  <c r="K36" i="11"/>
  <c r="I41" i="34"/>
  <c r="E67" i="34"/>
  <c r="F67" i="34"/>
  <c r="G67" i="34"/>
  <c r="H67" i="34"/>
  <c r="I67" i="34"/>
  <c r="D67" i="34"/>
  <c r="A69" i="34"/>
  <c r="A86" i="34"/>
  <c r="K48" i="34"/>
  <c r="A32" i="34"/>
  <c r="A50" i="34"/>
  <c r="C36" i="11"/>
  <c r="I33" i="34"/>
  <c r="D36" i="11"/>
  <c r="I34" i="34"/>
  <c r="E36" i="11"/>
  <c r="I35" i="34"/>
  <c r="B36" i="11"/>
  <c r="I32" i="34"/>
  <c r="A38" i="11"/>
  <c r="E17" i="33"/>
  <c r="E5" i="34"/>
  <c r="E16" i="33"/>
  <c r="D5" i="34"/>
  <c r="E4" i="33"/>
  <c r="D3" i="34"/>
  <c r="E5" i="33"/>
  <c r="E3" i="34"/>
  <c r="B17" i="33"/>
  <c r="E4" i="34"/>
  <c r="B16" i="33"/>
  <c r="D4" i="34"/>
  <c r="E2" i="34"/>
  <c r="D2" i="34"/>
  <c r="A34" i="11"/>
  <c r="A24" i="11"/>
  <c r="A19" i="11"/>
  <c r="G332" i="34"/>
  <c r="F332" i="34"/>
  <c r="E332" i="34"/>
  <c r="K32" i="11"/>
  <c r="G328" i="34"/>
  <c r="J32" i="11"/>
  <c r="F328" i="34"/>
  <c r="I32" i="11"/>
  <c r="E328" i="34"/>
  <c r="H32" i="11"/>
  <c r="G327" i="34"/>
  <c r="F327" i="34"/>
  <c r="E327" i="34"/>
  <c r="K27" i="11"/>
  <c r="G323" i="34"/>
  <c r="J27" i="11"/>
  <c r="F323" i="34"/>
  <c r="I27" i="11"/>
  <c r="E323" i="34"/>
  <c r="H27" i="11"/>
  <c r="G322" i="34"/>
  <c r="F322" i="34"/>
  <c r="E322" i="34"/>
  <c r="A15" i="11"/>
  <c r="E27" i="34"/>
  <c r="E64" i="34"/>
  <c r="E132" i="34"/>
  <c r="E146" i="34"/>
  <c r="E161" i="34"/>
  <c r="E167" i="34"/>
  <c r="E181" i="34"/>
  <c r="E196" i="34"/>
  <c r="E202" i="34"/>
  <c r="E208" i="34"/>
  <c r="E246" i="34"/>
  <c r="E241" i="34"/>
  <c r="A4" i="34"/>
  <c r="A11" i="11"/>
  <c r="A3" i="34"/>
  <c r="D23" i="18"/>
  <c r="E287" i="34"/>
  <c r="D21" i="18"/>
  <c r="E285" i="34"/>
  <c r="D20" i="18"/>
  <c r="E284" i="34"/>
  <c r="D19" i="18"/>
  <c r="E283" i="34"/>
  <c r="D18" i="18"/>
  <c r="E282" i="34"/>
  <c r="D17" i="18"/>
  <c r="E281" i="34"/>
  <c r="D16" i="18"/>
  <c r="E280" i="34"/>
  <c r="A30" i="34"/>
  <c r="A48" i="34"/>
  <c r="A67" i="34"/>
  <c r="K30" i="34"/>
  <c r="A33" i="34"/>
  <c r="A34" i="34"/>
  <c r="A35" i="34"/>
  <c r="A36" i="34"/>
  <c r="A37" i="34"/>
  <c r="A38" i="34"/>
  <c r="A39" i="34"/>
  <c r="A40" i="34"/>
  <c r="A41" i="34"/>
  <c r="A42" i="34"/>
  <c r="A43" i="34"/>
  <c r="A51" i="34"/>
  <c r="A52" i="34"/>
  <c r="A53" i="34"/>
  <c r="A54" i="34"/>
  <c r="A55" i="34"/>
  <c r="A56" i="34"/>
  <c r="A57" i="34"/>
  <c r="A58" i="34"/>
  <c r="A59" i="34"/>
  <c r="A60" i="34"/>
  <c r="A61" i="34"/>
  <c r="A70" i="34"/>
  <c r="A71" i="34"/>
  <c r="A88" i="34"/>
  <c r="A72" i="34"/>
  <c r="A73" i="34"/>
  <c r="A74" i="34"/>
  <c r="A75" i="34"/>
  <c r="A76" i="34"/>
  <c r="A77" i="34"/>
  <c r="A78" i="34"/>
  <c r="A79" i="34"/>
  <c r="A80" i="34"/>
  <c r="A87" i="34"/>
  <c r="A89" i="34"/>
  <c r="A90" i="34"/>
  <c r="A91" i="34"/>
  <c r="A92" i="34"/>
  <c r="A93" i="34"/>
  <c r="A94" i="34"/>
  <c r="A95" i="34"/>
  <c r="A96" i="34"/>
  <c r="A97" i="34"/>
  <c r="A136" i="34"/>
  <c r="A137" i="34"/>
  <c r="A151" i="34"/>
  <c r="A172" i="34"/>
  <c r="A186" i="34"/>
  <c r="A269" i="34"/>
  <c r="A283" i="34"/>
  <c r="A138" i="34"/>
  <c r="A139" i="34"/>
  <c r="A153" i="34"/>
  <c r="A174" i="34"/>
  <c r="A188" i="34"/>
  <c r="A271" i="34"/>
  <c r="A285" i="34"/>
  <c r="A140" i="34"/>
  <c r="A141" i="34"/>
  <c r="A155" i="34"/>
  <c r="A176" i="34"/>
  <c r="A190" i="34"/>
  <c r="A273" i="34"/>
  <c r="A287" i="34"/>
  <c r="A142" i="34"/>
  <c r="A143" i="34"/>
  <c r="A157" i="34"/>
  <c r="A178" i="34"/>
  <c r="A192" i="34"/>
  <c r="A275" i="34"/>
  <c r="A289" i="34"/>
  <c r="A150" i="34"/>
  <c r="A171" i="34"/>
  <c r="A185" i="34"/>
  <c r="A268" i="34"/>
  <c r="A282" i="34"/>
  <c r="A152" i="34"/>
  <c r="A173" i="34"/>
  <c r="A187" i="34"/>
  <c r="A270" i="34"/>
  <c r="A284" i="34"/>
  <c r="A154" i="34"/>
  <c r="A175" i="34"/>
  <c r="A189" i="34"/>
  <c r="A272" i="34"/>
  <c r="A286" i="34"/>
  <c r="A156" i="34"/>
  <c r="A177" i="34"/>
  <c r="A191" i="34"/>
  <c r="A274" i="34"/>
  <c r="A288" i="34"/>
  <c r="D167" i="34"/>
  <c r="D181" i="34"/>
  <c r="D196" i="34"/>
  <c r="D202" i="34"/>
  <c r="D208" i="34"/>
  <c r="D246" i="34"/>
  <c r="D241" i="34"/>
  <c r="A193" i="34"/>
  <c r="G214" i="34"/>
  <c r="H214" i="34"/>
  <c r="G215" i="34"/>
  <c r="H215" i="34"/>
  <c r="G216" i="34"/>
  <c r="H216" i="34"/>
  <c r="G217" i="34"/>
  <c r="H217" i="34"/>
  <c r="G218" i="34"/>
  <c r="H218" i="34"/>
  <c r="G219" i="34"/>
  <c r="H219" i="34"/>
  <c r="G220" i="34"/>
  <c r="H220" i="34"/>
  <c r="G221" i="34"/>
  <c r="H221" i="34"/>
  <c r="E222" i="34"/>
  <c r="F222" i="34"/>
  <c r="G222" i="34"/>
  <c r="H222" i="34"/>
  <c r="A251" i="34"/>
  <c r="A252" i="34"/>
  <c r="A254" i="34"/>
  <c r="A255" i="34"/>
  <c r="A257" i="34"/>
  <c r="A258" i="34"/>
  <c r="D308" i="34"/>
  <c r="D337" i="34"/>
  <c r="A311" i="34"/>
  <c r="D312" i="34"/>
  <c r="D316" i="34"/>
  <c r="D321" i="34"/>
  <c r="A326" i="34"/>
  <c r="D326" i="34"/>
  <c r="A331" i="34"/>
  <c r="D331" i="34"/>
  <c r="D339" i="34"/>
  <c r="O41" i="28"/>
  <c r="P41" i="28"/>
  <c r="O40" i="28"/>
  <c r="P40" i="28"/>
  <c r="B4" i="28"/>
  <c r="C4" i="28"/>
  <c r="D4" i="28"/>
  <c r="B5" i="28"/>
  <c r="C5" i="28"/>
  <c r="D5" i="28"/>
  <c r="B6" i="28"/>
  <c r="C6" i="28"/>
  <c r="D6" i="28"/>
  <c r="B7" i="28"/>
  <c r="C7" i="28"/>
  <c r="D7" i="28"/>
  <c r="E7" i="28"/>
  <c r="B8" i="28"/>
  <c r="C8" i="28"/>
  <c r="D8" i="28"/>
  <c r="B9" i="28"/>
  <c r="C9" i="28"/>
  <c r="D9" i="28"/>
  <c r="E9" i="28"/>
  <c r="B10" i="28"/>
  <c r="C10" i="28"/>
  <c r="D10" i="28"/>
  <c r="B11" i="28"/>
  <c r="C11" i="28"/>
  <c r="D11" i="28"/>
  <c r="E11" i="28"/>
  <c r="F6" i="28"/>
  <c r="F8" i="28"/>
  <c r="F4" i="28"/>
  <c r="B12" i="28"/>
  <c r="E10" i="28"/>
  <c r="E8" i="28"/>
  <c r="E6" i="28"/>
  <c r="E4" i="28"/>
  <c r="G20" i="33"/>
  <c r="G21" i="33"/>
  <c r="G22" i="33"/>
  <c r="G23" i="33"/>
  <c r="G19" i="33"/>
  <c r="F20" i="33"/>
  <c r="F21" i="33"/>
  <c r="F22" i="33"/>
  <c r="F23" i="33"/>
  <c r="F19" i="33"/>
  <c r="C20" i="33"/>
  <c r="C21" i="33"/>
  <c r="C22" i="33"/>
  <c r="C23" i="33"/>
  <c r="C24" i="33"/>
  <c r="C19" i="33"/>
  <c r="B20" i="33"/>
  <c r="B21" i="33"/>
  <c r="B22" i="33"/>
  <c r="B23" i="33"/>
  <c r="B24" i="33"/>
  <c r="B19" i="33"/>
  <c r="G4" i="28"/>
  <c r="N15" i="28"/>
  <c r="H4" i="28"/>
  <c r="F16" i="28"/>
  <c r="H2" i="20"/>
  <c r="H2" i="25"/>
  <c r="G8" i="33"/>
  <c r="G9" i="33"/>
  <c r="G10" i="33"/>
  <c r="G11" i="33"/>
  <c r="G7" i="33"/>
  <c r="F8" i="33"/>
  <c r="F9" i="33"/>
  <c r="F10" i="33"/>
  <c r="F11" i="33"/>
  <c r="F7" i="33"/>
  <c r="C8" i="33"/>
  <c r="C9" i="33"/>
  <c r="C10" i="33"/>
  <c r="C11" i="33"/>
  <c r="C12" i="33"/>
  <c r="C7" i="33"/>
  <c r="B8" i="33"/>
  <c r="B9" i="33"/>
  <c r="B10" i="33"/>
  <c r="B11" i="33"/>
  <c r="B12" i="33"/>
  <c r="B7" i="33"/>
  <c r="B5" i="33"/>
  <c r="B4" i="33"/>
  <c r="B12" i="17"/>
  <c r="K12" i="11"/>
  <c r="B5" i="17"/>
  <c r="B4" i="17"/>
  <c r="B19" i="17"/>
  <c r="B6" i="17"/>
  <c r="D137" i="34"/>
  <c r="B7" i="17"/>
  <c r="D138" i="34"/>
  <c r="D152" i="34"/>
  <c r="B8" i="17"/>
  <c r="D139" i="34"/>
  <c r="D153" i="34"/>
  <c r="B9" i="17"/>
  <c r="D140" i="34"/>
  <c r="D154" i="34"/>
  <c r="B10" i="17"/>
  <c r="D141" i="34"/>
  <c r="D155" i="34"/>
  <c r="B11" i="17"/>
  <c r="D142" i="34"/>
  <c r="D156" i="34"/>
  <c r="B26" i="17"/>
  <c r="C12" i="17"/>
  <c r="C5" i="17"/>
  <c r="C4" i="17"/>
  <c r="C19" i="17"/>
  <c r="C6" i="17"/>
  <c r="E137" i="34"/>
  <c r="C20" i="17"/>
  <c r="C7" i="17"/>
  <c r="E138" i="34"/>
  <c r="E152" i="34"/>
  <c r="C21" i="17"/>
  <c r="C8" i="17"/>
  <c r="E139" i="34"/>
  <c r="E153" i="34"/>
  <c r="C22" i="17"/>
  <c r="C9" i="17"/>
  <c r="C23" i="17"/>
  <c r="C10" i="17"/>
  <c r="C24" i="17"/>
  <c r="C11" i="17"/>
  <c r="C25" i="17"/>
  <c r="C26" i="17"/>
  <c r="D12" i="17"/>
  <c r="D5" i="17"/>
  <c r="F136" i="34"/>
  <c r="D4" i="17"/>
  <c r="D6" i="17"/>
  <c r="D7" i="17"/>
  <c r="D8" i="17"/>
  <c r="D9" i="17"/>
  <c r="D10" i="17"/>
  <c r="D11" i="17"/>
  <c r="D26" i="17"/>
  <c r="H7" i="9"/>
  <c r="I7" i="9"/>
  <c r="J7" i="9"/>
  <c r="G7" i="9"/>
  <c r="H8" i="9"/>
  <c r="I8" i="9"/>
  <c r="J8" i="9"/>
  <c r="G8" i="9"/>
  <c r="H9" i="9"/>
  <c r="I9" i="9"/>
  <c r="J9" i="9"/>
  <c r="G9" i="9"/>
  <c r="H10" i="9"/>
  <c r="I10" i="9"/>
  <c r="J10" i="9"/>
  <c r="G10" i="9"/>
  <c r="H11" i="9"/>
  <c r="I11" i="9"/>
  <c r="J11" i="9"/>
  <c r="G11" i="9"/>
  <c r="H12" i="9"/>
  <c r="G12" i="9"/>
  <c r="I12" i="9"/>
  <c r="J12" i="9"/>
  <c r="H13" i="9"/>
  <c r="G13" i="9"/>
  <c r="I13" i="9"/>
  <c r="J13" i="9"/>
  <c r="H14" i="9"/>
  <c r="G14" i="9"/>
  <c r="I14" i="9"/>
  <c r="J14" i="9"/>
  <c r="H15" i="9"/>
  <c r="I15" i="9"/>
  <c r="J15" i="9"/>
  <c r="G15" i="9"/>
  <c r="H16" i="9"/>
  <c r="G16" i="9"/>
  <c r="I16" i="9"/>
  <c r="J16" i="9"/>
  <c r="B3" i="17"/>
  <c r="C3" i="17"/>
  <c r="D3" i="17"/>
  <c r="E12" i="17"/>
  <c r="E4" i="17"/>
  <c r="E3" i="17"/>
  <c r="E5" i="17"/>
  <c r="E6" i="17"/>
  <c r="E7" i="17"/>
  <c r="E8" i="17"/>
  <c r="E9" i="17"/>
  <c r="E10" i="17"/>
  <c r="E11" i="17"/>
  <c r="E19" i="17"/>
  <c r="E20" i="17"/>
  <c r="E21" i="17"/>
  <c r="E22" i="17"/>
  <c r="E23" i="17"/>
  <c r="E24" i="17"/>
  <c r="E25" i="17"/>
  <c r="E26" i="17"/>
  <c r="F12" i="17"/>
  <c r="F4" i="17"/>
  <c r="F3" i="17"/>
  <c r="F5" i="17"/>
  <c r="F6" i="17"/>
  <c r="F7" i="17"/>
  <c r="F8" i="17"/>
  <c r="F9" i="17"/>
  <c r="F10" i="17"/>
  <c r="F11" i="17"/>
  <c r="F19" i="17"/>
  <c r="F20" i="17"/>
  <c r="F21" i="17"/>
  <c r="F22" i="17"/>
  <c r="F23" i="17"/>
  <c r="F24" i="17"/>
  <c r="F25" i="17"/>
  <c r="F26" i="17"/>
  <c r="G12" i="17"/>
  <c r="G8" i="17"/>
  <c r="G7" i="17"/>
  <c r="G9" i="17"/>
  <c r="G10" i="17"/>
  <c r="G11" i="17"/>
  <c r="G26" i="17"/>
  <c r="R63" i="9"/>
  <c r="A1" i="19"/>
  <c r="A1" i="33"/>
  <c r="C3" i="20"/>
  <c r="C15" i="20"/>
  <c r="C27" i="20"/>
  <c r="C39" i="20"/>
  <c r="C51" i="20"/>
  <c r="C63" i="20"/>
  <c r="C75" i="20"/>
  <c r="C87" i="20"/>
  <c r="I87" i="20"/>
  <c r="D3" i="20"/>
  <c r="D15" i="20"/>
  <c r="D27" i="20"/>
  <c r="D39" i="20"/>
  <c r="D51" i="20"/>
  <c r="D63" i="20"/>
  <c r="D75" i="20"/>
  <c r="D87" i="20"/>
  <c r="C4" i="20"/>
  <c r="C16" i="20"/>
  <c r="C76" i="20"/>
  <c r="C28" i="20"/>
  <c r="C40" i="20"/>
  <c r="C52" i="20"/>
  <c r="C64" i="20"/>
  <c r="D4" i="20"/>
  <c r="D16" i="20"/>
  <c r="D76" i="20"/>
  <c r="D88" i="20"/>
  <c r="D28" i="20"/>
  <c r="D40" i="20"/>
  <c r="D52" i="20"/>
  <c r="D64" i="20"/>
  <c r="C5" i="20"/>
  <c r="C17" i="20"/>
  <c r="C29" i="20"/>
  <c r="C41" i="20"/>
  <c r="C53" i="20"/>
  <c r="C65" i="20"/>
  <c r="C77" i="20"/>
  <c r="C89" i="20"/>
  <c r="D5" i="20"/>
  <c r="D17" i="20"/>
  <c r="D29" i="20"/>
  <c r="D41" i="20"/>
  <c r="D53" i="20"/>
  <c r="D65" i="20"/>
  <c r="D77" i="20"/>
  <c r="D89" i="20"/>
  <c r="C6" i="20"/>
  <c r="C18" i="20"/>
  <c r="C78" i="20"/>
  <c r="C30" i="20"/>
  <c r="C42" i="20"/>
  <c r="C54" i="20"/>
  <c r="C66" i="20"/>
  <c r="D6" i="20"/>
  <c r="D18" i="20"/>
  <c r="D78" i="20"/>
  <c r="D90" i="20"/>
  <c r="D30" i="20"/>
  <c r="D42" i="20"/>
  <c r="D54" i="20"/>
  <c r="D66" i="20"/>
  <c r="C7" i="20"/>
  <c r="C19" i="20"/>
  <c r="C31" i="20"/>
  <c r="C43" i="20"/>
  <c r="C55" i="20"/>
  <c r="C67" i="20"/>
  <c r="C79" i="20"/>
  <c r="C91" i="20"/>
  <c r="D7" i="20"/>
  <c r="D19" i="20"/>
  <c r="D31" i="20"/>
  <c r="D43" i="20"/>
  <c r="D55" i="20"/>
  <c r="D67" i="20"/>
  <c r="D79" i="20"/>
  <c r="D91" i="20"/>
  <c r="C8" i="20"/>
  <c r="C20" i="20"/>
  <c r="C80" i="20"/>
  <c r="C32" i="20"/>
  <c r="C44" i="20"/>
  <c r="C56" i="20"/>
  <c r="C68" i="20"/>
  <c r="D8" i="20"/>
  <c r="D20" i="20"/>
  <c r="D80" i="20"/>
  <c r="D92" i="20"/>
  <c r="D32" i="20"/>
  <c r="D44" i="20"/>
  <c r="D56" i="20"/>
  <c r="D68" i="20"/>
  <c r="C9" i="20"/>
  <c r="C21" i="20"/>
  <c r="C33" i="20"/>
  <c r="C45" i="20"/>
  <c r="C57" i="20"/>
  <c r="C69" i="20"/>
  <c r="C81" i="20"/>
  <c r="C93" i="20"/>
  <c r="D9" i="20"/>
  <c r="D21" i="20"/>
  <c r="D33" i="20"/>
  <c r="D45" i="20"/>
  <c r="D57" i="20"/>
  <c r="D69" i="20"/>
  <c r="D81" i="20"/>
  <c r="D93" i="20"/>
  <c r="C10" i="20"/>
  <c r="C22" i="20"/>
  <c r="C82" i="20"/>
  <c r="C34" i="20"/>
  <c r="C46" i="20"/>
  <c r="C58" i="20"/>
  <c r="C70" i="20"/>
  <c r="D10" i="20"/>
  <c r="D22" i="20"/>
  <c r="D82" i="20"/>
  <c r="D94" i="20"/>
  <c r="D34" i="20"/>
  <c r="D46" i="20"/>
  <c r="D58" i="20"/>
  <c r="D70" i="20"/>
  <c r="C11" i="20"/>
  <c r="C23" i="20"/>
  <c r="C35" i="20"/>
  <c r="C47" i="20"/>
  <c r="C59" i="20"/>
  <c r="C71" i="20"/>
  <c r="C83" i="20"/>
  <c r="C95" i="20"/>
  <c r="D11" i="20"/>
  <c r="D23" i="20"/>
  <c r="D35" i="20"/>
  <c r="D47" i="20"/>
  <c r="D59" i="20"/>
  <c r="D71" i="20"/>
  <c r="D83" i="20"/>
  <c r="D95" i="20"/>
  <c r="C12" i="20"/>
  <c r="C24" i="20"/>
  <c r="C84" i="20"/>
  <c r="C36" i="20"/>
  <c r="C48" i="20"/>
  <c r="C60" i="20"/>
  <c r="C72" i="20"/>
  <c r="D12" i="20"/>
  <c r="D24" i="20"/>
  <c r="D84" i="20"/>
  <c r="D96" i="20"/>
  <c r="D36" i="20"/>
  <c r="D48" i="20"/>
  <c r="D60" i="20"/>
  <c r="D72" i="20"/>
  <c r="C13" i="20"/>
  <c r="C25" i="20"/>
  <c r="C37" i="20"/>
  <c r="C49" i="20"/>
  <c r="C61" i="20"/>
  <c r="C73" i="20"/>
  <c r="C85" i="20"/>
  <c r="C97" i="20"/>
  <c r="D13" i="20"/>
  <c r="D25" i="20"/>
  <c r="D37" i="20"/>
  <c r="D49" i="20"/>
  <c r="D61" i="20"/>
  <c r="D73" i="20"/>
  <c r="D85" i="20"/>
  <c r="D97" i="20"/>
  <c r="C14" i="20"/>
  <c r="C26" i="20"/>
  <c r="C86" i="20"/>
  <c r="C38" i="20"/>
  <c r="C50" i="20"/>
  <c r="C62" i="20"/>
  <c r="C74" i="20"/>
  <c r="D14" i="20"/>
  <c r="D26" i="20"/>
  <c r="D86" i="20"/>
  <c r="D98" i="20"/>
  <c r="D38" i="20"/>
  <c r="D50" i="20"/>
  <c r="D62" i="20"/>
  <c r="D74" i="20"/>
  <c r="C3" i="25"/>
  <c r="C15" i="25"/>
  <c r="C27" i="25"/>
  <c r="C39" i="25"/>
  <c r="C51" i="25"/>
  <c r="C63" i="25"/>
  <c r="C75" i="25"/>
  <c r="C87" i="25"/>
  <c r="D3" i="25"/>
  <c r="D15" i="25"/>
  <c r="D27" i="25"/>
  <c r="D39" i="25"/>
  <c r="D51" i="25"/>
  <c r="D63" i="25"/>
  <c r="D75" i="25"/>
  <c r="D87" i="25"/>
  <c r="C4" i="25"/>
  <c r="C16" i="25"/>
  <c r="C28" i="25"/>
  <c r="C40" i="25"/>
  <c r="C52" i="25"/>
  <c r="C64" i="25"/>
  <c r="C76" i="25"/>
  <c r="C88" i="25"/>
  <c r="D4" i="25"/>
  <c r="D16" i="25"/>
  <c r="D28" i="25"/>
  <c r="D40" i="25"/>
  <c r="D52" i="25"/>
  <c r="D64" i="25"/>
  <c r="D76" i="25"/>
  <c r="D88" i="25"/>
  <c r="C5" i="25"/>
  <c r="C17" i="25"/>
  <c r="C29" i="25"/>
  <c r="C41" i="25"/>
  <c r="C53" i="25"/>
  <c r="C65" i="25"/>
  <c r="C77" i="25"/>
  <c r="C89" i="25"/>
  <c r="D5" i="25"/>
  <c r="D17" i="25"/>
  <c r="D29" i="25"/>
  <c r="D41" i="25"/>
  <c r="D53" i="25"/>
  <c r="D65" i="25"/>
  <c r="D77" i="25"/>
  <c r="D89" i="25"/>
  <c r="C6" i="25"/>
  <c r="C18" i="25"/>
  <c r="C30" i="25"/>
  <c r="C42" i="25"/>
  <c r="C54" i="25"/>
  <c r="C66" i="25"/>
  <c r="C78" i="25"/>
  <c r="C90" i="25"/>
  <c r="D6" i="25"/>
  <c r="D18" i="25"/>
  <c r="D30" i="25"/>
  <c r="D42" i="25"/>
  <c r="D54" i="25"/>
  <c r="D66" i="25"/>
  <c r="D78" i="25"/>
  <c r="D90" i="25"/>
  <c r="C7" i="25"/>
  <c r="C19" i="25"/>
  <c r="C31" i="25"/>
  <c r="C43" i="25"/>
  <c r="C55" i="25"/>
  <c r="C67" i="25"/>
  <c r="C79" i="25"/>
  <c r="C91" i="25"/>
  <c r="D7" i="25"/>
  <c r="D19" i="25"/>
  <c r="D31" i="25"/>
  <c r="D43" i="25"/>
  <c r="D55" i="25"/>
  <c r="D67" i="25"/>
  <c r="D79" i="25"/>
  <c r="D91" i="25"/>
  <c r="C8" i="25"/>
  <c r="C20" i="25"/>
  <c r="C32" i="25"/>
  <c r="C44" i="25"/>
  <c r="C56" i="25"/>
  <c r="C68" i="25"/>
  <c r="C80" i="25"/>
  <c r="C92" i="25"/>
  <c r="D8" i="25"/>
  <c r="D20" i="25"/>
  <c r="D32" i="25"/>
  <c r="D44" i="25"/>
  <c r="D56" i="25"/>
  <c r="D68" i="25"/>
  <c r="D80" i="25"/>
  <c r="D92" i="25"/>
  <c r="C9" i="25"/>
  <c r="C21" i="25"/>
  <c r="C81" i="25"/>
  <c r="C33" i="25"/>
  <c r="C45" i="25"/>
  <c r="C57" i="25"/>
  <c r="C69" i="25"/>
  <c r="D9" i="25"/>
  <c r="D21" i="25"/>
  <c r="D81" i="25"/>
  <c r="D93" i="25"/>
  <c r="D33" i="25"/>
  <c r="D45" i="25"/>
  <c r="D57" i="25"/>
  <c r="D69" i="25"/>
  <c r="C10" i="25"/>
  <c r="C22" i="25"/>
  <c r="C82" i="25"/>
  <c r="C34" i="25"/>
  <c r="C46" i="25"/>
  <c r="C58" i="25"/>
  <c r="C70" i="25"/>
  <c r="D10" i="25"/>
  <c r="D22" i="25"/>
  <c r="D82" i="25"/>
  <c r="D94" i="25"/>
  <c r="D34" i="25"/>
  <c r="D46" i="25"/>
  <c r="D58" i="25"/>
  <c r="D70" i="25"/>
  <c r="C11" i="25"/>
  <c r="C23" i="25"/>
  <c r="C83" i="25"/>
  <c r="C35" i="25"/>
  <c r="C47" i="25"/>
  <c r="C59" i="25"/>
  <c r="C71" i="25"/>
  <c r="D11" i="25"/>
  <c r="D23" i="25"/>
  <c r="D83" i="25"/>
  <c r="D95" i="25"/>
  <c r="D35" i="25"/>
  <c r="D47" i="25"/>
  <c r="D59" i="25"/>
  <c r="D71" i="25"/>
  <c r="C12" i="25"/>
  <c r="C24" i="25"/>
  <c r="C84" i="25"/>
  <c r="C36" i="25"/>
  <c r="C48" i="25"/>
  <c r="C60" i="25"/>
  <c r="C72" i="25"/>
  <c r="D12" i="25"/>
  <c r="D24" i="25"/>
  <c r="D84" i="25"/>
  <c r="D96" i="25"/>
  <c r="D36" i="25"/>
  <c r="D48" i="25"/>
  <c r="D60" i="25"/>
  <c r="D72" i="25"/>
  <c r="C13" i="25"/>
  <c r="C25" i="25"/>
  <c r="C85" i="25"/>
  <c r="C37" i="25"/>
  <c r="C49" i="25"/>
  <c r="C61" i="25"/>
  <c r="C73" i="25"/>
  <c r="D13" i="25"/>
  <c r="D25" i="25"/>
  <c r="D85" i="25"/>
  <c r="D97" i="25"/>
  <c r="D37" i="25"/>
  <c r="D49" i="25"/>
  <c r="D61" i="25"/>
  <c r="D73" i="25"/>
  <c r="C14" i="25"/>
  <c r="C26" i="25"/>
  <c r="C86" i="25"/>
  <c r="C38" i="25"/>
  <c r="C50" i="25"/>
  <c r="C62" i="25"/>
  <c r="C74" i="25"/>
  <c r="D14" i="25"/>
  <c r="D26" i="25"/>
  <c r="D86" i="25"/>
  <c r="D98" i="25"/>
  <c r="D38" i="25"/>
  <c r="D50" i="25"/>
  <c r="D62" i="25"/>
  <c r="D74" i="25"/>
  <c r="D22" i="18"/>
  <c r="E286" i="34"/>
  <c r="D24" i="18"/>
  <c r="E288" i="34"/>
  <c r="D25" i="18"/>
  <c r="E289" i="34"/>
  <c r="C16" i="18"/>
  <c r="F280" i="34"/>
  <c r="C17" i="18"/>
  <c r="F281" i="34"/>
  <c r="C18" i="18"/>
  <c r="F282" i="34"/>
  <c r="C19" i="18"/>
  <c r="F283" i="34"/>
  <c r="C20" i="18"/>
  <c r="F284" i="34"/>
  <c r="C21" i="18"/>
  <c r="F285" i="34"/>
  <c r="C22" i="18"/>
  <c r="F286" i="34"/>
  <c r="C23" i="18"/>
  <c r="F287" i="34"/>
  <c r="C24" i="18"/>
  <c r="F288" i="34"/>
  <c r="C25" i="18"/>
  <c r="F289" i="34"/>
  <c r="C27" i="18"/>
  <c r="F290" i="34"/>
  <c r="B2" i="18"/>
  <c r="B3" i="18"/>
  <c r="B4" i="18"/>
  <c r="B5" i="18"/>
  <c r="B6" i="18"/>
  <c r="B7" i="18"/>
  <c r="B8" i="18"/>
  <c r="B22" i="18"/>
  <c r="D286" i="34"/>
  <c r="B9" i="18"/>
  <c r="B10" i="18"/>
  <c r="B24" i="18"/>
  <c r="D288" i="34"/>
  <c r="B11" i="18"/>
  <c r="B25" i="18"/>
  <c r="D289" i="34"/>
  <c r="I63" i="25"/>
  <c r="I64" i="25"/>
  <c r="I65" i="25"/>
  <c r="I66" i="25"/>
  <c r="I67" i="25"/>
  <c r="I68" i="25"/>
  <c r="I69" i="25"/>
  <c r="I70" i="25"/>
  <c r="I71" i="25"/>
  <c r="I72" i="25"/>
  <c r="I73" i="25"/>
  <c r="I74" i="25"/>
  <c r="I111" i="25"/>
  <c r="I51" i="25"/>
  <c r="I52" i="25"/>
  <c r="I53" i="25"/>
  <c r="I54" i="25"/>
  <c r="I55" i="25"/>
  <c r="I56" i="25"/>
  <c r="I57" i="25"/>
  <c r="I58" i="25"/>
  <c r="I59" i="25"/>
  <c r="I60" i="25"/>
  <c r="I61" i="25"/>
  <c r="I62" i="25"/>
  <c r="I110" i="25"/>
  <c r="I39" i="25"/>
  <c r="I40" i="25"/>
  <c r="I41" i="25"/>
  <c r="I42" i="25"/>
  <c r="I43" i="25"/>
  <c r="I44" i="25"/>
  <c r="I45" i="25"/>
  <c r="I46" i="25"/>
  <c r="I47" i="25"/>
  <c r="I48" i="25"/>
  <c r="I109" i="25"/>
  <c r="I49" i="25"/>
  <c r="I50" i="25"/>
  <c r="I27" i="25"/>
  <c r="I28" i="25"/>
  <c r="I29" i="25"/>
  <c r="I30" i="25"/>
  <c r="I31" i="25"/>
  <c r="I32" i="25"/>
  <c r="I33" i="25"/>
  <c r="I34" i="25"/>
  <c r="I35" i="25"/>
  <c r="I36" i="25"/>
  <c r="I37" i="25"/>
  <c r="I38" i="25"/>
  <c r="I108" i="25"/>
  <c r="I15" i="25"/>
  <c r="I16" i="25"/>
  <c r="I17" i="25"/>
  <c r="I18" i="25"/>
  <c r="I19" i="25"/>
  <c r="I20" i="25"/>
  <c r="I21" i="25"/>
  <c r="I22" i="25"/>
  <c r="I107" i="25"/>
  <c r="I23" i="25"/>
  <c r="I24" i="25"/>
  <c r="I25" i="25"/>
  <c r="I26" i="25"/>
  <c r="I3" i="25"/>
  <c r="I4" i="25"/>
  <c r="I5" i="25"/>
  <c r="I6" i="25"/>
  <c r="I7" i="25"/>
  <c r="I8" i="25"/>
  <c r="I9" i="25"/>
  <c r="I10" i="25"/>
  <c r="I11" i="25"/>
  <c r="I12" i="25"/>
  <c r="I13" i="25"/>
  <c r="I14" i="25"/>
  <c r="I106" i="25"/>
  <c r="B63" i="25"/>
  <c r="B64" i="25"/>
  <c r="B111" i="25"/>
  <c r="J111" i="25"/>
  <c r="K111" i="25"/>
  <c r="B65" i="25"/>
  <c r="B66" i="25"/>
  <c r="B67" i="25"/>
  <c r="B68" i="25"/>
  <c r="B69" i="25"/>
  <c r="B70" i="25"/>
  <c r="B71" i="25"/>
  <c r="B72" i="25"/>
  <c r="B73" i="25"/>
  <c r="B74" i="25"/>
  <c r="B51" i="25"/>
  <c r="B52" i="25"/>
  <c r="B53" i="25"/>
  <c r="B54" i="25"/>
  <c r="B55" i="25"/>
  <c r="B56" i="25"/>
  <c r="B57" i="25"/>
  <c r="B58" i="25"/>
  <c r="B59" i="25"/>
  <c r="B60" i="25"/>
  <c r="B61" i="25"/>
  <c r="B62" i="25"/>
  <c r="B110" i="25"/>
  <c r="B39" i="25"/>
  <c r="B40" i="25"/>
  <c r="B109" i="25"/>
  <c r="B41" i="25"/>
  <c r="B42" i="25"/>
  <c r="B43" i="25"/>
  <c r="B44" i="25"/>
  <c r="B45" i="25"/>
  <c r="B46" i="25"/>
  <c r="B47" i="25"/>
  <c r="B48" i="25"/>
  <c r="B49" i="25"/>
  <c r="B50" i="25"/>
  <c r="B27" i="25"/>
  <c r="B28" i="25"/>
  <c r="B29" i="25"/>
  <c r="B30" i="25"/>
  <c r="B31" i="25"/>
  <c r="B32" i="25"/>
  <c r="B33" i="25"/>
  <c r="B34" i="25"/>
  <c r="B35" i="25"/>
  <c r="B36" i="25"/>
  <c r="B37" i="25"/>
  <c r="B38" i="25"/>
  <c r="B108" i="25"/>
  <c r="B15" i="25"/>
  <c r="B16" i="25"/>
  <c r="B107" i="25"/>
  <c r="B17" i="25"/>
  <c r="B18" i="25"/>
  <c r="B19" i="25"/>
  <c r="B20" i="25"/>
  <c r="B21" i="25"/>
  <c r="B22" i="25"/>
  <c r="B23" i="25"/>
  <c r="B24" i="25"/>
  <c r="B25" i="25"/>
  <c r="B26" i="25"/>
  <c r="B3" i="25"/>
  <c r="B4" i="25"/>
  <c r="B5" i="25"/>
  <c r="B6" i="25"/>
  <c r="B7" i="25"/>
  <c r="B8" i="25"/>
  <c r="B9" i="25"/>
  <c r="B10" i="25"/>
  <c r="B11" i="25"/>
  <c r="B12" i="25"/>
  <c r="B13" i="25"/>
  <c r="B14" i="25"/>
  <c r="B106" i="25"/>
  <c r="I63" i="20"/>
  <c r="I64" i="20"/>
  <c r="I65" i="20"/>
  <c r="I66" i="20"/>
  <c r="I111" i="20"/>
  <c r="J111" i="20"/>
  <c r="K111" i="20"/>
  <c r="I67" i="20"/>
  <c r="I68" i="20"/>
  <c r="I69" i="20"/>
  <c r="I70" i="20"/>
  <c r="I71" i="20"/>
  <c r="I72" i="20"/>
  <c r="I73" i="20"/>
  <c r="I74" i="20"/>
  <c r="I51" i="20"/>
  <c r="I52" i="20"/>
  <c r="I53" i="20"/>
  <c r="I54" i="20"/>
  <c r="I55" i="20"/>
  <c r="I56" i="20"/>
  <c r="I57" i="20"/>
  <c r="I58" i="20"/>
  <c r="I59" i="20"/>
  <c r="I60" i="20"/>
  <c r="I61" i="20"/>
  <c r="I62" i="20"/>
  <c r="I110" i="20"/>
  <c r="I39" i="20"/>
  <c r="I40" i="20"/>
  <c r="I109" i="20"/>
  <c r="I41" i="20"/>
  <c r="I42" i="20"/>
  <c r="I43" i="20"/>
  <c r="I44" i="20"/>
  <c r="I45" i="20"/>
  <c r="I46" i="20"/>
  <c r="I47" i="20"/>
  <c r="I48" i="20"/>
  <c r="I49" i="20"/>
  <c r="I50" i="20"/>
  <c r="I27" i="20"/>
  <c r="I28" i="20"/>
  <c r="I29" i="20"/>
  <c r="I30" i="20"/>
  <c r="I31" i="20"/>
  <c r="I32" i="20"/>
  <c r="I33" i="20"/>
  <c r="I34" i="20"/>
  <c r="I35" i="20"/>
  <c r="I36" i="20"/>
  <c r="I37" i="20"/>
  <c r="I38" i="20"/>
  <c r="I108" i="20"/>
  <c r="I15" i="20"/>
  <c r="I16" i="20"/>
  <c r="I107" i="20"/>
  <c r="I17" i="20"/>
  <c r="I18" i="20"/>
  <c r="I19" i="20"/>
  <c r="I20" i="20"/>
  <c r="I21" i="20"/>
  <c r="I22" i="20"/>
  <c r="I23" i="20"/>
  <c r="I24" i="20"/>
  <c r="I25" i="20"/>
  <c r="I26" i="20"/>
  <c r="I3" i="20"/>
  <c r="I4" i="20"/>
  <c r="I5" i="20"/>
  <c r="I6" i="20"/>
  <c r="I7" i="20"/>
  <c r="I8" i="20"/>
  <c r="I9" i="20"/>
  <c r="I10" i="20"/>
  <c r="I11" i="20"/>
  <c r="I12" i="20"/>
  <c r="I13" i="20"/>
  <c r="I14" i="20"/>
  <c r="I106" i="20"/>
  <c r="B63" i="20"/>
  <c r="B64" i="20"/>
  <c r="B111" i="20"/>
  <c r="B65" i="20"/>
  <c r="B66" i="20"/>
  <c r="B67" i="20"/>
  <c r="B68" i="20"/>
  <c r="B69" i="20"/>
  <c r="B70" i="20"/>
  <c r="B71" i="20"/>
  <c r="B72" i="20"/>
  <c r="B73" i="20"/>
  <c r="B74" i="20"/>
  <c r="B51" i="20"/>
  <c r="B52" i="20"/>
  <c r="B53" i="20"/>
  <c r="B54" i="20"/>
  <c r="B55" i="20"/>
  <c r="B56" i="20"/>
  <c r="B57" i="20"/>
  <c r="B58" i="20"/>
  <c r="B59" i="20"/>
  <c r="B60" i="20"/>
  <c r="B61" i="20"/>
  <c r="B62" i="20"/>
  <c r="B110" i="20"/>
  <c r="B39" i="20"/>
  <c r="B40" i="20"/>
  <c r="B109" i="20"/>
  <c r="B41" i="20"/>
  <c r="B42" i="20"/>
  <c r="B43" i="20"/>
  <c r="B44" i="20"/>
  <c r="B45" i="20"/>
  <c r="B46" i="20"/>
  <c r="B47" i="20"/>
  <c r="B48" i="20"/>
  <c r="B49" i="20"/>
  <c r="B50" i="20"/>
  <c r="B27" i="20"/>
  <c r="B28" i="20"/>
  <c r="B29" i="20"/>
  <c r="B30" i="20"/>
  <c r="B31" i="20"/>
  <c r="B32" i="20"/>
  <c r="B33" i="20"/>
  <c r="B34" i="20"/>
  <c r="B35" i="20"/>
  <c r="B36" i="20"/>
  <c r="B37" i="20"/>
  <c r="B38" i="20"/>
  <c r="B108" i="20"/>
  <c r="B15" i="20"/>
  <c r="B16" i="20"/>
  <c r="B107" i="20"/>
  <c r="B17" i="20"/>
  <c r="B18" i="20"/>
  <c r="B19" i="20"/>
  <c r="B20" i="20"/>
  <c r="B21" i="20"/>
  <c r="B22" i="20"/>
  <c r="B23" i="20"/>
  <c r="B24" i="20"/>
  <c r="B25" i="20"/>
  <c r="B26" i="20"/>
  <c r="B3" i="20"/>
  <c r="B4" i="20"/>
  <c r="B5" i="20"/>
  <c r="B6" i="20"/>
  <c r="B7" i="20"/>
  <c r="B8" i="20"/>
  <c r="B9" i="20"/>
  <c r="B10" i="20"/>
  <c r="B11" i="20"/>
  <c r="B12" i="20"/>
  <c r="B13" i="20"/>
  <c r="B14" i="20"/>
  <c r="B106" i="20"/>
  <c r="I75" i="20"/>
  <c r="I77" i="20"/>
  <c r="I79" i="20"/>
  <c r="I81" i="20"/>
  <c r="I83" i="20"/>
  <c r="I85" i="20"/>
  <c r="N27" i="9"/>
  <c r="N28" i="9"/>
  <c r="N29" i="9"/>
  <c r="N30" i="9"/>
  <c r="N31" i="9"/>
  <c r="N32" i="9"/>
  <c r="N33" i="9"/>
  <c r="N34" i="9"/>
  <c r="N35" i="9"/>
  <c r="N26" i="9"/>
  <c r="N44" i="9"/>
  <c r="N46" i="9"/>
  <c r="N48" i="9"/>
  <c r="N50" i="9"/>
  <c r="P13" i="28"/>
  <c r="Q13" i="28"/>
  <c r="P14" i="28"/>
  <c r="P17" i="28"/>
  <c r="R16" i="28"/>
  <c r="T8" i="28"/>
  <c r="T9" i="28"/>
  <c r="T10" i="28"/>
  <c r="P11" i="28"/>
  <c r="Q11" i="28"/>
  <c r="R11" i="28"/>
  <c r="S11" i="28"/>
  <c r="T11" i="28"/>
  <c r="T7" i="28"/>
  <c r="G6" i="17"/>
  <c r="G5" i="17"/>
  <c r="G4" i="17"/>
  <c r="G3" i="17"/>
  <c r="U41" i="24"/>
  <c r="T41" i="24"/>
  <c r="S41" i="24"/>
  <c r="R41" i="24"/>
  <c r="Q41" i="24"/>
  <c r="P41" i="24"/>
  <c r="O41" i="24"/>
  <c r="N41" i="24"/>
  <c r="M41" i="24"/>
  <c r="L41" i="24"/>
  <c r="K41" i="24"/>
  <c r="J41" i="24"/>
  <c r="I41" i="24"/>
  <c r="H41" i="24"/>
  <c r="G41" i="24"/>
  <c r="F41" i="24"/>
  <c r="E41" i="24"/>
  <c r="D41" i="24"/>
  <c r="C41" i="24"/>
  <c r="B41" i="24"/>
  <c r="C21" i="24"/>
  <c r="D21" i="24"/>
  <c r="E21" i="24"/>
  <c r="F21" i="24"/>
  <c r="G21" i="24"/>
  <c r="H21" i="24"/>
  <c r="I21" i="24"/>
  <c r="J21" i="24"/>
  <c r="K21" i="24"/>
  <c r="L21" i="24"/>
  <c r="M21" i="24"/>
  <c r="N21" i="24"/>
  <c r="O21" i="24"/>
  <c r="P21" i="24"/>
  <c r="Q21" i="24"/>
  <c r="R21" i="24"/>
  <c r="S21" i="24"/>
  <c r="T21" i="24"/>
  <c r="U21" i="24"/>
  <c r="B21" i="24"/>
  <c r="V8" i="24"/>
  <c r="W8" i="24"/>
  <c r="C170" i="19"/>
  <c r="V9" i="24"/>
  <c r="W9" i="24"/>
  <c r="C171" i="19"/>
  <c r="V10" i="24"/>
  <c r="W10" i="24"/>
  <c r="C172" i="19"/>
  <c r="V11" i="24"/>
  <c r="W11" i="24"/>
  <c r="C173" i="19"/>
  <c r="V12" i="24"/>
  <c r="W12" i="24"/>
  <c r="C174" i="19"/>
  <c r="V13" i="24"/>
  <c r="W13" i="24"/>
  <c r="C175" i="19"/>
  <c r="V14" i="24"/>
  <c r="W14" i="24"/>
  <c r="V15" i="24"/>
  <c r="W15" i="24"/>
  <c r="V16" i="24"/>
  <c r="W16" i="24"/>
  <c r="C178" i="19"/>
  <c r="V17" i="24"/>
  <c r="W17" i="24"/>
  <c r="C179" i="19"/>
  <c r="V18" i="24"/>
  <c r="W18" i="24"/>
  <c r="C180" i="19"/>
  <c r="V19" i="24"/>
  <c r="W19" i="24"/>
  <c r="C181" i="19"/>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5" i="26"/>
  <c r="B4" i="26"/>
  <c r="B74" i="26"/>
  <c r="B3" i="26"/>
  <c r="C4" i="26"/>
  <c r="D4" i="26"/>
  <c r="C5" i="26"/>
  <c r="D5" i="26"/>
  <c r="C6" i="26"/>
  <c r="D6" i="26"/>
  <c r="C7" i="26"/>
  <c r="D7" i="26"/>
  <c r="C8" i="26"/>
  <c r="D8" i="26"/>
  <c r="C9" i="26"/>
  <c r="D9" i="26"/>
  <c r="C10" i="26"/>
  <c r="D10" i="26"/>
  <c r="C11" i="26"/>
  <c r="D11" i="26"/>
  <c r="C12" i="26"/>
  <c r="D12" i="26"/>
  <c r="C13" i="26"/>
  <c r="D13" i="26"/>
  <c r="C14" i="26"/>
  <c r="D14" i="26"/>
  <c r="C15" i="26"/>
  <c r="D15" i="26"/>
  <c r="C16" i="26"/>
  <c r="D16" i="26"/>
  <c r="C17" i="26"/>
  <c r="D17" i="26"/>
  <c r="C18" i="26"/>
  <c r="D18" i="26"/>
  <c r="C19" i="26"/>
  <c r="D19" i="26"/>
  <c r="C20" i="26"/>
  <c r="D20" i="26"/>
  <c r="C21" i="26"/>
  <c r="D21" i="26"/>
  <c r="C22" i="26"/>
  <c r="D22" i="26"/>
  <c r="C23" i="26"/>
  <c r="D23" i="26"/>
  <c r="C24" i="26"/>
  <c r="D24" i="26"/>
  <c r="C25" i="26"/>
  <c r="D25" i="26"/>
  <c r="C26" i="26"/>
  <c r="D26" i="26"/>
  <c r="C27" i="26"/>
  <c r="D27" i="26"/>
  <c r="C28" i="26"/>
  <c r="D28" i="26"/>
  <c r="C29" i="26"/>
  <c r="D29" i="26"/>
  <c r="C30" i="26"/>
  <c r="D30" i="26"/>
  <c r="C31" i="26"/>
  <c r="D31" i="26"/>
  <c r="C32" i="26"/>
  <c r="D32" i="26"/>
  <c r="C33" i="26"/>
  <c r="D33" i="26"/>
  <c r="C34" i="26"/>
  <c r="D34" i="26"/>
  <c r="C35" i="26"/>
  <c r="D35" i="26"/>
  <c r="C36" i="26"/>
  <c r="D36" i="26"/>
  <c r="C37" i="26"/>
  <c r="D37" i="26"/>
  <c r="C38" i="26"/>
  <c r="D38" i="26"/>
  <c r="C39" i="26"/>
  <c r="D39" i="26"/>
  <c r="C40" i="26"/>
  <c r="D40" i="26"/>
  <c r="C41" i="26"/>
  <c r="D41" i="26"/>
  <c r="C42" i="26"/>
  <c r="D42" i="26"/>
  <c r="C43" i="26"/>
  <c r="D43" i="26"/>
  <c r="C44" i="26"/>
  <c r="D44" i="26"/>
  <c r="C45" i="26"/>
  <c r="D45" i="26"/>
  <c r="C46" i="26"/>
  <c r="D46" i="26"/>
  <c r="C47" i="26"/>
  <c r="D47" i="26"/>
  <c r="C48" i="26"/>
  <c r="D48" i="26"/>
  <c r="C49" i="26"/>
  <c r="D49" i="26"/>
  <c r="C50" i="26"/>
  <c r="D50" i="26"/>
  <c r="C51" i="26"/>
  <c r="D51" i="26"/>
  <c r="C52" i="26"/>
  <c r="D52" i="26"/>
  <c r="C53" i="26"/>
  <c r="D53" i="26"/>
  <c r="C54" i="26"/>
  <c r="D54" i="26"/>
  <c r="C55" i="26"/>
  <c r="D55" i="26"/>
  <c r="C56" i="26"/>
  <c r="D56" i="26"/>
  <c r="C57" i="26"/>
  <c r="D57" i="26"/>
  <c r="C58" i="26"/>
  <c r="D58" i="26"/>
  <c r="C59" i="26"/>
  <c r="D59" i="26"/>
  <c r="C60" i="26"/>
  <c r="D60" i="26"/>
  <c r="C61" i="26"/>
  <c r="D61" i="26"/>
  <c r="C62" i="26"/>
  <c r="D62" i="26"/>
  <c r="C63" i="26"/>
  <c r="D63" i="26"/>
  <c r="C64" i="26"/>
  <c r="D64" i="26"/>
  <c r="C65" i="26"/>
  <c r="D65" i="26"/>
  <c r="C66" i="26"/>
  <c r="D66" i="26"/>
  <c r="C67" i="26"/>
  <c r="D67" i="26"/>
  <c r="C68" i="26"/>
  <c r="D68" i="26"/>
  <c r="C69" i="26"/>
  <c r="D69" i="26"/>
  <c r="C70" i="26"/>
  <c r="D70" i="26"/>
  <c r="C71" i="26"/>
  <c r="D71" i="26"/>
  <c r="C72" i="26"/>
  <c r="D72" i="26"/>
  <c r="C73" i="26"/>
  <c r="D73" i="26"/>
  <c r="C74" i="26"/>
  <c r="D74" i="26"/>
  <c r="D3" i="26"/>
  <c r="C3" i="26"/>
  <c r="H65" i="9"/>
  <c r="D210" i="34"/>
  <c r="I65" i="9"/>
  <c r="E210" i="34"/>
  <c r="C14" i="32"/>
  <c r="E14" i="32"/>
  <c r="C15" i="32"/>
  <c r="E15" i="32"/>
  <c r="C16" i="32"/>
  <c r="E16" i="32"/>
  <c r="E17" i="32"/>
  <c r="E18" i="32"/>
  <c r="C17" i="32"/>
  <c r="C18" i="32"/>
  <c r="C23" i="32"/>
  <c r="C24" i="32"/>
  <c r="C25" i="32"/>
  <c r="C26" i="32"/>
  <c r="C27" i="32"/>
  <c r="C28" i="32"/>
  <c r="E24" i="32"/>
  <c r="E25" i="32"/>
  <c r="E26" i="32"/>
  <c r="E27" i="32"/>
  <c r="E28" i="32"/>
  <c r="C23" i="29"/>
  <c r="C24" i="29"/>
  <c r="C25" i="29"/>
  <c r="C26" i="29"/>
  <c r="C27" i="29"/>
  <c r="C28" i="29"/>
  <c r="E10" i="31"/>
  <c r="G10" i="31"/>
  <c r="I11" i="31"/>
  <c r="I13" i="31"/>
  <c r="I12" i="31"/>
  <c r="D13" i="31"/>
  <c r="E13" i="31"/>
  <c r="F13" i="31"/>
  <c r="G13" i="31"/>
  <c r="H13" i="31"/>
  <c r="I15" i="31"/>
  <c r="I19" i="31"/>
  <c r="C14" i="29"/>
  <c r="E14" i="29"/>
  <c r="C15" i="29"/>
  <c r="E15" i="29"/>
  <c r="E16" i="29"/>
  <c r="E17" i="29"/>
  <c r="E18" i="29"/>
  <c r="C16" i="29"/>
  <c r="C17" i="29"/>
  <c r="C18" i="29"/>
  <c r="E24" i="29"/>
  <c r="E25" i="29"/>
  <c r="E26" i="29"/>
  <c r="E27" i="29"/>
  <c r="E28" i="29"/>
  <c r="H12" i="17"/>
  <c r="K48" i="11"/>
  <c r="E11" i="18"/>
  <c r="K50" i="11"/>
  <c r="C32" i="11"/>
  <c r="C45" i="11"/>
  <c r="C27" i="11"/>
  <c r="C22" i="11"/>
  <c r="D32" i="11"/>
  <c r="D45" i="11"/>
  <c r="D55" i="11"/>
  <c r="D27" i="11"/>
  <c r="D22" i="11"/>
  <c r="E32" i="11"/>
  <c r="E45" i="11"/>
  <c r="E27" i="11"/>
  <c r="E22" i="11"/>
  <c r="F32" i="11"/>
  <c r="F45" i="11"/>
  <c r="F55" i="11"/>
  <c r="F27" i="11"/>
  <c r="F22" i="11"/>
  <c r="G32" i="11"/>
  <c r="G45" i="11"/>
  <c r="G27" i="11"/>
  <c r="G22" i="11"/>
  <c r="B32" i="11"/>
  <c r="B27" i="11"/>
  <c r="B22" i="11"/>
  <c r="B45" i="11"/>
  <c r="E2" i="18"/>
  <c r="B50" i="11"/>
  <c r="H3" i="17"/>
  <c r="B48" i="11"/>
  <c r="H6" i="17"/>
  <c r="E48" i="11"/>
  <c r="H7" i="17"/>
  <c r="H8" i="17"/>
  <c r="H9" i="17"/>
  <c r="H10" i="17"/>
  <c r="H11" i="17"/>
  <c r="H5" i="17"/>
  <c r="D48" i="11"/>
  <c r="H4" i="17"/>
  <c r="G3" i="28"/>
  <c r="H3" i="28"/>
  <c r="H100" i="26"/>
  <c r="B102" i="26"/>
  <c r="H102" i="26"/>
  <c r="I102" i="26"/>
  <c r="J102" i="26"/>
  <c r="B103" i="26"/>
  <c r="H103" i="26"/>
  <c r="I103" i="26"/>
  <c r="J103" i="26"/>
  <c r="B104" i="26"/>
  <c r="I104" i="26"/>
  <c r="J104" i="26"/>
  <c r="H104" i="26"/>
  <c r="B105" i="26"/>
  <c r="H105" i="26"/>
  <c r="I105" i="26"/>
  <c r="J105" i="26"/>
  <c r="B106" i="26"/>
  <c r="I106" i="26"/>
  <c r="J106" i="26"/>
  <c r="H106" i="26"/>
  <c r="B107" i="26"/>
  <c r="I107" i="26"/>
  <c r="J107" i="26"/>
  <c r="H107" i="26"/>
  <c r="B108" i="26"/>
  <c r="I108" i="26"/>
  <c r="J108" i="26"/>
  <c r="H108" i="26"/>
  <c r="B109" i="26"/>
  <c r="I109" i="26"/>
  <c r="J109" i="26"/>
  <c r="H109" i="26"/>
  <c r="B110" i="26"/>
  <c r="I110" i="26"/>
  <c r="J110" i="26"/>
  <c r="H110" i="26"/>
  <c r="B111" i="26"/>
  <c r="I111" i="26"/>
  <c r="J111" i="26"/>
  <c r="H111" i="26"/>
  <c r="H112" i="26"/>
  <c r="H113" i="26"/>
  <c r="B115" i="26"/>
  <c r="H115" i="26"/>
  <c r="I115" i="26"/>
  <c r="H117" i="26"/>
  <c r="I117" i="26"/>
  <c r="J106" i="25"/>
  <c r="K106" i="25"/>
  <c r="J108" i="25"/>
  <c r="K108" i="25"/>
  <c r="J110" i="25"/>
  <c r="K110" i="25"/>
  <c r="J102" i="20"/>
  <c r="K102" i="20"/>
  <c r="J103" i="20"/>
  <c r="K103" i="20"/>
  <c r="J104" i="20"/>
  <c r="K104" i="20"/>
  <c r="J105" i="20"/>
  <c r="K105" i="20"/>
  <c r="J106" i="20"/>
  <c r="K106" i="20"/>
  <c r="J108" i="20"/>
  <c r="K108" i="20"/>
  <c r="J110" i="20"/>
  <c r="K110" i="20"/>
  <c r="W39" i="24"/>
  <c r="D181" i="19"/>
  <c r="W38" i="24"/>
  <c r="D180" i="19"/>
  <c r="W37" i="24"/>
  <c r="D179" i="19"/>
  <c r="W36" i="24"/>
  <c r="D178" i="19"/>
  <c r="W35" i="24"/>
  <c r="D177" i="19"/>
  <c r="W34" i="24"/>
  <c r="D176" i="19"/>
  <c r="W33" i="24"/>
  <c r="D175" i="19"/>
  <c r="W32" i="24"/>
  <c r="D174" i="19"/>
  <c r="W31" i="24"/>
  <c r="D173" i="19"/>
  <c r="W30" i="24"/>
  <c r="D172" i="19"/>
  <c r="W29" i="24"/>
  <c r="D171" i="19"/>
  <c r="W28" i="24"/>
  <c r="D170" i="19"/>
  <c r="V39" i="24"/>
  <c r="V38" i="24"/>
  <c r="V37" i="24"/>
  <c r="V36" i="24"/>
  <c r="V35" i="24"/>
  <c r="V34" i="24"/>
  <c r="V33" i="24"/>
  <c r="V32" i="24"/>
  <c r="V31" i="24"/>
  <c r="V30" i="24"/>
  <c r="V29" i="24"/>
  <c r="V28" i="24"/>
  <c r="K5" i="24"/>
  <c r="L5" i="24"/>
  <c r="M5" i="24"/>
  <c r="N5" i="24"/>
  <c r="O5" i="24"/>
  <c r="P5" i="24"/>
  <c r="Q5" i="24"/>
  <c r="A18" i="9"/>
  <c r="A37" i="9"/>
  <c r="C16" i="9"/>
  <c r="E7" i="18"/>
  <c r="G50" i="11"/>
  <c r="E8" i="18"/>
  <c r="H50" i="11"/>
  <c r="E9" i="18"/>
  <c r="I50" i="11"/>
  <c r="E10" i="18"/>
  <c r="J50" i="11"/>
  <c r="G48" i="11"/>
  <c r="H48" i="11"/>
  <c r="I48" i="11"/>
  <c r="J48" i="11"/>
  <c r="A17" i="9"/>
  <c r="A36" i="9"/>
  <c r="A7" i="9"/>
  <c r="A26" i="9"/>
  <c r="A8" i="9"/>
  <c r="A9" i="9"/>
  <c r="A28" i="9"/>
  <c r="A10" i="9"/>
  <c r="A11" i="9"/>
  <c r="A30" i="9"/>
  <c r="A12" i="9"/>
  <c r="A13" i="9"/>
  <c r="A32" i="9"/>
  <c r="A14" i="9"/>
  <c r="A15" i="9"/>
  <c r="A16" i="9"/>
  <c r="K152" i="19"/>
  <c r="L152" i="19"/>
  <c r="K154" i="19"/>
  <c r="L154" i="19"/>
  <c r="B55" i="11"/>
  <c r="E2" i="17"/>
  <c r="C1" i="18"/>
  <c r="F48" i="11"/>
  <c r="E4" i="18"/>
  <c r="D50" i="11"/>
  <c r="E5" i="18"/>
  <c r="E50" i="11"/>
  <c r="E6" i="18"/>
  <c r="F50" i="11"/>
  <c r="E3" i="18"/>
  <c r="C50" i="11"/>
  <c r="C48" i="11"/>
  <c r="A35" i="9"/>
  <c r="C2" i="17"/>
  <c r="D2" i="17"/>
  <c r="F2" i="17"/>
  <c r="G2" i="17"/>
  <c r="B2" i="17"/>
  <c r="A34" i="9"/>
  <c r="A27" i="9"/>
  <c r="A29" i="9"/>
  <c r="A31" i="9"/>
  <c r="A33" i="9"/>
  <c r="D1" i="18"/>
  <c r="B1" i="18"/>
  <c r="A29" i="11"/>
  <c r="C11" i="9"/>
  <c r="C10" i="9"/>
  <c r="C9" i="9"/>
  <c r="D9" i="9"/>
  <c r="E9" i="9"/>
  <c r="D11" i="9"/>
  <c r="E11" i="9"/>
  <c r="G55" i="11"/>
  <c r="E55" i="11"/>
  <c r="C55" i="11"/>
  <c r="Q14" i="28"/>
  <c r="Q17" i="28"/>
  <c r="R13" i="28"/>
  <c r="B115" i="20"/>
  <c r="J109" i="20"/>
  <c r="K109" i="20"/>
  <c r="B115" i="25"/>
  <c r="J109" i="25"/>
  <c r="K109" i="25"/>
  <c r="I97" i="20"/>
  <c r="I95" i="20"/>
  <c r="I93" i="20"/>
  <c r="I91" i="20"/>
  <c r="I89" i="20"/>
  <c r="K8" i="11"/>
  <c r="K49" i="11"/>
  <c r="I8" i="11"/>
  <c r="I49" i="11"/>
  <c r="G8" i="11"/>
  <c r="G49" i="11"/>
  <c r="E8" i="11"/>
  <c r="D16" i="34"/>
  <c r="E49" i="11"/>
  <c r="C8" i="11"/>
  <c r="D14" i="34"/>
  <c r="C49" i="11"/>
  <c r="I115" i="20"/>
  <c r="J115" i="20"/>
  <c r="J107" i="20"/>
  <c r="K107" i="20"/>
  <c r="I115" i="25"/>
  <c r="J115" i="25"/>
  <c r="J107" i="25"/>
  <c r="K107" i="25"/>
  <c r="C98" i="25"/>
  <c r="C97" i="25"/>
  <c r="C96" i="25"/>
  <c r="C95" i="25"/>
  <c r="C94" i="25"/>
  <c r="C93" i="25"/>
  <c r="C98" i="20"/>
  <c r="I98" i="20"/>
  <c r="I86" i="20"/>
  <c r="C96" i="20"/>
  <c r="I96" i="20"/>
  <c r="I84" i="20"/>
  <c r="C94" i="20"/>
  <c r="I94" i="20"/>
  <c r="I82" i="20"/>
  <c r="C92" i="20"/>
  <c r="I92" i="20"/>
  <c r="I80" i="20"/>
  <c r="C90" i="20"/>
  <c r="I90" i="20"/>
  <c r="I78" i="20"/>
  <c r="C88" i="20"/>
  <c r="I88" i="20"/>
  <c r="I113" i="20"/>
  <c r="H78" i="9"/>
  <c r="I76" i="20"/>
  <c r="F15" i="9"/>
  <c r="J8" i="11"/>
  <c r="J49" i="11"/>
  <c r="H8" i="11"/>
  <c r="H49" i="11"/>
  <c r="F11" i="9"/>
  <c r="F8" i="11"/>
  <c r="D17" i="34"/>
  <c r="E17" i="34"/>
  <c r="F17" i="34"/>
  <c r="F49" i="11"/>
  <c r="D8" i="11"/>
  <c r="D15" i="34"/>
  <c r="E15" i="34"/>
  <c r="F15" i="34"/>
  <c r="D49" i="11"/>
  <c r="F7" i="9"/>
  <c r="B8" i="11"/>
  <c r="D13" i="34"/>
  <c r="B49" i="11"/>
  <c r="C35" i="11"/>
  <c r="I135" i="34"/>
  <c r="I137" i="34"/>
  <c r="E35" i="11"/>
  <c r="J178" i="34"/>
  <c r="K39" i="11"/>
  <c r="J176" i="34"/>
  <c r="I39" i="11"/>
  <c r="J174" i="34"/>
  <c r="G39" i="11"/>
  <c r="J37" i="34"/>
  <c r="J172" i="34"/>
  <c r="E39" i="11"/>
  <c r="J35" i="34"/>
  <c r="J170" i="34"/>
  <c r="C39" i="11"/>
  <c r="J33" i="34"/>
  <c r="D273" i="34"/>
  <c r="G273" i="34"/>
  <c r="I22" i="11"/>
  <c r="B23" i="18"/>
  <c r="D287" i="34"/>
  <c r="D272" i="34"/>
  <c r="G272" i="34"/>
  <c r="H22" i="11"/>
  <c r="H45" i="11"/>
  <c r="H55" i="11"/>
  <c r="D270" i="34"/>
  <c r="G270" i="34"/>
  <c r="B20" i="18"/>
  <c r="D284" i="34"/>
  <c r="D268" i="34"/>
  <c r="G268" i="34"/>
  <c r="B18" i="18"/>
  <c r="D282" i="34"/>
  <c r="D266" i="34"/>
  <c r="G266" i="34"/>
  <c r="B16" i="18"/>
  <c r="D27" i="18"/>
  <c r="E290" i="34"/>
  <c r="I142" i="34"/>
  <c r="G25" i="17"/>
  <c r="J35" i="11"/>
  <c r="M34" i="9"/>
  <c r="I140" i="34"/>
  <c r="I154" i="34"/>
  <c r="G23" i="17"/>
  <c r="H35" i="11"/>
  <c r="M32" i="9"/>
  <c r="G22" i="17"/>
  <c r="I139" i="34"/>
  <c r="M31" i="9"/>
  <c r="G35" i="11"/>
  <c r="G141" i="34"/>
  <c r="I30" i="11"/>
  <c r="L33" i="9"/>
  <c r="G139" i="34"/>
  <c r="L31" i="9"/>
  <c r="G30" i="11"/>
  <c r="G55" i="34"/>
  <c r="G74" i="34"/>
  <c r="G137" i="34"/>
  <c r="L29" i="9"/>
  <c r="E30" i="11"/>
  <c r="G53" i="34"/>
  <c r="G72" i="34"/>
  <c r="G134" i="34"/>
  <c r="B30" i="11"/>
  <c r="G50" i="34"/>
  <c r="L26" i="9"/>
  <c r="G169" i="34"/>
  <c r="G143" i="34"/>
  <c r="K30" i="11"/>
  <c r="L35" i="9"/>
  <c r="H142" i="34"/>
  <c r="J25" i="11"/>
  <c r="K34" i="9"/>
  <c r="H140" i="34"/>
  <c r="H25" i="11"/>
  <c r="H56" i="34"/>
  <c r="K32" i="9"/>
  <c r="H138" i="34"/>
  <c r="F25" i="11"/>
  <c r="H54" i="34"/>
  <c r="H73" i="34"/>
  <c r="K30" i="9"/>
  <c r="H136" i="34"/>
  <c r="D25" i="11"/>
  <c r="H52" i="34"/>
  <c r="H71" i="34"/>
  <c r="H88" i="34"/>
  <c r="K28" i="9"/>
  <c r="H135" i="34"/>
  <c r="E18" i="17"/>
  <c r="E30" i="17"/>
  <c r="E28" i="17"/>
  <c r="H158" i="34"/>
  <c r="K27" i="9"/>
  <c r="C25" i="11"/>
  <c r="H51" i="34"/>
  <c r="H70" i="34"/>
  <c r="K17" i="11"/>
  <c r="I35" i="9"/>
  <c r="J17" i="11"/>
  <c r="I34" i="9"/>
  <c r="I17" i="11"/>
  <c r="I33" i="9"/>
  <c r="H17" i="11"/>
  <c r="E38" i="34"/>
  <c r="I32" i="9"/>
  <c r="G17" i="11"/>
  <c r="E37" i="34"/>
  <c r="I31" i="9"/>
  <c r="F17" i="11"/>
  <c r="E36" i="34"/>
  <c r="I30" i="9"/>
  <c r="E17" i="11"/>
  <c r="E35" i="34"/>
  <c r="I29" i="9"/>
  <c r="D17" i="11"/>
  <c r="E34" i="34"/>
  <c r="I28" i="9"/>
  <c r="C17" i="11"/>
  <c r="E33" i="34"/>
  <c r="I27" i="9"/>
  <c r="B17" i="11"/>
  <c r="E32" i="34"/>
  <c r="I26" i="9"/>
  <c r="E169" i="34"/>
  <c r="F141" i="34"/>
  <c r="I20" i="11"/>
  <c r="D24" i="17"/>
  <c r="F139" i="34"/>
  <c r="G20" i="11"/>
  <c r="F55" i="34"/>
  <c r="D22" i="17"/>
  <c r="F137" i="34"/>
  <c r="F151" i="34"/>
  <c r="E20" i="11"/>
  <c r="F53" i="34"/>
  <c r="D20" i="17"/>
  <c r="D59" i="34"/>
  <c r="G308" i="34"/>
  <c r="F17" i="28"/>
  <c r="H51" i="19"/>
  <c r="H3" i="20"/>
  <c r="H3" i="25"/>
  <c r="P42" i="28"/>
  <c r="B35" i="11"/>
  <c r="I134" i="34"/>
  <c r="D35" i="11"/>
  <c r="I136" i="34"/>
  <c r="N51" i="9"/>
  <c r="N49" i="9"/>
  <c r="N47" i="9"/>
  <c r="N45" i="9"/>
  <c r="J169" i="34"/>
  <c r="B39" i="11"/>
  <c r="J32" i="34"/>
  <c r="J177" i="34"/>
  <c r="J191" i="34"/>
  <c r="J39" i="11"/>
  <c r="J175" i="34"/>
  <c r="J189" i="34"/>
  <c r="H39" i="11"/>
  <c r="J38" i="34"/>
  <c r="J173" i="34"/>
  <c r="J187" i="34"/>
  <c r="F39" i="11"/>
  <c r="J36" i="34"/>
  <c r="J171" i="34"/>
  <c r="J185" i="34"/>
  <c r="D39" i="11"/>
  <c r="J34" i="34"/>
  <c r="N43" i="9"/>
  <c r="D275" i="34"/>
  <c r="G275" i="34"/>
  <c r="K22" i="11"/>
  <c r="D274" i="34"/>
  <c r="G274" i="34"/>
  <c r="J22" i="11"/>
  <c r="D271" i="34"/>
  <c r="G271" i="34"/>
  <c r="B21" i="18"/>
  <c r="D285" i="34"/>
  <c r="D269" i="34"/>
  <c r="G269" i="34"/>
  <c r="B19" i="18"/>
  <c r="D283" i="34"/>
  <c r="D267" i="34"/>
  <c r="G267" i="34"/>
  <c r="B17" i="18"/>
  <c r="D281" i="34"/>
  <c r="G24" i="17"/>
  <c r="I141" i="34"/>
  <c r="I155" i="34"/>
  <c r="I35" i="11"/>
  <c r="M33" i="9"/>
  <c r="I138" i="34"/>
  <c r="F35" i="11"/>
  <c r="M30" i="9"/>
  <c r="I173" i="34"/>
  <c r="I143" i="34"/>
  <c r="K35" i="11"/>
  <c r="M35" i="9"/>
  <c r="G142" i="34"/>
  <c r="G156" i="34"/>
  <c r="J30" i="11"/>
  <c r="L34" i="9"/>
  <c r="G140" i="34"/>
  <c r="G154" i="34"/>
  <c r="H30" i="11"/>
  <c r="G56" i="34"/>
  <c r="L32" i="9"/>
  <c r="G138" i="34"/>
  <c r="G152" i="34"/>
  <c r="L30" i="9"/>
  <c r="F30" i="11"/>
  <c r="G54" i="34"/>
  <c r="G73" i="34"/>
  <c r="G90" i="34"/>
  <c r="G136" i="34"/>
  <c r="G150" i="34"/>
  <c r="L28" i="9"/>
  <c r="D30" i="11"/>
  <c r="G52" i="34"/>
  <c r="G71" i="34"/>
  <c r="F18" i="17"/>
  <c r="F30" i="17"/>
  <c r="F28" i="17"/>
  <c r="G158" i="34"/>
  <c r="C30" i="11"/>
  <c r="G51" i="34"/>
  <c r="G135" i="34"/>
  <c r="G149" i="34"/>
  <c r="L27" i="9"/>
  <c r="H141" i="34"/>
  <c r="H155" i="34"/>
  <c r="I25" i="11"/>
  <c r="K33" i="9"/>
  <c r="H139" i="34"/>
  <c r="H153" i="34"/>
  <c r="G25" i="11"/>
  <c r="H55" i="34"/>
  <c r="H74" i="34"/>
  <c r="H91" i="34"/>
  <c r="K31" i="9"/>
  <c r="H137" i="34"/>
  <c r="H151" i="34"/>
  <c r="E25" i="11"/>
  <c r="H53" i="34"/>
  <c r="H72" i="34"/>
  <c r="H89" i="34"/>
  <c r="K29" i="9"/>
  <c r="B25" i="11"/>
  <c r="H50" i="34"/>
  <c r="H134" i="34"/>
  <c r="K26" i="9"/>
  <c r="H169" i="34"/>
  <c r="H143" i="34"/>
  <c r="K25" i="11"/>
  <c r="E13" i="17"/>
  <c r="K35" i="9"/>
  <c r="B20" i="11"/>
  <c r="F50" i="34"/>
  <c r="F134" i="34"/>
  <c r="E134" i="34"/>
  <c r="B16" i="11"/>
  <c r="E50" i="34"/>
  <c r="D134" i="34"/>
  <c r="B12" i="11"/>
  <c r="D50" i="34"/>
  <c r="K21" i="11"/>
  <c r="J35" i="9"/>
  <c r="H35" i="9"/>
  <c r="K13" i="11"/>
  <c r="J21" i="11"/>
  <c r="J34" i="9"/>
  <c r="H34" i="9"/>
  <c r="J13" i="11"/>
  <c r="I21" i="11"/>
  <c r="J33" i="9"/>
  <c r="H33" i="9"/>
  <c r="I13" i="11"/>
  <c r="H21" i="11"/>
  <c r="F38" i="34"/>
  <c r="J32" i="9"/>
  <c r="H32" i="9"/>
  <c r="H13" i="11"/>
  <c r="J31" i="9"/>
  <c r="G21" i="11"/>
  <c r="F37" i="34"/>
  <c r="F74" i="34"/>
  <c r="H31" i="9"/>
  <c r="G13" i="11"/>
  <c r="J30" i="9"/>
  <c r="F21" i="11"/>
  <c r="F36" i="34"/>
  <c r="H30" i="9"/>
  <c r="F13" i="11"/>
  <c r="J29" i="9"/>
  <c r="E21" i="11"/>
  <c r="F35" i="34"/>
  <c r="F72" i="34"/>
  <c r="H29" i="9"/>
  <c r="E13" i="11"/>
  <c r="D21" i="11"/>
  <c r="F34" i="34"/>
  <c r="J28" i="9"/>
  <c r="D13" i="11"/>
  <c r="H28" i="9"/>
  <c r="C21" i="11"/>
  <c r="F33" i="34"/>
  <c r="J27" i="9"/>
  <c r="C13" i="11"/>
  <c r="H27" i="9"/>
  <c r="B21" i="11"/>
  <c r="F32" i="34"/>
  <c r="F69" i="34"/>
  <c r="J26" i="9"/>
  <c r="F169" i="34"/>
  <c r="H26" i="9"/>
  <c r="D169" i="34"/>
  <c r="B13" i="11"/>
  <c r="F142" i="34"/>
  <c r="F156" i="34"/>
  <c r="J20" i="11"/>
  <c r="D25" i="17"/>
  <c r="F140" i="34"/>
  <c r="F154" i="34"/>
  <c r="H20" i="11"/>
  <c r="F56" i="34"/>
  <c r="D23" i="17"/>
  <c r="F138" i="34"/>
  <c r="F152" i="34"/>
  <c r="F20" i="11"/>
  <c r="F54" i="34"/>
  <c r="D21" i="17"/>
  <c r="D18" i="17"/>
  <c r="D30" i="17"/>
  <c r="D28" i="17"/>
  <c r="F158" i="34"/>
  <c r="F135" i="34"/>
  <c r="F149" i="34"/>
  <c r="C20" i="11"/>
  <c r="F51" i="34"/>
  <c r="D19" i="17"/>
  <c r="F143" i="34"/>
  <c r="K20" i="11"/>
  <c r="E5" i="28"/>
  <c r="D12" i="28"/>
  <c r="G69" i="34"/>
  <c r="F150" i="34"/>
  <c r="E142" i="34"/>
  <c r="J16" i="11"/>
  <c r="E141" i="34"/>
  <c r="I16" i="11"/>
  <c r="E140" i="34"/>
  <c r="E154" i="34"/>
  <c r="H16" i="11"/>
  <c r="E56" i="34"/>
  <c r="C16" i="11"/>
  <c r="E51" i="34"/>
  <c r="C18" i="17"/>
  <c r="C30" i="17"/>
  <c r="C28" i="17"/>
  <c r="E158" i="34"/>
  <c r="E135" i="34"/>
  <c r="E149" i="34"/>
  <c r="E143" i="34"/>
  <c r="C13" i="17"/>
  <c r="K16" i="11"/>
  <c r="B25" i="17"/>
  <c r="B24" i="17"/>
  <c r="B23" i="17"/>
  <c r="B22" i="17"/>
  <c r="B21" i="17"/>
  <c r="B20" i="17"/>
  <c r="D136" i="34"/>
  <c r="D12" i="11"/>
  <c r="D52" i="34"/>
  <c r="F27" i="34"/>
  <c r="F64" i="34"/>
  <c r="F132" i="34"/>
  <c r="F146" i="34"/>
  <c r="F161" i="34"/>
  <c r="F167" i="34"/>
  <c r="F181" i="34"/>
  <c r="F196" i="34"/>
  <c r="F202" i="34"/>
  <c r="F208" i="34"/>
  <c r="F246" i="34"/>
  <c r="A315" i="34"/>
  <c r="I27" i="34"/>
  <c r="I64" i="34"/>
  <c r="I132" i="34"/>
  <c r="I146" i="34"/>
  <c r="I161" i="34"/>
  <c r="I167" i="34"/>
  <c r="I181" i="34"/>
  <c r="I196" i="34"/>
  <c r="I202" i="34"/>
  <c r="I208" i="34"/>
  <c r="I246" i="34"/>
  <c r="I241" i="34"/>
  <c r="A330" i="34"/>
  <c r="A334" i="34"/>
  <c r="J27" i="34"/>
  <c r="J167" i="34"/>
  <c r="J181" i="34"/>
  <c r="J196" i="34"/>
  <c r="J202" i="34"/>
  <c r="J208" i="34"/>
  <c r="J246" i="34"/>
  <c r="I12" i="11"/>
  <c r="G12" i="11"/>
  <c r="D55" i="34"/>
  <c r="E12" i="11"/>
  <c r="D53" i="34"/>
  <c r="G16" i="11"/>
  <c r="E55" i="34"/>
  <c r="F16" i="11"/>
  <c r="E54" i="34"/>
  <c r="E16" i="11"/>
  <c r="E53" i="34"/>
  <c r="J155" i="19"/>
  <c r="F5" i="11"/>
  <c r="E119" i="34"/>
  <c r="F119" i="34"/>
  <c r="E5" i="11"/>
  <c r="E118" i="34"/>
  <c r="D5" i="11"/>
  <c r="E117" i="34"/>
  <c r="F117" i="34"/>
  <c r="J151" i="19"/>
  <c r="D16" i="11"/>
  <c r="E52" i="34"/>
  <c r="E136" i="34"/>
  <c r="E150" i="34"/>
  <c r="D151" i="34"/>
  <c r="B18" i="17"/>
  <c r="B30" i="17"/>
  <c r="B28" i="17"/>
  <c r="D158" i="34"/>
  <c r="D135" i="34"/>
  <c r="D143" i="34"/>
  <c r="F7" i="28"/>
  <c r="F5" i="28"/>
  <c r="C12" i="28"/>
  <c r="J142" i="34"/>
  <c r="J141" i="34"/>
  <c r="J140" i="34"/>
  <c r="J139" i="34"/>
  <c r="J138" i="34"/>
  <c r="J137" i="34"/>
  <c r="A5" i="34"/>
  <c r="H27" i="34"/>
  <c r="H64" i="34"/>
  <c r="H132" i="34"/>
  <c r="H146" i="34"/>
  <c r="H161" i="34"/>
  <c r="H167" i="34"/>
  <c r="H181" i="34"/>
  <c r="H196" i="34"/>
  <c r="H202" i="34"/>
  <c r="H208" i="34"/>
  <c r="H246" i="34"/>
  <c r="A320" i="34"/>
  <c r="J12" i="11"/>
  <c r="H12" i="11"/>
  <c r="D56" i="34"/>
  <c r="F12" i="11"/>
  <c r="D54" i="34"/>
  <c r="C12" i="11"/>
  <c r="D51" i="34"/>
  <c r="H75" i="34"/>
  <c r="H92" i="34"/>
  <c r="G75" i="34"/>
  <c r="G92" i="34"/>
  <c r="D20" i="11"/>
  <c r="F52" i="34"/>
  <c r="G70" i="34"/>
  <c r="G87" i="34"/>
  <c r="J157" i="19"/>
  <c r="H69" i="34"/>
  <c r="J156" i="19"/>
  <c r="J150" i="19"/>
  <c r="G241" i="34"/>
  <c r="E264" i="34"/>
  <c r="F13" i="9"/>
  <c r="F9" i="9"/>
  <c r="B159" i="19"/>
  <c r="B155" i="19"/>
  <c r="B151" i="19"/>
  <c r="D134" i="19"/>
  <c r="D146" i="19"/>
  <c r="C146" i="19"/>
  <c r="D133" i="19"/>
  <c r="D145" i="19"/>
  <c r="C145" i="19"/>
  <c r="D132" i="19"/>
  <c r="D144" i="19"/>
  <c r="C144" i="19"/>
  <c r="D131" i="19"/>
  <c r="D143" i="19"/>
  <c r="C143" i="19"/>
  <c r="D130" i="19"/>
  <c r="D142" i="19"/>
  <c r="C142" i="19"/>
  <c r="D128" i="19"/>
  <c r="D140" i="19"/>
  <c r="D127" i="19"/>
  <c r="D139" i="19"/>
  <c r="D126" i="19"/>
  <c r="D138" i="19"/>
  <c r="D125" i="19"/>
  <c r="D137" i="19"/>
  <c r="D124" i="19"/>
  <c r="D136" i="19"/>
  <c r="J100" i="19"/>
  <c r="D123" i="19"/>
  <c r="D135" i="19"/>
  <c r="J99" i="19"/>
  <c r="B157" i="19"/>
  <c r="B153" i="19"/>
  <c r="C129" i="19"/>
  <c r="B10" i="9"/>
  <c r="D118" i="34"/>
  <c r="F118" i="34"/>
  <c r="E4" i="11"/>
  <c r="E60" i="11"/>
  <c r="K153" i="19"/>
  <c r="L153" i="19"/>
  <c r="B16" i="9"/>
  <c r="K4" i="11"/>
  <c r="D124" i="34"/>
  <c r="F124" i="34"/>
  <c r="K159" i="19"/>
  <c r="L159" i="19"/>
  <c r="C141" i="19"/>
  <c r="B14" i="9"/>
  <c r="F14" i="9"/>
  <c r="D122" i="34"/>
  <c r="I4" i="11"/>
  <c r="B12" i="9"/>
  <c r="F12" i="9"/>
  <c r="D120" i="34"/>
  <c r="G4" i="11"/>
  <c r="E293" i="34"/>
  <c r="E278" i="34"/>
  <c r="B5" i="11"/>
  <c r="E115" i="34"/>
  <c r="F115" i="34"/>
  <c r="K150" i="19"/>
  <c r="L150" i="19"/>
  <c r="C7" i="9"/>
  <c r="D7" i="9"/>
  <c r="E7" i="9"/>
  <c r="D58" i="34"/>
  <c r="F308" i="34"/>
  <c r="B13" i="17"/>
  <c r="D149" i="34"/>
  <c r="J135" i="34"/>
  <c r="G5" i="11"/>
  <c r="E120" i="34"/>
  <c r="K155" i="19"/>
  <c r="L155" i="19"/>
  <c r="C12" i="9"/>
  <c r="D12" i="9"/>
  <c r="E12" i="9"/>
  <c r="D57" i="34"/>
  <c r="E308" i="34"/>
  <c r="G312" i="34"/>
  <c r="E59" i="34"/>
  <c r="E163" i="34"/>
  <c r="E164" i="34"/>
  <c r="E157" i="34"/>
  <c r="E151" i="34"/>
  <c r="E155" i="34"/>
  <c r="E156" i="34"/>
  <c r="D13" i="17"/>
  <c r="D33" i="34"/>
  <c r="C44" i="11"/>
  <c r="C54" i="11"/>
  <c r="F70" i="34"/>
  <c r="F87" i="34"/>
  <c r="D34" i="34"/>
  <c r="D44" i="11"/>
  <c r="D54" i="11"/>
  <c r="F71" i="34"/>
  <c r="D172" i="34"/>
  <c r="H45" i="9"/>
  <c r="F172" i="34"/>
  <c r="J45" i="9"/>
  <c r="D173" i="34"/>
  <c r="D187" i="34"/>
  <c r="H46" i="9"/>
  <c r="F173" i="34"/>
  <c r="F187" i="34"/>
  <c r="J46" i="9"/>
  <c r="D174" i="34"/>
  <c r="D188" i="34"/>
  <c r="H47" i="9"/>
  <c r="F174" i="34"/>
  <c r="F188" i="34"/>
  <c r="J47" i="9"/>
  <c r="D175" i="34"/>
  <c r="D189" i="34"/>
  <c r="H48" i="9"/>
  <c r="F75" i="34"/>
  <c r="F92" i="34"/>
  <c r="D176" i="34"/>
  <c r="H49" i="9"/>
  <c r="F39" i="34"/>
  <c r="E317" i="34"/>
  <c r="D177" i="34"/>
  <c r="D191" i="34"/>
  <c r="H50" i="9"/>
  <c r="F317" i="34"/>
  <c r="F40" i="34"/>
  <c r="D178" i="34"/>
  <c r="H51" i="9"/>
  <c r="F41" i="34"/>
  <c r="G317" i="34"/>
  <c r="J134" i="34"/>
  <c r="L25" i="11"/>
  <c r="E14" i="17"/>
  <c r="M25" i="11"/>
  <c r="H163" i="34"/>
  <c r="H164" i="34"/>
  <c r="H157" i="34"/>
  <c r="H172" i="34"/>
  <c r="K45" i="9"/>
  <c r="H176" i="34"/>
  <c r="K49" i="9"/>
  <c r="G171" i="34"/>
  <c r="L44" i="9"/>
  <c r="G177" i="34"/>
  <c r="L50" i="9"/>
  <c r="I157" i="34"/>
  <c r="F43" i="11"/>
  <c r="I54" i="34"/>
  <c r="I73" i="34"/>
  <c r="I176" i="34"/>
  <c r="M49" i="9"/>
  <c r="F318" i="34"/>
  <c r="F339" i="34"/>
  <c r="J45" i="11"/>
  <c r="J55" i="11"/>
  <c r="G318" i="34"/>
  <c r="G339" i="34"/>
  <c r="K45" i="11"/>
  <c r="K55" i="11"/>
  <c r="N55" i="9"/>
  <c r="N53" i="9"/>
  <c r="D43" i="11"/>
  <c r="I52" i="34"/>
  <c r="K52" i="34"/>
  <c r="B43" i="11"/>
  <c r="I50" i="34"/>
  <c r="F18" i="28"/>
  <c r="H52" i="19"/>
  <c r="H4" i="20"/>
  <c r="H4" i="25"/>
  <c r="F153" i="34"/>
  <c r="F57" i="34"/>
  <c r="E316" i="34"/>
  <c r="E170" i="34"/>
  <c r="E184" i="34"/>
  <c r="I43" i="9"/>
  <c r="E171" i="34"/>
  <c r="E185" i="34"/>
  <c r="I44" i="9"/>
  <c r="E172" i="34"/>
  <c r="E186" i="34"/>
  <c r="I45" i="9"/>
  <c r="E173" i="34"/>
  <c r="E187" i="34"/>
  <c r="I46" i="9"/>
  <c r="E174" i="34"/>
  <c r="E188" i="34"/>
  <c r="I47" i="9"/>
  <c r="E175" i="34"/>
  <c r="E189" i="34"/>
  <c r="I48" i="9"/>
  <c r="E176" i="34"/>
  <c r="E190" i="34"/>
  <c r="I49" i="9"/>
  <c r="E177" i="34"/>
  <c r="E191" i="34"/>
  <c r="I50" i="9"/>
  <c r="E178" i="34"/>
  <c r="I51" i="9"/>
  <c r="H87" i="34"/>
  <c r="H171" i="34"/>
  <c r="K44" i="9"/>
  <c r="H150" i="34"/>
  <c r="H90" i="34"/>
  <c r="H175" i="34"/>
  <c r="K48" i="9"/>
  <c r="H154" i="34"/>
  <c r="F321" i="34"/>
  <c r="H58" i="34"/>
  <c r="H77" i="34"/>
  <c r="G178" i="34"/>
  <c r="L51" i="9"/>
  <c r="G59" i="34"/>
  <c r="G78" i="34"/>
  <c r="G326" i="34"/>
  <c r="G172" i="34"/>
  <c r="G186" i="34"/>
  <c r="L45" i="9"/>
  <c r="G91" i="34"/>
  <c r="G153" i="34"/>
  <c r="E326" i="34"/>
  <c r="G57" i="34"/>
  <c r="G76" i="34"/>
  <c r="I55" i="34"/>
  <c r="I74" i="34"/>
  <c r="I91" i="34"/>
  <c r="G43" i="11"/>
  <c r="I153" i="34"/>
  <c r="I175" i="34"/>
  <c r="M48" i="9"/>
  <c r="I177" i="34"/>
  <c r="I191" i="34"/>
  <c r="M50" i="9"/>
  <c r="E318" i="34"/>
  <c r="E339" i="34"/>
  <c r="I45" i="11"/>
  <c r="I55" i="11"/>
  <c r="E334" i="34"/>
  <c r="J39" i="34"/>
  <c r="J192" i="34"/>
  <c r="I51" i="34"/>
  <c r="C43" i="11"/>
  <c r="E14" i="34"/>
  <c r="F14" i="34"/>
  <c r="E16" i="34"/>
  <c r="F16" i="34"/>
  <c r="D18" i="34"/>
  <c r="E18" i="34"/>
  <c r="F18" i="34"/>
  <c r="D14" i="31"/>
  <c r="D20" i="34"/>
  <c r="F14" i="31"/>
  <c r="F16" i="31"/>
  <c r="F17" i="31"/>
  <c r="F21" i="31"/>
  <c r="I22" i="31"/>
  <c r="I24" i="31"/>
  <c r="D22" i="34"/>
  <c r="H14" i="31"/>
  <c r="H16" i="31"/>
  <c r="H17" i="31"/>
  <c r="H21" i="31"/>
  <c r="S13" i="28"/>
  <c r="J158" i="19"/>
  <c r="B8" i="9"/>
  <c r="F8" i="9"/>
  <c r="D116" i="34"/>
  <c r="C4" i="11"/>
  <c r="C60" i="11"/>
  <c r="B163" i="19"/>
  <c r="H5" i="11"/>
  <c r="E121" i="34"/>
  <c r="F121" i="34"/>
  <c r="K156" i="19"/>
  <c r="L156" i="19"/>
  <c r="C13" i="9"/>
  <c r="D13" i="9"/>
  <c r="E13" i="9"/>
  <c r="I5" i="11"/>
  <c r="E122" i="34"/>
  <c r="F122" i="34"/>
  <c r="K157" i="19"/>
  <c r="L157" i="19"/>
  <c r="C14" i="9"/>
  <c r="D14" i="9"/>
  <c r="E14" i="9"/>
  <c r="K51" i="34"/>
  <c r="F264" i="34"/>
  <c r="H241" i="34"/>
  <c r="D163" i="34"/>
  <c r="D157" i="34"/>
  <c r="J143" i="34"/>
  <c r="C5" i="11"/>
  <c r="E116" i="34"/>
  <c r="F116" i="34"/>
  <c r="K151" i="19"/>
  <c r="L151" i="19"/>
  <c r="C8" i="9"/>
  <c r="D8" i="9"/>
  <c r="E8" i="9"/>
  <c r="D61" i="11"/>
  <c r="D6" i="11"/>
  <c r="E61" i="11"/>
  <c r="E6" i="11"/>
  <c r="F61" i="11"/>
  <c r="F6" i="11"/>
  <c r="K55" i="34"/>
  <c r="F241" i="34"/>
  <c r="D264" i="34"/>
  <c r="D150" i="34"/>
  <c r="J136" i="34"/>
  <c r="C14" i="17"/>
  <c r="L16" i="11"/>
  <c r="G80" i="25"/>
  <c r="E312" i="34"/>
  <c r="E57" i="34"/>
  <c r="E58" i="34"/>
  <c r="F312" i="34"/>
  <c r="E12" i="28"/>
  <c r="G316" i="34"/>
  <c r="F59" i="34"/>
  <c r="K59" i="34"/>
  <c r="F163" i="34"/>
  <c r="F164" i="34"/>
  <c r="F157" i="34"/>
  <c r="F316" i="34"/>
  <c r="F58" i="34"/>
  <c r="D32" i="34"/>
  <c r="B44" i="11"/>
  <c r="B54" i="11"/>
  <c r="D170" i="34"/>
  <c r="D184" i="34"/>
  <c r="H43" i="9"/>
  <c r="F170" i="34"/>
  <c r="F184" i="34"/>
  <c r="J43" i="9"/>
  <c r="D171" i="34"/>
  <c r="D185" i="34"/>
  <c r="H44" i="9"/>
  <c r="F171" i="34"/>
  <c r="F185" i="34"/>
  <c r="J44" i="9"/>
  <c r="D35" i="34"/>
  <c r="E44" i="11"/>
  <c r="E54" i="11"/>
  <c r="F89" i="34"/>
  <c r="D36" i="34"/>
  <c r="F44" i="11"/>
  <c r="F54" i="11"/>
  <c r="F73" i="34"/>
  <c r="F90" i="34"/>
  <c r="D37" i="34"/>
  <c r="G44" i="11"/>
  <c r="G54" i="11"/>
  <c r="F91" i="34"/>
  <c r="D38" i="34"/>
  <c r="H44" i="11"/>
  <c r="H54" i="11"/>
  <c r="F175" i="34"/>
  <c r="F189" i="34"/>
  <c r="J48" i="9"/>
  <c r="D39" i="34"/>
  <c r="E309" i="34"/>
  <c r="I44" i="11"/>
  <c r="I54" i="11"/>
  <c r="F176" i="34"/>
  <c r="F190" i="34"/>
  <c r="J49" i="9"/>
  <c r="D40" i="34"/>
  <c r="F309" i="34"/>
  <c r="J44" i="11"/>
  <c r="J54" i="11"/>
  <c r="F177" i="34"/>
  <c r="J50" i="9"/>
  <c r="D41" i="34"/>
  <c r="G309" i="34"/>
  <c r="K44" i="11"/>
  <c r="K54" i="11"/>
  <c r="F178" i="34"/>
  <c r="J51" i="9"/>
  <c r="K50" i="34"/>
  <c r="H178" i="34"/>
  <c r="K51" i="9"/>
  <c r="H59" i="34"/>
  <c r="H78" i="34"/>
  <c r="H95" i="34"/>
  <c r="G321" i="34"/>
  <c r="G337" i="34"/>
  <c r="H174" i="34"/>
  <c r="K47" i="9"/>
  <c r="E321" i="34"/>
  <c r="H57" i="34"/>
  <c r="H76" i="34"/>
  <c r="G170" i="34"/>
  <c r="G184" i="34"/>
  <c r="L43" i="9"/>
  <c r="L55" i="9"/>
  <c r="L53" i="9"/>
  <c r="G193" i="34"/>
  <c r="G88" i="34"/>
  <c r="G173" i="34"/>
  <c r="G187" i="34"/>
  <c r="L46" i="9"/>
  <c r="G175" i="34"/>
  <c r="L48" i="9"/>
  <c r="F326" i="34"/>
  <c r="G58" i="34"/>
  <c r="G77" i="34"/>
  <c r="G94" i="34"/>
  <c r="I178" i="34"/>
  <c r="M51" i="9"/>
  <c r="K43" i="11"/>
  <c r="I59" i="34"/>
  <c r="I78" i="34"/>
  <c r="G331" i="34"/>
  <c r="E331" i="34"/>
  <c r="I57" i="34"/>
  <c r="I76" i="34"/>
  <c r="I43" i="11"/>
  <c r="F334" i="34"/>
  <c r="J40" i="34"/>
  <c r="F155" i="34"/>
  <c r="E69" i="34"/>
  <c r="E70" i="34"/>
  <c r="E87" i="34"/>
  <c r="E71" i="34"/>
  <c r="E72" i="34"/>
  <c r="E89" i="34"/>
  <c r="E73" i="34"/>
  <c r="E74" i="34"/>
  <c r="E91" i="34"/>
  <c r="E75" i="34"/>
  <c r="E313" i="34"/>
  <c r="E39" i="34"/>
  <c r="E76" i="34"/>
  <c r="F313" i="34"/>
  <c r="E40" i="34"/>
  <c r="E77" i="34"/>
  <c r="E94" i="34"/>
  <c r="G313" i="34"/>
  <c r="E41" i="34"/>
  <c r="E78" i="34"/>
  <c r="E95" i="34"/>
  <c r="H170" i="34"/>
  <c r="H184" i="34"/>
  <c r="K43" i="9"/>
  <c r="H149" i="34"/>
  <c r="H173" i="34"/>
  <c r="H187" i="34"/>
  <c r="K46" i="9"/>
  <c r="H152" i="34"/>
  <c r="H177" i="34"/>
  <c r="H191" i="34"/>
  <c r="K50" i="9"/>
  <c r="H156" i="34"/>
  <c r="F13" i="17"/>
  <c r="G163" i="34"/>
  <c r="G164" i="34"/>
  <c r="G157" i="34"/>
  <c r="G89" i="34"/>
  <c r="G151" i="34"/>
  <c r="G174" i="34"/>
  <c r="G188" i="34"/>
  <c r="L47" i="9"/>
  <c r="G176" i="34"/>
  <c r="G190" i="34"/>
  <c r="L49" i="9"/>
  <c r="G155" i="34"/>
  <c r="I174" i="34"/>
  <c r="I188" i="34"/>
  <c r="M47" i="9"/>
  <c r="M55" i="9"/>
  <c r="M53" i="9"/>
  <c r="I193" i="34"/>
  <c r="G30" i="17"/>
  <c r="G28" i="17"/>
  <c r="H43" i="11"/>
  <c r="I56" i="34"/>
  <c r="I75" i="34"/>
  <c r="I92" i="34"/>
  <c r="J43" i="11"/>
  <c r="F331" i="34"/>
  <c r="I58" i="34"/>
  <c r="I77" i="34"/>
  <c r="I94" i="34"/>
  <c r="I156" i="34"/>
  <c r="D280" i="34"/>
  <c r="B27" i="18"/>
  <c r="D290" i="34"/>
  <c r="J184" i="34"/>
  <c r="J186" i="34"/>
  <c r="J188" i="34"/>
  <c r="J190" i="34"/>
  <c r="G334" i="34"/>
  <c r="J41" i="34"/>
  <c r="I53" i="34"/>
  <c r="K53" i="34"/>
  <c r="E43" i="11"/>
  <c r="D19" i="34"/>
  <c r="E19" i="34"/>
  <c r="F19" i="34"/>
  <c r="E14" i="31"/>
  <c r="E16" i="31"/>
  <c r="E17" i="31"/>
  <c r="E21" i="31"/>
  <c r="D21" i="34"/>
  <c r="E21" i="34"/>
  <c r="F21" i="34"/>
  <c r="G14" i="31"/>
  <c r="G16" i="31"/>
  <c r="G17" i="31"/>
  <c r="G21" i="31"/>
  <c r="I112" i="20"/>
  <c r="I117" i="20"/>
  <c r="I100" i="20"/>
  <c r="R14" i="28"/>
  <c r="S14" i="28"/>
  <c r="R15" i="28"/>
  <c r="G21" i="34"/>
  <c r="J53" i="11"/>
  <c r="G19" i="34"/>
  <c r="H53" i="11"/>
  <c r="T14" i="28"/>
  <c r="J117" i="20"/>
  <c r="G16" i="34"/>
  <c r="E53" i="11"/>
  <c r="I158" i="34"/>
  <c r="I163" i="34"/>
  <c r="I164" i="34"/>
  <c r="G13" i="17"/>
  <c r="F14" i="17"/>
  <c r="M30" i="11"/>
  <c r="L30" i="11"/>
  <c r="K55" i="9"/>
  <c r="K53" i="9"/>
  <c r="E93" i="34"/>
  <c r="E84" i="34"/>
  <c r="E92" i="34"/>
  <c r="E90" i="34"/>
  <c r="E88" i="34"/>
  <c r="I93" i="34"/>
  <c r="I84" i="34"/>
  <c r="G22" i="34"/>
  <c r="H22" i="34"/>
  <c r="I22" i="34"/>
  <c r="K53" i="11"/>
  <c r="M36" i="9"/>
  <c r="H188" i="34"/>
  <c r="K41" i="34"/>
  <c r="D78" i="34"/>
  <c r="F191" i="34"/>
  <c r="F338" i="34"/>
  <c r="K39" i="34"/>
  <c r="D76" i="34"/>
  <c r="K38" i="34"/>
  <c r="D75" i="34"/>
  <c r="D73" i="34"/>
  <c r="K36" i="34"/>
  <c r="J55" i="9"/>
  <c r="J53" i="9"/>
  <c r="H55" i="9"/>
  <c r="H53" i="9"/>
  <c r="E60" i="34"/>
  <c r="H312" i="34"/>
  <c r="D278" i="34"/>
  <c r="D293" i="34"/>
  <c r="C61" i="11"/>
  <c r="C6" i="11"/>
  <c r="K56" i="34"/>
  <c r="R17" i="28"/>
  <c r="I14" i="31"/>
  <c r="I16" i="31"/>
  <c r="I17" i="31"/>
  <c r="I21" i="31"/>
  <c r="D16" i="31"/>
  <c r="D17" i="31"/>
  <c r="D21" i="31"/>
  <c r="I189" i="34"/>
  <c r="G18" i="34"/>
  <c r="H18" i="34"/>
  <c r="I18" i="34"/>
  <c r="G53" i="11"/>
  <c r="G93" i="34"/>
  <c r="G84" i="34"/>
  <c r="L36" i="9"/>
  <c r="G198" i="34"/>
  <c r="G192" i="34"/>
  <c r="I55" i="9"/>
  <c r="I53" i="9"/>
  <c r="F19" i="28"/>
  <c r="H53" i="19"/>
  <c r="H5" i="20"/>
  <c r="H5" i="25"/>
  <c r="J193" i="34"/>
  <c r="J198" i="34"/>
  <c r="N36" i="9"/>
  <c r="I190" i="34"/>
  <c r="G17" i="34"/>
  <c r="H17" i="34"/>
  <c r="I17" i="34"/>
  <c r="F53" i="11"/>
  <c r="G191" i="34"/>
  <c r="G185" i="34"/>
  <c r="H190" i="34"/>
  <c r="H186" i="34"/>
  <c r="H321" i="34"/>
  <c r="H60" i="34"/>
  <c r="D192" i="34"/>
  <c r="F76" i="34"/>
  <c r="D190" i="34"/>
  <c r="F88" i="34"/>
  <c r="D71" i="34"/>
  <c r="K34" i="34"/>
  <c r="D14" i="17"/>
  <c r="M20" i="11"/>
  <c r="L20" i="11"/>
  <c r="K57" i="34"/>
  <c r="F120" i="34"/>
  <c r="K58" i="34"/>
  <c r="G60" i="11"/>
  <c r="D10" i="31"/>
  <c r="G302" i="34"/>
  <c r="G304" i="34"/>
  <c r="K60" i="11"/>
  <c r="K6" i="11"/>
  <c r="H10" i="31"/>
  <c r="F10" i="9"/>
  <c r="F21" i="9"/>
  <c r="D10" i="9"/>
  <c r="E10" i="9"/>
  <c r="G20" i="34"/>
  <c r="H20" i="34"/>
  <c r="I20" i="34"/>
  <c r="I53" i="11"/>
  <c r="I95" i="34"/>
  <c r="I198" i="34"/>
  <c r="I192" i="34"/>
  <c r="G189" i="34"/>
  <c r="H93" i="34"/>
  <c r="H84" i="34"/>
  <c r="H192" i="34"/>
  <c r="F192" i="34"/>
  <c r="G338" i="34"/>
  <c r="D77" i="34"/>
  <c r="D94" i="34"/>
  <c r="K40" i="34"/>
  <c r="E338" i="34"/>
  <c r="K37" i="34"/>
  <c r="D74" i="34"/>
  <c r="D91" i="34"/>
  <c r="K35" i="34"/>
  <c r="D72" i="34"/>
  <c r="D89" i="34"/>
  <c r="K32" i="34"/>
  <c r="D69" i="34"/>
  <c r="G75" i="25"/>
  <c r="I75" i="25"/>
  <c r="I80" i="25"/>
  <c r="M16" i="11"/>
  <c r="G92" i="25"/>
  <c r="D164" i="34"/>
  <c r="J164" i="34"/>
  <c r="J163" i="34"/>
  <c r="F278" i="34"/>
  <c r="F293" i="34"/>
  <c r="E303" i="34"/>
  <c r="I61" i="11"/>
  <c r="I6" i="11"/>
  <c r="H61" i="11"/>
  <c r="H6" i="11"/>
  <c r="J5" i="11"/>
  <c r="E123" i="34"/>
  <c r="F123" i="34"/>
  <c r="C15" i="9"/>
  <c r="D15" i="9"/>
  <c r="E15" i="9"/>
  <c r="K158" i="19"/>
  <c r="L158" i="19"/>
  <c r="T13" i="28"/>
  <c r="E22" i="34"/>
  <c r="F22" i="34"/>
  <c r="E20" i="34"/>
  <c r="F20" i="34"/>
  <c r="G14" i="34"/>
  <c r="C53" i="11"/>
  <c r="G95" i="34"/>
  <c r="H94" i="34"/>
  <c r="H189" i="34"/>
  <c r="H185" i="34"/>
  <c r="E192" i="34"/>
  <c r="G13" i="34"/>
  <c r="B53" i="11"/>
  <c r="G15" i="34"/>
  <c r="H15" i="34"/>
  <c r="I15" i="34"/>
  <c r="D53" i="11"/>
  <c r="I321" i="34"/>
  <c r="H61" i="34"/>
  <c r="N25" i="11"/>
  <c r="F78" i="34"/>
  <c r="F95" i="34"/>
  <c r="F77" i="34"/>
  <c r="F94" i="34"/>
  <c r="F186" i="34"/>
  <c r="D186" i="34"/>
  <c r="K33" i="34"/>
  <c r="D70" i="34"/>
  <c r="D87" i="34"/>
  <c r="E337" i="34"/>
  <c r="G61" i="11"/>
  <c r="G6" i="11"/>
  <c r="B14" i="17"/>
  <c r="J13" i="17"/>
  <c r="G128" i="19"/>
  <c r="L12" i="11"/>
  <c r="H13" i="17"/>
  <c r="L48" i="11"/>
  <c r="F337" i="34"/>
  <c r="K54" i="34"/>
  <c r="J163" i="19"/>
  <c r="K163" i="19"/>
  <c r="B61" i="11"/>
  <c r="B6" i="11"/>
  <c r="I60" i="11"/>
  <c r="E302" i="34"/>
  <c r="F10" i="31"/>
  <c r="F16" i="9"/>
  <c r="D16" i="9"/>
  <c r="E16" i="9"/>
  <c r="H308" i="34"/>
  <c r="D60" i="34"/>
  <c r="J14" i="17"/>
  <c r="G140" i="19"/>
  <c r="M12" i="11"/>
  <c r="H14" i="34"/>
  <c r="I14" i="34"/>
  <c r="F303" i="34"/>
  <c r="F304" i="34"/>
  <c r="J61" i="11"/>
  <c r="J6" i="11"/>
  <c r="G81" i="25"/>
  <c r="I81" i="25"/>
  <c r="G83" i="25"/>
  <c r="I83" i="25"/>
  <c r="G82" i="25"/>
  <c r="I82" i="25"/>
  <c r="G84" i="25"/>
  <c r="I84" i="25"/>
  <c r="G93" i="25"/>
  <c r="I93" i="25"/>
  <c r="I92" i="25"/>
  <c r="I199" i="34"/>
  <c r="I205" i="34"/>
  <c r="I204" i="34"/>
  <c r="I248" i="34"/>
  <c r="H316" i="34"/>
  <c r="F60" i="34"/>
  <c r="F93" i="34"/>
  <c r="F84" i="34"/>
  <c r="N58" i="9"/>
  <c r="N37" i="9"/>
  <c r="N59" i="9"/>
  <c r="E193" i="34"/>
  <c r="E198" i="34"/>
  <c r="I36" i="9"/>
  <c r="G199" i="34"/>
  <c r="G205" i="34"/>
  <c r="G204" i="34"/>
  <c r="G248" i="34"/>
  <c r="F193" i="34"/>
  <c r="F198" i="34"/>
  <c r="J36" i="9"/>
  <c r="D90" i="34"/>
  <c r="M58" i="9"/>
  <c r="M37" i="9"/>
  <c r="H193" i="34"/>
  <c r="H198" i="34"/>
  <c r="K36" i="9"/>
  <c r="I326" i="34"/>
  <c r="G61" i="34"/>
  <c r="N30" i="11"/>
  <c r="H16" i="34"/>
  <c r="I16" i="34"/>
  <c r="H19" i="34"/>
  <c r="I19" i="34"/>
  <c r="H21" i="34"/>
  <c r="I21" i="34"/>
  <c r="G123" i="19"/>
  <c r="J123" i="19"/>
  <c r="J128" i="19"/>
  <c r="E304" i="34"/>
  <c r="I312" i="34"/>
  <c r="E61" i="34"/>
  <c r="N16" i="11"/>
  <c r="G76" i="25"/>
  <c r="I10" i="31"/>
  <c r="I316" i="34"/>
  <c r="F61" i="34"/>
  <c r="N20" i="11"/>
  <c r="D88" i="34"/>
  <c r="J199" i="34"/>
  <c r="J205" i="34"/>
  <c r="J249" i="34"/>
  <c r="J204" i="34"/>
  <c r="J248" i="34"/>
  <c r="F20" i="28"/>
  <c r="H54" i="19"/>
  <c r="H6" i="20"/>
  <c r="H6" i="25"/>
  <c r="L58" i="9"/>
  <c r="L37" i="9"/>
  <c r="L59" i="9"/>
  <c r="D193" i="34"/>
  <c r="D198" i="34"/>
  <c r="H36" i="9"/>
  <c r="D92" i="34"/>
  <c r="D93" i="34"/>
  <c r="D84" i="34"/>
  <c r="D95" i="34"/>
  <c r="G60" i="34"/>
  <c r="H326" i="34"/>
  <c r="G14" i="17"/>
  <c r="M35" i="11"/>
  <c r="L35" i="11"/>
  <c r="S15" i="28"/>
  <c r="T15" i="28"/>
  <c r="I331" i="34"/>
  <c r="I61" i="34"/>
  <c r="M43" i="11"/>
  <c r="N35" i="11"/>
  <c r="D199" i="34"/>
  <c r="D205" i="34"/>
  <c r="D204" i="34"/>
  <c r="F21" i="28"/>
  <c r="H55" i="19"/>
  <c r="H7" i="20"/>
  <c r="H7" i="25"/>
  <c r="I60" i="34"/>
  <c r="L43" i="11"/>
  <c r="H331" i="34"/>
  <c r="H58" i="9"/>
  <c r="H37" i="9"/>
  <c r="H59" i="9"/>
  <c r="L66" i="9"/>
  <c r="G124" i="19"/>
  <c r="K58" i="9"/>
  <c r="K37" i="9"/>
  <c r="K59" i="9"/>
  <c r="M59" i="9"/>
  <c r="F199" i="34"/>
  <c r="F205" i="34"/>
  <c r="F204" i="34"/>
  <c r="F248" i="34"/>
  <c r="G249" i="34"/>
  <c r="E199" i="34"/>
  <c r="E205" i="34"/>
  <c r="E204" i="34"/>
  <c r="E248" i="34"/>
  <c r="N66" i="9"/>
  <c r="I249" i="34"/>
  <c r="G94" i="25"/>
  <c r="G85" i="25"/>
  <c r="I308" i="34"/>
  <c r="I337" i="34"/>
  <c r="D61" i="34"/>
  <c r="K61" i="34"/>
  <c r="N12" i="11"/>
  <c r="K60" i="34"/>
  <c r="S16" i="28"/>
  <c r="T16" i="28"/>
  <c r="S17" i="28"/>
  <c r="T17" i="28"/>
  <c r="L67" i="9"/>
  <c r="L78" i="9"/>
  <c r="J255" i="34"/>
  <c r="K255" i="34"/>
  <c r="I76" i="25"/>
  <c r="G77" i="25"/>
  <c r="H199" i="34"/>
  <c r="H205" i="34"/>
  <c r="H204" i="34"/>
  <c r="H248" i="34"/>
  <c r="M66" i="9"/>
  <c r="J58" i="9"/>
  <c r="J37" i="9"/>
  <c r="J59" i="9"/>
  <c r="I58" i="9"/>
  <c r="I37" i="9"/>
  <c r="I59" i="9"/>
  <c r="N67" i="9"/>
  <c r="H14" i="17"/>
  <c r="M48" i="11"/>
  <c r="N48" i="11"/>
  <c r="G141" i="19"/>
  <c r="G142" i="19"/>
  <c r="G129" i="19"/>
  <c r="J129" i="19"/>
  <c r="G175" i="19"/>
  <c r="J175" i="19"/>
  <c r="J140" i="19"/>
  <c r="H337" i="34"/>
  <c r="G177" i="19"/>
  <c r="J177" i="19"/>
  <c r="J142" i="19"/>
  <c r="G143" i="19"/>
  <c r="G130" i="19"/>
  <c r="I67" i="9"/>
  <c r="J66" i="9"/>
  <c r="I77" i="25"/>
  <c r="G78" i="25"/>
  <c r="I94" i="25"/>
  <c r="G95" i="25"/>
  <c r="E249" i="34"/>
  <c r="F249" i="34"/>
  <c r="K67" i="9"/>
  <c r="K78" i="9"/>
  <c r="J124" i="19"/>
  <c r="G125" i="19"/>
  <c r="H66" i="9"/>
  <c r="G58" i="9"/>
  <c r="O58" i="9"/>
  <c r="P58" i="9"/>
  <c r="G23" i="34"/>
  <c r="H23" i="34"/>
  <c r="I23" i="34"/>
  <c r="L53" i="11"/>
  <c r="K204" i="34"/>
  <c r="D248" i="34"/>
  <c r="N43" i="11"/>
  <c r="N53" i="11"/>
  <c r="G176" i="19"/>
  <c r="J176" i="19"/>
  <c r="J141" i="19"/>
  <c r="I66" i="9"/>
  <c r="J67" i="9"/>
  <c r="J78" i="9"/>
  <c r="H249" i="34"/>
  <c r="I85" i="25"/>
  <c r="G86" i="25"/>
  <c r="M78" i="9"/>
  <c r="M67" i="9"/>
  <c r="K66" i="9"/>
  <c r="O59" i="9"/>
  <c r="P59" i="9"/>
  <c r="H67" i="9"/>
  <c r="G59" i="9"/>
  <c r="F22" i="28"/>
  <c r="H56" i="19"/>
  <c r="H8" i="20"/>
  <c r="H8" i="25"/>
  <c r="D249" i="34"/>
  <c r="K205" i="34"/>
  <c r="G24" i="34"/>
  <c r="H24" i="34"/>
  <c r="I24" i="34"/>
  <c r="M53" i="11"/>
  <c r="I78" i="25"/>
  <c r="G79" i="25"/>
  <c r="I79" i="25"/>
  <c r="J130" i="19"/>
  <c r="G131" i="19"/>
  <c r="K249" i="34"/>
  <c r="F23" i="28"/>
  <c r="H57" i="19"/>
  <c r="H9" i="20"/>
  <c r="H9" i="25"/>
  <c r="O67" i="9"/>
  <c r="I86" i="25"/>
  <c r="G87" i="25"/>
  <c r="K248" i="34"/>
  <c r="O66" i="9"/>
  <c r="J125" i="19"/>
  <c r="G126" i="19"/>
  <c r="I95" i="25"/>
  <c r="G96" i="25"/>
  <c r="G178" i="19"/>
  <c r="J178" i="19"/>
  <c r="J143" i="19"/>
  <c r="G144" i="19"/>
  <c r="I96" i="25"/>
  <c r="G97" i="25"/>
  <c r="J126" i="19"/>
  <c r="G127" i="19"/>
  <c r="J127" i="19"/>
  <c r="I112" i="25"/>
  <c r="G179" i="19"/>
  <c r="J179" i="19"/>
  <c r="J144" i="19"/>
  <c r="G145" i="19"/>
  <c r="I87" i="25"/>
  <c r="G88" i="25"/>
  <c r="F24" i="28"/>
  <c r="H58" i="19"/>
  <c r="H10" i="20"/>
  <c r="H10" i="25"/>
  <c r="J131" i="19"/>
  <c r="G132" i="19"/>
  <c r="J132" i="19"/>
  <c r="G133" i="19"/>
  <c r="I88" i="25"/>
  <c r="G89" i="25"/>
  <c r="F25" i="28"/>
  <c r="H59" i="19"/>
  <c r="H11" i="20"/>
  <c r="H11" i="25"/>
  <c r="G180" i="19"/>
  <c r="J180" i="19"/>
  <c r="J145" i="19"/>
  <c r="G146" i="19"/>
  <c r="I97" i="25"/>
  <c r="G98" i="25"/>
  <c r="I98" i="25"/>
  <c r="I89" i="25"/>
  <c r="G90" i="25"/>
  <c r="J133" i="19"/>
  <c r="G134" i="19"/>
  <c r="G181" i="19"/>
  <c r="J181" i="19"/>
  <c r="J146" i="19"/>
  <c r="F26" i="28"/>
  <c r="H60" i="19"/>
  <c r="H12" i="20"/>
  <c r="H12" i="25"/>
  <c r="J134" i="19"/>
  <c r="J160" i="19"/>
  <c r="G135" i="19"/>
  <c r="I90" i="25"/>
  <c r="G91" i="25"/>
  <c r="I91" i="25"/>
  <c r="I113" i="25"/>
  <c r="F27" i="28"/>
  <c r="H61" i="19"/>
  <c r="H13" i="20"/>
  <c r="H13" i="25"/>
  <c r="I100" i="25"/>
  <c r="I78" i="9"/>
  <c r="I117" i="25"/>
  <c r="J117" i="25"/>
  <c r="G170" i="19"/>
  <c r="J170" i="19"/>
  <c r="J135" i="19"/>
  <c r="G136" i="19"/>
  <c r="H27" i="28"/>
  <c r="G5" i="28"/>
  <c r="H5" i="28"/>
  <c r="F28" i="28"/>
  <c r="H62" i="19"/>
  <c r="H14" i="20"/>
  <c r="H14" i="25"/>
  <c r="G27" i="28"/>
  <c r="J4" i="28"/>
  <c r="K4" i="28"/>
  <c r="C17" i="9"/>
  <c r="G17" i="9"/>
  <c r="G62" i="9"/>
  <c r="E125" i="34"/>
  <c r="L5" i="11"/>
  <c r="H303" i="34"/>
  <c r="H63" i="19"/>
  <c r="H15" i="20"/>
  <c r="H15" i="25"/>
  <c r="F29" i="28"/>
  <c r="G66" i="9"/>
  <c r="G171" i="19"/>
  <c r="J171" i="19"/>
  <c r="J136" i="19"/>
  <c r="G137" i="19"/>
  <c r="O78" i="9"/>
  <c r="G172" i="19"/>
  <c r="J172" i="19"/>
  <c r="J137" i="19"/>
  <c r="G138" i="19"/>
  <c r="J70" i="9"/>
  <c r="L70" i="9"/>
  <c r="N70" i="9"/>
  <c r="K70" i="9"/>
  <c r="H70" i="9"/>
  <c r="M70" i="9"/>
  <c r="I70" i="9"/>
  <c r="H64" i="19"/>
  <c r="H16" i="20"/>
  <c r="H16" i="25"/>
  <c r="F30" i="28"/>
  <c r="H65" i="19"/>
  <c r="H17" i="20"/>
  <c r="H17" i="25"/>
  <c r="F31" i="28"/>
  <c r="E251" i="34"/>
  <c r="D251" i="34"/>
  <c r="O70" i="9"/>
  <c r="J251" i="34"/>
  <c r="J260" i="34"/>
  <c r="N62" i="9"/>
  <c r="L39" i="11"/>
  <c r="F251" i="34"/>
  <c r="I251" i="34"/>
  <c r="G251" i="34"/>
  <c r="H251" i="34"/>
  <c r="G173" i="19"/>
  <c r="J173" i="19"/>
  <c r="J138" i="19"/>
  <c r="G139" i="19"/>
  <c r="K181" i="19"/>
  <c r="E127" i="34"/>
  <c r="G174" i="19"/>
  <c r="J174" i="19"/>
  <c r="J139" i="19"/>
  <c r="H334" i="34"/>
  <c r="J42" i="34"/>
  <c r="K251" i="34"/>
  <c r="H66" i="19"/>
  <c r="H18" i="20"/>
  <c r="H18" i="25"/>
  <c r="F32" i="28"/>
  <c r="J161" i="19"/>
  <c r="J148" i="19"/>
  <c r="H67" i="19"/>
  <c r="H19" i="20"/>
  <c r="H19" i="25"/>
  <c r="F33" i="28"/>
  <c r="H68" i="19"/>
  <c r="H20" i="20"/>
  <c r="H20" i="25"/>
  <c r="F34" i="28"/>
  <c r="C18" i="9"/>
  <c r="G18" i="9"/>
  <c r="G63" i="9"/>
  <c r="M5" i="11"/>
  <c r="I303" i="34"/>
  <c r="E126" i="34"/>
  <c r="J165" i="19"/>
  <c r="K165" i="19"/>
  <c r="G67" i="9"/>
  <c r="H69" i="19"/>
  <c r="H21" i="20"/>
  <c r="H21" i="25"/>
  <c r="F35" i="28"/>
  <c r="L71" i="9"/>
  <c r="M71" i="9"/>
  <c r="H71" i="9"/>
  <c r="N71" i="9"/>
  <c r="I71" i="9"/>
  <c r="J71" i="9"/>
  <c r="K71" i="9"/>
  <c r="H70" i="19"/>
  <c r="H22" i="20"/>
  <c r="H22" i="25"/>
  <c r="F36" i="28"/>
  <c r="H71" i="19"/>
  <c r="H23" i="20"/>
  <c r="H23" i="25"/>
  <c r="F37" i="28"/>
  <c r="G252" i="34"/>
  <c r="E252" i="34"/>
  <c r="H252" i="34"/>
  <c r="F252" i="34"/>
  <c r="J252" i="34"/>
  <c r="J261" i="34"/>
  <c r="N63" i="9"/>
  <c r="I252" i="34"/>
  <c r="D252" i="34"/>
  <c r="O71" i="9"/>
  <c r="M39" i="11"/>
  <c r="I334" i="34"/>
  <c r="N39" i="11"/>
  <c r="N78" i="9"/>
  <c r="N80" i="9"/>
  <c r="K252" i="34"/>
  <c r="H72" i="19"/>
  <c r="H24" i="20"/>
  <c r="H24" i="25"/>
  <c r="F38" i="28"/>
  <c r="H73" i="19"/>
  <c r="H25" i="20"/>
  <c r="H25" i="25"/>
  <c r="F39" i="28"/>
  <c r="H74" i="19"/>
  <c r="H26" i="20"/>
  <c r="H26" i="25"/>
  <c r="F40" i="28"/>
  <c r="H39" i="28"/>
  <c r="G6" i="28"/>
  <c r="H6" i="28"/>
  <c r="G39" i="28"/>
  <c r="J5" i="28"/>
  <c r="K5" i="28"/>
  <c r="F41" i="28"/>
  <c r="H75" i="19"/>
  <c r="H27" i="20"/>
  <c r="H27" i="25"/>
  <c r="F42" i="28"/>
  <c r="H76" i="19"/>
  <c r="H28" i="20"/>
  <c r="H28" i="25"/>
  <c r="F43" i="28"/>
  <c r="H77" i="19"/>
  <c r="H29" i="20"/>
  <c r="H29" i="25"/>
  <c r="F44" i="28"/>
  <c r="H78" i="19"/>
  <c r="H30" i="20"/>
  <c r="H30" i="25"/>
  <c r="F45" i="28"/>
  <c r="H79" i="19"/>
  <c r="H31" i="20"/>
  <c r="H31" i="25"/>
  <c r="F46" i="28"/>
  <c r="H80" i="19"/>
  <c r="H32" i="20"/>
  <c r="H32" i="25"/>
  <c r="F47" i="28"/>
  <c r="H81" i="19"/>
  <c r="H33" i="20"/>
  <c r="H33" i="25"/>
  <c r="F48" i="28"/>
  <c r="H82" i="19"/>
  <c r="H34" i="20"/>
  <c r="H34" i="25"/>
  <c r="F49" i="28"/>
  <c r="H83" i="19"/>
  <c r="H35" i="20"/>
  <c r="H35" i="25"/>
  <c r="F50" i="28"/>
  <c r="H84" i="19"/>
  <c r="H36" i="20"/>
  <c r="H36" i="25"/>
  <c r="F51" i="28"/>
  <c r="H85" i="19"/>
  <c r="H37" i="20"/>
  <c r="H37" i="25"/>
  <c r="H51" i="28"/>
  <c r="G7" i="28"/>
  <c r="H7" i="28"/>
  <c r="H86" i="19"/>
  <c r="H38" i="20"/>
  <c r="H38" i="25"/>
  <c r="F52" i="28"/>
  <c r="G51" i="28"/>
  <c r="J6" i="28"/>
  <c r="K6" i="28"/>
  <c r="H87" i="19"/>
  <c r="H39" i="20"/>
  <c r="H39" i="25"/>
  <c r="F53" i="28"/>
  <c r="H88" i="19"/>
  <c r="H40" i="20"/>
  <c r="H40" i="25"/>
  <c r="F54" i="28"/>
  <c r="H89" i="19"/>
  <c r="H41" i="20"/>
  <c r="H41" i="25"/>
  <c r="F55" i="28"/>
  <c r="H90" i="19"/>
  <c r="H42" i="20"/>
  <c r="H42" i="25"/>
  <c r="F56" i="28"/>
  <c r="H91" i="19"/>
  <c r="H43" i="20"/>
  <c r="H43" i="25"/>
  <c r="F57" i="28"/>
  <c r="H92" i="19"/>
  <c r="H44" i="20"/>
  <c r="H44" i="25"/>
  <c r="F58" i="28"/>
  <c r="H93" i="19"/>
  <c r="H45" i="20"/>
  <c r="H45" i="25"/>
  <c r="F59" i="28"/>
  <c r="H94" i="19"/>
  <c r="H46" i="20"/>
  <c r="H46" i="25"/>
  <c r="F60" i="28"/>
  <c r="H95" i="19"/>
  <c r="H47" i="20"/>
  <c r="H47" i="25"/>
  <c r="F61" i="28"/>
  <c r="H96" i="19"/>
  <c r="H48" i="20"/>
  <c r="H48" i="25"/>
  <c r="F62" i="28"/>
  <c r="H97" i="19"/>
  <c r="H49" i="20"/>
  <c r="H49" i="25"/>
  <c r="F63" i="28"/>
  <c r="H98" i="19"/>
  <c r="H50" i="20"/>
  <c r="H50" i="25"/>
  <c r="H63" i="28"/>
  <c r="G8" i="28"/>
  <c r="H8" i="28"/>
  <c r="F64" i="28"/>
  <c r="G63" i="28"/>
  <c r="J7" i="28"/>
  <c r="K7" i="28"/>
  <c r="F65" i="28"/>
  <c r="H99" i="19"/>
  <c r="H51" i="20"/>
  <c r="H51" i="25"/>
  <c r="F66" i="28"/>
  <c r="H100" i="19"/>
  <c r="H52" i="20"/>
  <c r="H52" i="25"/>
  <c r="F67" i="28"/>
  <c r="H101" i="19"/>
  <c r="H53" i="20"/>
  <c r="H53" i="25"/>
  <c r="F68" i="28"/>
  <c r="H102" i="19"/>
  <c r="H54" i="20"/>
  <c r="H54" i="25"/>
  <c r="F69" i="28"/>
  <c r="H103" i="19"/>
  <c r="H55" i="20"/>
  <c r="H55" i="25"/>
  <c r="F70" i="28"/>
  <c r="H104" i="19"/>
  <c r="H56" i="20"/>
  <c r="H56" i="25"/>
  <c r="F71" i="28"/>
  <c r="H105" i="19"/>
  <c r="H57" i="20"/>
  <c r="H57" i="25"/>
  <c r="F72" i="28"/>
  <c r="H106" i="19"/>
  <c r="H58" i="20"/>
  <c r="H58" i="25"/>
  <c r="F73" i="28"/>
  <c r="H107" i="19"/>
  <c r="H59" i="20"/>
  <c r="H59" i="25"/>
  <c r="F74" i="28"/>
  <c r="H108" i="19"/>
  <c r="H60" i="20"/>
  <c r="H60" i="25"/>
  <c r="F75" i="28"/>
  <c r="H109" i="19"/>
  <c r="H61" i="20"/>
  <c r="H61" i="25"/>
  <c r="H75" i="28"/>
  <c r="H110" i="19"/>
  <c r="H62" i="20"/>
  <c r="H62" i="25"/>
  <c r="G75" i="28"/>
  <c r="J8" i="28"/>
  <c r="K8" i="28"/>
  <c r="G13" i="29"/>
  <c r="H76" i="9"/>
  <c r="O75" i="9"/>
  <c r="I242" i="34"/>
  <c r="E242" i="34"/>
  <c r="F27" i="32"/>
  <c r="S25" i="28"/>
  <c r="F67" i="32"/>
  <c r="G28" i="29"/>
  <c r="G18" i="29"/>
  <c r="K11" i="28"/>
  <c r="H87" i="25"/>
  <c r="G13" i="32"/>
  <c r="F46" i="32"/>
  <c r="F28" i="29"/>
  <c r="O74" i="9"/>
  <c r="H170" i="19"/>
  <c r="H87" i="20"/>
  <c r="F58" i="32"/>
  <c r="T23" i="28"/>
  <c r="G17" i="29"/>
  <c r="G27" i="29"/>
  <c r="G18" i="32"/>
  <c r="G28" i="32"/>
  <c r="F34" i="29"/>
  <c r="G24" i="32"/>
  <c r="G14" i="32"/>
  <c r="G17" i="32"/>
  <c r="G27" i="32"/>
  <c r="R46" i="28"/>
  <c r="R50" i="28"/>
  <c r="B29" i="29"/>
  <c r="H85" i="25"/>
  <c r="H231" i="34"/>
  <c r="D79" i="32"/>
  <c r="D29" i="32"/>
  <c r="B29" i="32"/>
  <c r="R45" i="28"/>
  <c r="R51" i="28"/>
  <c r="H65" i="25"/>
  <c r="T28" i="28"/>
  <c r="K257" i="34"/>
  <c r="J11" i="28"/>
  <c r="M50" i="11"/>
  <c r="J9" i="28"/>
  <c r="H111" i="28"/>
  <c r="F34" i="32"/>
  <c r="F75" i="32"/>
  <c r="R25" i="28"/>
  <c r="S21" i="28"/>
  <c r="H81" i="25"/>
  <c r="F17" i="32"/>
  <c r="M49" i="11"/>
  <c r="H230" i="34"/>
  <c r="F45" i="29"/>
  <c r="C8" i="29"/>
  <c r="F35" i="32"/>
  <c r="G235" i="34"/>
  <c r="T25" i="28"/>
  <c r="F17" i="29"/>
  <c r="F25" i="29"/>
  <c r="I328" i="34"/>
  <c r="I313" i="34"/>
  <c r="H89" i="25"/>
  <c r="G25" i="32"/>
  <c r="G15" i="32"/>
  <c r="G16" i="29"/>
  <c r="G26" i="29"/>
  <c r="F24" i="32"/>
  <c r="D69" i="29"/>
  <c r="F235" i="34"/>
  <c r="P62" i="9"/>
  <c r="H179" i="19"/>
  <c r="I260" i="34"/>
  <c r="E261" i="34"/>
  <c r="H332" i="34"/>
  <c r="H175" i="19"/>
  <c r="B8" i="29"/>
  <c r="H180" i="19"/>
  <c r="N49" i="11"/>
  <c r="N8" i="11"/>
  <c r="G80" i="34"/>
  <c r="G97" i="34"/>
  <c r="H172" i="19"/>
  <c r="H89" i="20"/>
  <c r="F12" i="28"/>
  <c r="K9" i="28"/>
  <c r="H234" i="34"/>
  <c r="H86" i="25"/>
  <c r="T30" i="28"/>
  <c r="D19" i="29"/>
  <c r="H309" i="34"/>
  <c r="H338" i="34"/>
  <c r="R48" i="28"/>
  <c r="S48" i="28"/>
  <c r="G237" i="34"/>
  <c r="H237" i="34"/>
  <c r="H323" i="34"/>
  <c r="F25" i="32"/>
  <c r="F58" i="29"/>
  <c r="C8" i="32"/>
  <c r="D75" i="32"/>
  <c r="H328" i="34"/>
  <c r="G15" i="29"/>
  <c r="F15" i="29"/>
  <c r="G25" i="29"/>
  <c r="D69" i="32"/>
  <c r="F26" i="29"/>
  <c r="H181" i="19"/>
  <c r="D257" i="34"/>
  <c r="D260" i="34"/>
  <c r="K260" i="34"/>
  <c r="E260" i="34"/>
  <c r="K258" i="34"/>
  <c r="F38" i="32"/>
  <c r="R35" i="28"/>
  <c r="K42" i="34"/>
  <c r="P25" i="28"/>
  <c r="D29" i="29"/>
  <c r="D19" i="32"/>
  <c r="P63" i="9"/>
  <c r="S63" i="9"/>
  <c r="F230" i="34"/>
  <c r="F236" i="34"/>
  <c r="H236" i="34"/>
  <c r="H322" i="34"/>
  <c r="H229" i="34"/>
  <c r="D75" i="29"/>
  <c r="F75" i="29"/>
  <c r="F37" i="32"/>
  <c r="G236" i="34"/>
  <c r="F229" i="34"/>
  <c r="G229" i="34"/>
  <c r="G230" i="34"/>
  <c r="G231" i="34"/>
  <c r="G296" i="34"/>
  <c r="H69" i="25"/>
  <c r="D242" i="34"/>
  <c r="J242" i="34"/>
  <c r="F36" i="32"/>
  <c r="D46" i="32"/>
  <c r="H174" i="19"/>
  <c r="D36" i="32"/>
  <c r="F57" i="29"/>
  <c r="F18" i="29"/>
  <c r="H77" i="20"/>
  <c r="H77" i="25"/>
  <c r="N36" i="11"/>
  <c r="E96" i="34"/>
  <c r="F18" i="32"/>
  <c r="K10" i="28"/>
  <c r="H177" i="19"/>
  <c r="I76" i="9"/>
  <c r="E258" i="34"/>
  <c r="L49" i="11"/>
  <c r="L51" i="11"/>
  <c r="B19" i="29"/>
  <c r="R23" i="28"/>
  <c r="B25" i="32"/>
  <c r="D25" i="32"/>
  <c r="G11" i="28"/>
  <c r="H11" i="28"/>
  <c r="D79" i="29"/>
  <c r="L44" i="11"/>
  <c r="L54" i="11"/>
  <c r="F24" i="29"/>
  <c r="E232" i="34"/>
  <c r="F48" i="29"/>
  <c r="G16" i="32"/>
  <c r="F16" i="32"/>
  <c r="G26" i="32"/>
  <c r="H79" i="20"/>
  <c r="H79" i="25"/>
  <c r="H67" i="25"/>
  <c r="D48" i="29"/>
  <c r="D38" i="29"/>
  <c r="F38" i="29"/>
  <c r="F14" i="32"/>
  <c r="H85" i="20"/>
  <c r="F56" i="29"/>
  <c r="B19" i="32"/>
  <c r="H178" i="19"/>
  <c r="F26" i="32"/>
  <c r="D24" i="29"/>
  <c r="D18" i="29"/>
  <c r="D58" i="29"/>
  <c r="D68" i="29"/>
  <c r="F68" i="29"/>
  <c r="E296" i="34"/>
  <c r="D38" i="32"/>
  <c r="D48" i="32"/>
  <c r="F48" i="32"/>
  <c r="T27" i="28"/>
  <c r="F15" i="32"/>
  <c r="B88" i="32"/>
  <c r="D24" i="32"/>
  <c r="H339" i="34"/>
  <c r="H65" i="20"/>
  <c r="G238" i="34"/>
  <c r="F11" i="28"/>
  <c r="F55" i="29"/>
  <c r="I261" i="34"/>
  <c r="O79" i="9"/>
  <c r="D59" i="29"/>
  <c r="J243" i="34"/>
  <c r="T22" i="28"/>
  <c r="J10" i="28"/>
  <c r="F232" i="34"/>
  <c r="F96" i="34"/>
  <c r="I317" i="34"/>
  <c r="F55" i="32"/>
  <c r="T24" i="28"/>
  <c r="B87" i="32"/>
  <c r="T29" i="28"/>
  <c r="G43" i="34"/>
  <c r="I327" i="34"/>
  <c r="H73" i="25"/>
  <c r="F24" i="34"/>
  <c r="H171" i="19"/>
  <c r="F54" i="29"/>
  <c r="G19" i="32"/>
  <c r="F36" i="29"/>
  <c r="H96" i="34"/>
  <c r="I323" i="34"/>
  <c r="H173" i="19"/>
  <c r="F10" i="28"/>
  <c r="G10" i="28"/>
  <c r="H10" i="28"/>
  <c r="F54" i="32"/>
  <c r="H99" i="28"/>
  <c r="E229" i="34"/>
  <c r="E235" i="34"/>
  <c r="H235" i="34"/>
  <c r="G14" i="29"/>
  <c r="G24" i="29"/>
  <c r="R49" i="28"/>
  <c r="S49" i="28"/>
  <c r="B8" i="32"/>
  <c r="B15" i="29"/>
  <c r="D15" i="29"/>
  <c r="D55" i="29"/>
  <c r="D65" i="29"/>
  <c r="F65" i="29"/>
  <c r="K43" i="34"/>
  <c r="H93" i="25"/>
  <c r="F74" i="29"/>
  <c r="H63" i="25"/>
  <c r="D45" i="29"/>
  <c r="D35" i="29"/>
  <c r="F35" i="29"/>
  <c r="C4" i="29"/>
  <c r="L22" i="11"/>
  <c r="H318" i="34"/>
  <c r="N55" i="11"/>
  <c r="N45" i="11"/>
  <c r="N50" i="11"/>
  <c r="Q63" i="9"/>
  <c r="S28" i="28"/>
  <c r="B18" i="29"/>
  <c r="R37" i="28"/>
  <c r="R47" i="28"/>
  <c r="S47" i="28"/>
  <c r="S51" i="28"/>
  <c r="F16" i="29"/>
  <c r="H127" i="19"/>
  <c r="H92" i="20"/>
  <c r="H92" i="25"/>
  <c r="D57" i="29"/>
  <c r="D67" i="29"/>
  <c r="F67" i="29"/>
  <c r="R29" i="28"/>
  <c r="S29" i="28"/>
  <c r="S30" i="28"/>
  <c r="D78" i="29"/>
  <c r="F78" i="29"/>
  <c r="B90" i="29"/>
  <c r="I332" i="34"/>
  <c r="H176" i="19"/>
  <c r="H93" i="20"/>
  <c r="E79" i="34"/>
  <c r="G99" i="28"/>
  <c r="B91" i="29"/>
  <c r="F28" i="32"/>
  <c r="D58" i="32"/>
  <c r="D68" i="32"/>
  <c r="F68" i="32"/>
  <c r="H317" i="34"/>
  <c r="H83" i="25"/>
  <c r="B89" i="29"/>
  <c r="E234" i="34"/>
  <c r="E238" i="34"/>
  <c r="Q31" i="28"/>
  <c r="I79" i="9"/>
  <c r="I80" i="9"/>
  <c r="N17" i="11"/>
  <c r="L76" i="9"/>
  <c r="Q25" i="28"/>
  <c r="Q21" i="28"/>
  <c r="R21" i="28"/>
  <c r="B23" i="32"/>
  <c r="D23" i="32"/>
  <c r="F23" i="32"/>
  <c r="F29" i="32"/>
  <c r="B24" i="29"/>
  <c r="D74" i="29"/>
  <c r="C5" i="32"/>
  <c r="D76" i="32"/>
  <c r="F76" i="32"/>
  <c r="D43" i="32"/>
  <c r="F43" i="32"/>
  <c r="F49" i="32"/>
  <c r="D77" i="29"/>
  <c r="F77" i="29"/>
  <c r="H81" i="20"/>
  <c r="I42" i="34"/>
  <c r="I79" i="34"/>
  <c r="I96" i="34"/>
  <c r="I258" i="34"/>
  <c r="M76" i="9"/>
  <c r="H140" i="19"/>
  <c r="H119" i="19"/>
  <c r="H71" i="20"/>
  <c r="H71" i="25"/>
  <c r="B27" i="32"/>
  <c r="D27" i="32"/>
  <c r="B86" i="32"/>
  <c r="B18" i="32"/>
  <c r="D18" i="32"/>
  <c r="F42" i="34"/>
  <c r="F79" i="34"/>
  <c r="R22" i="28"/>
  <c r="S22" i="28"/>
  <c r="S23" i="28"/>
  <c r="S24" i="28"/>
  <c r="F261" i="34"/>
  <c r="D296" i="34"/>
  <c r="N31" i="11"/>
  <c r="N32" i="11"/>
  <c r="H121" i="19"/>
  <c r="H73" i="20"/>
  <c r="D76" i="29"/>
  <c r="F76" i="29"/>
  <c r="F14" i="29"/>
  <c r="H84" i="20"/>
  <c r="H84" i="25"/>
  <c r="S31" i="28"/>
  <c r="B89" i="32"/>
  <c r="D238" i="34"/>
  <c r="H238" i="34"/>
  <c r="F97" i="34"/>
  <c r="I322" i="34"/>
  <c r="H64" i="25"/>
  <c r="G295" i="34"/>
  <c r="E13" i="18"/>
  <c r="C4" i="32"/>
  <c r="D35" i="32"/>
  <c r="D45" i="32"/>
  <c r="F45" i="32"/>
  <c r="H87" i="28"/>
  <c r="B87" i="29"/>
  <c r="H64" i="20"/>
  <c r="H135" i="19"/>
  <c r="G111" i="28"/>
  <c r="F74" i="32"/>
  <c r="D234" i="34"/>
  <c r="H228" i="34"/>
  <c r="F37" i="29"/>
  <c r="K76" i="9"/>
  <c r="H137" i="19"/>
  <c r="D59" i="32"/>
  <c r="H67" i="20"/>
  <c r="B86" i="29"/>
  <c r="R31" i="28"/>
  <c r="Q27" i="28"/>
  <c r="R27" i="28"/>
  <c r="S27" i="28"/>
  <c r="G257" i="34"/>
  <c r="G260" i="34"/>
  <c r="E295" i="34"/>
  <c r="D33" i="32"/>
  <c r="F33" i="32"/>
  <c r="F39" i="32"/>
  <c r="H117" i="19"/>
  <c r="H69" i="20"/>
  <c r="H138" i="19"/>
  <c r="H90" i="20"/>
  <c r="H90" i="25"/>
  <c r="F56" i="32"/>
  <c r="H144" i="19"/>
  <c r="H96" i="20"/>
  <c r="H96" i="25"/>
  <c r="J76" i="9"/>
  <c r="F258" i="34"/>
  <c r="L45" i="11"/>
  <c r="L55" i="11"/>
  <c r="H68" i="20"/>
  <c r="H68" i="25"/>
  <c r="G258" i="34"/>
  <c r="G261" i="34"/>
  <c r="B26" i="32"/>
  <c r="D26" i="32"/>
  <c r="H116" i="19"/>
  <c r="H132" i="19"/>
  <c r="O80" i="9"/>
  <c r="D34" i="32"/>
  <c r="D44" i="32"/>
  <c r="F44" i="32"/>
  <c r="D37" i="32"/>
  <c r="D47" i="32"/>
  <c r="F47" i="32"/>
  <c r="H43" i="34"/>
  <c r="H80" i="34"/>
  <c r="H97" i="34"/>
  <c r="F43" i="29"/>
  <c r="F49" i="29"/>
  <c r="B88" i="29"/>
  <c r="G23" i="29"/>
  <c r="G29" i="29"/>
  <c r="H79" i="9"/>
  <c r="H80" i="9"/>
  <c r="N13" i="11"/>
  <c r="N44" i="11"/>
  <c r="N54" i="11"/>
  <c r="E43" i="34"/>
  <c r="E80" i="34"/>
  <c r="E97" i="34"/>
  <c r="H133" i="19"/>
  <c r="H142" i="19"/>
  <c r="H94" i="20"/>
  <c r="H94" i="25"/>
  <c r="G23" i="32"/>
  <c r="G29" i="32"/>
  <c r="F53" i="29"/>
  <c r="F59" i="29"/>
  <c r="M22" i="11"/>
  <c r="I318" i="34"/>
  <c r="I339" i="34"/>
  <c r="H126" i="19"/>
  <c r="H78" i="20"/>
  <c r="H78" i="25"/>
  <c r="H80" i="25"/>
  <c r="D13" i="18"/>
  <c r="M32" i="11"/>
  <c r="M45" i="11"/>
  <c r="M55" i="11"/>
  <c r="B4" i="32"/>
  <c r="B15" i="32"/>
  <c r="D15" i="32"/>
  <c r="D55" i="32"/>
  <c r="D65" i="32"/>
  <c r="F65" i="32"/>
  <c r="B12" i="18"/>
  <c r="E12" i="18"/>
  <c r="L50" i="11"/>
  <c r="B17" i="29"/>
  <c r="D17" i="29"/>
  <c r="H88" i="20"/>
  <c r="H88" i="25"/>
  <c r="D54" i="29"/>
  <c r="D64" i="29"/>
  <c r="F64" i="29"/>
  <c r="G87" i="28"/>
  <c r="H124" i="19"/>
  <c r="H76" i="20"/>
  <c r="H76" i="25"/>
  <c r="H42" i="34"/>
  <c r="H79" i="34"/>
  <c r="H129" i="19"/>
  <c r="B13" i="18"/>
  <c r="N26" i="11"/>
  <c r="N27" i="11"/>
  <c r="B23" i="29"/>
  <c r="D23" i="29"/>
  <c r="F23" i="29"/>
  <c r="F29" i="29"/>
  <c r="B24" i="32"/>
  <c r="D74" i="32"/>
  <c r="B3" i="32"/>
  <c r="B14" i="32"/>
  <c r="D14" i="32"/>
  <c r="D54" i="32"/>
  <c r="D64" i="32"/>
  <c r="F64" i="32"/>
  <c r="H125" i="19"/>
  <c r="H123" i="19"/>
  <c r="H75" i="20"/>
  <c r="H75" i="25"/>
  <c r="H115" i="19"/>
  <c r="D34" i="29"/>
  <c r="D44" i="29"/>
  <c r="F44" i="29"/>
  <c r="H260" i="34"/>
  <c r="F295" i="34"/>
  <c r="H112" i="19"/>
  <c r="M44" i="11"/>
  <c r="M54" i="11"/>
  <c r="I75" i="9"/>
  <c r="I63" i="9"/>
  <c r="M17" i="11"/>
  <c r="F242" i="34"/>
  <c r="F243" i="34"/>
  <c r="D42" i="34"/>
  <c r="D79" i="34"/>
  <c r="D96" i="34"/>
  <c r="D232" i="34"/>
  <c r="H232" i="34"/>
  <c r="C12" i="18"/>
  <c r="L27" i="11"/>
  <c r="C6" i="29"/>
  <c r="D37" i="29"/>
  <c r="D47" i="29"/>
  <c r="F47" i="29"/>
  <c r="E257" i="34"/>
  <c r="B14" i="29"/>
  <c r="D14" i="29"/>
  <c r="H257" i="34"/>
  <c r="F53" i="32"/>
  <c r="F59" i="32"/>
  <c r="B26" i="29"/>
  <c r="D26" i="29"/>
  <c r="G19" i="29"/>
  <c r="F13" i="29"/>
  <c r="F19" i="29"/>
  <c r="B84" i="29"/>
  <c r="L8" i="11"/>
  <c r="D23" i="34"/>
  <c r="E23" i="34"/>
  <c r="F23" i="34"/>
  <c r="F57" i="32"/>
  <c r="M26" i="11"/>
  <c r="B6" i="32"/>
  <c r="B17" i="32"/>
  <c r="D17" i="32"/>
  <c r="D57" i="32"/>
  <c r="D67" i="32"/>
  <c r="H130" i="19"/>
  <c r="H82" i="20"/>
  <c r="H82" i="25"/>
  <c r="H242" i="34"/>
  <c r="H243" i="34"/>
  <c r="H145" i="19"/>
  <c r="H97" i="20"/>
  <c r="H97" i="25"/>
  <c r="G232" i="34"/>
  <c r="G228" i="34"/>
  <c r="G234" i="34"/>
  <c r="B16" i="29"/>
  <c r="D16" i="29"/>
  <c r="D56" i="29"/>
  <c r="D66" i="29"/>
  <c r="F66" i="29"/>
  <c r="O63" i="9"/>
  <c r="M8" i="11"/>
  <c r="D24" i="34"/>
  <c r="E24" i="34"/>
  <c r="I257" i="34"/>
  <c r="H122" i="19"/>
  <c r="H74" i="20"/>
  <c r="H74" i="25"/>
  <c r="H258" i="34"/>
  <c r="H261" i="34"/>
  <c r="F296" i="34"/>
  <c r="D43" i="29"/>
  <c r="O62" i="9"/>
  <c r="H327" i="34"/>
  <c r="B5" i="29"/>
  <c r="H136" i="19"/>
  <c r="D258" i="34"/>
  <c r="D261" i="34"/>
  <c r="K261" i="34"/>
  <c r="D78" i="32"/>
  <c r="F78" i="32"/>
  <c r="K75" i="9"/>
  <c r="K63" i="9"/>
  <c r="C13" i="18"/>
  <c r="M27" i="11"/>
  <c r="C6" i="32"/>
  <c r="D77" i="32"/>
  <c r="F77" i="32"/>
  <c r="B7" i="32"/>
  <c r="B28" i="32"/>
  <c r="D28" i="32"/>
  <c r="D53" i="29"/>
  <c r="D63" i="29"/>
  <c r="F63" i="29"/>
  <c r="F69" i="29"/>
  <c r="F13" i="32"/>
  <c r="F19" i="32"/>
  <c r="B84" i="32"/>
  <c r="B91" i="32"/>
  <c r="D56" i="32"/>
  <c r="D66" i="32"/>
  <c r="F66" i="32"/>
  <c r="J75" i="9"/>
  <c r="J63" i="9"/>
  <c r="M21" i="11"/>
  <c r="F43" i="34"/>
  <c r="F80" i="34"/>
  <c r="H118" i="19"/>
  <c r="H70" i="20"/>
  <c r="H70" i="25"/>
  <c r="H114" i="19"/>
  <c r="H66" i="20"/>
  <c r="H66" i="25"/>
  <c r="H141" i="19"/>
  <c r="J79" i="9"/>
  <c r="J80" i="9"/>
  <c r="N21" i="11"/>
  <c r="N22" i="11"/>
  <c r="M75" i="9"/>
  <c r="M63" i="9"/>
  <c r="M36" i="11"/>
  <c r="I43" i="34"/>
  <c r="I80" i="34"/>
  <c r="I97" i="34"/>
  <c r="D73" i="29"/>
  <c r="F73" i="29"/>
  <c r="F79" i="29"/>
  <c r="H120" i="19"/>
  <c r="H72" i="20"/>
  <c r="H72" i="25"/>
  <c r="D43" i="34"/>
  <c r="D80" i="34"/>
  <c r="D97" i="34"/>
  <c r="G96" i="34"/>
  <c r="H134" i="19"/>
  <c r="H86" i="20"/>
  <c r="H143" i="19"/>
  <c r="H95" i="20"/>
  <c r="H95" i="25"/>
  <c r="L31" i="11"/>
  <c r="G42" i="34"/>
  <c r="G79" i="34"/>
  <c r="B3" i="29"/>
  <c r="H313" i="34"/>
  <c r="I74" i="9"/>
  <c r="I62" i="9"/>
  <c r="L17" i="11"/>
  <c r="E42" i="34"/>
  <c r="J62" i="9"/>
  <c r="L21" i="11"/>
  <c r="B4" i="29"/>
  <c r="B25" i="29"/>
  <c r="D25" i="29"/>
  <c r="H139" i="19"/>
  <c r="H91" i="20"/>
  <c r="H91" i="25"/>
  <c r="K74" i="9"/>
  <c r="K62" i="9"/>
  <c r="L26" i="11"/>
  <c r="B6" i="29"/>
  <c r="B27" i="29"/>
  <c r="D27" i="29"/>
  <c r="F27" i="29"/>
  <c r="L74" i="9"/>
  <c r="L62" i="9"/>
  <c r="D12" i="18"/>
  <c r="L32" i="11"/>
  <c r="C5" i="29"/>
  <c r="D36" i="29"/>
  <c r="D46" i="29"/>
  <c r="F46" i="29"/>
  <c r="B13" i="32"/>
  <c r="D13" i="32"/>
  <c r="D53" i="32"/>
  <c r="D63" i="32"/>
  <c r="F63" i="32"/>
  <c r="F69" i="32"/>
  <c r="L75" i="9"/>
  <c r="L63" i="9"/>
  <c r="M31" i="11"/>
  <c r="B5" i="32"/>
  <c r="B16" i="32"/>
  <c r="D16" i="32"/>
  <c r="H113" i="19"/>
  <c r="M74" i="9"/>
  <c r="M62" i="9"/>
  <c r="L36" i="11"/>
  <c r="B7" i="29"/>
  <c r="B28" i="29"/>
  <c r="D28" i="29"/>
  <c r="H74" i="9"/>
  <c r="H62" i="9"/>
  <c r="L13" i="11"/>
  <c r="B2" i="29"/>
  <c r="B13" i="29"/>
  <c r="D13" i="29"/>
  <c r="D33" i="29"/>
  <c r="F33" i="29"/>
  <c r="F39" i="29"/>
  <c r="H128" i="19"/>
  <c r="H80" i="20"/>
  <c r="H111" i="19"/>
  <c r="H63" i="20"/>
  <c r="B2" i="32"/>
  <c r="D73" i="32"/>
  <c r="F73" i="32"/>
  <c r="F79" i="32"/>
  <c r="B90" i="32"/>
  <c r="F97" i="28"/>
  <c r="F98" i="28"/>
  <c r="F99" i="28"/>
  <c r="F100" i="28"/>
  <c r="F101" i="28"/>
  <c r="F102" i="28"/>
  <c r="F103" i="28"/>
  <c r="F104" i="28"/>
  <c r="F105" i="28"/>
  <c r="F106" i="28"/>
  <c r="F107" i="28"/>
  <c r="F108" i="28"/>
  <c r="F109" i="28"/>
  <c r="F110" i="28"/>
  <c r="F111" i="28"/>
  <c r="H146" i="19"/>
  <c r="H98" i="20"/>
  <c r="H98" i="25"/>
  <c r="M79" i="9"/>
  <c r="M80" i="9"/>
  <c r="L79" i="9"/>
  <c r="L80" i="9"/>
  <c r="H75" i="9"/>
  <c r="H63" i="9"/>
  <c r="M13" i="11"/>
  <c r="I309" i="34"/>
  <c r="I338" i="34"/>
  <c r="J74" i="9"/>
  <c r="F257" i="34"/>
  <c r="F260" i="34"/>
  <c r="D295" i="34"/>
  <c r="F9" i="28"/>
  <c r="G9" i="28"/>
  <c r="H9" i="28"/>
  <c r="F76" i="28"/>
  <c r="F77" i="28"/>
  <c r="F78" i="28"/>
  <c r="F79" i="28"/>
  <c r="F80" i="28"/>
  <c r="F81" i="28"/>
  <c r="F82" i="28"/>
  <c r="F83" i="28"/>
  <c r="F84" i="28"/>
  <c r="F85" i="28"/>
  <c r="F86" i="28"/>
  <c r="F87" i="28"/>
  <c r="F88" i="28"/>
  <c r="F89" i="28"/>
  <c r="F90" i="28"/>
  <c r="F91" i="28"/>
  <c r="F92" i="28"/>
  <c r="F93" i="28"/>
  <c r="F94" i="28"/>
  <c r="F95" i="28"/>
  <c r="F96" i="28"/>
  <c r="H131" i="19"/>
  <c r="H83" i="20"/>
  <c r="D228" i="34"/>
  <c r="E228" i="34"/>
  <c r="F228" i="34"/>
  <c r="F234" i="34"/>
  <c r="F238" i="34"/>
  <c r="G242" i="34"/>
  <c r="G243" i="34"/>
  <c r="Q32" i="28"/>
  <c r="G74" i="9"/>
  <c r="P27" i="28"/>
  <c r="P31" i="28"/>
  <c r="T31" i="28"/>
  <c r="P21" i="28"/>
  <c r="T21" i="28"/>
  <c r="Q22" i="28"/>
  <c r="Q28" i="28"/>
  <c r="R28" i="28"/>
  <c r="R32" i="28"/>
  <c r="G75" i="9"/>
  <c r="G79" i="9"/>
  <c r="K79" i="9"/>
  <c r="K80" i="9"/>
</calcChain>
</file>

<file path=xl/comments1.xml><?xml version="1.0" encoding="utf-8"?>
<comments xmlns="http://schemas.openxmlformats.org/spreadsheetml/2006/main">
  <authors>
    <author>bbacon</author>
  </authors>
  <commentList>
    <comment ref="B1" authorId="0">
      <text>
        <r>
          <rPr>
            <sz val="8"/>
            <color indexed="81"/>
            <rFont val="Tahoma"/>
            <family val="2"/>
          </rPr>
          <t xml:space="preserve">Linked to load forecast model
</t>
        </r>
      </text>
    </comment>
    <comment ref="C1" authorId="0">
      <text>
        <r>
          <rPr>
            <sz val="8"/>
            <color indexed="81"/>
            <rFont val="Tahoma"/>
            <family val="2"/>
          </rPr>
          <t>Linked to load forecast model</t>
        </r>
      </text>
    </comment>
  </commentList>
</comments>
</file>

<file path=xl/comments2.xml><?xml version="1.0" encoding="utf-8"?>
<comments xmlns="http://schemas.openxmlformats.org/spreadsheetml/2006/main">
  <authors>
    <author>bbacon</author>
  </authors>
  <commentList>
    <comment ref="B1" authorId="0">
      <text>
        <r>
          <rPr>
            <sz val="8"/>
            <color indexed="81"/>
            <rFont val="Tahoma"/>
            <family val="2"/>
          </rPr>
          <t xml:space="preserve">Linked to load forecast model
</t>
        </r>
      </text>
    </comment>
    <comment ref="C1" authorId="0">
      <text>
        <r>
          <rPr>
            <sz val="8"/>
            <color indexed="81"/>
            <rFont val="Tahoma"/>
            <family val="2"/>
          </rPr>
          <t>Linked to load forecast model</t>
        </r>
      </text>
    </comment>
  </commentList>
</comments>
</file>

<file path=xl/sharedStrings.xml><?xml version="1.0" encoding="utf-8"?>
<sst xmlns="http://schemas.openxmlformats.org/spreadsheetml/2006/main" count="855" uniqueCount="336">
  <si>
    <t>Purchased</t>
  </si>
  <si>
    <t>Loss Factor</t>
  </si>
  <si>
    <t>Total Billed</t>
  </si>
  <si>
    <t>Heating Degree Days</t>
  </si>
  <si>
    <t>Cooling Degree Days</t>
  </si>
  <si>
    <t>Number of Days in Month</t>
  </si>
  <si>
    <t>Ontario Real GDP Monthly %</t>
  </si>
  <si>
    <t>Purchases</t>
  </si>
  <si>
    <t>Modeled Purchases</t>
  </si>
  <si>
    <t>% Difference</t>
  </si>
  <si>
    <t>Total</t>
  </si>
  <si>
    <t xml:space="preserve">Predicted Purchases </t>
  </si>
  <si>
    <t>Variances (kWh)</t>
  </si>
  <si>
    <t>% Variance</t>
  </si>
  <si>
    <t>Weatther Normal</t>
  </si>
  <si>
    <t>Average</t>
  </si>
  <si>
    <t xml:space="preserve">Geomean </t>
  </si>
  <si>
    <t>Usage Per Customer</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</si>
  <si>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</si>
  <si>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</si>
  <si>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</si>
  <si>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</si>
  <si>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</si>
  <si>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</si>
  <si>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</si>
  <si>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</si>
  <si>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</si>
  <si>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</si>
  <si>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</si>
  <si>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</si>
  <si>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</si>
  <si>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</si>
  <si>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</si>
  <si>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</si>
  <si>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</si>
  <si>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</si>
  <si>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</si>
  <si>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</si>
  <si>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</si>
  <si>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</si>
  <si>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</si>
  <si>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</si>
  <si>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</si>
  <si>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Weatther Normal Projection</t>
  </si>
  <si>
    <t>Weather Corrected Forecast</t>
  </si>
  <si>
    <t>Non Weather Corrected Forecast</t>
  </si>
  <si>
    <t>% Weather Sensitive</t>
  </si>
  <si>
    <t>Allocation of Weather Sensitive Amount</t>
  </si>
  <si>
    <t xml:space="preserve">  Customers</t>
  </si>
  <si>
    <t xml:space="preserve">  kWh</t>
  </si>
  <si>
    <t xml:space="preserve">  kW</t>
  </si>
  <si>
    <t xml:space="preserve">2002 Actual </t>
  </si>
  <si>
    <t xml:space="preserve">2003 Actual </t>
  </si>
  <si>
    <t xml:space="preserve">2004 Actual </t>
  </si>
  <si>
    <t xml:space="preserve">2005 Actual </t>
  </si>
  <si>
    <t xml:space="preserve">2006 Actual </t>
  </si>
  <si>
    <t xml:space="preserve">2007 Actual </t>
  </si>
  <si>
    <t xml:space="preserve">  kW from applicable classes</t>
  </si>
  <si>
    <t xml:space="preserve">  Customer/Connections</t>
  </si>
  <si>
    <t>Actual kWh Purchases</t>
  </si>
  <si>
    <t>Predicted kWh Purchases</t>
  </si>
  <si>
    <t>By Class</t>
  </si>
  <si>
    <t>Billed kWh</t>
  </si>
  <si>
    <t>Used</t>
  </si>
  <si>
    <t>kW/kWh</t>
  </si>
  <si>
    <t>Check totals above sould be zero</t>
  </si>
  <si>
    <t>2008 Actual</t>
  </si>
  <si>
    <t>Number of Customers</t>
  </si>
  <si>
    <t>Residential</t>
  </si>
  <si>
    <t>GS&lt;50</t>
  </si>
  <si>
    <t>GS&gt;50</t>
  </si>
  <si>
    <t>USL</t>
  </si>
  <si>
    <t>Weather Normal</t>
  </si>
  <si>
    <t>Streetlights</t>
  </si>
  <si>
    <t xml:space="preserve">2009 Actual </t>
  </si>
  <si>
    <t xml:space="preserve">  Connections</t>
  </si>
  <si>
    <t>Total of Above</t>
  </si>
  <si>
    <t>Total from Model</t>
  </si>
  <si>
    <t>Check should all be zero</t>
  </si>
  <si>
    <t>Sentinels</t>
  </si>
  <si>
    <t xml:space="preserve">2010 Actual </t>
  </si>
  <si>
    <t>2012 Weather Normal</t>
  </si>
  <si>
    <t>Consumed</t>
  </si>
  <si>
    <t>CDM Activity</t>
  </si>
  <si>
    <t>Total to 2011</t>
  </si>
  <si>
    <t xml:space="preserve">2011 Actual </t>
  </si>
  <si>
    <t>2013 Weather Normal</t>
  </si>
  <si>
    <t>Number of Customers - 3 Main Classes</t>
  </si>
  <si>
    <t>Summary of Degree Day Information</t>
  </si>
  <si>
    <t>Summary of All Heating Degree Days</t>
  </si>
  <si>
    <t>Month</t>
  </si>
  <si>
    <t>January</t>
  </si>
  <si>
    <t>February</t>
  </si>
  <si>
    <t>March</t>
  </si>
  <si>
    <t>April</t>
  </si>
  <si>
    <t>May</t>
  </si>
  <si>
    <t>June</t>
  </si>
  <si>
    <t>July</t>
  </si>
  <si>
    <t>August</t>
  </si>
  <si>
    <t>September</t>
  </si>
  <si>
    <t>October</t>
  </si>
  <si>
    <t>November</t>
  </si>
  <si>
    <t>December</t>
  </si>
  <si>
    <t>Summary of All Cooling Degree Days</t>
  </si>
  <si>
    <t>10 Year Avg</t>
  </si>
  <si>
    <t>20 Year Trend</t>
  </si>
  <si>
    <t xml:space="preserve"> </t>
  </si>
  <si>
    <t>Not Used</t>
  </si>
  <si>
    <t>Total Annual CDM Results</t>
  </si>
  <si>
    <t>Increase over previous year</t>
  </si>
  <si>
    <t>CDM Activity Variable</t>
  </si>
  <si>
    <t>Check</t>
  </si>
  <si>
    <t>Jan</t>
  </si>
  <si>
    <t>Feb</t>
  </si>
  <si>
    <t>Mar</t>
  </si>
  <si>
    <t>Apr</t>
  </si>
  <si>
    <t>Jun</t>
  </si>
  <si>
    <t>Jul</t>
  </si>
  <si>
    <t>Aug</t>
  </si>
  <si>
    <t>Sep</t>
  </si>
  <si>
    <t>Oct</t>
  </si>
  <si>
    <t>Nov</t>
  </si>
  <si>
    <t>Dec</t>
  </si>
  <si>
    <t>4 Year 2011 to 2014 target</t>
  </si>
  <si>
    <t xml:space="preserve">Not used </t>
  </si>
  <si>
    <t>kWh</t>
  </si>
  <si>
    <t>kW</t>
  </si>
  <si>
    <t>2011 %RPP</t>
  </si>
  <si>
    <t xml:space="preserve">Residential </t>
  </si>
  <si>
    <t>General Service &lt; 50 kW</t>
  </si>
  <si>
    <t>General Service  50 to 4,999 kW</t>
  </si>
  <si>
    <t>Street Lighting</t>
  </si>
  <si>
    <t>Sentinel Lighting</t>
  </si>
  <si>
    <t>Unmetered Scattered Load</t>
  </si>
  <si>
    <t>TOTAL</t>
  </si>
  <si>
    <t>Electricity - Commodity RPP</t>
  </si>
  <si>
    <t>2012 Forecasted Metered kWhs</t>
  </si>
  <si>
    <t>2012  Loss Factor</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</si>
  <si>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</si>
  <si>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</si>
  <si>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</si>
  <si>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</si>
  <si>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</si>
  <si>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</si>
  <si>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</si>
  <si>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</si>
  <si>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</si>
  <si>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</si>
  <si>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4708-Charges-WMS</t>
  </si>
  <si>
    <t>4714-Charges-NW</t>
  </si>
  <si>
    <t>4716-Charges-CN</t>
  </si>
  <si>
    <t xml:space="preserve">4730-Rural Rate Assistance </t>
  </si>
  <si>
    <t xml:space="preserve">4750-Low Voltage </t>
  </si>
  <si>
    <t>2013 Load Foreacst</t>
  </si>
  <si>
    <t>2013 Forecasted Metered kWhs</t>
  </si>
  <si>
    <t>2013  Loss Factor</t>
  </si>
  <si>
    <t>Appendix 2-P</t>
  </si>
  <si>
    <t>Loss Factors</t>
  </si>
  <si>
    <t>Historical Years</t>
  </si>
  <si>
    <t>5-Year Average</t>
  </si>
  <si>
    <t>Year 1</t>
  </si>
  <si>
    <t>Year 2</t>
  </si>
  <si>
    <t>Year 3</t>
  </si>
  <si>
    <t>Year 4</t>
  </si>
  <si>
    <t>Year 5</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</si>
  <si>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</si>
  <si>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</si>
  <si>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</si>
  <si>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</si>
  <si>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</si>
  <si>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</si>
  <si>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</si>
  <si>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</si>
  <si>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r>
      <t xml:space="preserve">Net "Wholesale" kWh delivered to distributor  = </t>
    </r>
    <r>
      <rPr>
        <b/>
        <sz val="10"/>
        <rFont val="Arial"/>
        <family val="2"/>
      </rPr>
      <t>A(2) - B</t>
    </r>
  </si>
  <si>
    <t>D</t>
  </si>
  <si>
    <t>"Retail" kWh delivered by distributor</t>
  </si>
  <si>
    <t>E</t>
  </si>
  <si>
    <t>Portion of "Retail" kWh delivered by distributor to its Large Use Customer(s)</t>
  </si>
  <si>
    <r>
      <t xml:space="preserve">Net "Retail" kWh delivered by distributor = </t>
    </r>
    <r>
      <rPr>
        <b/>
        <sz val="10"/>
        <rFont val="Arial"/>
        <family val="2"/>
      </rPr>
      <t>D - E</t>
    </r>
  </si>
  <si>
    <t>G</t>
  </si>
  <si>
    <r>
      <t xml:space="preserve">Loss Factor in Distributor's system = </t>
    </r>
    <r>
      <rPr>
        <b/>
        <sz val="10"/>
        <rFont val="Arial"/>
        <family val="2"/>
      </rPr>
      <t>C / F</t>
    </r>
  </si>
  <si>
    <t>Losses Upstream of Distributor's System</t>
  </si>
  <si>
    <t>H</t>
  </si>
  <si>
    <t>Supply Facilities Loss Factor</t>
  </si>
  <si>
    <t>Total Losses</t>
  </si>
  <si>
    <t>I</t>
  </si>
  <si>
    <r>
      <t xml:space="preserve">Total Loss Factor = </t>
    </r>
    <r>
      <rPr>
        <b/>
        <sz val="10"/>
        <rFont val="Arial"/>
        <family val="2"/>
      </rPr>
      <t>G x H</t>
    </r>
  </si>
  <si>
    <t>Notes</t>
  </si>
  <si>
    <t>If directly connected to the IESO-controlled grid, kWh pertains to the virtual meter on the primary or high voltage side of the transformer at the interface with the transmission grid.  This corresponds to the "With Losses" kWh value provided by the IESO'</t>
  </si>
  <si>
    <t xml:space="preserve">If fully embedded within a host distributor, kWh pertains to the virtual meter on the primary or high voltage side of the transformer, at the interface between the host distributor and the transmission grid.  For example, if the host distributor is Hydro </t>
  </si>
  <si>
    <t>If partially embedded, kWh pertains to the sum of the above.</t>
  </si>
  <si>
    <t>If directly connected to the IESO-controlled grid, kWh pertains to a metering installation on the secondary or low voltage side of the transformer at the interface with the transmission grid.  This corresponds to the "Without Losses" kWh value provided by</t>
  </si>
  <si>
    <t>If fully embedded with the host distributor, kWh pertains to an actual or virtual meter at the interface between the embedded distributor and the host distributor.  For example, if the host distributor is Hydro One Networks Inc., kWh from the Hydro One Ne</t>
  </si>
  <si>
    <t>These loss factors pertain to secondary-metered customers with demand less than 5,000 kW.</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</si>
  <si>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</si>
  <si>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t>
  </si>
  <si>
    <t>Distributors that wish to propose a different SFLF should provide appropriate justification for any such proposal including supporting</t>
  </si>
  <si>
    <t>calculations and any other relevant material.</t>
  </si>
  <si>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</si>
  <si>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</si>
  <si>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r>
      <t xml:space="preserve">kWh corresponding to </t>
    </r>
    <r>
      <rPr>
        <b/>
        <sz val="10"/>
        <rFont val="Arial"/>
        <family val="2"/>
      </rPr>
      <t>D</t>
    </r>
    <r>
      <rPr>
        <sz val="10"/>
        <rFont val="Arial"/>
        <family val="2"/>
      </rPr>
      <t xml:space="preserve"> should equal "total billed energy sales in kWhs for each rate class" in item 1 of Section 2.1.3 of the "Electricity Reporting and Record-keeping Requirements" dated May 1, 2010 or in any successor document.</t>
    </r>
  </si>
  <si>
    <r>
      <t>G</t>
    </r>
    <r>
      <rPr>
        <sz val="10"/>
        <rFont val="Arial"/>
        <family val="2"/>
      </rPr>
      <t xml:space="preserve"> and </t>
    </r>
    <r>
      <rPr>
        <b/>
        <sz val="10"/>
        <rFont val="Arial"/>
        <family val="2"/>
      </rPr>
      <t>I</t>
    </r>
  </si>
  <si>
    <t>Innisfil Hydro Forecast for 2013 Rate Application</t>
  </si>
  <si>
    <t>Lower 95.0%</t>
  </si>
  <si>
    <t>Upper 95.0%</t>
  </si>
  <si>
    <t>Predicted Consumed</t>
  </si>
  <si>
    <t>Station Name</t>
  </si>
  <si>
    <t>TORONTO LESTER B. PEARSON INT'L A</t>
  </si>
  <si>
    <t>2011/2012 Cost of Service Method</t>
  </si>
  <si>
    <t>2013 Proposed Cost of Service Method</t>
  </si>
  <si>
    <t>Hydro One Load Transfers</t>
  </si>
  <si>
    <t>4 Year kWh Target</t>
  </si>
  <si>
    <t>Total excl HO</t>
  </si>
  <si>
    <t>CDM savings in 2012 and 2013 excluding 2011 results</t>
  </si>
  <si>
    <t>Class Specific</t>
  </si>
  <si>
    <t>CDM</t>
  </si>
  <si>
    <t>2013 Rate Class Specific 
(WN - Res and GS&lt;50kW)</t>
  </si>
  <si>
    <t>Power Purchased</t>
  </si>
  <si>
    <t>GS &lt; 50 kW</t>
  </si>
  <si>
    <t>GS &gt; 50 kW</t>
  </si>
  <si>
    <t>based on 4th Quarter 2011 results</t>
  </si>
  <si>
    <t>Ajustment for HO</t>
  </si>
  <si>
    <t>HO</t>
  </si>
  <si>
    <t>Total OPA Annual CDM Results (Gross)</t>
  </si>
  <si>
    <t>Total OPA Annual CDM Results (Net)</t>
  </si>
  <si>
    <t xml:space="preserve"> # Difference</t>
  </si>
  <si>
    <t xml:space="preserve"> % Difference of Net</t>
  </si>
  <si>
    <t>4th Quarter 2011 OPA results</t>
  </si>
  <si>
    <t>ERIP #1 - completed Dec 2010</t>
  </si>
  <si>
    <t>ERIP #2 - completed Dec 2010</t>
  </si>
  <si>
    <t>Net Adjustment for 2012 and 2013</t>
  </si>
  <si>
    <t>Gross Adjustment for 2012 and 2013</t>
  </si>
  <si>
    <t>2013 CDM Savings from 2012 and 2013 programs for LRAM variance account by rate class</t>
  </si>
  <si>
    <t>Gross</t>
  </si>
  <si>
    <t>NTG%</t>
  </si>
  <si>
    <t>NTG Impact</t>
  </si>
  <si>
    <t>Table 3-1: R Square and Adjusted R Square Values for Individual Class Regression Analysis</t>
  </si>
  <si>
    <t>Class</t>
  </si>
  <si>
    <t>Table 3-2: Summary of Load and Customer/Connection Forecast</t>
  </si>
  <si>
    <t>Year</t>
  </si>
  <si>
    <t>Billed (GWh)</t>
  </si>
  <si>
    <t>Growth 
(GWh)</t>
  </si>
  <si>
    <t>Percent 
Change</t>
  </si>
  <si>
    <t>Customer/
Connection
Count</t>
  </si>
  <si>
    <t xml:space="preserve">Growth </t>
  </si>
  <si>
    <t>Percent 
Change
(%)</t>
  </si>
  <si>
    <t>Billed Energy (GWh) and Customer Count / Connections</t>
  </si>
  <si>
    <t>2009 Board Approved</t>
  </si>
  <si>
    <t xml:space="preserve">2008 Actual </t>
  </si>
  <si>
    <t>2009 Actual</t>
  </si>
  <si>
    <t>2012 Bridge</t>
  </si>
  <si>
    <t>2013 Test</t>
  </si>
  <si>
    <t>Table 3-3: Billed Energy and Number of Customers / Connections by Rate Class</t>
  </si>
  <si>
    <t>Billed Energy (GWh)</t>
  </si>
  <si>
    <t>Number of Customers/Connections</t>
  </si>
  <si>
    <t>Table 3-4: Annual Usage per Customer/Connection by Rate Class</t>
  </si>
  <si>
    <t>Energy Usage per Customer/Connection (kWh per customer/connection)</t>
  </si>
  <si>
    <t>Annual Growth Rate in Usage per Customer/Connection</t>
  </si>
  <si>
    <t>2009 Board App. Vs. 2009 Actual</t>
  </si>
  <si>
    <t>Statistic</t>
  </si>
  <si>
    <t>Value</t>
  </si>
  <si>
    <t>F Test</t>
  </si>
  <si>
    <t>T-stats by Coefficient</t>
  </si>
  <si>
    <t xml:space="preserve">Actual </t>
  </si>
  <si>
    <t xml:space="preserve">Predicted </t>
  </si>
  <si>
    <t>Purchased Energy (GWh)</t>
  </si>
  <si>
    <t>2013 Weather Normal - 20 year trend</t>
  </si>
  <si>
    <t>Growth Rate in Customers/Connections</t>
  </si>
  <si>
    <t>Geometric Mean</t>
  </si>
  <si>
    <t>Forecast Number of Customers/Connections</t>
  </si>
  <si>
    <t xml:space="preserve">Annual kWh Usage Per Customer/Connection </t>
  </si>
  <si>
    <t>Growth Rate in Customer/Connection</t>
  </si>
  <si>
    <t>Forecast Annual kWh Usage per Customers/Connection</t>
  </si>
  <si>
    <t>NON-normalized Weather Billed Energy Forecast (GWh)</t>
  </si>
  <si>
    <t>2012 (Not Normalized)</t>
  </si>
  <si>
    <t>2013 (Not Normalized)</t>
  </si>
  <si>
    <t>Weather Sensitivity</t>
  </si>
  <si>
    <t>OPA 2006-2010 Final CDM Results (Gross)</t>
  </si>
  <si>
    <t>OPA 2006-2010 Final CDM Results (Net)</t>
  </si>
  <si>
    <t>4 Year 2011 to 2014 kWh target</t>
  </si>
  <si>
    <t>2011 Programs</t>
  </si>
  <si>
    <t>2012 Programs</t>
  </si>
  <si>
    <t>2013 Programs</t>
  </si>
  <si>
    <t>2014 Programs</t>
  </si>
  <si>
    <t>kW where applicable</t>
  </si>
  <si>
    <t>Non-normalized Weather Billed Energy Forecast (GWh)</t>
  </si>
  <si>
    <t>2012 Non-Normalized Bridge</t>
  </si>
  <si>
    <t>2013 Non-Normalized Test</t>
  </si>
  <si>
    <t>Weather Adjustment (GWh)</t>
  </si>
  <si>
    <t>CDM Adjustment (GWh)</t>
  </si>
  <si>
    <t>Weather Normalized Billed Energy Forecast (GWh)</t>
  </si>
  <si>
    <t>2012 Normalized Bridge</t>
  </si>
  <si>
    <t>2013 Normalized Test</t>
  </si>
  <si>
    <t>Billed Annual kW</t>
  </si>
  <si>
    <t>Ratio of kW to kWh</t>
  </si>
  <si>
    <t>Predicted Billed kW</t>
  </si>
  <si>
    <t xml:space="preserve">2012 Weather Normalized Bridge </t>
  </si>
  <si>
    <t>2013 Weather Normalized Test</t>
  </si>
  <si>
    <t>ACTUAL AND PREDICTED KWH PURCHASES</t>
  </si>
  <si>
    <t>% Difference of actual and predicted purchases</t>
  </si>
  <si>
    <t>BILLING DETERMINANTS BY CLASS</t>
  </si>
  <si>
    <t>Table 3-5: Statistcial Results</t>
  </si>
  <si>
    <t>Actual</t>
  </si>
  <si>
    <t>Predicted</t>
  </si>
  <si>
    <t xml:space="preserve">Table 3-6: Total System Purchases </t>
  </si>
  <si>
    <t>Table 3-7: Historical Customer/Connection Data</t>
  </si>
  <si>
    <t>Table 3-8: Growth Rate in Customer/Connections</t>
  </si>
  <si>
    <t>Table 3-9: Customer/Connection Forecast</t>
  </si>
  <si>
    <t>Table 3-10: Historical Annual Usage per Customer</t>
  </si>
  <si>
    <t>Table 3-11: Growth Rate in Usage Per Customer/Connection</t>
  </si>
  <si>
    <t>Table 3-12: Forecast Annual kWh Usage per Customer/Connection</t>
  </si>
  <si>
    <t>Table 3-13: Non-normalized Weather Billed Energy Forecast</t>
  </si>
  <si>
    <t>Table 3-14: Weather Sensitivity by Rate Class</t>
  </si>
  <si>
    <t>Table 3-15: Average Net to Gross Percentage</t>
  </si>
  <si>
    <t>Table 3-16: Schedule to Achieve 4 Year kWh CDM Target</t>
  </si>
  <si>
    <t>Table 3-17: 2013 Expected Savings for LRAM Variance Account</t>
  </si>
  <si>
    <t>Hydro One Load Tranfer Adjustment (GWh)</t>
  </si>
  <si>
    <t xml:space="preserve">Table 3-18: Alignment of Non-normal to Weather Normal Forecast </t>
  </si>
  <si>
    <t>Table 3-19: Historical Annual kW per Applicable Rate Class</t>
  </si>
  <si>
    <t>Average 2002 to 2011</t>
  </si>
  <si>
    <t>Table 3-20: Historical kW/KWh Ratio per Applicable Rate Class</t>
  </si>
  <si>
    <t>Table 3-21: kW Forecast by Applicable Rate Class</t>
  </si>
  <si>
    <t>Table 3-22: Summary of Forecast</t>
  </si>
  <si>
    <t>2009 
Actual</t>
  </si>
  <si>
    <t>2010 
Actual</t>
  </si>
  <si>
    <t>2011 
Actual</t>
  </si>
  <si>
    <t>Average Cost of power</t>
  </si>
  <si>
    <t>Total commodity by rate class</t>
  </si>
  <si>
    <t>LV</t>
  </si>
  <si>
    <t>Metric(w/o losses)</t>
  </si>
  <si>
    <t>3 Year Average</t>
  </si>
  <si>
    <t>Prior Loss Factor</t>
  </si>
  <si>
    <t>Increase(Decrease)</t>
  </si>
  <si>
    <t>SME</t>
  </si>
  <si>
    <t>Total customers for appendix 2-L</t>
  </si>
  <si>
    <t>Summary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</si>
</sst>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3" formatCode="_-* #,##0.00_-;\-* #,##0.00_-;_-* &quot;-&quot;??_-;_-@_-"/>
    <numFmt numFmtId="164" formatCode="&quot;$&quot;#,##0_);\(&quot;$&quot;#,##0\)"/>
    <numFmt numFmtId="168" formatCode="_(* #,##0.00_);_(* \(#,##0.00\);_(* &quot;-&quot;??_);_(@_)"/>
    <numFmt numFmtId="169" formatCode="0.0%"/>
    <numFmt numFmtId="170" formatCode="#,##0;\(#,##0\)"/>
    <numFmt numFmtId="171" formatCode="0.0000"/>
    <numFmt numFmtId="172" formatCode="#,##0.0000"/>
    <numFmt numFmtId="173" formatCode="0.0000%"/>
    <numFmt numFmtId="175" formatCode="_(* #,##0_);_(* \(#,##0\);_(* &quot;-&quot;??_);_(@_)"/>
    <numFmt numFmtId="176" formatCode="_-* #,##0_-;\-* #,##0_-;_-* &quot;-&quot;??_-;_-@_-"/>
    <numFmt numFmtId="177" formatCode="#,##0.0000_);\(#,##0.0000\)"/>
    <numFmt numFmtId="178" formatCode="#,##0.00000_);\(#,##0.00000\)"/>
    <numFmt numFmtId="179" formatCode="&quot;$&quot;#,##0.00000_);\(&quot;$&quot;#,##0.00000\)"/>
    <numFmt numFmtId="180" formatCode="&quot;$&quot;#,##0.0000_);\(&quot;$&quot;#,##0.0000\)"/>
    <numFmt numFmtId="182" formatCode="0.0"/>
    <numFmt numFmtId="183" formatCode="#,##0;\(#,###\)"/>
    <numFmt numFmtId="184" formatCode="_(* #,##0.000_);_(* \(#,##0.000\);_(* &quot;-&quot;??_);_(@_)"/>
    <numFmt numFmtId="190" formatCode="#,##0.0"/>
    <numFmt numFmtId="192" formatCode="#,##0.0;\(#,##0.0\)"/>
    <numFmt numFmtId="194" formatCode="0.0%;\(0.0%\)"/>
    <numFmt numFmtId="196" formatCode="0.0;\(0.0\)"/>
    <numFmt numFmtId="197" formatCode="0.0000%;\(0.0%\)"/>
    <numFmt numFmtId="202" formatCode="0;\(0\)"/>
    <numFmt numFmtId="203" formatCode="0.00000000"/>
    <numFmt numFmtId="205" formatCode="_(* #,##0.000000000_);_(* \(#,##0.000000000\);_(* &quot;-&quot;??_);_(@_)"/>
    <numFmt numFmtId="206" formatCode="0.0000000"/>
  </numFmts>
  <fonts count="27" x14ac:knownFonts="1">
    <font>
      <sz val="10"/>
      <name val="Arial"/>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b/>
      <sz val="10"/>
      <color indexed="10"/>
      <name val="Arial"/>
      <family val="2"/>
    </font>
    <font>
      <sz val="8"/>
      <color indexed="81"/>
      <name val="Tahoma"/>
      <family val="2"/>
    </font>
    <font>
      <sz val="8"/>
      <name val="Arial"/>
      <family val="2"/>
    </font>
    <font>
      <i/>
      <sz val="8"/>
      <name val="Arial"/>
      <family val="2"/>
    </font>
    <font>
      <b/>
      <u/>
      <sz val="8"/>
      <name val="Arial"/>
      <family val="2"/>
    </font>
    <font>
      <sz val="8"/>
      <name val="Arial"/>
      <family val="2"/>
    </font>
    <font>
      <b/>
      <sz val="8"/>
      <name val="Arial"/>
      <family val="2"/>
    </font>
    <font>
      <b/>
      <i/>
      <u/>
      <sz val="10"/>
      <name val="Arial"/>
      <family val="2"/>
    </font>
    <font>
      <b/>
      <sz val="14"/>
      <name val="Arial"/>
      <family val="2"/>
    </font>
    <font>
      <b/>
      <u/>
      <sz val="10"/>
      <name val="Arial"/>
      <family val="2"/>
    </font>
    <font>
      <b/>
      <i/>
      <sz val="10"/>
      <name val="Arial"/>
      <family val="2"/>
    </font>
    <font>
      <i/>
      <sz val="10"/>
      <name val="Arial"/>
      <family val="2"/>
    </font>
    <font>
      <sz val="10"/>
      <name val="Times New Roman"/>
      <family val="1"/>
    </font>
    <font>
      <sz val="12"/>
      <name val="Arial"/>
      <family val="2"/>
    </font>
    <font>
      <b/>
      <sz val="11"/>
      <name val="Arial"/>
      <family val="2"/>
    </font>
    <font>
      <sz val="11"/>
      <name val="Arial"/>
      <family val="2"/>
    </font>
    <font>
      <b/>
      <sz val="11"/>
      <name val="Arial"/>
      <family val="2"/>
    </font>
    <font>
      <sz val="11"/>
      <color indexed="58"/>
      <name val="Arial"/>
      <family val="2"/>
    </font>
    <font>
      <sz val="11"/>
      <name val="Arial"/>
      <family val="2"/>
    </font>
    <font>
      <sz val="10"/>
      <color indexed="8"/>
      <name val="Arial"/>
      <family val="2"/>
    </font>
  </fonts>
  <fills count="9">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14">
    <xf numFmtId="0" fontId="0" fillId="0" borderId="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 fillId="0" borderId="0" applyFont="0" applyFill="0" applyBorder="0" applyAlignment="0" applyProtection="0"/>
    <xf numFmtId="168" fontId="2" fillId="0" borderId="0" applyFont="0" applyFill="0" applyBorder="0" applyAlignment="0" applyProtection="0"/>
    <xf numFmtId="3" fontId="1" fillId="0" borderId="0" applyFont="0" applyFill="0" applyBorder="0" applyAlignment="0" applyProtection="0"/>
    <xf numFmtId="164" fontId="1" fillId="0" borderId="0" applyFont="0" applyFill="0" applyBorder="0" applyAlignment="0" applyProtection="0"/>
    <xf numFmtId="14" fontId="1" fillId="0" borderId="0" applyFont="0" applyFill="0" applyBorder="0" applyAlignment="0" applyProtection="0"/>
    <xf numFmtId="2" fontId="1" fillId="0" borderId="0" applyFont="0" applyFill="0" applyBorder="0" applyAlignment="0" applyProtection="0"/>
    <xf numFmtId="0" fontId="19" fillId="0" borderId="0"/>
    <xf numFmtId="0" fontId="2" fillId="0" borderId="0"/>
    <xf numFmtId="0" fontId="20" fillId="0" borderId="0"/>
    <xf numFmtId="9" fontId="1" fillId="0" borderId="0" applyFont="0" applyFill="0" applyBorder="0" applyAlignment="0" applyProtection="0"/>
  </cellStyleXfs>
  <cellXfs count="516">
    <xf numFmtId="0" fontId="0" fillId="0" borderId="0" xfId="0"/>
    <xf numFmtId="0" fontId="0" fillId="0" borderId="0" xfId="0" applyAlignment="1">
      <alignment horizontal="center"/>
    </xf>
    <xf numFmtId="0" fontId="3" fillId="0" borderId="0" xfId="0" applyFont="1" applyAlignment="1">
      <alignment horizontal="center"/>
    </xf>
    <xf numFmtId="17" fontId="0" fillId="0" borderId="0" xfId="0" applyNumberFormat="1"/>
    <xf numFmtId="0" fontId="0" fillId="0" borderId="0" xfId="0" applyAlignment="1">
      <alignment horizontal="right"/>
    </xf>
    <xf numFmtId="169" fontId="0" fillId="0" borderId="0" xfId="0" applyNumberFormat="1" applyAlignment="1">
      <alignment horizontal="center"/>
    </xf>
    <xf numFmtId="3" fontId="0" fillId="0" borderId="0" xfId="0" applyNumberFormat="1" applyAlignment="1">
      <alignment horizontal="center"/>
    </xf>
    <xf numFmtId="3" fontId="3" fillId="0" borderId="0" xfId="0" applyNumberFormat="1" applyFont="1" applyAlignment="1">
      <alignment horizontal="center"/>
    </xf>
    <xf numFmtId="3" fontId="2" fillId="0" borderId="0" xfId="0" applyNumberFormat="1" applyFont="1" applyAlignment="1">
      <alignment horizontal="center" wrapText="1"/>
    </xf>
    <xf numFmtId="3" fontId="3" fillId="0" borderId="0" xfId="0" applyNumberFormat="1" applyFont="1" applyAlignment="1">
      <alignment horizontal="center" wrapText="1"/>
    </xf>
    <xf numFmtId="37" fontId="2" fillId="0" borderId="0" xfId="0" applyNumberFormat="1" applyFont="1" applyAlignment="1">
      <alignment horizontal="center"/>
    </xf>
    <xf numFmtId="3" fontId="2" fillId="0" borderId="0" xfId="0" applyNumberFormat="1" applyFont="1" applyAlignment="1">
      <alignment horizontal="center"/>
    </xf>
    <xf numFmtId="0" fontId="3" fillId="0" borderId="0" xfId="0" applyFont="1" applyAlignment="1">
      <alignment horizontal="center" wrapText="1"/>
    </xf>
    <xf numFmtId="3" fontId="1" fillId="0" borderId="0" xfId="1" applyNumberFormat="1" applyAlignment="1">
      <alignment horizontal="center"/>
    </xf>
    <xf numFmtId="17" fontId="2" fillId="0" borderId="0" xfId="0" applyNumberFormat="1" applyFont="1"/>
    <xf numFmtId="169" fontId="2" fillId="0" borderId="0" xfId="0" applyNumberFormat="1" applyFont="1" applyAlignment="1">
      <alignment horizontal="center"/>
    </xf>
    <xf numFmtId="0" fontId="2" fillId="0" borderId="0" xfId="0" applyFont="1"/>
    <xf numFmtId="10" fontId="0" fillId="0" borderId="0" xfId="0" applyNumberFormat="1" applyAlignment="1">
      <alignment horizontal="center"/>
    </xf>
    <xf numFmtId="1" fontId="0" fillId="0" borderId="0" xfId="0" applyNumberFormat="1"/>
    <xf numFmtId="37" fontId="2" fillId="0" borderId="0" xfId="0" applyNumberFormat="1" applyFont="1" applyFill="1" applyAlignment="1">
      <alignment horizontal="center"/>
    </xf>
    <xf numFmtId="0" fontId="0" fillId="2" borderId="0" xfId="0" applyFill="1" applyAlignment="1">
      <alignment horizontal="center"/>
    </xf>
    <xf numFmtId="0" fontId="4" fillId="0" borderId="0" xfId="0" applyFont="1"/>
    <xf numFmtId="0" fontId="4" fillId="0" borderId="0" xfId="0" applyFont="1" applyAlignment="1"/>
    <xf numFmtId="3" fontId="0" fillId="2" borderId="0" xfId="0" applyNumberFormat="1" applyFill="1" applyAlignment="1">
      <alignment horizontal="center"/>
    </xf>
    <xf numFmtId="17" fontId="4" fillId="0" borderId="0" xfId="0" applyNumberFormat="1" applyFont="1"/>
    <xf numFmtId="0" fontId="0" fillId="0" borderId="0" xfId="0" applyFill="1" applyAlignment="1">
      <alignment horizontal="center"/>
    </xf>
    <xf numFmtId="171" fontId="0" fillId="0" borderId="0" xfId="0" applyNumberFormat="1" applyAlignment="1">
      <alignment horizontal="center"/>
    </xf>
    <xf numFmtId="172" fontId="0" fillId="0" borderId="0" xfId="0" applyNumberFormat="1" applyAlignment="1">
      <alignment horizontal="center"/>
    </xf>
    <xf numFmtId="9" fontId="0" fillId="0" borderId="0" xfId="0" applyNumberFormat="1" applyAlignment="1">
      <alignment horizontal="center"/>
    </xf>
    <xf numFmtId="3" fontId="0" fillId="0" borderId="0" xfId="0" applyNumberFormat="1" applyFill="1" applyAlignment="1">
      <alignment horizontal="center"/>
    </xf>
    <xf numFmtId="173" fontId="0" fillId="0" borderId="0" xfId="0" applyNumberFormat="1" applyAlignment="1">
      <alignment horizontal="center"/>
    </xf>
    <xf numFmtId="3" fontId="0" fillId="0" borderId="0" xfId="0" applyNumberFormat="1" applyAlignment="1">
      <alignment horizontal="center" wrapText="1"/>
    </xf>
    <xf numFmtId="0" fontId="0" fillId="0" borderId="1" xfId="0" applyBorder="1" applyAlignment="1">
      <alignment horizontal="right"/>
    </xf>
    <xf numFmtId="3" fontId="2" fillId="2" borderId="1" xfId="0" applyNumberFormat="1" applyFont="1" applyFill="1" applyBorder="1" applyAlignment="1">
      <alignment horizontal="center"/>
    </xf>
    <xf numFmtId="169" fontId="2" fillId="0" borderId="0" xfId="0" applyNumberFormat="1" applyFont="1" applyFill="1" applyAlignment="1">
      <alignment horizontal="center"/>
    </xf>
    <xf numFmtId="17" fontId="0" fillId="0" borderId="0" xfId="0" applyNumberFormat="1" applyFill="1"/>
    <xf numFmtId="0" fontId="0" fillId="0" borderId="0" xfId="0" applyFill="1"/>
    <xf numFmtId="4" fontId="2" fillId="0" borderId="0" xfId="0" applyNumberFormat="1" applyFont="1" applyFill="1" applyAlignment="1">
      <alignment horizontal="center"/>
    </xf>
    <xf numFmtId="4" fontId="0" fillId="0" borderId="0" xfId="0" applyNumberFormat="1" applyAlignment="1">
      <alignment horizontal="center"/>
    </xf>
    <xf numFmtId="4" fontId="0" fillId="0" borderId="0" xfId="0" applyNumberFormat="1" applyFill="1" applyAlignment="1">
      <alignment horizontal="center"/>
    </xf>
    <xf numFmtId="0" fontId="0" fillId="0" borderId="0" xfId="0" applyFill="1" applyBorder="1" applyAlignment="1"/>
    <xf numFmtId="170" fontId="0" fillId="0" borderId="0" xfId="0" applyNumberFormat="1" applyAlignment="1">
      <alignment horizontal="center"/>
    </xf>
    <xf numFmtId="0" fontId="0" fillId="0" borderId="0" xfId="0" applyNumberFormat="1" applyBorder="1"/>
    <xf numFmtId="3" fontId="0" fillId="3" borderId="0" xfId="0" applyNumberFormat="1" applyFill="1" applyAlignment="1">
      <alignment horizontal="center"/>
    </xf>
    <xf numFmtId="3" fontId="2" fillId="3" borderId="0" xfId="0" applyNumberFormat="1" applyFont="1" applyFill="1" applyAlignment="1">
      <alignment horizontal="center"/>
    </xf>
    <xf numFmtId="0" fontId="0" fillId="0" borderId="0" xfId="0" applyAlignment="1">
      <alignment horizontal="left"/>
    </xf>
    <xf numFmtId="0" fontId="0" fillId="0" borderId="0" xfId="0" applyAlignment="1">
      <alignment horizontal="center" wrapText="1"/>
    </xf>
    <xf numFmtId="3" fontId="4" fillId="0" borderId="0" xfId="0" applyNumberFormat="1" applyFont="1"/>
    <xf numFmtId="0" fontId="5" fillId="0" borderId="0" xfId="0" applyFont="1"/>
    <xf numFmtId="169" fontId="0" fillId="0" borderId="0" xfId="0" applyNumberFormat="1" applyAlignment="1">
      <alignment horizontal="center" wrapText="1"/>
    </xf>
    <xf numFmtId="0" fontId="4" fillId="0" borderId="0" xfId="0" applyFont="1" applyAlignment="1">
      <alignment horizontal="center" wrapText="1"/>
    </xf>
    <xf numFmtId="0" fontId="0" fillId="3" borderId="0" xfId="0" applyFill="1" applyAlignment="1">
      <alignment horizontal="center"/>
    </xf>
    <xf numFmtId="3" fontId="2" fillId="3" borderId="1" xfId="0" applyNumberFormat="1" applyFont="1" applyFill="1" applyBorder="1" applyAlignment="1">
      <alignment horizontal="center"/>
    </xf>
    <xf numFmtId="3" fontId="3" fillId="3" borderId="0" xfId="0" applyNumberFormat="1" applyFont="1" applyFill="1" applyAlignment="1">
      <alignment horizontal="center"/>
    </xf>
    <xf numFmtId="3" fontId="2" fillId="3" borderId="0" xfId="0" applyNumberFormat="1" applyFont="1" applyFill="1" applyAlignment="1">
      <alignment horizontal="center" wrapText="1"/>
    </xf>
    <xf numFmtId="3" fontId="3" fillId="3" borderId="0" xfId="0" applyNumberFormat="1" applyFont="1" applyFill="1" applyAlignment="1">
      <alignment horizontal="center" wrapText="1"/>
    </xf>
    <xf numFmtId="37" fontId="0" fillId="0" borderId="0" xfId="0" applyNumberFormat="1" applyAlignment="1">
      <alignment horizontal="center"/>
    </xf>
    <xf numFmtId="3" fontId="7" fillId="0" borderId="0" xfId="0" applyNumberFormat="1" applyFont="1" applyAlignment="1">
      <alignment horizontal="center"/>
    </xf>
    <xf numFmtId="0" fontId="0" fillId="0" borderId="0" xfId="0" applyFill="1" applyAlignment="1">
      <alignment horizontal="left"/>
    </xf>
    <xf numFmtId="0" fontId="1" fillId="0" borderId="0" xfId="0" applyFont="1" applyFill="1"/>
    <xf numFmtId="171" fontId="0" fillId="0" borderId="0" xfId="0" applyNumberFormat="1" applyFill="1" applyAlignment="1">
      <alignment horizontal="center"/>
    </xf>
    <xf numFmtId="0" fontId="0" fillId="0" borderId="2" xfId="0" applyFill="1" applyBorder="1" applyAlignment="1"/>
    <xf numFmtId="0" fontId="6" fillId="0" borderId="3" xfId="0" applyFont="1" applyFill="1" applyBorder="1" applyAlignment="1">
      <alignment horizontal="center"/>
    </xf>
    <xf numFmtId="0" fontId="6" fillId="0" borderId="3" xfId="0" applyFont="1" applyFill="1" applyBorder="1" applyAlignment="1">
      <alignment horizontal="centerContinuous"/>
    </xf>
    <xf numFmtId="170" fontId="0" fillId="2" borderId="0" xfId="0" applyNumberFormat="1" applyFill="1" applyAlignment="1">
      <alignment horizontal="center"/>
    </xf>
    <xf numFmtId="10" fontId="0" fillId="3" borderId="0" xfId="0" applyNumberFormat="1" applyFill="1" applyAlignment="1">
      <alignment horizontal="center"/>
    </xf>
    <xf numFmtId="0" fontId="4" fillId="0" borderId="0" xfId="0" applyFont="1" applyFill="1" applyAlignment="1">
      <alignment horizontal="center" wrapText="1"/>
    </xf>
    <xf numFmtId="0" fontId="0" fillId="0" borderId="0" xfId="0" applyFill="1" applyAlignment="1">
      <alignment horizontal="center" wrapText="1"/>
    </xf>
    <xf numFmtId="3" fontId="0" fillId="0" borderId="0" xfId="0" applyNumberFormat="1" applyFill="1" applyAlignment="1">
      <alignment horizontal="center" wrapText="1"/>
    </xf>
    <xf numFmtId="10" fontId="0" fillId="0" borderId="0" xfId="13" applyNumberFormat="1" applyFont="1" applyFill="1" applyAlignment="1">
      <alignment horizontal="center" wrapText="1"/>
    </xf>
    <xf numFmtId="3" fontId="0" fillId="3" borderId="1" xfId="0" applyNumberFormat="1" applyFill="1" applyBorder="1" applyAlignment="1">
      <alignment horizontal="center"/>
    </xf>
    <xf numFmtId="168" fontId="0" fillId="0" borderId="0" xfId="1" applyFont="1" applyFill="1" applyBorder="1" applyAlignment="1"/>
    <xf numFmtId="168" fontId="0" fillId="0" borderId="2" xfId="1" applyFont="1" applyFill="1" applyBorder="1" applyAlignment="1"/>
    <xf numFmtId="175" fontId="0" fillId="0" borderId="0" xfId="1" applyNumberFormat="1" applyFont="1" applyFill="1" applyBorder="1" applyAlignment="1"/>
    <xf numFmtId="175" fontId="0" fillId="0" borderId="2" xfId="1" applyNumberFormat="1" applyFont="1" applyFill="1" applyBorder="1" applyAlignment="1"/>
    <xf numFmtId="9" fontId="0" fillId="0" borderId="0" xfId="13" applyFont="1" applyFill="1" applyBorder="1" applyAlignment="1"/>
    <xf numFmtId="3" fontId="0" fillId="0" borderId="0" xfId="1" applyNumberFormat="1" applyFont="1" applyAlignment="1">
      <alignment horizontal="center"/>
    </xf>
    <xf numFmtId="168" fontId="1" fillId="0" borderId="0" xfId="5" applyFont="1"/>
    <xf numFmtId="0" fontId="10" fillId="0" borderId="0" xfId="0" applyFont="1"/>
    <xf numFmtId="0" fontId="11" fillId="0" borderId="0" xfId="0" applyFont="1"/>
    <xf numFmtId="168" fontId="12" fillId="0" borderId="0" xfId="5" applyFont="1"/>
    <xf numFmtId="0" fontId="12" fillId="0" borderId="0" xfId="0" applyFont="1"/>
    <xf numFmtId="168" fontId="13" fillId="0" borderId="0" xfId="5" applyFont="1" applyAlignment="1">
      <alignment horizontal="right"/>
    </xf>
    <xf numFmtId="0" fontId="13" fillId="0" borderId="4" xfId="0" applyFont="1" applyBorder="1" applyAlignment="1">
      <alignment horizontal="right"/>
    </xf>
    <xf numFmtId="0" fontId="12" fillId="0" borderId="0" xfId="0" applyFont="1" applyAlignment="1">
      <alignment horizontal="right"/>
    </xf>
    <xf numFmtId="168" fontId="12" fillId="0" borderId="0" xfId="0" applyNumberFormat="1" applyFont="1" applyAlignment="1">
      <alignment horizontal="right"/>
    </xf>
    <xf numFmtId="2" fontId="9" fillId="2" borderId="0" xfId="0" applyNumberFormat="1" applyFont="1" applyFill="1"/>
    <xf numFmtId="4" fontId="9" fillId="2" borderId="0" xfId="0" applyNumberFormat="1" applyFont="1" applyFill="1"/>
    <xf numFmtId="0" fontId="13" fillId="2" borderId="0" xfId="0" applyFont="1" applyFill="1"/>
    <xf numFmtId="0" fontId="0" fillId="2" borderId="0" xfId="0" applyFill="1"/>
    <xf numFmtId="2" fontId="0" fillId="0" borderId="0" xfId="0" applyNumberFormat="1"/>
    <xf numFmtId="3" fontId="3" fillId="0" borderId="0" xfId="0" applyNumberFormat="1" applyFont="1" applyFill="1" applyAlignment="1">
      <alignment horizontal="center"/>
    </xf>
    <xf numFmtId="0" fontId="3" fillId="0" borderId="0" xfId="0" applyFont="1" applyFill="1" applyAlignment="1">
      <alignment horizontal="center" wrapText="1"/>
    </xf>
    <xf numFmtId="37" fontId="0" fillId="0" borderId="0" xfId="0" applyNumberFormat="1" applyFill="1" applyAlignment="1">
      <alignment horizontal="center"/>
    </xf>
    <xf numFmtId="1" fontId="2" fillId="0" borderId="0" xfId="0" applyNumberFormat="1" applyFont="1" applyFill="1" applyAlignment="1">
      <alignment horizontal="center"/>
    </xf>
    <xf numFmtId="4" fontId="3" fillId="0" borderId="0" xfId="0" applyNumberFormat="1" applyFont="1" applyFill="1" applyAlignment="1">
      <alignment horizontal="center" wrapText="1"/>
    </xf>
    <xf numFmtId="0" fontId="0" fillId="0" borderId="0" xfId="0" applyAlignment="1">
      <alignment wrapText="1"/>
    </xf>
    <xf numFmtId="3" fontId="0" fillId="0" borderId="0" xfId="0" applyNumberFormat="1" applyAlignment="1">
      <alignment wrapText="1"/>
    </xf>
    <xf numFmtId="176" fontId="1" fillId="0" borderId="0" xfId="4" applyNumberFormat="1"/>
    <xf numFmtId="176" fontId="0" fillId="0" borderId="0" xfId="0" applyNumberFormat="1"/>
    <xf numFmtId="0" fontId="0" fillId="0" borderId="1" xfId="0" applyBorder="1" applyAlignment="1">
      <alignment horizontal="center"/>
    </xf>
    <xf numFmtId="37" fontId="2" fillId="2" borderId="0" xfId="0" applyNumberFormat="1" applyFont="1" applyFill="1" applyAlignment="1">
      <alignment horizontal="center"/>
    </xf>
    <xf numFmtId="9" fontId="0" fillId="0" borderId="2" xfId="13" applyFont="1" applyFill="1" applyBorder="1" applyAlignment="1"/>
    <xf numFmtId="0" fontId="4" fillId="0" borderId="0" xfId="0" applyFont="1" applyAlignment="1">
      <alignment horizontal="center"/>
    </xf>
    <xf numFmtId="3" fontId="0" fillId="0" borderId="5" xfId="0" applyNumberFormat="1" applyBorder="1"/>
    <xf numFmtId="3" fontId="0" fillId="0" borderId="6" xfId="0" applyNumberFormat="1" applyBorder="1"/>
    <xf numFmtId="37" fontId="0" fillId="0" borderId="7" xfId="0" applyNumberFormat="1" applyBorder="1"/>
    <xf numFmtId="0" fontId="4" fillId="0" borderId="0" xfId="0" applyFont="1" applyBorder="1" applyAlignment="1">
      <alignment horizontal="left" indent="1"/>
    </xf>
    <xf numFmtId="37" fontId="4" fillId="0" borderId="0" xfId="0" applyNumberFormat="1" applyFont="1" applyBorder="1"/>
    <xf numFmtId="0" fontId="4" fillId="0" borderId="0" xfId="0" applyFont="1" applyBorder="1"/>
    <xf numFmtId="178" fontId="0" fillId="0" borderId="0" xfId="0" applyNumberFormat="1" applyBorder="1"/>
    <xf numFmtId="164" fontId="4" fillId="0" borderId="0" xfId="0" applyNumberFormat="1" applyFont="1" applyFill="1" applyBorder="1"/>
    <xf numFmtId="164" fontId="0" fillId="0" borderId="5" xfId="0" applyNumberFormat="1" applyBorder="1"/>
    <xf numFmtId="0" fontId="0" fillId="0" borderId="8" xfId="0" applyBorder="1"/>
    <xf numFmtId="0" fontId="0" fillId="0" borderId="6" xfId="0" applyBorder="1"/>
    <xf numFmtId="164" fontId="0" fillId="0" borderId="5" xfId="0" applyNumberFormat="1" applyFill="1" applyBorder="1"/>
    <xf numFmtId="0" fontId="4" fillId="4" borderId="1" xfId="0" applyFont="1" applyFill="1" applyBorder="1"/>
    <xf numFmtId="0" fontId="0" fillId="0" borderId="9" xfId="0" applyFill="1" applyBorder="1"/>
    <xf numFmtId="0" fontId="4" fillId="0" borderId="9" xfId="0" applyFont="1" applyBorder="1" applyAlignment="1">
      <alignment vertical="top"/>
    </xf>
    <xf numFmtId="0" fontId="0" fillId="0" borderId="1" xfId="0" applyBorder="1" applyAlignment="1">
      <alignment vertical="top" wrapText="1"/>
    </xf>
    <xf numFmtId="0" fontId="0" fillId="4" borderId="1" xfId="0" applyFill="1" applyBorder="1" applyAlignment="1">
      <alignment vertical="top"/>
    </xf>
    <xf numFmtId="0" fontId="0" fillId="0" borderId="10" xfId="0" applyBorder="1" applyAlignment="1">
      <alignment vertical="top"/>
    </xf>
    <xf numFmtId="0" fontId="0" fillId="0" borderId="9" xfId="0" applyFill="1" applyBorder="1" applyAlignment="1">
      <alignment vertical="top"/>
    </xf>
    <xf numFmtId="0" fontId="0" fillId="0" borderId="11"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17" fillId="0" borderId="0" xfId="0" applyFont="1"/>
    <xf numFmtId="0" fontId="2" fillId="0" borderId="0" xfId="0" applyFont="1" applyAlignment="1">
      <alignment horizontal="center"/>
    </xf>
    <xf numFmtId="37" fontId="0" fillId="0" borderId="1" xfId="0" applyNumberFormat="1" applyFill="1" applyBorder="1"/>
    <xf numFmtId="177" fontId="0" fillId="0" borderId="1" xfId="0" applyNumberFormat="1" applyFill="1" applyBorder="1"/>
    <xf numFmtId="37" fontId="0" fillId="0" borderId="1" xfId="0" applyNumberFormat="1" applyBorder="1"/>
    <xf numFmtId="177" fontId="0" fillId="0" borderId="1" xfId="0" applyNumberFormat="1" applyBorder="1" applyAlignment="1">
      <alignment horizontal="center"/>
    </xf>
    <xf numFmtId="3" fontId="0" fillId="0" borderId="1" xfId="0" applyNumberFormat="1" applyBorder="1"/>
    <xf numFmtId="175" fontId="1" fillId="0" borderId="1" xfId="1" applyNumberFormat="1" applyFill="1" applyBorder="1"/>
    <xf numFmtId="170" fontId="0" fillId="0" borderId="0" xfId="0" applyNumberFormat="1"/>
    <xf numFmtId="3" fontId="0" fillId="0" borderId="1" xfId="0" applyNumberFormat="1" applyBorder="1" applyAlignment="1">
      <alignment horizontal="center"/>
    </xf>
    <xf numFmtId="182" fontId="0" fillId="0" borderId="0" xfId="0" applyNumberFormat="1" applyFill="1" applyAlignment="1">
      <alignment horizontal="center"/>
    </xf>
    <xf numFmtId="182" fontId="3" fillId="0" borderId="0" xfId="0" applyNumberFormat="1" applyFont="1" applyFill="1" applyAlignment="1">
      <alignment horizontal="center" wrapText="1"/>
    </xf>
    <xf numFmtId="182" fontId="2" fillId="2" borderId="0" xfId="0" applyNumberFormat="1" applyFont="1" applyFill="1" applyAlignment="1">
      <alignment horizontal="center"/>
    </xf>
    <xf numFmtId="182" fontId="0" fillId="2" borderId="0" xfId="0" applyNumberFormat="1" applyFill="1" applyAlignment="1">
      <alignment horizontal="center"/>
    </xf>
    <xf numFmtId="0" fontId="0" fillId="0" borderId="1" xfId="0" applyBorder="1"/>
    <xf numFmtId="9" fontId="0" fillId="0" borderId="1"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9" fontId="0" fillId="0" borderId="9" xfId="0" applyNumberFormat="1" applyBorder="1" applyAlignment="1">
      <alignment horizontal="center"/>
    </xf>
    <xf numFmtId="9" fontId="0" fillId="0" borderId="10" xfId="0" applyNumberFormat="1" applyBorder="1" applyAlignment="1">
      <alignment horizontal="center"/>
    </xf>
    <xf numFmtId="0" fontId="0" fillId="0" borderId="9" xfId="0" applyBorder="1"/>
    <xf numFmtId="168" fontId="0" fillId="0" borderId="9" xfId="1" applyFont="1" applyBorder="1"/>
    <xf numFmtId="3" fontId="0" fillId="0" borderId="9" xfId="0" applyNumberFormat="1" applyBorder="1" applyAlignment="1">
      <alignment horizontal="center"/>
    </xf>
    <xf numFmtId="3" fontId="0" fillId="0" borderId="10" xfId="0" applyNumberFormat="1" applyBorder="1"/>
    <xf numFmtId="3" fontId="0" fillId="0" borderId="11" xfId="0" applyNumberFormat="1" applyBorder="1" applyAlignment="1">
      <alignment horizontal="center"/>
    </xf>
    <xf numFmtId="3" fontId="0" fillId="0" borderId="12" xfId="0" applyNumberFormat="1" applyBorder="1" applyAlignment="1">
      <alignment horizontal="center"/>
    </xf>
    <xf numFmtId="3" fontId="0" fillId="0" borderId="13" xfId="0" applyNumberFormat="1" applyBorder="1" applyAlignment="1">
      <alignment horizontal="center"/>
    </xf>
    <xf numFmtId="169" fontId="0" fillId="0" borderId="1" xfId="0" applyNumberFormat="1" applyBorder="1" applyAlignment="1">
      <alignment horizontal="center"/>
    </xf>
    <xf numFmtId="183" fontId="0" fillId="0" borderId="0" xfId="0" applyNumberFormat="1" applyAlignment="1">
      <alignment horizontal="center"/>
    </xf>
    <xf numFmtId="183" fontId="0" fillId="0" borderId="0" xfId="0" applyNumberFormat="1" applyFill="1" applyAlignment="1">
      <alignment horizontal="center"/>
    </xf>
    <xf numFmtId="168" fontId="0" fillId="0" borderId="2" xfId="1" applyNumberFormat="1" applyFont="1" applyFill="1" applyBorder="1" applyAlignment="1"/>
    <xf numFmtId="3" fontId="4" fillId="0" borderId="1" xfId="0" applyNumberFormat="1" applyFont="1" applyBorder="1"/>
    <xf numFmtId="169" fontId="0" fillId="0" borderId="1" xfId="0" applyNumberFormat="1" applyBorder="1"/>
    <xf numFmtId="169" fontId="0" fillId="3" borderId="9" xfId="0" applyNumberFormat="1" applyFill="1" applyBorder="1" applyAlignment="1">
      <alignment horizontal="center"/>
    </xf>
    <xf numFmtId="169" fontId="0" fillId="0" borderId="10" xfId="0" applyNumberFormat="1" applyBorder="1" applyAlignment="1">
      <alignment horizontal="center"/>
    </xf>
    <xf numFmtId="169" fontId="0" fillId="0" borderId="9" xfId="0" applyNumberFormat="1" applyBorder="1" applyAlignment="1">
      <alignment horizontal="center"/>
    </xf>
    <xf numFmtId="169" fontId="0" fillId="0" borderId="9" xfId="0" applyNumberFormat="1" applyBorder="1"/>
    <xf numFmtId="3" fontId="0" fillId="0" borderId="10" xfId="0" applyNumberFormat="1" applyBorder="1" applyAlignment="1">
      <alignment horizontal="center"/>
    </xf>
    <xf numFmtId="0" fontId="0" fillId="0" borderId="10" xfId="0" applyBorder="1"/>
    <xf numFmtId="0" fontId="0" fillId="3" borderId="14" xfId="0" applyFill="1" applyBorder="1" applyAlignment="1">
      <alignment horizontal="left"/>
    </xf>
    <xf numFmtId="0" fontId="0" fillId="3" borderId="2" xfId="0" applyFill="1" applyBorder="1"/>
    <xf numFmtId="0" fontId="0" fillId="3" borderId="15" xfId="0" applyFill="1" applyBorder="1" applyAlignment="1">
      <alignment horizontal="left"/>
    </xf>
    <xf numFmtId="0" fontId="0" fillId="3" borderId="2" xfId="0" applyFill="1" applyBorder="1" applyAlignment="1">
      <alignment horizontal="left"/>
    </xf>
    <xf numFmtId="0" fontId="0" fillId="3" borderId="16" xfId="0" applyFill="1" applyBorder="1"/>
    <xf numFmtId="172" fontId="7" fillId="0" borderId="0" xfId="0" applyNumberFormat="1" applyFont="1" applyAlignment="1">
      <alignment horizontal="center"/>
    </xf>
    <xf numFmtId="9" fontId="1" fillId="0" borderId="0" xfId="13" applyFill="1" applyBorder="1" applyAlignment="1">
      <alignment horizontal="center"/>
    </xf>
    <xf numFmtId="0" fontId="0" fillId="0" borderId="2" xfId="0" applyFill="1" applyBorder="1" applyAlignment="1">
      <alignment wrapText="1"/>
    </xf>
    <xf numFmtId="183" fontId="0" fillId="0" borderId="0" xfId="0" applyNumberFormat="1"/>
    <xf numFmtId="175" fontId="0" fillId="0" borderId="0" xfId="0" applyNumberFormat="1"/>
    <xf numFmtId="169" fontId="0" fillId="0" borderId="0" xfId="13" applyNumberFormat="1" applyFont="1"/>
    <xf numFmtId="3" fontId="2" fillId="0" borderId="1" xfId="0" applyNumberFormat="1" applyFont="1" applyBorder="1"/>
    <xf numFmtId="10" fontId="0" fillId="0" borderId="0" xfId="13" applyNumberFormat="1" applyFont="1" applyAlignment="1">
      <alignment horizontal="center"/>
    </xf>
    <xf numFmtId="0" fontId="0" fillId="0" borderId="1" xfId="0" applyBorder="1" applyAlignment="1">
      <alignment horizontal="center" wrapText="1"/>
    </xf>
    <xf numFmtId="0" fontId="22" fillId="0" borderId="0" xfId="0" applyFont="1"/>
    <xf numFmtId="0" fontId="23" fillId="0" borderId="17" xfId="12" applyFont="1" applyFill="1" applyBorder="1" applyAlignment="1">
      <alignment horizontal="center" vertical="center"/>
    </xf>
    <xf numFmtId="0" fontId="23" fillId="0" borderId="1" xfId="12" applyFont="1" applyFill="1" applyBorder="1" applyAlignment="1">
      <alignment horizontal="center" vertical="center" wrapText="1"/>
    </xf>
    <xf numFmtId="0" fontId="24" fillId="0" borderId="17" xfId="0" applyFont="1" applyBorder="1" applyAlignment="1">
      <alignment horizontal="left" vertical="center"/>
    </xf>
    <xf numFmtId="9" fontId="24" fillId="0" borderId="1" xfId="11" applyNumberFormat="1" applyFont="1" applyFill="1" applyBorder="1" applyAlignment="1">
      <alignment horizontal="center" vertical="center"/>
    </xf>
    <xf numFmtId="0" fontId="21" fillId="0" borderId="18"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9" xfId="0" applyFont="1" applyFill="1" applyBorder="1" applyAlignment="1">
      <alignment horizontal="left" vertical="center"/>
    </xf>
    <xf numFmtId="0" fontId="21" fillId="0" borderId="1" xfId="0" applyFont="1" applyFill="1" applyBorder="1" applyAlignment="1">
      <alignment horizontal="left" vertical="center"/>
    </xf>
    <xf numFmtId="0" fontId="25" fillId="0" borderId="18" xfId="0" applyFont="1" applyFill="1" applyBorder="1" applyAlignment="1">
      <alignment horizontal="left" vertical="center"/>
    </xf>
    <xf numFmtId="0" fontId="25" fillId="0" borderId="17" xfId="0" applyFont="1" applyFill="1" applyBorder="1" applyAlignment="1">
      <alignment horizontal="left" vertical="center"/>
    </xf>
    <xf numFmtId="190" fontId="25" fillId="0" borderId="1" xfId="11" applyNumberFormat="1" applyFont="1" applyFill="1" applyBorder="1" applyAlignment="1">
      <alignment horizontal="center" vertical="center"/>
    </xf>
    <xf numFmtId="196" fontId="25" fillId="0" borderId="1" xfId="0" applyNumberFormat="1" applyFont="1" applyFill="1" applyBorder="1" applyAlignment="1">
      <alignment horizontal="center" vertical="center"/>
    </xf>
    <xf numFmtId="194" fontId="25" fillId="0" borderId="1" xfId="0" applyNumberFormat="1" applyFont="1" applyFill="1" applyBorder="1" applyAlignment="1">
      <alignment horizontal="center" vertical="center"/>
    </xf>
    <xf numFmtId="3" fontId="25" fillId="0" borderId="1" xfId="0" applyNumberFormat="1" applyFont="1" applyFill="1" applyBorder="1" applyAlignment="1">
      <alignment horizontal="center" vertical="center"/>
    </xf>
    <xf numFmtId="0" fontId="22" fillId="0" borderId="0" xfId="0" applyFont="1" applyFill="1"/>
    <xf numFmtId="0" fontId="21" fillId="0" borderId="17" xfId="0" applyFont="1" applyFill="1" applyBorder="1" applyAlignment="1">
      <alignment vertical="center" wrapText="1"/>
    </xf>
    <xf numFmtId="0" fontId="21" fillId="0" borderId="19" xfId="0" applyFont="1" applyFill="1" applyBorder="1" applyAlignment="1">
      <alignment vertical="center" wrapText="1"/>
    </xf>
    <xf numFmtId="190" fontId="21" fillId="0" borderId="1" xfId="11" applyNumberFormat="1" applyFont="1" applyFill="1" applyBorder="1" applyAlignment="1">
      <alignment horizontal="center" vertical="center"/>
    </xf>
    <xf numFmtId="196" fontId="21" fillId="0" borderId="1" xfId="0" applyNumberFormat="1" applyFont="1" applyFill="1" applyBorder="1" applyAlignment="1">
      <alignment horizontal="center" vertical="center"/>
    </xf>
    <xf numFmtId="194" fontId="21" fillId="0" borderId="1" xfId="0" applyNumberFormat="1" applyFont="1" applyFill="1" applyBorder="1" applyAlignment="1">
      <alignment horizontal="center" vertical="center"/>
    </xf>
    <xf numFmtId="3" fontId="21" fillId="0" borderId="1" xfId="0" applyNumberFormat="1" applyFont="1" applyFill="1" applyBorder="1" applyAlignment="1">
      <alignment horizontal="center" vertical="center"/>
    </xf>
    <xf numFmtId="0" fontId="21" fillId="0" borderId="0" xfId="0" applyFont="1" applyFill="1"/>
    <xf numFmtId="0" fontId="21" fillId="0" borderId="0" xfId="0" applyFont="1"/>
    <xf numFmtId="0" fontId="21" fillId="0" borderId="0" xfId="0" applyFont="1" applyFill="1" applyBorder="1" applyAlignment="1">
      <alignment horizontal="left" vertical="center"/>
    </xf>
    <xf numFmtId="0" fontId="21" fillId="0" borderId="0" xfId="0" applyFont="1" applyFill="1" applyAlignment="1">
      <alignment horizontal="center" vertical="center"/>
    </xf>
    <xf numFmtId="0" fontId="25" fillId="0" borderId="0" xfId="0" applyFont="1" applyFill="1" applyAlignment="1">
      <alignment vertical="center"/>
    </xf>
    <xf numFmtId="0" fontId="21" fillId="0" borderId="4" xfId="0" applyFont="1" applyFill="1" applyBorder="1" applyAlignment="1">
      <alignment horizontal="left" vertical="center"/>
    </xf>
    <xf numFmtId="0" fontId="21" fillId="0" borderId="20" xfId="0" applyFont="1" applyFill="1" applyBorder="1" applyAlignment="1">
      <alignment horizontal="left" vertical="center"/>
    </xf>
    <xf numFmtId="0" fontId="22" fillId="0" borderId="20" xfId="0" applyFont="1" applyBorder="1"/>
    <xf numFmtId="0" fontId="22" fillId="0" borderId="1" xfId="0" applyFont="1" applyBorder="1"/>
    <xf numFmtId="182" fontId="22" fillId="0" borderId="1" xfId="0" applyNumberFormat="1" applyFont="1" applyBorder="1" applyAlignment="1">
      <alignment horizontal="center"/>
    </xf>
    <xf numFmtId="190" fontId="22" fillId="0" borderId="0" xfId="0" applyNumberFormat="1" applyFont="1"/>
    <xf numFmtId="0" fontId="25" fillId="0" borderId="19" xfId="0" applyFont="1" applyFill="1" applyBorder="1" applyAlignment="1">
      <alignment horizontal="left" vertical="center" wrapText="1"/>
    </xf>
    <xf numFmtId="182" fontId="25" fillId="0" borderId="1" xfId="0" applyNumberFormat="1" applyFont="1" applyBorder="1" applyAlignment="1">
      <alignment horizontal="center"/>
    </xf>
    <xf numFmtId="0" fontId="25" fillId="0" borderId="0" xfId="0" applyFont="1"/>
    <xf numFmtId="182" fontId="21" fillId="0" borderId="1" xfId="0" applyNumberFormat="1" applyFont="1" applyBorder="1" applyAlignment="1">
      <alignment horizontal="center"/>
    </xf>
    <xf numFmtId="182" fontId="25" fillId="0" borderId="21" xfId="0" applyNumberFormat="1" applyFont="1" applyFill="1" applyBorder="1" applyAlignment="1">
      <alignment vertical="center"/>
    </xf>
    <xf numFmtId="3" fontId="25" fillId="0" borderId="1" xfId="11" applyNumberFormat="1" applyFont="1" applyFill="1" applyBorder="1" applyAlignment="1">
      <alignment horizontal="center" vertical="center"/>
    </xf>
    <xf numFmtId="3" fontId="22" fillId="0" borderId="0" xfId="0" applyNumberFormat="1" applyFont="1"/>
    <xf numFmtId="0" fontId="21" fillId="0" borderId="17" xfId="0" applyFont="1" applyFill="1" applyBorder="1" applyAlignment="1">
      <alignment horizontal="left" vertical="center" wrapText="1"/>
    </xf>
    <xf numFmtId="3" fontId="21" fillId="0" borderId="1" xfId="11" applyNumberFormat="1" applyFont="1" applyFill="1" applyBorder="1" applyAlignment="1">
      <alignment horizontal="center" vertical="center"/>
    </xf>
    <xf numFmtId="0" fontId="25" fillId="0" borderId="18" xfId="0" applyFont="1" applyFill="1" applyBorder="1" applyAlignment="1">
      <alignment vertical="center"/>
    </xf>
    <xf numFmtId="0" fontId="21" fillId="0" borderId="17" xfId="0" applyFont="1" applyFill="1" applyBorder="1" applyAlignment="1">
      <alignment vertical="center"/>
    </xf>
    <xf numFmtId="194" fontId="21" fillId="0" borderId="17" xfId="0" applyNumberFormat="1" applyFont="1" applyFill="1" applyBorder="1" applyAlignment="1">
      <alignment horizontal="left" vertical="center"/>
    </xf>
    <xf numFmtId="194" fontId="25" fillId="0" borderId="18" xfId="0" applyNumberFormat="1" applyFont="1" applyFill="1" applyBorder="1" applyAlignment="1">
      <alignment horizontal="left" vertical="center"/>
    </xf>
    <xf numFmtId="194" fontId="25" fillId="0" borderId="1" xfId="0" applyNumberFormat="1" applyFont="1" applyFill="1" applyBorder="1" applyAlignment="1">
      <alignment horizontal="left" vertical="center"/>
    </xf>
    <xf numFmtId="194" fontId="21" fillId="0" borderId="1" xfId="0" applyNumberFormat="1" applyFont="1" applyFill="1" applyBorder="1" applyAlignment="1">
      <alignment horizontal="left" vertical="center"/>
    </xf>
    <xf numFmtId="171" fontId="21" fillId="0" borderId="0" xfId="0" applyNumberFormat="1" applyFont="1" applyAlignment="1">
      <alignment horizontal="center"/>
    </xf>
    <xf numFmtId="169" fontId="21" fillId="0" borderId="0" xfId="13" applyNumberFormat="1" applyFont="1"/>
    <xf numFmtId="194" fontId="25" fillId="0" borderId="0" xfId="0" applyNumberFormat="1" applyFont="1" applyFill="1" applyBorder="1" applyAlignment="1">
      <alignment horizontal="left" vertical="center"/>
    </xf>
    <xf numFmtId="194" fontId="21" fillId="0" borderId="0" xfId="0" applyNumberFormat="1" applyFont="1" applyFill="1" applyBorder="1" applyAlignment="1">
      <alignment horizontal="left" vertical="center"/>
    </xf>
    <xf numFmtId="194" fontId="25" fillId="0" borderId="0" xfId="0" applyNumberFormat="1" applyFont="1" applyFill="1" applyBorder="1" applyAlignment="1">
      <alignment horizontal="center" vertical="center"/>
    </xf>
    <xf numFmtId="169" fontId="0" fillId="0" borderId="1" xfId="0" applyNumberFormat="1" applyFill="1" applyBorder="1" applyAlignment="1">
      <alignment horizontal="center"/>
    </xf>
    <xf numFmtId="9" fontId="25" fillId="0" borderId="1" xfId="11" applyNumberFormat="1" applyFont="1" applyFill="1" applyBorder="1" applyAlignment="1">
      <alignment horizontal="center" vertical="center"/>
    </xf>
    <xf numFmtId="182" fontId="25" fillId="0" borderId="1" xfId="11" applyNumberFormat="1" applyFont="1" applyFill="1" applyBorder="1" applyAlignment="1">
      <alignment horizontal="center" vertical="center"/>
    </xf>
    <xf numFmtId="1" fontId="25" fillId="0" borderId="18" xfId="0" applyNumberFormat="1" applyFont="1" applyFill="1" applyBorder="1" applyAlignment="1">
      <alignment horizontal="left" vertical="center" indent="1"/>
    </xf>
    <xf numFmtId="196" fontId="25" fillId="0" borderId="1" xfId="11" applyNumberFormat="1" applyFont="1" applyFill="1" applyBorder="1" applyAlignment="1">
      <alignment horizontal="center" vertical="center"/>
    </xf>
    <xf numFmtId="194" fontId="25" fillId="0" borderId="19" xfId="11" applyNumberFormat="1" applyFont="1" applyFill="1" applyBorder="1" applyAlignment="1">
      <alignment horizontal="center" vertical="center"/>
    </xf>
    <xf numFmtId="0" fontId="21" fillId="0" borderId="19" xfId="0" applyFont="1" applyFill="1" applyBorder="1" applyAlignment="1">
      <alignment horizontal="left" vertical="center" wrapText="1"/>
    </xf>
    <xf numFmtId="182" fontId="21" fillId="0" borderId="1" xfId="11" applyNumberFormat="1" applyFont="1" applyFill="1" applyBorder="1" applyAlignment="1">
      <alignment horizontal="center" vertical="center"/>
    </xf>
    <xf numFmtId="194" fontId="21" fillId="0" borderId="19" xfId="11" applyNumberFormat="1" applyFont="1" applyFill="1" applyBorder="1" applyAlignment="1">
      <alignment horizontal="center" vertical="center"/>
    </xf>
    <xf numFmtId="0" fontId="21" fillId="0" borderId="0" xfId="0" applyFont="1" applyFill="1" applyAlignment="1">
      <alignment vertical="center"/>
    </xf>
    <xf numFmtId="0" fontId="25" fillId="0" borderId="21" xfId="0" applyFont="1" applyFill="1" applyBorder="1" applyAlignment="1">
      <alignment vertical="center"/>
    </xf>
    <xf numFmtId="0" fontId="25" fillId="0" borderId="1" xfId="0" applyFont="1" applyFill="1" applyBorder="1" applyAlignment="1">
      <alignment horizontal="left" vertical="center"/>
    </xf>
    <xf numFmtId="3" fontId="25" fillId="0" borderId="1" xfId="0" applyNumberFormat="1" applyFont="1" applyFill="1" applyBorder="1" applyAlignment="1">
      <alignment horizontal="center" vertical="center" wrapText="1"/>
    </xf>
    <xf numFmtId="194" fontId="25" fillId="0" borderId="1" xfId="0" applyNumberFormat="1" applyFont="1" applyFill="1" applyBorder="1" applyAlignment="1">
      <alignment horizontal="center" vertical="center" wrapText="1"/>
    </xf>
    <xf numFmtId="0" fontId="22" fillId="0" borderId="0" xfId="0" applyFont="1" applyBorder="1"/>
    <xf numFmtId="194" fontId="21" fillId="0" borderId="1" xfId="0" applyNumberFormat="1" applyFont="1" applyFill="1" applyBorder="1" applyAlignment="1">
      <alignment horizontal="center" vertical="center" wrapText="1"/>
    </xf>
    <xf numFmtId="0" fontId="21" fillId="0" borderId="1" xfId="0" applyFont="1" applyFill="1" applyBorder="1" applyAlignment="1">
      <alignment horizontal="left" vertical="center" wrapText="1"/>
    </xf>
    <xf numFmtId="3" fontId="21" fillId="0" borderId="1" xfId="0" applyNumberFormat="1" applyFont="1" applyFill="1" applyBorder="1" applyAlignment="1">
      <alignment horizontal="center" vertical="center" wrapText="1"/>
    </xf>
    <xf numFmtId="3" fontId="21" fillId="0" borderId="1" xfId="0" applyNumberFormat="1" applyFont="1" applyBorder="1" applyAlignment="1">
      <alignment horizontal="center"/>
    </xf>
    <xf numFmtId="3" fontId="0" fillId="0" borderId="0" xfId="0" applyNumberFormat="1"/>
    <xf numFmtId="3" fontId="21" fillId="0" borderId="0" xfId="12" applyNumberFormat="1" applyFont="1" applyFill="1" applyBorder="1" applyAlignment="1">
      <alignment horizontal="center" vertical="center" wrapText="1"/>
    </xf>
    <xf numFmtId="0" fontId="21" fillId="0" borderId="0" xfId="0" applyFont="1" applyFill="1" applyBorder="1" applyAlignment="1">
      <alignment vertical="center"/>
    </xf>
    <xf numFmtId="190" fontId="21" fillId="0" borderId="0" xfId="0" applyNumberFormat="1" applyFont="1" applyFill="1" applyBorder="1" applyAlignment="1">
      <alignment horizontal="center" vertical="center" wrapText="1"/>
    </xf>
    <xf numFmtId="0" fontId="25" fillId="0" borderId="0" xfId="0" applyFont="1" applyFill="1" applyBorder="1" applyAlignment="1">
      <alignment vertical="center"/>
    </xf>
    <xf numFmtId="196" fontId="21" fillId="0" borderId="0" xfId="0" applyNumberFormat="1" applyFont="1" applyFill="1" applyBorder="1" applyAlignment="1">
      <alignment horizontal="center" vertical="center" wrapText="1"/>
    </xf>
    <xf numFmtId="169" fontId="21" fillId="0" borderId="0" xfId="13" applyNumberFormat="1" applyFont="1" applyFill="1" applyBorder="1" applyAlignment="1">
      <alignment vertical="center"/>
    </xf>
    <xf numFmtId="192" fontId="21" fillId="0" borderId="0" xfId="0" applyNumberFormat="1" applyFont="1" applyFill="1" applyBorder="1" applyAlignment="1">
      <alignment horizontal="center" vertical="center" wrapText="1"/>
    </xf>
    <xf numFmtId="0" fontId="21" fillId="0" borderId="1" xfId="0" applyFont="1" applyFill="1" applyBorder="1" applyAlignment="1">
      <alignment vertical="center"/>
    </xf>
    <xf numFmtId="190" fontId="21" fillId="0" borderId="1" xfId="0" applyNumberFormat="1" applyFont="1" applyFill="1" applyBorder="1" applyAlignment="1">
      <alignment horizontal="center" vertical="center" wrapText="1"/>
    </xf>
    <xf numFmtId="9" fontId="25" fillId="0" borderId="0" xfId="0" applyNumberFormat="1" applyFont="1" applyFill="1" applyBorder="1" applyAlignment="1">
      <alignment horizontal="center" vertical="center" wrapText="1"/>
    </xf>
    <xf numFmtId="0" fontId="22" fillId="0" borderId="1" xfId="0" applyFont="1" applyBorder="1" applyAlignment="1">
      <alignment horizontal="center"/>
    </xf>
    <xf numFmtId="169" fontId="22" fillId="0" borderId="1" xfId="13" applyNumberFormat="1" applyFont="1" applyBorder="1" applyAlignment="1">
      <alignment horizontal="center"/>
    </xf>
    <xf numFmtId="0" fontId="1" fillId="0" borderId="1" xfId="0" applyFont="1" applyBorder="1"/>
    <xf numFmtId="0" fontId="21" fillId="0" borderId="1" xfId="12" applyFont="1" applyFill="1" applyBorder="1" applyAlignment="1">
      <alignment vertical="center"/>
    </xf>
    <xf numFmtId="196" fontId="21" fillId="0" borderId="1" xfId="0" applyNumberFormat="1" applyFont="1" applyFill="1" applyBorder="1" applyAlignment="1">
      <alignment horizontal="center" vertical="center" wrapText="1"/>
    </xf>
    <xf numFmtId="192" fontId="21" fillId="0" borderId="1" xfId="0" applyNumberFormat="1" applyFont="1" applyFill="1" applyBorder="1" applyAlignment="1">
      <alignment horizontal="center" vertical="center" wrapText="1"/>
    </xf>
    <xf numFmtId="0" fontId="25" fillId="0" borderId="4" xfId="0" applyFont="1" applyFill="1" applyBorder="1" applyAlignment="1">
      <alignment horizontal="left" vertical="center"/>
    </xf>
    <xf numFmtId="0" fontId="25" fillId="0" borderId="0" xfId="0" applyFont="1" applyFill="1" applyBorder="1" applyAlignment="1">
      <alignment horizontal="left" vertical="center"/>
    </xf>
    <xf numFmtId="0" fontId="21" fillId="0" borderId="18" xfId="0" applyFont="1" applyFill="1" applyBorder="1" applyAlignment="1">
      <alignment vertical="center"/>
    </xf>
    <xf numFmtId="197" fontId="21" fillId="0" borderId="1"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0" fontId="25" fillId="0" borderId="1" xfId="0" applyFont="1" applyBorder="1"/>
    <xf numFmtId="194" fontId="21" fillId="0" borderId="1" xfId="11" applyNumberFormat="1" applyFont="1" applyFill="1" applyBorder="1" applyAlignment="1">
      <alignment horizontal="center" vertical="center"/>
    </xf>
    <xf numFmtId="194" fontId="25" fillId="0" borderId="1" xfId="11" applyNumberFormat="1" applyFont="1" applyFill="1" applyBorder="1" applyAlignment="1">
      <alignment horizontal="center" vertical="center"/>
    </xf>
    <xf numFmtId="0" fontId="25" fillId="0" borderId="1" xfId="0" applyFont="1" applyFill="1" applyBorder="1" applyAlignment="1">
      <alignment vertical="center"/>
    </xf>
    <xf numFmtId="3" fontId="25" fillId="0" borderId="1" xfId="0" applyNumberFormat="1" applyFont="1" applyFill="1" applyBorder="1" applyAlignment="1">
      <alignment horizontal="left" vertical="center"/>
    </xf>
    <xf numFmtId="3" fontId="25" fillId="0" borderId="1" xfId="0" applyNumberFormat="1" applyFont="1" applyFill="1" applyBorder="1" applyAlignment="1">
      <alignment vertical="center"/>
    </xf>
    <xf numFmtId="0" fontId="25" fillId="0" borderId="19" xfId="0" applyFont="1" applyFill="1" applyBorder="1" applyAlignment="1">
      <alignment horizontal="left" vertical="center"/>
    </xf>
    <xf numFmtId="3" fontId="25" fillId="0" borderId="1" xfId="0" applyNumberFormat="1" applyFont="1" applyBorder="1" applyAlignment="1">
      <alignment horizontal="center"/>
    </xf>
    <xf numFmtId="0" fontId="25" fillId="0" borderId="18" xfId="0" applyFont="1" applyBorder="1"/>
    <xf numFmtId="194" fontId="21" fillId="0" borderId="0" xfId="0" applyNumberFormat="1" applyFont="1" applyFill="1" applyBorder="1" applyAlignment="1">
      <alignment horizontal="center" vertical="center"/>
    </xf>
    <xf numFmtId="3" fontId="21" fillId="0" borderId="0" xfId="0" applyNumberFormat="1" applyFont="1" applyFill="1" applyBorder="1" applyAlignment="1">
      <alignment horizontal="center" vertical="center"/>
    </xf>
    <xf numFmtId="0" fontId="21" fillId="0" borderId="22" xfId="0" applyFont="1" applyFill="1" applyBorder="1" applyAlignment="1">
      <alignment horizontal="left" vertical="center"/>
    </xf>
    <xf numFmtId="190" fontId="21" fillId="0" borderId="22" xfId="11" applyNumberFormat="1" applyFont="1" applyFill="1" applyBorder="1" applyAlignment="1">
      <alignment horizontal="center" vertical="center"/>
    </xf>
    <xf numFmtId="0" fontId="21" fillId="0" borderId="0" xfId="12" applyFont="1" applyFill="1" applyBorder="1" applyAlignment="1">
      <alignment horizontal="center" vertical="center" wrapText="1"/>
    </xf>
    <xf numFmtId="182" fontId="25" fillId="0" borderId="0" xfId="0" applyNumberFormat="1" applyFont="1" applyFill="1" applyBorder="1" applyAlignment="1">
      <alignment horizontal="center" vertical="center"/>
    </xf>
    <xf numFmtId="0" fontId="21" fillId="0" borderId="0" xfId="0" applyFont="1" applyFill="1" applyBorder="1" applyAlignment="1">
      <alignment horizontal="center" vertical="center"/>
    </xf>
    <xf numFmtId="3" fontId="25" fillId="0" borderId="0" xfId="0" applyNumberFormat="1" applyFont="1" applyFill="1" applyBorder="1" applyAlignment="1">
      <alignment horizontal="center" vertical="center"/>
    </xf>
    <xf numFmtId="0" fontId="25" fillId="0" borderId="0" xfId="0" applyFont="1" applyFill="1" applyBorder="1" applyAlignment="1">
      <alignment horizontal="center" vertical="center"/>
    </xf>
    <xf numFmtId="194" fontId="25" fillId="0" borderId="0" xfId="0" applyNumberFormat="1" applyFont="1" applyFill="1" applyBorder="1" applyAlignment="1">
      <alignment horizontal="center" vertical="center" wrapText="1"/>
    </xf>
    <xf numFmtId="194" fontId="21" fillId="0" borderId="0" xfId="0" applyNumberFormat="1" applyFont="1" applyFill="1" applyBorder="1" applyAlignment="1">
      <alignment horizontal="center" vertical="center" wrapText="1"/>
    </xf>
    <xf numFmtId="3" fontId="25" fillId="0" borderId="0" xfId="11" applyNumberFormat="1" applyFont="1" applyFill="1" applyBorder="1" applyAlignment="1">
      <alignment horizontal="center" vertical="center"/>
    </xf>
    <xf numFmtId="3" fontId="25" fillId="0" borderId="0" xfId="0" applyNumberFormat="1" applyFont="1" applyBorder="1" applyAlignment="1">
      <alignment horizontal="center"/>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2" fillId="0" borderId="0" xfId="0" applyFont="1" applyAlignment="1">
      <alignment horizontal="center" wrapText="1"/>
    </xf>
    <xf numFmtId="190" fontId="0" fillId="0" borderId="0" xfId="0" applyNumberFormat="1" applyAlignment="1">
      <alignment horizontal="center"/>
    </xf>
    <xf numFmtId="182" fontId="0" fillId="0" borderId="0" xfId="0" applyNumberFormat="1" applyAlignment="1">
      <alignment horizontal="center"/>
    </xf>
    <xf numFmtId="0" fontId="0" fillId="0" borderId="0" xfId="0" applyBorder="1"/>
    <xf numFmtId="0" fontId="0" fillId="0" borderId="21" xfId="0" applyBorder="1"/>
    <xf numFmtId="169" fontId="25" fillId="0" borderId="1" xfId="0" applyNumberFormat="1" applyFont="1" applyFill="1" applyBorder="1" applyAlignment="1">
      <alignment horizontal="center" vertical="center" wrapText="1"/>
    </xf>
    <xf numFmtId="197" fontId="25" fillId="0" borderId="1" xfId="0" applyNumberFormat="1" applyFont="1" applyFill="1" applyBorder="1" applyAlignment="1">
      <alignment horizontal="center" vertical="center" wrapText="1"/>
    </xf>
    <xf numFmtId="182" fontId="2" fillId="0" borderId="0" xfId="0" applyNumberFormat="1" applyFont="1" applyFill="1" applyAlignment="1">
      <alignment horizontal="center"/>
    </xf>
    <xf numFmtId="202" fontId="25" fillId="0" borderId="1" xfId="0" applyNumberFormat="1" applyFont="1" applyFill="1" applyBorder="1" applyAlignment="1">
      <alignment horizontal="center" vertical="center"/>
    </xf>
    <xf numFmtId="202" fontId="21" fillId="0" borderId="1" xfId="0" applyNumberFormat="1" applyFont="1" applyFill="1" applyBorder="1" applyAlignment="1">
      <alignment horizontal="center" vertical="center"/>
    </xf>
    <xf numFmtId="203" fontId="0" fillId="0" borderId="0" xfId="0" applyNumberFormat="1"/>
    <xf numFmtId="203" fontId="4" fillId="0" borderId="18" xfId="0" applyNumberFormat="1" applyFont="1" applyBorder="1"/>
    <xf numFmtId="164" fontId="0" fillId="0" borderId="0" xfId="0" applyNumberFormat="1"/>
    <xf numFmtId="164" fontId="4" fillId="0" borderId="23" xfId="0" applyNumberFormat="1" applyFont="1" applyBorder="1"/>
    <xf numFmtId="164" fontId="4" fillId="0" borderId="0" xfId="0" applyNumberFormat="1" applyFont="1" applyBorder="1"/>
    <xf numFmtId="177" fontId="2" fillId="0" borderId="1" xfId="0" applyNumberFormat="1" applyFont="1" applyBorder="1" applyAlignment="1">
      <alignment horizontal="center"/>
    </xf>
    <xf numFmtId="0" fontId="2" fillId="0" borderId="5" xfId="0" applyFont="1" applyBorder="1" applyAlignment="1">
      <alignment vertical="top" wrapText="1"/>
    </xf>
    <xf numFmtId="0" fontId="0" fillId="0" borderId="0" xfId="0" applyBorder="1" applyAlignment="1">
      <alignment vertical="top"/>
    </xf>
    <xf numFmtId="171" fontId="0" fillId="0" borderId="0" xfId="0" applyNumberFormat="1" applyBorder="1" applyAlignment="1">
      <alignment vertical="top"/>
    </xf>
    <xf numFmtId="0" fontId="0" fillId="0" borderId="5" xfId="0" applyFill="1" applyBorder="1" applyAlignment="1">
      <alignment vertical="top" wrapText="1"/>
    </xf>
    <xf numFmtId="184" fontId="0" fillId="0" borderId="0" xfId="2" applyNumberFormat="1" applyFont="1"/>
    <xf numFmtId="171" fontId="0" fillId="0" borderId="0" xfId="2" applyNumberFormat="1" applyFont="1"/>
    <xf numFmtId="0" fontId="0" fillId="0" borderId="20" xfId="0" applyFill="1" applyBorder="1" applyAlignment="1">
      <alignment vertical="top" wrapText="1"/>
    </xf>
    <xf numFmtId="171" fontId="0" fillId="0" borderId="24" xfId="0" applyNumberFormat="1" applyBorder="1"/>
    <xf numFmtId="175" fontId="0" fillId="0" borderId="1" xfId="1" applyNumberFormat="1" applyFont="1" applyFill="1" applyBorder="1" applyAlignment="1">
      <alignment horizontal="center" vertical="center"/>
    </xf>
    <xf numFmtId="175" fontId="0" fillId="4" borderId="1" xfId="1" applyNumberFormat="1" applyFont="1" applyFill="1" applyBorder="1" applyAlignment="1">
      <alignment vertical="top"/>
    </xf>
    <xf numFmtId="175" fontId="0" fillId="0" borderId="10" xfId="1" applyNumberFormat="1" applyFont="1" applyBorder="1" applyAlignment="1">
      <alignment vertical="top"/>
    </xf>
    <xf numFmtId="175" fontId="0" fillId="0" borderId="1" xfId="1" applyNumberFormat="1" applyFont="1" applyFill="1" applyBorder="1" applyAlignment="1">
      <alignment vertical="top"/>
    </xf>
    <xf numFmtId="175" fontId="0" fillId="0" borderId="10" xfId="1" applyNumberFormat="1" applyFont="1" applyFill="1" applyBorder="1" applyAlignment="1">
      <alignment vertical="top"/>
    </xf>
    <xf numFmtId="205" fontId="0" fillId="0" borderId="1" xfId="1" applyNumberFormat="1" applyFont="1" applyFill="1" applyBorder="1" applyAlignment="1">
      <alignment vertical="top"/>
    </xf>
    <xf numFmtId="205" fontId="0" fillId="0" borderId="10" xfId="1" applyNumberFormat="1" applyFont="1" applyFill="1" applyBorder="1" applyAlignment="1">
      <alignment vertical="top"/>
    </xf>
    <xf numFmtId="171" fontId="0" fillId="0" borderId="13" xfId="0" applyNumberFormat="1" applyBorder="1" applyAlignment="1">
      <alignment vertical="top"/>
    </xf>
    <xf numFmtId="0" fontId="1" fillId="0" borderId="6" xfId="0" applyFont="1" applyBorder="1"/>
    <xf numFmtId="206" fontId="0" fillId="0" borderId="0" xfId="0" applyNumberFormat="1"/>
    <xf numFmtId="177" fontId="1" fillId="0" borderId="1" xfId="0" applyNumberFormat="1" applyFont="1" applyBorder="1" applyAlignment="1">
      <alignment horizontal="center"/>
    </xf>
    <xf numFmtId="0" fontId="1" fillId="0" borderId="0" xfId="0" applyFont="1"/>
    <xf numFmtId="190" fontId="25" fillId="6" borderId="1" xfId="0" applyNumberFormat="1" applyFont="1" applyFill="1" applyBorder="1" applyAlignment="1">
      <alignment horizontal="center" vertical="center"/>
    </xf>
    <xf numFmtId="37" fontId="25" fillId="6" borderId="1" xfId="0" applyNumberFormat="1" applyFont="1" applyFill="1" applyBorder="1" applyAlignment="1">
      <alignment horizontal="center" vertical="center"/>
    </xf>
    <xf numFmtId="182" fontId="22" fillId="6" borderId="1" xfId="0" applyNumberFormat="1" applyFont="1" applyFill="1" applyBorder="1" applyAlignment="1">
      <alignment horizontal="center"/>
    </xf>
    <xf numFmtId="190" fontId="25" fillId="6" borderId="1" xfId="11" applyNumberFormat="1" applyFont="1" applyFill="1" applyBorder="1" applyAlignment="1">
      <alignment horizontal="center" vertical="center"/>
    </xf>
    <xf numFmtId="0" fontId="25" fillId="6" borderId="1" xfId="0" applyFont="1" applyFill="1" applyBorder="1" applyAlignment="1">
      <alignment horizontal="left" vertical="center"/>
    </xf>
    <xf numFmtId="3" fontId="25" fillId="6" borderId="1" xfId="11" applyNumberFormat="1" applyFont="1" applyFill="1" applyBorder="1" applyAlignment="1">
      <alignment horizontal="center" vertical="center"/>
    </xf>
    <xf numFmtId="0" fontId="21" fillId="7" borderId="1" xfId="12" applyFont="1" applyFill="1" applyBorder="1" applyAlignment="1">
      <alignment horizontal="center" vertical="center"/>
    </xf>
    <xf numFmtId="0" fontId="21" fillId="7" borderId="1" xfId="12" applyNumberFormat="1" applyFont="1" applyFill="1" applyBorder="1" applyAlignment="1">
      <alignment horizontal="center" vertical="center" wrapText="1"/>
    </xf>
    <xf numFmtId="3" fontId="21" fillId="7" borderId="1" xfId="12" applyNumberFormat="1" applyFont="1" applyFill="1" applyBorder="1" applyAlignment="1">
      <alignment horizontal="center" vertical="center" wrapText="1"/>
    </xf>
    <xf numFmtId="0" fontId="25" fillId="7" borderId="1" xfId="0" applyFont="1" applyFill="1" applyBorder="1" applyAlignment="1">
      <alignment horizontal="left" vertical="center"/>
    </xf>
    <xf numFmtId="3" fontId="25" fillId="7" borderId="1" xfId="11" applyNumberFormat="1" applyFont="1" applyFill="1" applyBorder="1" applyAlignment="1">
      <alignment horizontal="center" vertical="center"/>
    </xf>
    <xf numFmtId="0" fontId="22" fillId="7" borderId="1" xfId="0" applyFont="1" applyFill="1" applyBorder="1"/>
    <xf numFmtId="0" fontId="21" fillId="7" borderId="1" xfId="12" applyFont="1" applyFill="1" applyBorder="1" applyAlignment="1">
      <alignment horizontal="center" vertical="center" wrapText="1"/>
    </xf>
    <xf numFmtId="0" fontId="21" fillId="7" borderId="1" xfId="12" applyFont="1" applyFill="1" applyBorder="1" applyAlignment="1">
      <alignment horizontal="left" vertical="center"/>
    </xf>
    <xf numFmtId="0" fontId="21" fillId="7" borderId="17" xfId="12" applyFont="1" applyFill="1" applyBorder="1" applyAlignment="1">
      <alignment horizontal="center" vertical="center"/>
    </xf>
    <xf numFmtId="0" fontId="21" fillId="7" borderId="18" xfId="12" applyFont="1" applyFill="1" applyBorder="1" applyAlignment="1">
      <alignment horizontal="left" vertical="center"/>
    </xf>
    <xf numFmtId="0" fontId="21" fillId="7" borderId="1" xfId="12" applyFont="1" applyFill="1" applyBorder="1" applyAlignment="1">
      <alignment vertical="center"/>
    </xf>
    <xf numFmtId="9" fontId="1" fillId="6" borderId="1" xfId="13" applyFill="1" applyBorder="1"/>
    <xf numFmtId="177" fontId="0" fillId="6" borderId="1" xfId="0" applyNumberFormat="1" applyFill="1" applyBorder="1"/>
    <xf numFmtId="37" fontId="0" fillId="6" borderId="1" xfId="0" applyNumberFormat="1" applyFill="1" applyBorder="1"/>
    <xf numFmtId="179" fontId="0" fillId="6" borderId="1" xfId="0" applyNumberFormat="1" applyFill="1" applyBorder="1"/>
    <xf numFmtId="164" fontId="0" fillId="6" borderId="1" xfId="0" applyNumberFormat="1" applyFill="1" applyBorder="1"/>
    <xf numFmtId="0" fontId="14" fillId="7" borderId="1" xfId="0" applyFont="1" applyFill="1" applyBorder="1"/>
    <xf numFmtId="0" fontId="4" fillId="7" borderId="0" xfId="0" applyFont="1" applyFill="1" applyAlignment="1">
      <alignment horizontal="center"/>
    </xf>
    <xf numFmtId="0" fontId="4" fillId="7" borderId="1" xfId="0" applyFont="1" applyFill="1" applyBorder="1" applyAlignment="1">
      <alignment horizontal="left" indent="1"/>
    </xf>
    <xf numFmtId="37" fontId="4" fillId="7" borderId="1" xfId="0" applyNumberFormat="1" applyFont="1" applyFill="1" applyBorder="1"/>
    <xf numFmtId="0" fontId="4" fillId="7" borderId="18" xfId="0" applyFont="1" applyFill="1" applyBorder="1"/>
    <xf numFmtId="0" fontId="4" fillId="7" borderId="17" xfId="0" applyFont="1" applyFill="1" applyBorder="1"/>
    <xf numFmtId="0" fontId="4" fillId="7" borderId="19" xfId="0" applyFont="1" applyFill="1" applyBorder="1"/>
    <xf numFmtId="0" fontId="4" fillId="7" borderId="1" xfId="0" applyFont="1" applyFill="1" applyBorder="1"/>
    <xf numFmtId="178" fontId="0" fillId="7" borderId="1" xfId="0" applyNumberFormat="1" applyFill="1" applyBorder="1"/>
    <xf numFmtId="164" fontId="4" fillId="7" borderId="1" xfId="0" applyNumberFormat="1" applyFont="1" applyFill="1" applyBorder="1"/>
    <xf numFmtId="0" fontId="14" fillId="7" borderId="25" xfId="0" applyFont="1" applyFill="1" applyBorder="1"/>
    <xf numFmtId="0" fontId="4" fillId="7" borderId="26" xfId="0" applyFont="1" applyFill="1" applyBorder="1" applyAlignment="1">
      <alignment horizontal="center"/>
    </xf>
    <xf numFmtId="0" fontId="4" fillId="7" borderId="27" xfId="0" applyFont="1" applyFill="1" applyBorder="1" applyAlignment="1">
      <alignment horizontal="center"/>
    </xf>
    <xf numFmtId="3" fontId="0" fillId="0" borderId="9" xfId="0" applyNumberFormat="1" applyBorder="1"/>
    <xf numFmtId="9" fontId="1" fillId="6" borderId="10" xfId="13" applyFill="1" applyBorder="1"/>
    <xf numFmtId="0" fontId="4" fillId="7" borderId="11" xfId="0" applyFont="1" applyFill="1" applyBorder="1" applyAlignment="1">
      <alignment horizontal="left" indent="1"/>
    </xf>
    <xf numFmtId="37" fontId="4" fillId="7" borderId="12" xfId="0" applyNumberFormat="1" applyFont="1" applyFill="1" applyBorder="1"/>
    <xf numFmtId="37" fontId="4" fillId="7" borderId="13" xfId="0" applyNumberFormat="1" applyFont="1" applyFill="1" applyBorder="1"/>
    <xf numFmtId="206" fontId="4" fillId="0" borderId="17" xfId="0" applyNumberFormat="1" applyFont="1" applyBorder="1"/>
    <xf numFmtId="0" fontId="4" fillId="7" borderId="28" xfId="0" applyFont="1" applyFill="1" applyBorder="1"/>
    <xf numFmtId="0" fontId="4" fillId="7" borderId="3" xfId="0" applyFont="1" applyFill="1" applyBorder="1"/>
    <xf numFmtId="0" fontId="4" fillId="7" borderId="29" xfId="0" applyFont="1" applyFill="1" applyBorder="1"/>
    <xf numFmtId="0" fontId="4" fillId="7" borderId="9" xfId="0" applyFont="1" applyFill="1" applyBorder="1"/>
    <xf numFmtId="3" fontId="0" fillId="0" borderId="30" xfId="0" applyNumberFormat="1" applyBorder="1"/>
    <xf numFmtId="164" fontId="0" fillId="6" borderId="10" xfId="0" applyNumberFormat="1" applyFill="1" applyBorder="1"/>
    <xf numFmtId="0" fontId="4" fillId="7" borderId="12" xfId="0" applyFont="1" applyFill="1" applyBorder="1"/>
    <xf numFmtId="178" fontId="0" fillId="7" borderId="12" xfId="0" applyNumberFormat="1" applyFill="1" applyBorder="1"/>
    <xf numFmtId="164" fontId="4" fillId="7" borderId="13" xfId="0" applyNumberFormat="1" applyFont="1" applyFill="1" applyBorder="1"/>
    <xf numFmtId="0" fontId="0" fillId="6" borderId="0" xfId="0" applyFill="1"/>
    <xf numFmtId="180" fontId="0" fillId="6" borderId="1" xfId="0" applyNumberFormat="1" applyFill="1" applyBorder="1"/>
    <xf numFmtId="37" fontId="4" fillId="6" borderId="0" xfId="0" applyNumberFormat="1" applyFont="1" applyFill="1" applyBorder="1"/>
    <xf numFmtId="178" fontId="0" fillId="6" borderId="0" xfId="0" applyNumberFormat="1" applyFill="1" applyBorder="1"/>
    <xf numFmtId="164" fontId="4" fillId="6" borderId="0" xfId="0" applyNumberFormat="1" applyFont="1" applyFill="1" applyBorder="1"/>
    <xf numFmtId="0" fontId="14" fillId="7" borderId="7" xfId="0" applyFont="1" applyFill="1" applyBorder="1"/>
    <xf numFmtId="0" fontId="4" fillId="7" borderId="31" xfId="0" applyFont="1" applyFill="1" applyBorder="1"/>
    <xf numFmtId="0" fontId="4" fillId="7" borderId="8" xfId="0" applyFont="1" applyFill="1" applyBorder="1" applyAlignment="1">
      <alignment horizontal="center"/>
    </xf>
    <xf numFmtId="0" fontId="4" fillId="7" borderId="8" xfId="0" applyFont="1" applyFill="1" applyBorder="1"/>
    <xf numFmtId="0" fontId="4" fillId="7" borderId="22" xfId="0" applyFont="1" applyFill="1" applyBorder="1"/>
    <xf numFmtId="0" fontId="4" fillId="7" borderId="32" xfId="0" applyNumberFormat="1" applyFont="1" applyFill="1" applyBorder="1" applyAlignment="1">
      <alignment horizontal="center"/>
    </xf>
    <xf numFmtId="0" fontId="4" fillId="7" borderId="33" xfId="0" applyFont="1" applyFill="1" applyBorder="1" applyAlignment="1">
      <alignment horizontal="center"/>
    </xf>
    <xf numFmtId="0" fontId="4" fillId="7" borderId="7" xfId="0" applyFont="1" applyFill="1" applyBorder="1" applyAlignment="1">
      <alignment horizontal="center"/>
    </xf>
    <xf numFmtId="0" fontId="4" fillId="7" borderId="20" xfId="0" applyFont="1" applyFill="1" applyBorder="1" applyAlignment="1">
      <alignment horizontal="center"/>
    </xf>
    <xf numFmtId="164" fontId="0" fillId="6" borderId="5" xfId="0" applyNumberFormat="1" applyFill="1" applyBorder="1"/>
    <xf numFmtId="0" fontId="4" fillId="7" borderId="19" xfId="0" applyFont="1" applyFill="1" applyBorder="1" applyAlignment="1">
      <alignment horizontal="center"/>
    </xf>
    <xf numFmtId="0" fontId="4" fillId="8" borderId="8" xfId="0" applyFont="1" applyFill="1" applyBorder="1"/>
    <xf numFmtId="0" fontId="4" fillId="8" borderId="19" xfId="0" applyFont="1" applyFill="1" applyBorder="1" applyAlignment="1">
      <alignment horizontal="center"/>
    </xf>
    <xf numFmtId="0" fontId="4" fillId="8" borderId="18" xfId="0" applyFont="1" applyFill="1" applyBorder="1"/>
    <xf numFmtId="37" fontId="4" fillId="8" borderId="1" xfId="0" applyNumberFormat="1" applyFont="1" applyFill="1" applyBorder="1"/>
    <xf numFmtId="0" fontId="0" fillId="0" borderId="1" xfId="0" applyBorder="1" applyAlignment="1">
      <alignment horizontal="center"/>
    </xf>
    <xf numFmtId="0" fontId="21" fillId="0" borderId="1" xfId="0" applyFont="1" applyFill="1" applyBorder="1" applyAlignment="1">
      <alignment horizontal="left" vertical="center" wrapText="1"/>
    </xf>
    <xf numFmtId="0" fontId="21" fillId="0" borderId="1" xfId="0" applyFont="1" applyFill="1" applyBorder="1" applyAlignment="1">
      <alignment horizontal="left" vertical="center"/>
    </xf>
    <xf numFmtId="0" fontId="25" fillId="0" borderId="1" xfId="0" applyFont="1" applyFill="1" applyBorder="1" applyAlignment="1">
      <alignment horizontal="left" vertical="center"/>
    </xf>
    <xf numFmtId="0" fontId="21" fillId="7" borderId="1" xfId="0" applyFont="1" applyFill="1" applyBorder="1" applyAlignment="1">
      <alignment horizontal="left" vertical="center"/>
    </xf>
    <xf numFmtId="3" fontId="0" fillId="7" borderId="1" xfId="0" applyNumberFormat="1" applyFill="1" applyBorder="1" applyAlignment="1">
      <alignment horizontal="center"/>
    </xf>
    <xf numFmtId="0" fontId="0" fillId="7" borderId="1" xfId="0" applyFill="1" applyBorder="1" applyAlignment="1">
      <alignment horizontal="center"/>
    </xf>
    <xf numFmtId="0" fontId="21" fillId="7" borderId="1" xfId="0" applyFont="1" applyFill="1" applyBorder="1" applyAlignment="1">
      <alignment horizontal="left"/>
    </xf>
    <xf numFmtId="0" fontId="21" fillId="7" borderId="1" xfId="12" applyFont="1" applyFill="1" applyBorder="1" applyAlignment="1">
      <alignment horizontal="left" vertical="center"/>
    </xf>
    <xf numFmtId="182" fontId="25" fillId="0" borderId="8" xfId="0" applyNumberFormat="1" applyFont="1" applyFill="1" applyBorder="1" applyAlignment="1">
      <alignment horizontal="center" vertical="center"/>
    </xf>
    <xf numFmtId="182" fontId="25" fillId="0" borderId="22" xfId="0" applyNumberFormat="1" applyFont="1" applyFill="1" applyBorder="1" applyAlignment="1">
      <alignment horizontal="center" vertical="center"/>
    </xf>
    <xf numFmtId="0" fontId="25" fillId="0" borderId="18" xfId="0" applyFont="1" applyFill="1" applyBorder="1" applyAlignment="1">
      <alignment horizontal="left" vertical="center"/>
    </xf>
    <xf numFmtId="0" fontId="25" fillId="0" borderId="17" xfId="0" applyFont="1" applyFill="1" applyBorder="1" applyAlignment="1">
      <alignment horizontal="left" vertical="center"/>
    </xf>
    <xf numFmtId="0" fontId="21" fillId="0" borderId="18"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9" xfId="0" applyFont="1" applyFill="1" applyBorder="1" applyAlignment="1">
      <alignment horizontal="left" vertical="center"/>
    </xf>
    <xf numFmtId="0" fontId="21" fillId="7" borderId="1" xfId="0" applyFont="1" applyFill="1" applyBorder="1" applyAlignment="1">
      <alignment horizontal="center" wrapText="1"/>
    </xf>
    <xf numFmtId="3" fontId="24" fillId="0" borderId="18" xfId="0" applyNumberFormat="1" applyFont="1" applyBorder="1" applyAlignment="1">
      <alignment horizontal="left" vertical="center"/>
    </xf>
    <xf numFmtId="3" fontId="24" fillId="0" borderId="17" xfId="0" applyNumberFormat="1" applyFont="1" applyBorder="1" applyAlignment="1">
      <alignment horizontal="left" vertical="center"/>
    </xf>
    <xf numFmtId="0" fontId="23" fillId="0" borderId="18" xfId="12" applyFont="1" applyFill="1" applyBorder="1" applyAlignment="1">
      <alignment horizontal="left" vertical="center"/>
    </xf>
    <xf numFmtId="0" fontId="23" fillId="0" borderId="17" xfId="12" applyFont="1" applyFill="1" applyBorder="1" applyAlignment="1">
      <alignment horizontal="left" vertical="center"/>
    </xf>
    <xf numFmtId="0" fontId="21" fillId="0" borderId="18" xfId="0" applyFont="1" applyFill="1" applyBorder="1" applyAlignment="1">
      <alignment horizontal="center" vertical="center"/>
    </xf>
    <xf numFmtId="0" fontId="21" fillId="0" borderId="17" xfId="0" applyFont="1" applyFill="1" applyBorder="1" applyAlignment="1">
      <alignment horizontal="center" vertical="center"/>
    </xf>
    <xf numFmtId="0" fontId="21" fillId="7" borderId="18" xfId="12" applyFont="1" applyFill="1" applyBorder="1" applyAlignment="1">
      <alignment horizontal="left" vertical="center"/>
    </xf>
    <xf numFmtId="0" fontId="21" fillId="7" borderId="17" xfId="12" applyFont="1" applyFill="1" applyBorder="1" applyAlignment="1">
      <alignment horizontal="left" vertical="center"/>
    </xf>
    <xf numFmtId="0" fontId="21" fillId="0" borderId="33" xfId="0" applyFont="1" applyFill="1" applyBorder="1" applyAlignment="1">
      <alignment horizontal="center" vertical="center"/>
    </xf>
    <xf numFmtId="0" fontId="21" fillId="0" borderId="4" xfId="0" applyFont="1" applyFill="1" applyBorder="1" applyAlignment="1">
      <alignment horizontal="center" vertical="center"/>
    </xf>
    <xf numFmtId="0" fontId="21" fillId="7" borderId="1" xfId="12" applyFont="1" applyFill="1" applyBorder="1" applyAlignment="1">
      <alignment horizontal="center" vertical="center"/>
    </xf>
    <xf numFmtId="0" fontId="25" fillId="0" borderId="1" xfId="0" applyFont="1" applyFill="1" applyBorder="1" applyAlignment="1">
      <alignment horizontal="center" vertical="center"/>
    </xf>
    <xf numFmtId="194" fontId="21" fillId="0" borderId="18" xfId="0" applyNumberFormat="1" applyFont="1" applyFill="1" applyBorder="1" applyAlignment="1">
      <alignment horizontal="center" vertical="center"/>
    </xf>
    <xf numFmtId="194" fontId="21" fillId="0" borderId="17" xfId="0" applyNumberFormat="1" applyFont="1" applyFill="1" applyBorder="1" applyAlignment="1">
      <alignment horizontal="center" vertical="center"/>
    </xf>
    <xf numFmtId="194" fontId="21" fillId="0" borderId="19" xfId="0" applyNumberFormat="1" applyFont="1" applyFill="1" applyBorder="1" applyAlignment="1">
      <alignment horizontal="center" vertical="center"/>
    </xf>
    <xf numFmtId="0" fontId="21" fillId="7" borderId="18" xfId="12" applyFont="1" applyFill="1" applyBorder="1" applyAlignment="1">
      <alignment vertical="center"/>
    </xf>
    <xf numFmtId="0" fontId="21" fillId="7" borderId="17" xfId="12" applyFont="1" applyFill="1" applyBorder="1" applyAlignment="1">
      <alignment vertical="center"/>
    </xf>
    <xf numFmtId="194" fontId="21" fillId="0" borderId="18" xfId="0" applyNumberFormat="1" applyFont="1" applyFill="1" applyBorder="1" applyAlignment="1">
      <alignment horizontal="left" vertical="center"/>
    </xf>
    <xf numFmtId="194" fontId="21" fillId="0" borderId="17" xfId="0" applyNumberFormat="1" applyFont="1" applyFill="1" applyBorder="1" applyAlignment="1">
      <alignment horizontal="left" vertical="center"/>
    </xf>
    <xf numFmtId="194" fontId="21" fillId="0" borderId="19" xfId="0" applyNumberFormat="1" applyFont="1" applyFill="1" applyBorder="1" applyAlignment="1">
      <alignment horizontal="left" vertical="center"/>
    </xf>
    <xf numFmtId="0" fontId="21" fillId="7" borderId="18" xfId="0" applyFont="1" applyFill="1" applyBorder="1" applyAlignment="1">
      <alignment horizontal="left" vertical="center"/>
    </xf>
    <xf numFmtId="0" fontId="21" fillId="7" borderId="17" xfId="0" applyFont="1" applyFill="1" applyBorder="1" applyAlignment="1">
      <alignment horizontal="left" vertical="center"/>
    </xf>
    <xf numFmtId="0" fontId="21" fillId="7" borderId="19" xfId="0" applyFont="1" applyFill="1" applyBorder="1" applyAlignment="1">
      <alignment horizontal="left" vertical="center"/>
    </xf>
    <xf numFmtId="1" fontId="25" fillId="0" borderId="18" xfId="0" applyNumberFormat="1" applyFont="1" applyFill="1" applyBorder="1" applyAlignment="1">
      <alignment horizontal="left" vertical="center" wrapText="1" indent="1"/>
    </xf>
    <xf numFmtId="1" fontId="25" fillId="0" borderId="17" xfId="0" applyNumberFormat="1" applyFont="1" applyFill="1" applyBorder="1" applyAlignment="1">
      <alignment horizontal="left" vertical="center" wrapText="1" indent="1"/>
    </xf>
    <xf numFmtId="0" fontId="21" fillId="0" borderId="19" xfId="0" applyFont="1" applyFill="1" applyBorder="1" applyAlignment="1">
      <alignment horizontal="center" vertical="center"/>
    </xf>
    <xf numFmtId="0" fontId="25" fillId="0" borderId="18"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19" xfId="0" applyFont="1" applyFill="1" applyBorder="1" applyAlignment="1">
      <alignment horizontal="center" vertical="center"/>
    </xf>
    <xf numFmtId="0" fontId="21" fillId="0" borderId="8"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18"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1" fillId="0" borderId="19" xfId="0" applyFont="1" applyFill="1" applyBorder="1" applyAlignment="1">
      <alignment horizontal="left" vertical="center" wrapText="1"/>
    </xf>
    <xf numFmtId="0" fontId="21" fillId="7" borderId="19" xfId="12" applyFont="1" applyFill="1" applyBorder="1" applyAlignment="1">
      <alignment horizontal="left" vertical="center"/>
    </xf>
    <xf numFmtId="0" fontId="21" fillId="7" borderId="18" xfId="12" applyFont="1" applyFill="1" applyBorder="1" applyAlignment="1">
      <alignment horizontal="center" vertical="center"/>
    </xf>
    <xf numFmtId="0" fontId="21" fillId="7" borderId="19" xfId="12" applyFont="1" applyFill="1" applyBorder="1" applyAlignment="1">
      <alignment horizontal="center" vertical="center"/>
    </xf>
    <xf numFmtId="3" fontId="25" fillId="0" borderId="18" xfId="0" applyNumberFormat="1" applyFont="1" applyFill="1" applyBorder="1" applyAlignment="1">
      <alignment horizontal="left" vertical="center"/>
    </xf>
    <xf numFmtId="3" fontId="25" fillId="0" borderId="19" xfId="0" applyNumberFormat="1" applyFont="1" applyFill="1" applyBorder="1" applyAlignment="1">
      <alignment horizontal="left" vertical="center"/>
    </xf>
    <xf numFmtId="0" fontId="25" fillId="7" borderId="18" xfId="0" applyFont="1" applyFill="1" applyBorder="1" applyAlignment="1">
      <alignment horizontal="center" vertical="center"/>
    </xf>
    <xf numFmtId="0" fontId="25" fillId="7" borderId="19" xfId="0" applyFont="1" applyFill="1" applyBorder="1" applyAlignment="1">
      <alignment horizontal="center" vertical="center"/>
    </xf>
    <xf numFmtId="0" fontId="25" fillId="0" borderId="19" xfId="0" applyFont="1" applyFill="1" applyBorder="1" applyAlignment="1">
      <alignment horizontal="left" vertical="center"/>
    </xf>
    <xf numFmtId="0" fontId="25" fillId="0" borderId="18" xfId="0" applyFont="1" applyBorder="1" applyAlignment="1">
      <alignment horizontal="left"/>
    </xf>
    <xf numFmtId="0" fontId="25" fillId="0" borderId="19" xfId="0" applyFont="1" applyBorder="1" applyAlignment="1">
      <alignment horizontal="left"/>
    </xf>
    <xf numFmtId="0" fontId="0" fillId="2" borderId="0" xfId="0" applyFill="1" applyAlignment="1">
      <alignment horizontal="center"/>
    </xf>
    <xf numFmtId="4" fontId="0" fillId="3" borderId="0" xfId="0" applyNumberFormat="1" applyFill="1" applyAlignment="1">
      <alignment horizontal="center"/>
    </xf>
    <xf numFmtId="0" fontId="0" fillId="3" borderId="0" xfId="0" applyFill="1" applyAlignment="1">
      <alignment horizontal="center"/>
    </xf>
    <xf numFmtId="0" fontId="4" fillId="0" borderId="0" xfId="0" applyFont="1" applyAlignment="1">
      <alignment horizontal="center"/>
    </xf>
    <xf numFmtId="0" fontId="0" fillId="0" borderId="1" xfId="0" applyBorder="1" applyAlignment="1">
      <alignment horizont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3" fontId="0" fillId="0" borderId="1" xfId="0" applyNumberFormat="1" applyBorder="1" applyAlignment="1">
      <alignment horizontal="center"/>
    </xf>
    <xf numFmtId="0" fontId="4" fillId="0" borderId="25" xfId="0" applyFont="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0" fillId="0" borderId="36" xfId="0" applyBorder="1" applyAlignment="1">
      <alignment horizontal="center"/>
    </xf>
    <xf numFmtId="0" fontId="0" fillId="0" borderId="17" xfId="0" applyBorder="1" applyAlignment="1">
      <alignment horizontal="center"/>
    </xf>
    <xf numFmtId="0" fontId="0" fillId="0" borderId="3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4" fillId="7" borderId="33" xfId="0" applyNumberFormat="1" applyFont="1" applyFill="1" applyBorder="1" applyAlignment="1">
      <alignment horizontal="center"/>
    </xf>
    <xf numFmtId="0" fontId="4" fillId="7" borderId="4" xfId="0" applyNumberFormat="1" applyFont="1" applyFill="1" applyBorder="1" applyAlignment="1">
      <alignment horizontal="center"/>
    </xf>
    <xf numFmtId="0" fontId="4" fillId="7" borderId="21" xfId="0" applyNumberFormat="1" applyFont="1" applyFill="1" applyBorder="1" applyAlignment="1">
      <alignment horizontal="center"/>
    </xf>
    <xf numFmtId="0" fontId="4" fillId="7" borderId="7" xfId="0" applyNumberFormat="1" applyFont="1" applyFill="1" applyBorder="1" applyAlignment="1">
      <alignment horizontal="center" wrapText="1"/>
    </xf>
    <xf numFmtId="0" fontId="4" fillId="7" borderId="5" xfId="0" applyNumberFormat="1" applyFont="1" applyFill="1" applyBorder="1" applyAlignment="1">
      <alignment horizontal="center" wrapText="1"/>
    </xf>
    <xf numFmtId="0" fontId="4" fillId="7" borderId="7" xfId="0" applyFont="1" applyFill="1" applyBorder="1" applyAlignment="1">
      <alignment horizontal="center" wrapText="1"/>
    </xf>
    <xf numFmtId="0" fontId="4" fillId="7" borderId="20" xfId="0" applyFont="1" applyFill="1" applyBorder="1" applyAlignment="1">
      <alignment horizontal="center" wrapText="1"/>
    </xf>
    <xf numFmtId="0" fontId="4" fillId="7" borderId="8" xfId="0" applyNumberFormat="1" applyFont="1" applyFill="1" applyBorder="1" applyAlignment="1">
      <alignment horizontal="center"/>
    </xf>
    <xf numFmtId="0" fontId="4" fillId="7" borderId="22" xfId="0" applyNumberFormat="1" applyFont="1" applyFill="1" applyBorder="1" applyAlignment="1">
      <alignment horizontal="center"/>
    </xf>
    <xf numFmtId="0" fontId="4" fillId="7" borderId="19" xfId="0" applyNumberFormat="1" applyFont="1" applyFill="1" applyBorder="1" applyAlignment="1">
      <alignment horizontal="center"/>
    </xf>
    <xf numFmtId="0" fontId="4" fillId="7" borderId="6" xfId="0" applyNumberFormat="1" applyFont="1" applyFill="1" applyBorder="1" applyAlignment="1">
      <alignment horizontal="center"/>
    </xf>
    <xf numFmtId="0" fontId="4" fillId="7" borderId="32" xfId="0" applyNumberFormat="1" applyFont="1" applyFill="1" applyBorder="1" applyAlignment="1">
      <alignment horizontal="center"/>
    </xf>
    <xf numFmtId="0" fontId="4" fillId="7" borderId="38" xfId="0" applyNumberFormat="1" applyFont="1" applyFill="1" applyBorder="1" applyAlignment="1">
      <alignment horizontal="center" wrapText="1"/>
    </xf>
    <xf numFmtId="0" fontId="4" fillId="7" borderId="38" xfId="0" applyFont="1" applyFill="1" applyBorder="1" applyAlignment="1">
      <alignment horizontal="center" wrapText="1"/>
    </xf>
    <xf numFmtId="0" fontId="4" fillId="7" borderId="37" xfId="0" applyNumberFormat="1" applyFont="1" applyFill="1" applyBorder="1" applyAlignment="1">
      <alignment horizontal="center"/>
    </xf>
    <xf numFmtId="0" fontId="15" fillId="0" borderId="0" xfId="0" applyFont="1" applyAlignment="1">
      <alignment horizontal="center"/>
    </xf>
    <xf numFmtId="0" fontId="16" fillId="0" borderId="0" xfId="0" applyFont="1" applyAlignment="1">
      <alignment horizontal="center"/>
    </xf>
    <xf numFmtId="0" fontId="0" fillId="0" borderId="25" xfId="0" applyFill="1" applyBorder="1" applyAlignment="1">
      <alignment horizontal="center"/>
    </xf>
    <xf numFmtId="0" fontId="0" fillId="0" borderId="34" xfId="0" applyFill="1" applyBorder="1" applyAlignment="1">
      <alignment horizontal="center"/>
    </xf>
    <xf numFmtId="0" fontId="0" fillId="0" borderId="9" xfId="0" applyFill="1" applyBorder="1" applyAlignment="1">
      <alignment horizontal="center"/>
    </xf>
    <xf numFmtId="0" fontId="0" fillId="0" borderId="1" xfId="0" applyFill="1" applyBorder="1" applyAlignment="1">
      <alignment horizontal="center"/>
    </xf>
    <xf numFmtId="0" fontId="4" fillId="0" borderId="28" xfId="0" applyFont="1" applyFill="1" applyBorder="1" applyAlignment="1">
      <alignment horizontal="center"/>
    </xf>
    <xf numFmtId="0" fontId="4" fillId="0" borderId="3" xfId="0" applyFont="1" applyFill="1" applyBorder="1" applyAlignment="1">
      <alignment horizontal="center"/>
    </xf>
    <xf numFmtId="0" fontId="4" fillId="0" borderId="39" xfId="0" applyFont="1" applyFill="1" applyBorder="1" applyAlignment="1">
      <alignment horizontal="center"/>
    </xf>
    <xf numFmtId="0" fontId="4" fillId="0" borderId="40" xfId="0" applyFont="1" applyFill="1" applyBorder="1" applyAlignment="1">
      <alignment horizontal="center" vertical="center" wrapText="1"/>
    </xf>
    <xf numFmtId="0" fontId="0" fillId="0" borderId="41" xfId="0" applyFill="1" applyBorder="1" applyAlignment="1">
      <alignment horizontal="center" vertical="center" wrapText="1"/>
    </xf>
    <xf numFmtId="0" fontId="17" fillId="5" borderId="18" xfId="0" applyFont="1" applyFill="1" applyBorder="1" applyAlignment="1">
      <alignment horizontal="left"/>
    </xf>
    <xf numFmtId="0" fontId="17" fillId="5" borderId="17" xfId="0" applyFont="1" applyFill="1" applyBorder="1" applyAlignment="1">
      <alignment horizontal="left"/>
    </xf>
    <xf numFmtId="0" fontId="17" fillId="5" borderId="37" xfId="0" applyFont="1" applyFill="1" applyBorder="1" applyAlignment="1">
      <alignment horizontal="left"/>
    </xf>
    <xf numFmtId="0" fontId="17" fillId="5" borderId="18" xfId="0" applyFont="1" applyFill="1" applyBorder="1" applyAlignment="1">
      <alignment horizontal="left" vertical="top" wrapText="1"/>
    </xf>
    <xf numFmtId="0" fontId="17" fillId="5" borderId="17" xfId="0" applyFont="1" applyFill="1" applyBorder="1" applyAlignment="1">
      <alignment horizontal="left" vertical="top" wrapText="1"/>
    </xf>
    <xf numFmtId="0" fontId="17" fillId="5" borderId="37" xfId="0" applyFont="1" applyFill="1" applyBorder="1" applyAlignment="1">
      <alignment horizontal="left" vertical="top" wrapText="1"/>
    </xf>
    <xf numFmtId="0" fontId="2" fillId="0" borderId="0" xfId="0" applyFont="1" applyAlignment="1">
      <alignment vertical="top" wrapText="1"/>
    </xf>
    <xf numFmtId="0" fontId="2" fillId="0" borderId="0" xfId="0" applyFont="1" applyAlignment="1">
      <alignment horizontal="left"/>
    </xf>
    <xf numFmtId="0" fontId="18" fillId="0" borderId="0" xfId="0" applyFont="1" applyAlignment="1">
      <alignment horizontal="left"/>
    </xf>
  </cellXfs>
  <cellStyles count="14">
    <cellStyle name="Comma" xfId="1" builtinId="3"/>
    <cellStyle name="Comma 2" xfId="2"/>
    <cellStyle name="Comma 3" xfId="3"/>
    <cellStyle name="Comma_CDM monthly amounts" xfId="4"/>
    <cellStyle name="Comma_Horizon 2011 Load Forecast Model  June 25, 2010" xfId="5"/>
    <cellStyle name="Comma0" xfId="6"/>
    <cellStyle name="Currency0" xfId="7"/>
    <cellStyle name="Date" xfId="8"/>
    <cellStyle name="Fixed" xfId="9"/>
    <cellStyle name="Normal" xfId="0" builtinId="0"/>
    <cellStyle name="Normal 2" xfId="10"/>
    <cellStyle name="Normal_OEB Trial Balance - Regulatory-July24-07" xfId="11"/>
    <cellStyle name="Normal_Sheet2" xfId="12"/>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 Type="http://schemas.openxmlformats.org/officeDocument/2006/relationships/worksheet" Target="worksheets/sheet2.xml"/><Relationship Id="rId21" Type="http://schemas.openxmlformats.org/officeDocument/2006/relationships/externalLink" Target="externalLinks/externalLink5.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externalLink" Target="externalLinks/externalLink4.xml"/><Relationship Id="rId29"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externalLink" Target="externalLinks/externalLink8.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externalLink" Target="externalLinks/externalLink7.xml"/><Relationship Id="rId28" Type="http://schemas.openxmlformats.org/officeDocument/2006/relationships/styles" Target="styles.xml"/><Relationship Id="rId10" Type="http://schemas.openxmlformats.org/officeDocument/2006/relationships/worksheet" Target="worksheets/sheet9.xml"/><Relationship Id="rId19" Type="http://schemas.openxmlformats.org/officeDocument/2006/relationships/externalLink" Target="externalLinks/externalLink3.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externalLink" Target="externalLinks/externalLink6.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en-CA"/>
              <a:t>Actual vs. Predicted (MWh)</a:t>
            </a:r>
          </a:p>
        </c:rich>
      </c:tx>
      <c:layout>
        <c:manualLayout>
          <c:xMode val="edge"/>
          <c:yMode val="edge"/>
          <c:x val="0.34406215316315203"/>
          <c:y val="1.9575856443719411E-2"/>
        </c:manualLayout>
      </c:layout>
      <c:overlay val="0"/>
      <c:spPr>
        <a:noFill/>
        <a:ln w="25400">
          <a:noFill/>
        </a:ln>
      </c:spPr>
    </c:title>
    <c:autoTitleDeleted val="0"/>
    <c:plotArea>
      <c:layout>
        <c:manualLayout>
          <c:layoutTarget val="inner"/>
          <c:xMode val="edge"/>
          <c:yMode val="edge"/>
          <c:x val="8.5460599334073253E-2"/>
          <c:y val="0.13703099510603589"/>
          <c:w val="0.87014428412874589"/>
          <c:h val="0.74061990212071782"/>
        </c:manualLayout>
      </c:layout>
      <c:barChart>
        <c:barDir val="col"/>
        <c:grouping val="clustered"/>
        <c:varyColors val="0"/>
        <c:ser>
          <c:idx val="0"/>
          <c:order val="0"/>
          <c:tx>
            <c:strRef>
              <c:f>Summary!$A$60</c:f>
              <c:strCache>
                <c:ptCount val="1"/>
                <c:pt idx="0">
                  <c:v>Actual</c:v>
                </c:pt>
              </c:strCache>
            </c:strRef>
          </c:tx>
          <c:spPr>
            <a:solidFill>
              <a:srgbClr val="FFFFFF"/>
            </a:solidFill>
            <a:ln w="12700">
              <a:solidFill>
                <a:srgbClr val="000000"/>
              </a:solidFill>
              <a:prstDash val="solid"/>
            </a:ln>
          </c:spPr>
          <c:invertIfNegative val="0"/>
          <c:cat>
            <c:numRef>
              <c:f>Summary!$B$59:$K$59</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Summary!$B$60:$K$60</c:f>
              <c:numCache>
                <c:formatCode>#,##0</c:formatCode>
                <c:ptCount val="10"/>
                <c:pt idx="0">
                  <c:v>229952.80431000001</c:v>
                </c:pt>
                <c:pt idx="1">
                  <c:v>234480.796</c:v>
                </c:pt>
                <c:pt idx="2">
                  <c:v>234412.6</c:v>
                </c:pt>
                <c:pt idx="3">
                  <c:v>242687.3278302</c:v>
                </c:pt>
                <c:pt idx="4">
                  <c:v>234398.89869999999</c:v>
                </c:pt>
                <c:pt idx="5">
                  <c:v>241154.6361</c:v>
                </c:pt>
                <c:pt idx="6">
                  <c:v>245623.02780000001</c:v>
                </c:pt>
                <c:pt idx="7">
                  <c:v>247239.18920000002</c:v>
                </c:pt>
                <c:pt idx="8">
                  <c:v>250239.37879999998</c:v>
                </c:pt>
                <c:pt idx="9">
                  <c:v>246758.16720000003</c:v>
                </c:pt>
              </c:numCache>
            </c:numRef>
          </c:val>
        </c:ser>
        <c:ser>
          <c:idx val="1"/>
          <c:order val="1"/>
          <c:tx>
            <c:strRef>
              <c:f>Summary!$A$61</c:f>
              <c:strCache>
                <c:ptCount val="1"/>
                <c:pt idx="0">
                  <c:v>Predicted</c:v>
                </c:pt>
              </c:strCache>
            </c:strRef>
          </c:tx>
          <c:spPr>
            <a:solidFill>
              <a:srgbClr val="000000"/>
            </a:solidFill>
            <a:ln w="12700">
              <a:solidFill>
                <a:srgbClr val="000000"/>
              </a:solidFill>
              <a:prstDash val="solid"/>
            </a:ln>
          </c:spPr>
          <c:invertIfNegative val="0"/>
          <c:cat>
            <c:numRef>
              <c:f>Summary!$B$59:$K$59</c:f>
              <c:numCache>
                <c:formatCode>General</c:formatCode>
                <c:ptCount val="10"/>
                <c:pt idx="0">
                  <c:v>2002</c:v>
                </c:pt>
                <c:pt idx="1">
                  <c:v>2003</c:v>
                </c:pt>
                <c:pt idx="2">
                  <c:v>2004</c:v>
                </c:pt>
                <c:pt idx="3">
                  <c:v>2005</c:v>
                </c:pt>
                <c:pt idx="4">
                  <c:v>2006</c:v>
                </c:pt>
                <c:pt idx="5">
                  <c:v>2007</c:v>
                </c:pt>
                <c:pt idx="6">
                  <c:v>2008</c:v>
                </c:pt>
                <c:pt idx="7">
                  <c:v>2009</c:v>
                </c:pt>
                <c:pt idx="8">
                  <c:v>2010</c:v>
                </c:pt>
                <c:pt idx="9">
                  <c:v>2011</c:v>
                </c:pt>
              </c:numCache>
            </c:numRef>
          </c:cat>
          <c:val>
            <c:numRef>
              <c:f>Summary!$B$61:$K$61</c:f>
              <c:numCache>
                <c:formatCode>#,##0</c:formatCode>
                <c:ptCount val="10"/>
                <c:pt idx="0">
                  <c:v>231401.93083504969</c:v>
                </c:pt>
                <c:pt idx="1">
                  <c:v>234082.85578034853</c:v>
                </c:pt>
                <c:pt idx="2">
                  <c:v>232672.94822083216</c:v>
                </c:pt>
                <c:pt idx="3">
                  <c:v>243391.56727342252</c:v>
                </c:pt>
                <c:pt idx="4">
                  <c:v>234083.31283045461</c:v>
                </c:pt>
                <c:pt idx="5">
                  <c:v>241953.1473508559</c:v>
                </c:pt>
                <c:pt idx="6">
                  <c:v>243425.78829814761</c:v>
                </c:pt>
                <c:pt idx="7">
                  <c:v>246672.81960490678</c:v>
                </c:pt>
                <c:pt idx="8">
                  <c:v>247841.89428260643</c:v>
                </c:pt>
                <c:pt idx="9">
                  <c:v>251420.56146357668</c:v>
                </c:pt>
              </c:numCache>
            </c:numRef>
          </c:val>
        </c:ser>
        <c:dLbls>
          <c:showLegendKey val="0"/>
          <c:showVal val="0"/>
          <c:showCatName val="0"/>
          <c:showSerName val="0"/>
          <c:showPercent val="0"/>
          <c:showBubbleSize val="0"/>
        </c:dLbls>
        <c:gapWidth val="150"/>
        <c:axId val="86770048"/>
        <c:axId val="86771584"/>
      </c:barChart>
      <c:catAx>
        <c:axId val="86770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86771584"/>
        <c:crosses val="autoZero"/>
        <c:auto val="1"/>
        <c:lblAlgn val="ctr"/>
        <c:lblOffset val="100"/>
        <c:tickLblSkip val="1"/>
        <c:tickMarkSkip val="1"/>
        <c:noMultiLvlLbl val="0"/>
      </c:catAx>
      <c:valAx>
        <c:axId val="86771584"/>
        <c:scaling>
          <c:orientation val="minMax"/>
          <c:min val="160000"/>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86770048"/>
        <c:crosses val="autoZero"/>
        <c:crossBetween val="between"/>
      </c:valAx>
      <c:spPr>
        <a:noFill/>
        <a:ln w="12700">
          <a:solidFill>
            <a:srgbClr val="808080"/>
          </a:solidFill>
          <a:prstDash val="solid"/>
        </a:ln>
      </c:spPr>
    </c:plotArea>
    <c:legend>
      <c:legendPos val="b"/>
      <c:layout>
        <c:manualLayout>
          <c:xMode val="edge"/>
          <c:yMode val="edge"/>
          <c:x val="0.40399556048834628"/>
          <c:y val="0.95106035889070151"/>
          <c:w val="0.17980022197558265"/>
          <c:h val="4.4045676998368699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sheet1.xml><?xml version="1.0" encoding="utf-8"?>
<chartsheet xmlns="http://schemas.openxmlformats.org/spreadsheetml/2006/main" xmlns:r="http://schemas.openxmlformats.org/officeDocument/2006/relationships">
  <sheetPr/>
  <sheetViews>
    <sheetView zoomScale="82" workbookViewId="0"/>
  </sheetViews>
  <pageMargins left="0.75" right="0.75" top="1" bottom="1" header="0.5" footer="0.5"/>
  <pageSetup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584116" cy="584277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bacon/My%20Documents/Lakeland/2013%20Rate%20Appl/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dmin/IHDSL/OEB/2012%20Filings/2013%20Rate%20application/IHDSL%20Working%20Models/Preliminary%20Load%20Forecast%20Files/Innisfill%202013%20Load%20Foecast%20Mar%2021%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g/Desktop/Dummy%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lauriec/Local%20Settings/Temporary%20Internet%20Files/Content.Outlook/VHETLJ4E/2006-2010%20Final%20OPA%20CDM%20Results.Innisfil%20Hydro%20Distribution%20Systems%20Limit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lauriec/Local%20Settings/Temporary%20Internet%20Files/Content.Outlook/VHETLJ4E/2002%20to%202011%20Load%20Forecast%20Data.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bbacon/My%20Documents/Midland/2013%20Rate%20Application/2013%20Load%20Forecast/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BBacon/My%20Documents/Norfolk/2011%20Rates/Evidence/Documents%20and%20Settings/dg/Desktop/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BBacon/My%20Documents/Norfolk/2011%20Rates/Evidence/LDC%20FTY%20-%20LF/CostAllocatio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dmin/IHDSL/OEB/2012%20Filings/2013%20Rate%20application/IHDSL%20Working%20Models/2009%20to%202011%20RPP%20VS%20NON%20RPP%20KWH%20revised%20201206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s Sum"/>
      <sheetName val="Purchased Power Model "/>
      <sheetName val="Residential"/>
      <sheetName val="GS &lt; 50 kW"/>
      <sheetName val="GS &gt; 50 kW"/>
      <sheetName val="Rate Class Energy Model"/>
      <sheetName val="Rate Class Customer Model"/>
      <sheetName val="Rate Class Load Model"/>
      <sheetName val="Weather Analysis"/>
      <sheetName val="CDM Activity"/>
      <sheetName val="2012 COP Forecast"/>
      <sheetName val="2013 COP Forecast"/>
      <sheetName val="App.2-P_Loss Factors"/>
    </sheetNames>
    <sheetDataSet>
      <sheetData sheetId="0"/>
      <sheetData sheetId="1"/>
      <sheetData sheetId="2"/>
      <sheetData sheetId="3"/>
      <sheetData sheetId="4"/>
      <sheetData sheetId="5"/>
      <sheetData sheetId="6"/>
      <sheetData sheetId="7"/>
      <sheetData sheetId="8"/>
      <sheetData sheetId="9"/>
      <sheetData sheetId="10"/>
      <sheetData sheetId="11">
        <row r="73">
          <cell r="E73">
            <v>2.2000000000000001E-3</v>
          </cell>
        </row>
        <row r="74">
          <cell r="E74">
            <v>2E-3</v>
          </cell>
        </row>
        <row r="75">
          <cell r="E75">
            <v>0.7883</v>
          </cell>
        </row>
        <row r="76">
          <cell r="E76">
            <v>1.6331</v>
          </cell>
        </row>
        <row r="77">
          <cell r="E77">
            <v>0.60650000000000004</v>
          </cell>
        </row>
        <row r="78">
          <cell r="E78">
            <v>2E-3</v>
          </cell>
        </row>
      </sheetData>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 val="2006-2010 Final OPA CDM Results"/>
    </sheetNames>
    <sheetDataSet>
      <sheetData sheetId="0"/>
      <sheetData sheetId="1"/>
      <sheetData sheetId="2">
        <row r="24">
          <cell r="E24">
            <v>1472.5891816880767</v>
          </cell>
          <cell r="F24">
            <v>2455.3288262043443</v>
          </cell>
          <cell r="G24">
            <v>3143.8630678313307</v>
          </cell>
          <cell r="H24">
            <v>4589.1941660719704</v>
          </cell>
          <cell r="I24">
            <v>4029.5396024123211</v>
          </cell>
          <cell r="J24">
            <v>3859.1903683245355</v>
          </cell>
          <cell r="K24">
            <v>3742.7756196744413</v>
          </cell>
          <cell r="L24">
            <v>3698.8218318048316</v>
          </cell>
        </row>
        <row r="44">
          <cell r="E44">
            <v>1644.5930164673009</v>
          </cell>
          <cell r="F44">
            <v>4964.1010882684113</v>
          </cell>
          <cell r="G44">
            <v>5013.5982926884944</v>
          </cell>
          <cell r="H44">
            <v>7236.3988691248351</v>
          </cell>
          <cell r="I44">
            <v>6830.1322484992097</v>
          </cell>
          <cell r="J44">
            <v>6668.0051078730012</v>
          </cell>
          <cell r="K44">
            <v>6394.4062921384275</v>
          </cell>
          <cell r="L44">
            <v>6307.3111245764385</v>
          </cell>
        </row>
      </sheetData>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ption Data "/>
    </sheetNames>
    <sheetDataSet>
      <sheetData sheetId="0">
        <row r="6">
          <cell r="B6">
            <v>22119629</v>
          </cell>
          <cell r="E6">
            <v>14689339</v>
          </cell>
          <cell r="I6">
            <v>1618815</v>
          </cell>
          <cell r="M6">
            <v>3469660</v>
          </cell>
          <cell r="N6">
            <v>7637.9444444444453</v>
          </cell>
          <cell r="AG6">
            <v>12928</v>
          </cell>
        </row>
        <row r="7">
          <cell r="B7">
            <v>20006640</v>
          </cell>
          <cell r="E7">
            <v>13049108</v>
          </cell>
          <cell r="I7">
            <v>1727102</v>
          </cell>
          <cell r="M7">
            <v>3555308</v>
          </cell>
          <cell r="N7">
            <v>6875.8555555555558</v>
          </cell>
          <cell r="AG7">
            <v>12847</v>
          </cell>
        </row>
        <row r="8">
          <cell r="B8">
            <v>20650604</v>
          </cell>
          <cell r="E8">
            <v>12794243</v>
          </cell>
          <cell r="I8">
            <v>1646546</v>
          </cell>
          <cell r="M8">
            <v>3359048</v>
          </cell>
          <cell r="N8">
            <v>6330.6888888888898</v>
          </cell>
          <cell r="AG8">
            <v>12951</v>
          </cell>
        </row>
        <row r="9">
          <cell r="B9">
            <v>17267599</v>
          </cell>
          <cell r="E9">
            <v>12361769</v>
          </cell>
          <cell r="I9">
            <v>1475811</v>
          </cell>
          <cell r="M9">
            <v>3217935</v>
          </cell>
          <cell r="N9">
            <v>6346.7083333333339</v>
          </cell>
          <cell r="AG9">
            <v>12956</v>
          </cell>
        </row>
        <row r="10">
          <cell r="B10">
            <v>17046489</v>
          </cell>
          <cell r="E10">
            <v>10154225</v>
          </cell>
          <cell r="I10">
            <v>1434714</v>
          </cell>
          <cell r="M10">
            <v>2828021</v>
          </cell>
          <cell r="N10">
            <v>7855.6138888888891</v>
          </cell>
          <cell r="AG10">
            <v>12956</v>
          </cell>
        </row>
        <row r="11">
          <cell r="B11">
            <v>16519857</v>
          </cell>
          <cell r="E11">
            <v>10268366</v>
          </cell>
          <cell r="F11">
            <v>12075</v>
          </cell>
          <cell r="I11">
            <v>1749808</v>
          </cell>
          <cell r="J11">
            <v>837</v>
          </cell>
          <cell r="M11">
            <v>2985315</v>
          </cell>
          <cell r="N11">
            <v>7360</v>
          </cell>
          <cell r="O11">
            <v>71</v>
          </cell>
          <cell r="T11">
            <v>2107</v>
          </cell>
          <cell r="Y11">
            <v>177</v>
          </cell>
          <cell r="AG11">
            <v>12983</v>
          </cell>
        </row>
        <row r="12">
          <cell r="B12">
            <v>19592994</v>
          </cell>
          <cell r="E12">
            <v>9933303</v>
          </cell>
          <cell r="I12">
            <v>2037222</v>
          </cell>
          <cell r="M12">
            <v>3207168</v>
          </cell>
          <cell r="N12">
            <v>8234</v>
          </cell>
          <cell r="AG12">
            <v>13015</v>
          </cell>
        </row>
        <row r="13">
          <cell r="B13">
            <v>18262722</v>
          </cell>
          <cell r="E13">
            <v>11256561</v>
          </cell>
          <cell r="I13">
            <v>2234441</v>
          </cell>
          <cell r="M13">
            <v>3135138</v>
          </cell>
          <cell r="N13">
            <v>7236</v>
          </cell>
          <cell r="AG13">
            <v>13031</v>
          </cell>
        </row>
        <row r="14">
          <cell r="B14">
            <v>16184889</v>
          </cell>
          <cell r="E14">
            <v>11666213</v>
          </cell>
          <cell r="I14">
            <v>2220182</v>
          </cell>
          <cell r="M14">
            <v>3141609</v>
          </cell>
          <cell r="N14">
            <v>8203</v>
          </cell>
          <cell r="AG14">
            <v>13047</v>
          </cell>
        </row>
        <row r="15">
          <cell r="B15">
            <v>18054189</v>
          </cell>
          <cell r="E15">
            <v>9435989</v>
          </cell>
          <cell r="I15">
            <v>2052557</v>
          </cell>
          <cell r="M15">
            <v>3213518</v>
          </cell>
          <cell r="N15">
            <v>7466</v>
          </cell>
          <cell r="AG15">
            <v>13084</v>
          </cell>
        </row>
        <row r="16">
          <cell r="B16">
            <v>20152102.310000002</v>
          </cell>
          <cell r="E16">
            <v>10666732</v>
          </cell>
          <cell r="I16">
            <v>2041865</v>
          </cell>
          <cell r="M16">
            <v>3356080</v>
          </cell>
          <cell r="N16">
            <v>7539</v>
          </cell>
          <cell r="AG16">
            <v>13106</v>
          </cell>
        </row>
        <row r="17">
          <cell r="B17">
            <v>24095090</v>
          </cell>
          <cell r="E17">
            <v>12405666</v>
          </cell>
          <cell r="I17">
            <v>2045777</v>
          </cell>
          <cell r="M17">
            <v>3385481</v>
          </cell>
          <cell r="N17">
            <v>7793</v>
          </cell>
          <cell r="AG17">
            <v>13141</v>
          </cell>
        </row>
        <row r="18">
          <cell r="B18">
            <v>26337081</v>
          </cell>
          <cell r="E18">
            <v>15706334</v>
          </cell>
          <cell r="I18">
            <v>2215823</v>
          </cell>
          <cell r="M18">
            <v>3482295</v>
          </cell>
          <cell r="N18">
            <v>9941</v>
          </cell>
          <cell r="AG18">
            <v>13161</v>
          </cell>
        </row>
        <row r="19">
          <cell r="B19">
            <v>23542374</v>
          </cell>
          <cell r="E19">
            <v>18033579</v>
          </cell>
          <cell r="I19">
            <v>2470902</v>
          </cell>
          <cell r="M19">
            <v>3753186</v>
          </cell>
          <cell r="N19">
            <v>10033</v>
          </cell>
          <cell r="AG19">
            <v>13181</v>
          </cell>
        </row>
        <row r="20">
          <cell r="B20">
            <v>22443297</v>
          </cell>
          <cell r="E20">
            <v>16930790</v>
          </cell>
          <cell r="I20">
            <v>2273492</v>
          </cell>
          <cell r="M20">
            <v>3352178</v>
          </cell>
          <cell r="N20">
            <v>9926</v>
          </cell>
          <cell r="AG20">
            <v>13194</v>
          </cell>
        </row>
        <row r="21">
          <cell r="B21">
            <v>18675852</v>
          </cell>
          <cell r="E21">
            <v>13878823</v>
          </cell>
          <cell r="I21">
            <v>1996822</v>
          </cell>
          <cell r="M21">
            <v>3261349</v>
          </cell>
          <cell r="N21">
            <v>9676</v>
          </cell>
          <cell r="AG21">
            <v>13214</v>
          </cell>
        </row>
        <row r="22">
          <cell r="B22">
            <v>16161438</v>
          </cell>
          <cell r="E22">
            <v>11492941</v>
          </cell>
          <cell r="I22">
            <v>1818035</v>
          </cell>
          <cell r="M22">
            <v>3006098</v>
          </cell>
          <cell r="N22">
            <v>9891</v>
          </cell>
          <cell r="AG22">
            <v>13225</v>
          </cell>
        </row>
        <row r="23">
          <cell r="B23">
            <v>16030617</v>
          </cell>
          <cell r="E23">
            <v>9414281</v>
          </cell>
          <cell r="F23">
            <v>12299</v>
          </cell>
          <cell r="I23">
            <v>1800665</v>
          </cell>
          <cell r="J23">
            <v>852</v>
          </cell>
          <cell r="M23">
            <v>3006610</v>
          </cell>
          <cell r="N23">
            <v>9534</v>
          </cell>
          <cell r="O23">
            <v>72</v>
          </cell>
          <cell r="T23">
            <v>2196</v>
          </cell>
          <cell r="Y23">
            <v>181</v>
          </cell>
          <cell r="AG23">
            <v>13223</v>
          </cell>
        </row>
        <row r="24">
          <cell r="B24">
            <v>17815329</v>
          </cell>
          <cell r="E24">
            <v>9122831</v>
          </cell>
          <cell r="I24">
            <v>1935405</v>
          </cell>
          <cell r="M24">
            <v>3111502</v>
          </cell>
          <cell r="N24">
            <v>10329</v>
          </cell>
          <cell r="AG24">
            <v>13244</v>
          </cell>
        </row>
        <row r="25">
          <cell r="B25">
            <v>17334894</v>
          </cell>
          <cell r="E25">
            <v>10942052</v>
          </cell>
          <cell r="I25">
            <v>2212869</v>
          </cell>
          <cell r="M25">
            <v>3311495</v>
          </cell>
          <cell r="N25">
            <v>10284</v>
          </cell>
          <cell r="AG25">
            <v>13264</v>
          </cell>
        </row>
        <row r="26">
          <cell r="B26">
            <v>15290001</v>
          </cell>
          <cell r="E26">
            <v>10861463</v>
          </cell>
          <cell r="I26">
            <v>2200540</v>
          </cell>
          <cell r="M26">
            <v>2938320</v>
          </cell>
          <cell r="N26">
            <v>10397</v>
          </cell>
          <cell r="AG26">
            <v>13286</v>
          </cell>
        </row>
        <row r="27">
          <cell r="B27">
            <v>17925927</v>
          </cell>
          <cell r="E27">
            <v>8940123</v>
          </cell>
          <cell r="I27">
            <v>1914009</v>
          </cell>
          <cell r="M27">
            <v>3101251</v>
          </cell>
          <cell r="N27">
            <v>9708</v>
          </cell>
          <cell r="AG27">
            <v>13327</v>
          </cell>
        </row>
        <row r="28">
          <cell r="B28">
            <v>19568559</v>
          </cell>
          <cell r="E28">
            <v>10394554</v>
          </cell>
          <cell r="I28">
            <v>2049115</v>
          </cell>
          <cell r="M28">
            <v>3190546</v>
          </cell>
          <cell r="N28">
            <v>9697</v>
          </cell>
          <cell r="AG28">
            <v>13340</v>
          </cell>
        </row>
        <row r="29">
          <cell r="B29">
            <v>23355427</v>
          </cell>
          <cell r="E29">
            <v>11665684</v>
          </cell>
          <cell r="I29">
            <v>2069682</v>
          </cell>
          <cell r="M29">
            <v>3249166</v>
          </cell>
          <cell r="N29">
            <v>9332</v>
          </cell>
          <cell r="AG29">
            <v>13362</v>
          </cell>
        </row>
        <row r="30">
          <cell r="B30">
            <v>27645690</v>
          </cell>
          <cell r="E30">
            <v>14876179</v>
          </cell>
          <cell r="I30">
            <v>2345771</v>
          </cell>
          <cell r="M30">
            <v>3282339</v>
          </cell>
          <cell r="N30">
            <v>9220</v>
          </cell>
          <cell r="AG30">
            <v>13405</v>
          </cell>
        </row>
        <row r="31">
          <cell r="B31">
            <v>22842144</v>
          </cell>
          <cell r="E31">
            <v>20042803</v>
          </cell>
          <cell r="I31">
            <v>2803824</v>
          </cell>
          <cell r="M31">
            <v>3832431</v>
          </cell>
          <cell r="N31">
            <v>9582</v>
          </cell>
          <cell r="AG31">
            <v>13415</v>
          </cell>
        </row>
        <row r="32">
          <cell r="B32">
            <v>21475552</v>
          </cell>
          <cell r="E32">
            <v>16321677</v>
          </cell>
          <cell r="I32">
            <v>2410271</v>
          </cell>
          <cell r="M32">
            <v>3396375</v>
          </cell>
          <cell r="N32">
            <v>9300</v>
          </cell>
          <cell r="AG32">
            <v>13436</v>
          </cell>
        </row>
        <row r="33">
          <cell r="B33">
            <v>17912215</v>
          </cell>
          <cell r="E33">
            <v>12527883</v>
          </cell>
          <cell r="I33">
            <v>2039089</v>
          </cell>
          <cell r="M33">
            <v>2998905</v>
          </cell>
          <cell r="N33">
            <v>9164</v>
          </cell>
          <cell r="AG33">
            <v>13455</v>
          </cell>
        </row>
        <row r="34">
          <cell r="B34">
            <v>16456491.999999998</v>
          </cell>
          <cell r="E34">
            <v>11569135</v>
          </cell>
          <cell r="I34">
            <v>1900171</v>
          </cell>
          <cell r="M34">
            <v>2871496</v>
          </cell>
          <cell r="N34">
            <v>9297</v>
          </cell>
          <cell r="AG34">
            <v>13471</v>
          </cell>
        </row>
        <row r="35">
          <cell r="B35">
            <v>15766963</v>
          </cell>
          <cell r="E35">
            <v>9711606</v>
          </cell>
          <cell r="F35">
            <v>12539</v>
          </cell>
          <cell r="I35">
            <v>2043864</v>
          </cell>
          <cell r="J35">
            <v>886</v>
          </cell>
          <cell r="M35">
            <v>2852185</v>
          </cell>
          <cell r="N35">
            <v>9578</v>
          </cell>
          <cell r="O35">
            <v>73</v>
          </cell>
          <cell r="T35">
            <v>2309</v>
          </cell>
          <cell r="Y35">
            <v>183</v>
          </cell>
          <cell r="AG35">
            <v>13498</v>
          </cell>
        </row>
        <row r="36">
          <cell r="B36">
            <v>17509022</v>
          </cell>
          <cell r="E36">
            <v>9103980</v>
          </cell>
          <cell r="I36">
            <v>2080368</v>
          </cell>
          <cell r="M36">
            <v>2965029</v>
          </cell>
          <cell r="N36">
            <v>9805</v>
          </cell>
          <cell r="AG36">
            <v>13510</v>
          </cell>
        </row>
        <row r="37">
          <cell r="B37">
            <v>17156978</v>
          </cell>
          <cell r="E37">
            <v>10586726</v>
          </cell>
          <cell r="I37">
            <v>2298251</v>
          </cell>
          <cell r="M37">
            <v>3176540</v>
          </cell>
          <cell r="N37">
            <v>9669</v>
          </cell>
          <cell r="AG37">
            <v>13525</v>
          </cell>
        </row>
        <row r="38">
          <cell r="B38">
            <v>16118218</v>
          </cell>
          <cell r="E38">
            <v>12075928</v>
          </cell>
          <cell r="I38">
            <v>2546247</v>
          </cell>
          <cell r="M38">
            <v>2626314</v>
          </cell>
          <cell r="N38">
            <v>9328</v>
          </cell>
          <cell r="AG38">
            <v>13556</v>
          </cell>
        </row>
        <row r="39">
          <cell r="B39">
            <v>17179546.000000004</v>
          </cell>
          <cell r="E39">
            <v>10571794</v>
          </cell>
          <cell r="I39">
            <v>2351779</v>
          </cell>
          <cell r="M39">
            <v>1033331</v>
          </cell>
          <cell r="N39">
            <v>4849</v>
          </cell>
          <cell r="AG39">
            <v>13575</v>
          </cell>
        </row>
        <row r="40">
          <cell r="B40">
            <v>19264875</v>
          </cell>
          <cell r="E40">
            <v>10442136</v>
          </cell>
          <cell r="I40">
            <v>2112632</v>
          </cell>
          <cell r="M40">
            <v>4405580</v>
          </cell>
          <cell r="N40">
            <v>13831</v>
          </cell>
          <cell r="AG40">
            <v>13609</v>
          </cell>
        </row>
        <row r="41">
          <cell r="B41">
            <v>25084905</v>
          </cell>
          <cell r="E41">
            <v>10960154</v>
          </cell>
          <cell r="I41">
            <v>1997427</v>
          </cell>
          <cell r="M41">
            <v>2863112</v>
          </cell>
          <cell r="N41">
            <v>9205</v>
          </cell>
          <cell r="AG41">
            <v>13632</v>
          </cell>
        </row>
        <row r="42">
          <cell r="B42">
            <v>27046364.470400002</v>
          </cell>
          <cell r="E42">
            <v>16986135</v>
          </cell>
          <cell r="I42">
            <v>2670525</v>
          </cell>
          <cell r="M42">
            <v>3209212</v>
          </cell>
          <cell r="N42">
            <v>9930</v>
          </cell>
          <cell r="AG42">
            <v>13643</v>
          </cell>
        </row>
        <row r="43">
          <cell r="B43">
            <v>22591240.223199997</v>
          </cell>
          <cell r="E43">
            <v>18304313</v>
          </cell>
          <cell r="I43">
            <v>2647119</v>
          </cell>
          <cell r="M43">
            <v>3512087</v>
          </cell>
          <cell r="N43">
            <v>9065</v>
          </cell>
          <cell r="AG43">
            <v>13652</v>
          </cell>
        </row>
        <row r="44">
          <cell r="B44">
            <v>22726877.137800001</v>
          </cell>
          <cell r="E44">
            <v>16146631</v>
          </cell>
          <cell r="I44">
            <v>2482180</v>
          </cell>
          <cell r="M44">
            <v>3223696</v>
          </cell>
          <cell r="N44">
            <v>9232</v>
          </cell>
          <cell r="AG44">
            <v>13665</v>
          </cell>
        </row>
        <row r="45">
          <cell r="B45">
            <v>17649090.601999998</v>
          </cell>
          <cell r="E45">
            <v>14695046</v>
          </cell>
          <cell r="I45">
            <v>2377445</v>
          </cell>
          <cell r="M45">
            <v>3143148</v>
          </cell>
          <cell r="N45">
            <v>8836</v>
          </cell>
          <cell r="AG45">
            <v>13678</v>
          </cell>
        </row>
        <row r="46">
          <cell r="B46">
            <v>16489823.156400001</v>
          </cell>
          <cell r="E46">
            <v>11787209</v>
          </cell>
          <cell r="I46">
            <v>2482321</v>
          </cell>
          <cell r="M46">
            <v>3905755</v>
          </cell>
          <cell r="N46">
            <v>12727</v>
          </cell>
          <cell r="AG46">
            <v>13691</v>
          </cell>
        </row>
        <row r="47">
          <cell r="B47">
            <v>18724231.911000002</v>
          </cell>
          <cell r="E47">
            <v>9978180</v>
          </cell>
          <cell r="F47">
            <v>12748</v>
          </cell>
          <cell r="I47">
            <v>2138421</v>
          </cell>
          <cell r="J47">
            <v>907</v>
          </cell>
          <cell r="M47">
            <v>2979436</v>
          </cell>
          <cell r="N47">
            <v>8511</v>
          </cell>
          <cell r="O47">
            <v>72</v>
          </cell>
          <cell r="T47">
            <v>2371</v>
          </cell>
          <cell r="Y47">
            <v>189</v>
          </cell>
          <cell r="AG47">
            <v>13727</v>
          </cell>
        </row>
        <row r="48">
          <cell r="B48">
            <v>20388287.713199999</v>
          </cell>
          <cell r="E48">
            <v>11140234</v>
          </cell>
          <cell r="I48">
            <v>2449764</v>
          </cell>
          <cell r="M48">
            <v>3364751</v>
          </cell>
          <cell r="N48">
            <v>10113</v>
          </cell>
          <cell r="AG48">
            <v>13742</v>
          </cell>
        </row>
        <row r="49">
          <cell r="B49">
            <v>18991999.549600001</v>
          </cell>
          <cell r="E49">
            <v>13290211</v>
          </cell>
          <cell r="I49">
            <v>2647759</v>
          </cell>
          <cell r="M49">
            <v>3112417</v>
          </cell>
          <cell r="N49">
            <v>9210</v>
          </cell>
          <cell r="AG49">
            <v>13774</v>
          </cell>
        </row>
        <row r="50">
          <cell r="B50">
            <v>16294844.981800001</v>
          </cell>
          <cell r="E50">
            <v>11452136</v>
          </cell>
          <cell r="I50">
            <v>2205986</v>
          </cell>
          <cell r="M50">
            <v>3102091</v>
          </cell>
          <cell r="N50">
            <v>10274</v>
          </cell>
          <cell r="AG50">
            <v>13777</v>
          </cell>
        </row>
        <row r="51">
          <cell r="B51">
            <v>17508332.9058</v>
          </cell>
          <cell r="E51">
            <v>9613844</v>
          </cell>
          <cell r="I51">
            <v>2152365</v>
          </cell>
          <cell r="M51">
            <v>3316634</v>
          </cell>
          <cell r="N51">
            <v>10678</v>
          </cell>
          <cell r="AG51">
            <v>13783</v>
          </cell>
        </row>
        <row r="52">
          <cell r="B52">
            <v>19503982.891800001</v>
          </cell>
          <cell r="E52">
            <v>9808437</v>
          </cell>
          <cell r="I52">
            <v>1930998</v>
          </cell>
          <cell r="M52">
            <v>3354326</v>
          </cell>
          <cell r="N52">
            <v>7305</v>
          </cell>
          <cell r="AG52">
            <v>13782</v>
          </cell>
        </row>
        <row r="53">
          <cell r="B53">
            <v>24772252.2872</v>
          </cell>
          <cell r="E53">
            <v>11615689</v>
          </cell>
          <cell r="I53">
            <v>2117050</v>
          </cell>
          <cell r="M53">
            <v>3601322</v>
          </cell>
          <cell r="N53">
            <v>9730</v>
          </cell>
          <cell r="AG53">
            <v>13793</v>
          </cell>
        </row>
        <row r="54">
          <cell r="B54">
            <v>23275097</v>
          </cell>
          <cell r="D54">
            <v>15656721</v>
          </cell>
          <cell r="E54">
            <v>16231852</v>
          </cell>
          <cell r="H54">
            <v>2405185</v>
          </cell>
          <cell r="I54">
            <v>2472356</v>
          </cell>
          <cell r="L54">
            <v>3504488</v>
          </cell>
          <cell r="M54">
            <v>3371212</v>
          </cell>
          <cell r="N54">
            <v>9727</v>
          </cell>
          <cell r="AG54">
            <v>13803</v>
          </cell>
        </row>
        <row r="55">
          <cell r="B55">
            <v>21949172.799999997</v>
          </cell>
          <cell r="D55">
            <v>14305197</v>
          </cell>
          <cell r="E55">
            <v>15807296</v>
          </cell>
          <cell r="H55">
            <v>2220986</v>
          </cell>
          <cell r="I55">
            <v>2490759</v>
          </cell>
          <cell r="L55">
            <v>3222615</v>
          </cell>
          <cell r="M55">
            <v>3588431</v>
          </cell>
          <cell r="N55">
            <v>9590</v>
          </cell>
          <cell r="AG55">
            <v>13808</v>
          </cell>
        </row>
        <row r="56">
          <cell r="B56">
            <v>22008625.099999998</v>
          </cell>
          <cell r="D56">
            <v>14164560</v>
          </cell>
          <cell r="E56">
            <v>15621439</v>
          </cell>
          <cell r="H56">
            <v>2311304</v>
          </cell>
          <cell r="I56">
            <v>2298093</v>
          </cell>
          <cell r="L56">
            <v>3449527</v>
          </cell>
          <cell r="M56">
            <v>3374672</v>
          </cell>
          <cell r="N56">
            <v>9463</v>
          </cell>
          <cell r="AG56">
            <v>13817</v>
          </cell>
        </row>
        <row r="57">
          <cell r="B57">
            <v>17506649</v>
          </cell>
          <cell r="D57">
            <v>10773864</v>
          </cell>
          <cell r="E57">
            <v>13270734</v>
          </cell>
          <cell r="H57">
            <v>1970759</v>
          </cell>
          <cell r="I57">
            <v>2108802</v>
          </cell>
          <cell r="L57">
            <v>3144707</v>
          </cell>
          <cell r="M57">
            <v>3222013</v>
          </cell>
          <cell r="N57">
            <v>9467</v>
          </cell>
          <cell r="AG57">
            <v>13833</v>
          </cell>
        </row>
        <row r="58">
          <cell r="B58">
            <v>16720482.399999999</v>
          </cell>
          <cell r="D58">
            <v>9989674</v>
          </cell>
          <cell r="E58">
            <v>11078514</v>
          </cell>
          <cell r="H58">
            <v>1991763</v>
          </cell>
          <cell r="I58">
            <v>1972373</v>
          </cell>
          <cell r="L58">
            <v>3320523</v>
          </cell>
          <cell r="M58">
            <v>3132248</v>
          </cell>
          <cell r="N58">
            <v>9531</v>
          </cell>
          <cell r="AG58">
            <v>13832</v>
          </cell>
        </row>
        <row r="59">
          <cell r="B59">
            <v>17643644.800000001</v>
          </cell>
          <cell r="D59">
            <v>10480487</v>
          </cell>
          <cell r="E59">
            <v>9676642</v>
          </cell>
          <cell r="F59">
            <v>12867</v>
          </cell>
          <cell r="H59">
            <v>2203302</v>
          </cell>
          <cell r="I59">
            <v>1991446</v>
          </cell>
          <cell r="J59">
            <v>797</v>
          </cell>
          <cell r="L59">
            <v>3217349</v>
          </cell>
          <cell r="M59">
            <v>3329380</v>
          </cell>
          <cell r="N59">
            <v>10346</v>
          </cell>
          <cell r="O59">
            <v>80</v>
          </cell>
          <cell r="T59">
            <v>2371</v>
          </cell>
          <cell r="Y59">
            <v>189</v>
          </cell>
          <cell r="AC59">
            <v>90</v>
          </cell>
          <cell r="AG59">
            <v>13744</v>
          </cell>
        </row>
        <row r="60">
          <cell r="B60">
            <v>20377984.800000001</v>
          </cell>
          <cell r="D60">
            <v>12380113</v>
          </cell>
          <cell r="E60">
            <v>10606252</v>
          </cell>
          <cell r="H60">
            <v>2484696</v>
          </cell>
          <cell r="I60">
            <v>2270366</v>
          </cell>
          <cell r="L60">
            <v>3320788</v>
          </cell>
          <cell r="M60">
            <v>3338801</v>
          </cell>
          <cell r="N60">
            <v>10343</v>
          </cell>
          <cell r="AG60">
            <v>13764</v>
          </cell>
        </row>
        <row r="61">
          <cell r="B61">
            <v>18444800.600000001</v>
          </cell>
          <cell r="D61">
            <v>11213160</v>
          </cell>
          <cell r="E61">
            <v>12641414</v>
          </cell>
          <cell r="H61">
            <v>2359413</v>
          </cell>
          <cell r="I61">
            <v>2549349</v>
          </cell>
          <cell r="L61">
            <v>3261074</v>
          </cell>
          <cell r="M61">
            <v>3368844</v>
          </cell>
          <cell r="N61">
            <v>10388</v>
          </cell>
          <cell r="AG61">
            <v>13786</v>
          </cell>
        </row>
        <row r="62">
          <cell r="B62">
            <v>15835529.300000001</v>
          </cell>
          <cell r="D62">
            <v>9420147</v>
          </cell>
          <cell r="E62">
            <v>11429514</v>
          </cell>
          <cell r="H62">
            <v>2127231</v>
          </cell>
          <cell r="I62">
            <v>2310126</v>
          </cell>
          <cell r="L62">
            <v>3173965</v>
          </cell>
          <cell r="M62">
            <v>3250765</v>
          </cell>
          <cell r="N62">
            <v>10139</v>
          </cell>
          <cell r="AG62">
            <v>13796</v>
          </cell>
        </row>
        <row r="63">
          <cell r="B63">
            <v>18304413.900000002</v>
          </cell>
          <cell r="D63">
            <v>11103931</v>
          </cell>
          <cell r="E63">
            <v>9413297</v>
          </cell>
          <cell r="H63">
            <v>2278439</v>
          </cell>
          <cell r="I63">
            <v>2087372</v>
          </cell>
          <cell r="L63">
            <v>3391458</v>
          </cell>
          <cell r="M63">
            <v>3140200</v>
          </cell>
          <cell r="N63">
            <v>9949</v>
          </cell>
          <cell r="AG63">
            <v>13814</v>
          </cell>
        </row>
        <row r="64">
          <cell r="B64">
            <v>19538670.800000001</v>
          </cell>
          <cell r="D64">
            <v>12426249</v>
          </cell>
          <cell r="E64">
            <v>10724140</v>
          </cell>
          <cell r="H64">
            <v>2340246</v>
          </cell>
          <cell r="I64">
            <v>2268598</v>
          </cell>
          <cell r="L64">
            <v>3386870</v>
          </cell>
          <cell r="M64">
            <v>3398279</v>
          </cell>
          <cell r="N64">
            <v>10006</v>
          </cell>
          <cell r="AG64">
            <v>13635</v>
          </cell>
        </row>
        <row r="65">
          <cell r="B65">
            <v>22793828.200000003</v>
          </cell>
          <cell r="D65">
            <v>14468915</v>
          </cell>
          <cell r="E65">
            <v>12602857</v>
          </cell>
          <cell r="H65">
            <v>2439858</v>
          </cell>
          <cell r="I65">
            <v>2371734</v>
          </cell>
          <cell r="L65">
            <v>3333891</v>
          </cell>
          <cell r="M65">
            <v>3316070</v>
          </cell>
          <cell r="N65">
            <v>9361</v>
          </cell>
          <cell r="AG65">
            <v>13832</v>
          </cell>
        </row>
        <row r="66">
          <cell r="B66">
            <v>24279309.5</v>
          </cell>
          <cell r="D66">
            <v>16249963</v>
          </cell>
          <cell r="E66">
            <v>13359135</v>
          </cell>
          <cell r="H66">
            <v>2566158</v>
          </cell>
          <cell r="I66">
            <v>2484476</v>
          </cell>
          <cell r="L66">
            <v>3416075</v>
          </cell>
          <cell r="M66">
            <v>3189271</v>
          </cell>
          <cell r="N66">
            <v>9637</v>
          </cell>
          <cell r="AG66">
            <v>13849</v>
          </cell>
        </row>
        <row r="67">
          <cell r="B67">
            <v>23881688.099999998</v>
          </cell>
          <cell r="D67">
            <v>15687569</v>
          </cell>
          <cell r="E67">
            <v>16582997</v>
          </cell>
          <cell r="H67">
            <v>2449930</v>
          </cell>
          <cell r="I67">
            <v>2474877</v>
          </cell>
          <cell r="L67">
            <v>3153475</v>
          </cell>
          <cell r="M67">
            <v>3620413</v>
          </cell>
          <cell r="N67">
            <v>9026</v>
          </cell>
          <cell r="AG67">
            <v>13861</v>
          </cell>
        </row>
        <row r="68">
          <cell r="B68">
            <v>22297189.800000001</v>
          </cell>
          <cell r="D68">
            <v>14688141</v>
          </cell>
          <cell r="E68">
            <v>17004779</v>
          </cell>
          <cell r="H68">
            <v>2503057</v>
          </cell>
          <cell r="I68">
            <v>2630836</v>
          </cell>
          <cell r="L68">
            <v>3314545</v>
          </cell>
          <cell r="M68">
            <v>3263106</v>
          </cell>
          <cell r="N68">
            <v>9028</v>
          </cell>
          <cell r="AG68">
            <v>13865</v>
          </cell>
        </row>
        <row r="69">
          <cell r="B69">
            <v>18569417.100000001</v>
          </cell>
          <cell r="D69">
            <v>11526759</v>
          </cell>
          <cell r="E69">
            <v>13980983</v>
          </cell>
          <cell r="H69">
            <v>2150206</v>
          </cell>
          <cell r="I69">
            <v>2367577</v>
          </cell>
          <cell r="L69">
            <v>3030956</v>
          </cell>
          <cell r="M69">
            <v>3153434</v>
          </cell>
          <cell r="N69">
            <v>9239</v>
          </cell>
          <cell r="AG69">
            <v>13869</v>
          </cell>
        </row>
        <row r="70">
          <cell r="B70">
            <v>16382762.399999999</v>
          </cell>
          <cell r="D70">
            <v>9949931</v>
          </cell>
          <cell r="E70">
            <v>11711631</v>
          </cell>
          <cell r="H70">
            <v>2173559</v>
          </cell>
          <cell r="I70">
            <v>2113176</v>
          </cell>
          <cell r="L70">
            <v>3141479</v>
          </cell>
          <cell r="M70">
            <v>2984786</v>
          </cell>
          <cell r="N70">
            <v>9447</v>
          </cell>
          <cell r="AG70">
            <v>13873</v>
          </cell>
        </row>
        <row r="71">
          <cell r="B71">
            <v>17880105.399999999</v>
          </cell>
          <cell r="D71">
            <v>10346267</v>
          </cell>
          <cell r="E71">
            <v>9441969</v>
          </cell>
          <cell r="F71">
            <v>12991</v>
          </cell>
          <cell r="H71">
            <v>2286735</v>
          </cell>
          <cell r="I71">
            <v>2110715</v>
          </cell>
          <cell r="J71">
            <v>819</v>
          </cell>
          <cell r="L71">
            <v>3194900</v>
          </cell>
          <cell r="M71">
            <v>3078312</v>
          </cell>
          <cell r="N71">
            <v>8939</v>
          </cell>
          <cell r="O71">
            <v>71</v>
          </cell>
          <cell r="T71">
            <v>2489</v>
          </cell>
          <cell r="Y71">
            <v>186</v>
          </cell>
          <cell r="AC71">
            <v>89</v>
          </cell>
          <cell r="AG71">
            <v>13881</v>
          </cell>
        </row>
        <row r="72">
          <cell r="B72">
            <v>18476519.899999999</v>
          </cell>
          <cell r="D72">
            <v>11498005</v>
          </cell>
          <cell r="E72">
            <v>10622283</v>
          </cell>
          <cell r="H72">
            <v>2434031</v>
          </cell>
          <cell r="I72">
            <v>2387466</v>
          </cell>
          <cell r="L72">
            <v>3204487</v>
          </cell>
          <cell r="M72">
            <v>3246083</v>
          </cell>
          <cell r="N72">
            <v>9860</v>
          </cell>
          <cell r="AG72">
            <v>13905</v>
          </cell>
        </row>
        <row r="73">
          <cell r="B73">
            <v>19239333.699999999</v>
          </cell>
          <cell r="D73">
            <v>11423707</v>
          </cell>
          <cell r="E73">
            <v>11487951</v>
          </cell>
          <cell r="H73">
            <v>2419591</v>
          </cell>
          <cell r="I73">
            <v>2457241</v>
          </cell>
          <cell r="L73">
            <v>3218318</v>
          </cell>
          <cell r="M73">
            <v>2952356</v>
          </cell>
          <cell r="N73">
            <v>9614</v>
          </cell>
          <cell r="AG73">
            <v>13925</v>
          </cell>
        </row>
        <row r="74">
          <cell r="B74">
            <v>16489843.199999999</v>
          </cell>
          <cell r="D74">
            <v>9689281</v>
          </cell>
          <cell r="E74">
            <v>11862099</v>
          </cell>
          <cell r="H74">
            <v>2195496</v>
          </cell>
          <cell r="I74">
            <v>2436306</v>
          </cell>
          <cell r="L74">
            <v>3271925</v>
          </cell>
          <cell r="M74">
            <v>3281849</v>
          </cell>
          <cell r="N74">
            <v>9864</v>
          </cell>
          <cell r="AG74">
            <v>13949</v>
          </cell>
        </row>
        <row r="75">
          <cell r="B75">
            <v>17241374.899999999</v>
          </cell>
          <cell r="D75">
            <v>10253643</v>
          </cell>
          <cell r="E75">
            <v>9282522</v>
          </cell>
          <cell r="H75">
            <v>2297711</v>
          </cell>
          <cell r="I75">
            <v>2061103</v>
          </cell>
          <cell r="L75">
            <v>3588707</v>
          </cell>
          <cell r="M75">
            <v>3276736</v>
          </cell>
          <cell r="N75">
            <v>11088</v>
          </cell>
          <cell r="AG75">
            <v>13987</v>
          </cell>
        </row>
        <row r="76">
          <cell r="B76">
            <v>20822608.399999999</v>
          </cell>
          <cell r="D76">
            <v>12917037</v>
          </cell>
          <cell r="E76">
            <v>9944313</v>
          </cell>
          <cell r="H76">
            <v>2455130</v>
          </cell>
          <cell r="I76">
            <v>2297515</v>
          </cell>
          <cell r="L76">
            <v>3761009</v>
          </cell>
          <cell r="M76">
            <v>3657905</v>
          </cell>
          <cell r="N76">
            <v>11005</v>
          </cell>
          <cell r="AG76">
            <v>14001</v>
          </cell>
        </row>
        <row r="77">
          <cell r="B77">
            <v>25594483.699999999</v>
          </cell>
          <cell r="D77">
            <v>16029153</v>
          </cell>
          <cell r="E77">
            <v>13410240</v>
          </cell>
          <cell r="H77">
            <v>2654818</v>
          </cell>
          <cell r="I77">
            <v>2642134</v>
          </cell>
          <cell r="L77">
            <v>3870949</v>
          </cell>
          <cell r="M77">
            <v>3616319</v>
          </cell>
          <cell r="N77">
            <v>10209</v>
          </cell>
          <cell r="AG77">
            <v>14035</v>
          </cell>
        </row>
        <row r="78">
          <cell r="B78">
            <v>25337707.800000001</v>
          </cell>
          <cell r="D78">
            <v>16108836</v>
          </cell>
          <cell r="E78">
            <v>16499561</v>
          </cell>
          <cell r="H78">
            <v>2708152</v>
          </cell>
          <cell r="I78">
            <v>2762969</v>
          </cell>
          <cell r="L78">
            <v>3952667</v>
          </cell>
          <cell r="M78">
            <v>4190903.79</v>
          </cell>
          <cell r="N78">
            <v>10883.6</v>
          </cell>
          <cell r="AG78">
            <v>14052</v>
          </cell>
        </row>
        <row r="79">
          <cell r="B79">
            <v>23919251.399999999</v>
          </cell>
          <cell r="D79">
            <v>15111865</v>
          </cell>
          <cell r="E79">
            <v>15757929</v>
          </cell>
          <cell r="H79">
            <v>2543856</v>
          </cell>
          <cell r="I79">
            <v>2627147</v>
          </cell>
          <cell r="L79">
            <v>3721999</v>
          </cell>
          <cell r="M79">
            <v>3832043.63</v>
          </cell>
          <cell r="N79">
            <v>11124.2</v>
          </cell>
          <cell r="AG79">
            <v>14069</v>
          </cell>
        </row>
        <row r="80">
          <cell r="B80">
            <v>23324392.199999999</v>
          </cell>
          <cell r="D80">
            <v>14824395</v>
          </cell>
          <cell r="E80">
            <v>16269591</v>
          </cell>
          <cell r="H80">
            <v>2579260</v>
          </cell>
          <cell r="I80">
            <v>2746822</v>
          </cell>
          <cell r="L80">
            <v>3767626</v>
          </cell>
          <cell r="M80">
            <v>3968354.96</v>
          </cell>
          <cell r="N80">
            <v>10817.97</v>
          </cell>
          <cell r="AG80">
            <v>14091</v>
          </cell>
        </row>
        <row r="81">
          <cell r="B81">
            <v>17845472.600000001</v>
          </cell>
          <cell r="D81">
            <v>10995224</v>
          </cell>
          <cell r="E81">
            <v>13930954</v>
          </cell>
          <cell r="H81">
            <v>2176154</v>
          </cell>
          <cell r="I81">
            <v>2317454</v>
          </cell>
          <cell r="L81">
            <v>3502956</v>
          </cell>
          <cell r="M81">
            <v>3497459.29</v>
          </cell>
          <cell r="N81">
            <v>10786.43</v>
          </cell>
          <cell r="AG81">
            <v>14109</v>
          </cell>
        </row>
        <row r="82">
          <cell r="B82">
            <v>17203594.699999999</v>
          </cell>
          <cell r="D82">
            <v>10238538</v>
          </cell>
          <cell r="E82">
            <v>10697659</v>
          </cell>
          <cell r="H82">
            <v>2168104</v>
          </cell>
          <cell r="I82">
            <v>2096189</v>
          </cell>
          <cell r="L82">
            <v>3563732</v>
          </cell>
          <cell r="M82">
            <v>3363337.73</v>
          </cell>
          <cell r="N82">
            <v>10931.11</v>
          </cell>
          <cell r="AG82">
            <v>14151</v>
          </cell>
        </row>
        <row r="83">
          <cell r="B83">
            <v>17657148.199999999</v>
          </cell>
          <cell r="D83">
            <v>10371805</v>
          </cell>
          <cell r="E83">
            <v>10066555</v>
          </cell>
          <cell r="F83">
            <v>13277</v>
          </cell>
          <cell r="H83">
            <v>2214082</v>
          </cell>
          <cell r="I83">
            <v>2120561</v>
          </cell>
          <cell r="J83">
            <v>836</v>
          </cell>
          <cell r="L83">
            <v>3531127</v>
          </cell>
          <cell r="M83">
            <v>3568466.32</v>
          </cell>
          <cell r="N83">
            <v>10815.33</v>
          </cell>
          <cell r="O83">
            <v>73</v>
          </cell>
          <cell r="T83">
            <v>2588</v>
          </cell>
          <cell r="Y83">
            <v>186</v>
          </cell>
          <cell r="AC83">
            <v>84</v>
          </cell>
          <cell r="AG83">
            <v>14186</v>
          </cell>
        </row>
        <row r="84">
          <cell r="B84">
            <v>19399005.699999999</v>
          </cell>
          <cell r="D84">
            <v>11432740</v>
          </cell>
          <cell r="E84">
            <v>10344780</v>
          </cell>
          <cell r="H84">
            <v>2343602</v>
          </cell>
          <cell r="I84">
            <v>2281869</v>
          </cell>
          <cell r="L84">
            <v>3652158</v>
          </cell>
          <cell r="M84">
            <v>3609092.71</v>
          </cell>
          <cell r="N84">
            <v>11417.45</v>
          </cell>
          <cell r="AG84">
            <v>14218</v>
          </cell>
        </row>
        <row r="85">
          <cell r="B85">
            <v>18496934.800000001</v>
          </cell>
          <cell r="D85">
            <v>10970422</v>
          </cell>
          <cell r="E85">
            <v>11684966</v>
          </cell>
          <cell r="H85">
            <v>2300528</v>
          </cell>
          <cell r="I85">
            <v>2342236</v>
          </cell>
          <cell r="L85">
            <v>3705140</v>
          </cell>
          <cell r="M85">
            <v>3383729.22</v>
          </cell>
          <cell r="N85">
            <v>10696.82</v>
          </cell>
          <cell r="AG85">
            <v>14260</v>
          </cell>
        </row>
        <row r="86">
          <cell r="B86">
            <v>16944225</v>
          </cell>
          <cell r="D86">
            <v>9784362</v>
          </cell>
          <cell r="E86">
            <v>10754551</v>
          </cell>
          <cell r="H86">
            <v>2111286</v>
          </cell>
          <cell r="I86">
            <v>2220684</v>
          </cell>
          <cell r="L86">
            <v>3825164</v>
          </cell>
          <cell r="M86">
            <v>3956230.63</v>
          </cell>
          <cell r="N86">
            <v>12504.78</v>
          </cell>
          <cell r="AG86">
            <v>14297</v>
          </cell>
        </row>
        <row r="87">
          <cell r="B87">
            <v>18736114.300000001</v>
          </cell>
          <cell r="D87">
            <v>10926030</v>
          </cell>
          <cell r="E87">
            <v>10046767</v>
          </cell>
          <cell r="H87">
            <v>2222937</v>
          </cell>
          <cell r="I87">
            <v>2231674</v>
          </cell>
          <cell r="L87">
            <v>4010251</v>
          </cell>
          <cell r="M87">
            <v>3929232.58</v>
          </cell>
          <cell r="N87">
            <v>12072.95</v>
          </cell>
          <cell r="AG87">
            <v>14337</v>
          </cell>
        </row>
        <row r="88">
          <cell r="B88">
            <v>20914295.899999999</v>
          </cell>
          <cell r="D88">
            <v>13094794</v>
          </cell>
          <cell r="E88">
            <v>11219021</v>
          </cell>
          <cell r="H88">
            <v>2396744</v>
          </cell>
          <cell r="I88">
            <v>2295081</v>
          </cell>
          <cell r="L88">
            <v>4029874</v>
          </cell>
          <cell r="M88">
            <v>4032275.19</v>
          </cell>
          <cell r="N88">
            <v>11417.41</v>
          </cell>
          <cell r="AG88">
            <v>14348</v>
          </cell>
        </row>
        <row r="89">
          <cell r="B89">
            <v>25844885.199999999</v>
          </cell>
          <cell r="D89">
            <v>16764512</v>
          </cell>
          <cell r="E89">
            <v>12688287</v>
          </cell>
          <cell r="H89">
            <v>2623822</v>
          </cell>
          <cell r="I89">
            <v>2356995</v>
          </cell>
          <cell r="L89">
            <v>4253129</v>
          </cell>
          <cell r="M89">
            <v>3938279.52</v>
          </cell>
          <cell r="N89">
            <v>11224.8</v>
          </cell>
          <cell r="AG89">
            <v>14388</v>
          </cell>
        </row>
        <row r="90">
          <cell r="B90">
            <v>27698757.900000002</v>
          </cell>
          <cell r="D90">
            <v>17810584</v>
          </cell>
          <cell r="E90">
            <v>16151342</v>
          </cell>
          <cell r="H90">
            <v>2722823</v>
          </cell>
          <cell r="I90">
            <v>2608755</v>
          </cell>
          <cell r="L90">
            <v>4093327</v>
          </cell>
          <cell r="M90">
            <v>4295167.7300000004</v>
          </cell>
          <cell r="N90">
            <v>11199.28</v>
          </cell>
          <cell r="AG90">
            <v>14411</v>
          </cell>
        </row>
        <row r="91">
          <cell r="B91">
            <v>22854686.900000002</v>
          </cell>
          <cell r="D91">
            <v>14875943</v>
          </cell>
          <cell r="E91">
            <v>18563226</v>
          </cell>
          <cell r="H91">
            <v>2424700</v>
          </cell>
          <cell r="I91">
            <v>2720833</v>
          </cell>
          <cell r="L91">
            <v>3845597</v>
          </cell>
          <cell r="M91">
            <v>4131836.09</v>
          </cell>
          <cell r="N91">
            <v>11214.19</v>
          </cell>
          <cell r="AG91">
            <v>14426</v>
          </cell>
        </row>
        <row r="92">
          <cell r="B92">
            <v>22750703.800000001</v>
          </cell>
          <cell r="D92">
            <v>14168411</v>
          </cell>
          <cell r="E92">
            <v>14708480</v>
          </cell>
          <cell r="H92">
            <v>2427300</v>
          </cell>
          <cell r="I92">
            <v>2425730</v>
          </cell>
          <cell r="L92">
            <v>4098357</v>
          </cell>
          <cell r="M92">
            <v>3821610.82</v>
          </cell>
          <cell r="N92">
            <v>11022.45</v>
          </cell>
          <cell r="AG92">
            <v>14438</v>
          </cell>
        </row>
        <row r="93">
          <cell r="B93">
            <v>18949041.899999999</v>
          </cell>
          <cell r="D93">
            <v>11457915</v>
          </cell>
          <cell r="E93">
            <v>13943527</v>
          </cell>
          <cell r="H93">
            <v>2234311</v>
          </cell>
          <cell r="I93">
            <v>2416833</v>
          </cell>
          <cell r="L93">
            <v>3726593</v>
          </cell>
          <cell r="M93">
            <v>4035074.06</v>
          </cell>
          <cell r="N93">
            <v>10848.5</v>
          </cell>
          <cell r="AG93">
            <v>14448</v>
          </cell>
        </row>
        <row r="94">
          <cell r="B94">
            <v>17348781.300000001</v>
          </cell>
          <cell r="D94">
            <v>10081810</v>
          </cell>
          <cell r="E94">
            <v>11914694</v>
          </cell>
          <cell r="H94">
            <v>2126121</v>
          </cell>
          <cell r="I94">
            <v>2145717</v>
          </cell>
          <cell r="L94">
            <v>3697247</v>
          </cell>
          <cell r="M94">
            <v>3809794.5</v>
          </cell>
          <cell r="N94">
            <v>10796.08</v>
          </cell>
          <cell r="AG94">
            <v>14455</v>
          </cell>
        </row>
        <row r="95">
          <cell r="B95">
            <v>17392957.300000001</v>
          </cell>
          <cell r="D95">
            <v>9854813</v>
          </cell>
          <cell r="E95">
            <v>9778256</v>
          </cell>
          <cell r="F95">
            <v>13533</v>
          </cell>
          <cell r="H95">
            <v>2169041</v>
          </cell>
          <cell r="I95">
            <v>2034794</v>
          </cell>
          <cell r="J95">
            <v>855</v>
          </cell>
          <cell r="L95">
            <v>3539269</v>
          </cell>
          <cell r="M95">
            <v>3640384.95</v>
          </cell>
          <cell r="N95">
            <v>10794.83</v>
          </cell>
          <cell r="O95">
            <v>72</v>
          </cell>
          <cell r="T95">
            <v>2625</v>
          </cell>
          <cell r="Y95">
            <v>193</v>
          </cell>
          <cell r="AC95">
            <v>83</v>
          </cell>
          <cell r="AG95">
            <v>14460</v>
          </cell>
        </row>
        <row r="96">
          <cell r="B96">
            <v>18006297.300000001</v>
          </cell>
          <cell r="D96">
            <v>10889246</v>
          </cell>
          <cell r="E96">
            <v>9961811</v>
          </cell>
          <cell r="H96">
            <v>2310652</v>
          </cell>
          <cell r="I96">
            <v>2245725</v>
          </cell>
          <cell r="L96">
            <v>3698838</v>
          </cell>
          <cell r="M96">
            <v>3699575.77</v>
          </cell>
          <cell r="N96">
            <v>11558.97</v>
          </cell>
          <cell r="AG96">
            <v>14710</v>
          </cell>
        </row>
        <row r="97">
          <cell r="B97">
            <v>20135392.300000001</v>
          </cell>
          <cell r="D97">
            <v>11628804</v>
          </cell>
          <cell r="E97">
            <v>11035566</v>
          </cell>
          <cell r="H97">
            <v>2378057</v>
          </cell>
          <cell r="I97">
            <v>2339287</v>
          </cell>
          <cell r="L97">
            <v>4067503</v>
          </cell>
          <cell r="M97">
            <v>3727060.31</v>
          </cell>
          <cell r="N97">
            <v>10696.82</v>
          </cell>
          <cell r="AG97">
            <v>14976</v>
          </cell>
        </row>
        <row r="98">
          <cell r="B98">
            <v>17368091.399999999</v>
          </cell>
          <cell r="D98">
            <v>9993074</v>
          </cell>
          <cell r="E98">
            <v>12007931</v>
          </cell>
          <cell r="H98">
            <v>2164587</v>
          </cell>
          <cell r="I98">
            <v>2413718</v>
          </cell>
          <cell r="L98">
            <v>4020681</v>
          </cell>
          <cell r="M98">
            <v>4051075.08</v>
          </cell>
          <cell r="N98">
            <v>12014.58</v>
          </cell>
          <cell r="AG98">
            <v>15073</v>
          </cell>
        </row>
        <row r="99">
          <cell r="B99">
            <v>19458169</v>
          </cell>
          <cell r="D99">
            <v>11313182</v>
          </cell>
          <cell r="E99">
            <v>9771116</v>
          </cell>
          <cell r="H99">
            <v>2341208</v>
          </cell>
          <cell r="I99">
            <v>2132756</v>
          </cell>
          <cell r="L99">
            <v>4114121</v>
          </cell>
          <cell r="M99">
            <v>3978984.51</v>
          </cell>
          <cell r="N99">
            <v>12443.72</v>
          </cell>
          <cell r="AG99">
            <v>15110</v>
          </cell>
        </row>
        <row r="100">
          <cell r="B100">
            <v>19998429.5</v>
          </cell>
          <cell r="D100">
            <v>12003176</v>
          </cell>
          <cell r="E100">
            <v>10868547</v>
          </cell>
          <cell r="H100">
            <v>2351792</v>
          </cell>
          <cell r="I100">
            <v>2263113</v>
          </cell>
          <cell r="L100">
            <v>4196370</v>
          </cell>
          <cell r="M100">
            <v>4067336.45</v>
          </cell>
          <cell r="N100">
            <v>11954.84</v>
          </cell>
          <cell r="AG100">
            <v>15107</v>
          </cell>
        </row>
        <row r="101">
          <cell r="B101">
            <v>25277880.599999998</v>
          </cell>
          <cell r="D101">
            <v>15992024</v>
          </cell>
          <cell r="E101">
            <v>11669281</v>
          </cell>
          <cell r="H101">
            <v>2667735</v>
          </cell>
          <cell r="I101">
            <v>2366172</v>
          </cell>
          <cell r="L101">
            <v>4346550</v>
          </cell>
          <cell r="M101">
            <v>4215357.9400000004</v>
          </cell>
          <cell r="N101">
            <v>11578.03</v>
          </cell>
          <cell r="AG101">
            <v>14563</v>
          </cell>
        </row>
        <row r="102">
          <cell r="B102">
            <v>26451955.599999998</v>
          </cell>
          <cell r="D102">
            <v>16758847</v>
          </cell>
          <cell r="E102">
            <v>16418169</v>
          </cell>
          <cell r="H102">
            <v>2750890</v>
          </cell>
          <cell r="I102">
            <v>2782895</v>
          </cell>
          <cell r="L102">
            <v>4467755</v>
          </cell>
          <cell r="M102">
            <v>4376478.6399999997</v>
          </cell>
          <cell r="N102">
            <v>11900.95</v>
          </cell>
          <cell r="AG102">
            <v>14554</v>
          </cell>
        </row>
        <row r="103">
          <cell r="B103">
            <v>22355017.900000002</v>
          </cell>
          <cell r="D103">
            <v>14108588</v>
          </cell>
          <cell r="E103">
            <v>16282318</v>
          </cell>
          <cell r="H103">
            <v>2436943</v>
          </cell>
          <cell r="I103">
            <v>2671776</v>
          </cell>
          <cell r="L103">
            <v>4091689</v>
          </cell>
          <cell r="M103">
            <v>4396877.49</v>
          </cell>
          <cell r="N103">
            <v>11242.31</v>
          </cell>
          <cell r="AG103">
            <v>14553</v>
          </cell>
        </row>
        <row r="104">
          <cell r="B104">
            <v>21335193</v>
          </cell>
          <cell r="D104">
            <v>12565986</v>
          </cell>
          <cell r="E104">
            <v>14549183</v>
          </cell>
          <cell r="H104">
            <v>2344061</v>
          </cell>
          <cell r="I104">
            <v>2482111</v>
          </cell>
          <cell r="L104">
            <v>4408918</v>
          </cell>
          <cell r="M104">
            <v>4123402.2400000002</v>
          </cell>
          <cell r="N104">
            <v>11564.8</v>
          </cell>
          <cell r="AG104">
            <v>14566</v>
          </cell>
        </row>
        <row r="105">
          <cell r="B105">
            <v>17366211</v>
          </cell>
          <cell r="D105">
            <v>10254608</v>
          </cell>
          <cell r="E105">
            <v>12625592</v>
          </cell>
          <cell r="H105">
            <v>2116368</v>
          </cell>
          <cell r="I105">
            <v>2263011</v>
          </cell>
          <cell r="L105">
            <v>3956850</v>
          </cell>
          <cell r="M105">
            <v>4403625</v>
          </cell>
          <cell r="N105">
            <v>11943</v>
          </cell>
          <cell r="AG105">
            <v>14576</v>
          </cell>
        </row>
        <row r="106">
          <cell r="B106">
            <v>18594842.100000001</v>
          </cell>
          <cell r="D106">
            <v>10319214</v>
          </cell>
          <cell r="E106">
            <v>10499094.57</v>
          </cell>
          <cell r="H106">
            <v>2317663</v>
          </cell>
          <cell r="I106">
            <v>2195701</v>
          </cell>
          <cell r="L106">
            <v>4178542</v>
          </cell>
          <cell r="M106">
            <v>3990018.51</v>
          </cell>
          <cell r="N106">
            <v>11602.16</v>
          </cell>
          <cell r="AG106">
            <v>14570</v>
          </cell>
        </row>
        <row r="107">
          <cell r="B107">
            <v>18232281.300000001</v>
          </cell>
          <cell r="D107">
            <v>10886710</v>
          </cell>
          <cell r="E107">
            <v>9891283.3300000001</v>
          </cell>
          <cell r="F107">
            <v>13651</v>
          </cell>
          <cell r="H107">
            <v>2346316</v>
          </cell>
          <cell r="I107">
            <v>2294812</v>
          </cell>
          <cell r="J107">
            <v>865</v>
          </cell>
          <cell r="L107">
            <v>4295870</v>
          </cell>
          <cell r="M107">
            <v>4145529.95</v>
          </cell>
          <cell r="N107">
            <v>12118.61</v>
          </cell>
          <cell r="O107">
            <v>68</v>
          </cell>
          <cell r="T107">
            <v>2685</v>
          </cell>
          <cell r="Y107">
            <v>201</v>
          </cell>
          <cell r="AC107">
            <v>82</v>
          </cell>
          <cell r="AG107">
            <v>14584</v>
          </cell>
        </row>
        <row r="108">
          <cell r="B108">
            <v>22225961.800000001</v>
          </cell>
          <cell r="D108">
            <v>12945230</v>
          </cell>
          <cell r="E108">
            <v>11027370.43</v>
          </cell>
          <cell r="H108">
            <v>2633804</v>
          </cell>
          <cell r="I108">
            <v>2346508</v>
          </cell>
          <cell r="L108">
            <v>4296963</v>
          </cell>
          <cell r="M108">
            <v>4359079.01</v>
          </cell>
          <cell r="N108">
            <v>12362.87</v>
          </cell>
          <cell r="AG108">
            <v>14599</v>
          </cell>
        </row>
        <row r="109">
          <cell r="B109">
            <v>21301864.899999999</v>
          </cell>
          <cell r="D109">
            <v>12216023</v>
          </cell>
          <cell r="E109">
            <v>12676182.529999999</v>
          </cell>
          <cell r="H109">
            <v>2573532</v>
          </cell>
          <cell r="I109">
            <v>2613536</v>
          </cell>
          <cell r="L109">
            <v>4422302</v>
          </cell>
          <cell r="M109">
            <v>4223830.09</v>
          </cell>
          <cell r="N109">
            <v>12588.76</v>
          </cell>
          <cell r="AG109">
            <v>14633</v>
          </cell>
        </row>
        <row r="110">
          <cell r="B110">
            <v>17785837.5</v>
          </cell>
          <cell r="D110">
            <v>10068692</v>
          </cell>
          <cell r="E110">
            <v>12354414.17</v>
          </cell>
          <cell r="H110">
            <v>2297240</v>
          </cell>
          <cell r="I110">
            <v>2556719</v>
          </cell>
          <cell r="L110">
            <v>4190730</v>
          </cell>
          <cell r="M110">
            <v>4455848.9400000004</v>
          </cell>
          <cell r="N110">
            <v>12170.46</v>
          </cell>
          <cell r="AG110">
            <v>14646</v>
          </cell>
        </row>
        <row r="111">
          <cell r="B111">
            <v>18734173.199999999</v>
          </cell>
          <cell r="D111">
            <v>10537708</v>
          </cell>
          <cell r="E111">
            <v>10209815.460000001</v>
          </cell>
          <cell r="H111">
            <v>2376983</v>
          </cell>
          <cell r="I111">
            <v>2252041</v>
          </cell>
          <cell r="L111">
            <v>4346909</v>
          </cell>
          <cell r="M111">
            <v>4182550.26</v>
          </cell>
          <cell r="N111">
            <v>12621.87</v>
          </cell>
          <cell r="AG111">
            <v>14664</v>
          </cell>
        </row>
        <row r="112">
          <cell r="B112">
            <v>20451455.399999999</v>
          </cell>
          <cell r="D112">
            <v>12377930</v>
          </cell>
          <cell r="E112">
            <v>10124892.130000001</v>
          </cell>
          <cell r="H112">
            <v>2420856</v>
          </cell>
          <cell r="I112">
            <v>2317465</v>
          </cell>
          <cell r="L112">
            <v>4206995</v>
          </cell>
          <cell r="M112">
            <v>4261751.5199999996</v>
          </cell>
          <cell r="N112">
            <v>12419.76</v>
          </cell>
          <cell r="AG112">
            <v>14688</v>
          </cell>
        </row>
        <row r="113">
          <cell r="B113">
            <v>25404585.100000001</v>
          </cell>
          <cell r="D113">
            <v>15852526</v>
          </cell>
          <cell r="E113">
            <v>11682041.609999999</v>
          </cell>
          <cell r="H113">
            <v>2808483</v>
          </cell>
          <cell r="I113">
            <v>2412299</v>
          </cell>
          <cell r="L113">
            <v>4242518</v>
          </cell>
          <cell r="M113">
            <v>4209779.47</v>
          </cell>
          <cell r="N113">
            <v>11966.66</v>
          </cell>
          <cell r="AG113">
            <v>14707</v>
          </cell>
        </row>
        <row r="114">
          <cell r="B114">
            <v>26274474</v>
          </cell>
          <cell r="D114">
            <v>16696145</v>
          </cell>
          <cell r="E114">
            <v>16242938.65</v>
          </cell>
          <cell r="H114">
            <v>2916087</v>
          </cell>
          <cell r="I114">
            <v>2902176</v>
          </cell>
          <cell r="L114">
            <v>4294433</v>
          </cell>
          <cell r="M114">
            <v>4370601.7699999996</v>
          </cell>
          <cell r="N114">
            <v>11373</v>
          </cell>
          <cell r="AG114">
            <v>14713</v>
          </cell>
        </row>
        <row r="115">
          <cell r="B115">
            <v>22971970.300000001</v>
          </cell>
          <cell r="D115">
            <v>14407275</v>
          </cell>
          <cell r="E115">
            <v>10612488</v>
          </cell>
          <cell r="H115">
            <v>2595862</v>
          </cell>
          <cell r="I115">
            <v>1622310</v>
          </cell>
          <cell r="L115">
            <v>3932436</v>
          </cell>
          <cell r="M115">
            <v>3136145.82</v>
          </cell>
          <cell r="N115">
            <v>7571</v>
          </cell>
          <cell r="AG115">
            <v>14716</v>
          </cell>
        </row>
        <row r="116">
          <cell r="B116">
            <v>22951605.199999999</v>
          </cell>
          <cell r="D116">
            <v>14015514</v>
          </cell>
          <cell r="E116">
            <v>19095639.57</v>
          </cell>
          <cell r="H116">
            <v>2660869</v>
          </cell>
          <cell r="I116">
            <v>3362526</v>
          </cell>
          <cell r="L116">
            <v>4256728</v>
          </cell>
          <cell r="M116">
            <v>4646931.3600000003</v>
          </cell>
          <cell r="N116">
            <v>11700</v>
          </cell>
          <cell r="AG116">
            <v>14728</v>
          </cell>
        </row>
        <row r="117">
          <cell r="B117">
            <v>18914566.699999999</v>
          </cell>
          <cell r="D117">
            <v>11306265</v>
          </cell>
          <cell r="E117">
            <v>15522831</v>
          </cell>
          <cell r="H117">
            <v>2340953</v>
          </cell>
          <cell r="I117">
            <v>2850578</v>
          </cell>
          <cell r="L117">
            <v>3978925</v>
          </cell>
          <cell r="M117">
            <v>4346317.0199999996</v>
          </cell>
          <cell r="N117">
            <v>11197</v>
          </cell>
          <cell r="AG117">
            <v>14729</v>
          </cell>
        </row>
        <row r="118">
          <cell r="B118">
            <v>17615740</v>
          </cell>
          <cell r="D118">
            <v>9737594</v>
          </cell>
          <cell r="E118">
            <v>12440512.48</v>
          </cell>
          <cell r="H118">
            <v>2315445</v>
          </cell>
          <cell r="I118">
            <v>2521293.64</v>
          </cell>
          <cell r="L118">
            <v>4091845</v>
          </cell>
          <cell r="M118">
            <v>4144014.07</v>
          </cell>
          <cell r="N118">
            <v>11307.42</v>
          </cell>
          <cell r="AG118">
            <v>14733</v>
          </cell>
        </row>
        <row r="119">
          <cell r="B119">
            <v>17571916.300000001</v>
          </cell>
          <cell r="D119">
            <v>9716476</v>
          </cell>
          <cell r="E119">
            <v>10086982</v>
          </cell>
          <cell r="F119">
            <v>13779</v>
          </cell>
          <cell r="H119">
            <v>2399956</v>
          </cell>
          <cell r="I119">
            <v>2378519</v>
          </cell>
          <cell r="J119">
            <v>896</v>
          </cell>
          <cell r="L119">
            <v>4026185</v>
          </cell>
          <cell r="M119">
            <v>4071330.09</v>
          </cell>
          <cell r="N119">
            <v>12414.22</v>
          </cell>
          <cell r="O119">
            <v>67</v>
          </cell>
          <cell r="T119">
            <v>2728</v>
          </cell>
          <cell r="Y119">
            <v>225</v>
          </cell>
          <cell r="AC119">
            <v>81</v>
          </cell>
          <cell r="AG119">
            <v>14742</v>
          </cell>
        </row>
        <row r="120">
          <cell r="B120">
            <v>22292830.300000001</v>
          </cell>
          <cell r="D120">
            <v>13535935</v>
          </cell>
          <cell r="E120">
            <v>9720248.5899999999</v>
          </cell>
          <cell r="H120">
            <v>2786776</v>
          </cell>
          <cell r="I120">
            <v>2383991.4900000002</v>
          </cell>
          <cell r="L120">
            <v>4195592</v>
          </cell>
          <cell r="M120">
            <v>4045431.19</v>
          </cell>
          <cell r="N120">
            <v>12303.65</v>
          </cell>
          <cell r="AG120">
            <v>14759</v>
          </cell>
        </row>
        <row r="121">
          <cell r="B121">
            <v>19354570.300000001</v>
          </cell>
          <cell r="D121">
            <v>11675437</v>
          </cell>
          <cell r="E121">
            <v>13530610.02</v>
          </cell>
          <cell r="H121">
            <v>2615109</v>
          </cell>
          <cell r="I121">
            <v>2832982.52</v>
          </cell>
          <cell r="L121">
            <v>4267059</v>
          </cell>
          <cell r="M121">
            <v>4259906.5999999996</v>
          </cell>
          <cell r="N121">
            <v>12567.55</v>
          </cell>
          <cell r="AG121">
            <v>14772</v>
          </cell>
        </row>
        <row r="122">
          <cell r="B122">
            <v>17323768.100000001</v>
          </cell>
          <cell r="D122">
            <v>9553832</v>
          </cell>
          <cell r="E122">
            <v>11681600.26</v>
          </cell>
          <cell r="H122">
            <v>2322637</v>
          </cell>
          <cell r="I122">
            <v>2561934.67</v>
          </cell>
          <cell r="L122">
            <v>4093999</v>
          </cell>
          <cell r="M122">
            <v>4217756.53</v>
          </cell>
          <cell r="N122">
            <v>12390.52</v>
          </cell>
          <cell r="AG122">
            <v>14772</v>
          </cell>
        </row>
        <row r="123">
          <cell r="B123">
            <v>18576164</v>
          </cell>
          <cell r="D123">
            <v>10426163</v>
          </cell>
          <cell r="E123">
            <v>9548075</v>
          </cell>
          <cell r="H123">
            <v>2383183</v>
          </cell>
          <cell r="I123">
            <v>2498390</v>
          </cell>
          <cell r="L123">
            <v>4238340</v>
          </cell>
          <cell r="M123">
            <v>4235240</v>
          </cell>
          <cell r="N123">
            <v>12603</v>
          </cell>
          <cell r="AG123">
            <v>14794</v>
          </cell>
        </row>
        <row r="124">
          <cell r="B124">
            <v>19598868</v>
          </cell>
          <cell r="D124">
            <v>11200470</v>
          </cell>
          <cell r="E124">
            <v>10406016</v>
          </cell>
          <cell r="H124">
            <v>2441092</v>
          </cell>
          <cell r="I124">
            <v>2327792</v>
          </cell>
          <cell r="L124">
            <v>4324842</v>
          </cell>
          <cell r="M124">
            <v>4132723</v>
          </cell>
          <cell r="N124">
            <v>12239</v>
          </cell>
          <cell r="AG124">
            <v>14809</v>
          </cell>
        </row>
        <row r="125">
          <cell r="B125">
            <v>23311694</v>
          </cell>
          <cell r="D125">
            <v>14406250</v>
          </cell>
          <cell r="E125">
            <v>11210168</v>
          </cell>
          <cell r="H125">
            <v>2685737</v>
          </cell>
          <cell r="I125">
            <v>2306202</v>
          </cell>
          <cell r="L125">
            <v>4305174</v>
          </cell>
          <cell r="M125">
            <v>4315288</v>
          </cell>
          <cell r="N125">
            <v>11759</v>
          </cell>
          <cell r="AG125">
            <v>14826</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ow r="8">
          <cell r="C8" t="str">
            <v>C:\Documents and Settings\jcochrane.ERA-INC\My Documents\2008EDR\FTYv1.3</v>
          </cell>
        </row>
      </sheetData>
      <sheetData sheetId="1"/>
      <sheetData sheetId="2"/>
      <sheetData sheetId="3"/>
      <sheetData sheetId="4"/>
      <sheetData sheetId="5"/>
      <sheetData sheetId="6">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ON-RPP KWH WITH LOSS"/>
      <sheetName val="NON-RPP NO LOSS"/>
      <sheetName val="RPP USAGE WITH LOSS"/>
      <sheetName val="RPP USAGE NO LOSSES"/>
      <sheetName val="NORTHSTAR DATA"/>
    </sheetNames>
    <sheetDataSet>
      <sheetData sheetId="0">
        <row r="34">
          <cell r="D34">
            <v>4.5442974306236429E-2</v>
          </cell>
        </row>
        <row r="35">
          <cell r="D35">
            <v>0.82382192372139251</v>
          </cell>
        </row>
        <row r="36">
          <cell r="D36">
            <v>0.88557654391961693</v>
          </cell>
        </row>
        <row r="37">
          <cell r="D37">
            <v>0</v>
          </cell>
        </row>
        <row r="38">
          <cell r="D38">
            <v>0.8876240328090732</v>
          </cell>
        </row>
        <row r="39">
          <cell r="D39">
            <v>0.8898412464848604</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05"/>
  <sheetViews>
    <sheetView showGridLines="0" topLeftCell="A313" workbookViewId="0">
      <selection activeCell="K290" sqref="K290"/>
    </sheetView>
  </sheetViews>
  <sheetFormatPr defaultRowHeight="14.25" x14ac:dyDescent="0.2"/>
  <cols>
    <col min="1" max="1" width="9.140625" style="179"/>
    <col min="2" max="2" width="23" style="179" customWidth="1"/>
    <col min="3" max="3" width="22.7109375" style="179" hidden="1" customWidth="1"/>
    <col min="4" max="4" width="12.42578125" style="179" customWidth="1"/>
    <col min="5" max="5" width="12.5703125" style="179" customWidth="1"/>
    <col min="6" max="7" width="12.140625" style="179" customWidth="1"/>
    <col min="8" max="8" width="14" style="179" customWidth="1"/>
    <col min="9" max="9" width="12.5703125" style="179" customWidth="1"/>
    <col min="10" max="10" width="13.5703125" style="179" customWidth="1"/>
    <col min="11" max="12" width="13.140625" style="179" customWidth="1"/>
    <col min="13" max="14" width="9.140625" style="179"/>
    <col min="15" max="15" width="11" style="179" customWidth="1"/>
    <col min="16" max="16384" width="9.140625" style="179"/>
  </cols>
  <sheetData>
    <row r="1" spans="1:17" ht="28.5" customHeight="1" x14ac:dyDescent="0.25">
      <c r="A1" s="419" t="s">
        <v>236</v>
      </c>
      <c r="B1" s="419"/>
      <c r="C1" s="419"/>
      <c r="D1" s="419"/>
      <c r="E1" s="419"/>
    </row>
    <row r="2" spans="1:17" ht="30" x14ac:dyDescent="0.2">
      <c r="A2" s="422" t="s">
        <v>237</v>
      </c>
      <c r="B2" s="423"/>
      <c r="C2" s="180"/>
      <c r="D2" s="181" t="str">
        <f>'Stats Sum'!A4</f>
        <v>R Square</v>
      </c>
      <c r="E2" s="181" t="str">
        <f>'Stats Sum'!A5</f>
        <v>Adjusted R Square</v>
      </c>
    </row>
    <row r="3" spans="1:17" x14ac:dyDescent="0.2">
      <c r="A3" s="420" t="str">
        <f>Summary!A11</f>
        <v>Residential</v>
      </c>
      <c r="B3" s="421"/>
      <c r="C3" s="182"/>
      <c r="D3" s="183">
        <f>'Stats Sum'!E4</f>
        <v>0.97353610587924744</v>
      </c>
      <c r="E3" s="183">
        <f>'Stats Sum'!E5</f>
        <v>0.97195617190188899</v>
      </c>
    </row>
    <row r="4" spans="1:17" x14ac:dyDescent="0.2">
      <c r="A4" s="420" t="str">
        <f>Summary!A15</f>
        <v>GS&lt;50</v>
      </c>
      <c r="B4" s="421"/>
      <c r="C4" s="182"/>
      <c r="D4" s="183">
        <f>'Stats Sum'!B16</f>
        <v>0.78467735685496476</v>
      </c>
      <c r="E4" s="183">
        <f>'Stats Sum'!B17</f>
        <v>0.76836503540458334</v>
      </c>
    </row>
    <row r="5" spans="1:17" x14ac:dyDescent="0.2">
      <c r="A5" s="420" t="str">
        <f>Summary!A19</f>
        <v>GS&gt;50</v>
      </c>
      <c r="B5" s="421"/>
      <c r="C5" s="182"/>
      <c r="D5" s="183">
        <f>'Stats Sum'!E16</f>
        <v>8.1264468314554639E-2</v>
      </c>
      <c r="E5" s="183">
        <f>'Stats Sum'!E17</f>
        <v>2.6414585825871334E-2</v>
      </c>
    </row>
    <row r="7" spans="1:17" ht="15" x14ac:dyDescent="0.2">
      <c r="A7" s="416" t="s">
        <v>238</v>
      </c>
      <c r="B7" s="417"/>
      <c r="C7" s="417"/>
      <c r="D7" s="417"/>
      <c r="E7" s="417"/>
      <c r="F7" s="417"/>
      <c r="G7" s="417"/>
      <c r="H7" s="417"/>
      <c r="I7" s="418"/>
      <c r="J7" s="203"/>
    </row>
    <row r="8" spans="1:17" ht="60" x14ac:dyDescent="0.2">
      <c r="A8" s="348" t="s">
        <v>239</v>
      </c>
      <c r="B8" s="347"/>
      <c r="C8" s="347"/>
      <c r="D8" s="345" t="s">
        <v>240</v>
      </c>
      <c r="E8" s="345" t="s">
        <v>241</v>
      </c>
      <c r="F8" s="345" t="s">
        <v>242</v>
      </c>
      <c r="G8" s="345" t="s">
        <v>243</v>
      </c>
      <c r="H8" s="345" t="s">
        <v>244</v>
      </c>
      <c r="I8" s="345" t="s">
        <v>245</v>
      </c>
      <c r="J8" s="286"/>
    </row>
    <row r="9" spans="1:17" ht="15" x14ac:dyDescent="0.2">
      <c r="A9" s="416" t="s">
        <v>246</v>
      </c>
      <c r="B9" s="417"/>
      <c r="C9" s="417"/>
      <c r="D9" s="417"/>
      <c r="E9" s="417"/>
      <c r="F9" s="417"/>
      <c r="G9" s="417"/>
      <c r="H9" s="417"/>
      <c r="I9" s="418"/>
      <c r="J9" s="203"/>
    </row>
    <row r="10" spans="1:17" ht="15" x14ac:dyDescent="0.2">
      <c r="A10" s="424"/>
      <c r="B10" s="425"/>
      <c r="C10" s="185"/>
      <c r="D10" s="187"/>
      <c r="E10" s="187"/>
      <c r="F10" s="187"/>
      <c r="G10" s="187"/>
      <c r="H10" s="187"/>
      <c r="I10" s="187"/>
      <c r="J10" s="203"/>
      <c r="O10"/>
      <c r="P10"/>
      <c r="Q10"/>
    </row>
    <row r="11" spans="1:17" ht="15" x14ac:dyDescent="0.2">
      <c r="A11" s="188" t="s">
        <v>247</v>
      </c>
      <c r="B11" s="185"/>
      <c r="C11" s="185"/>
      <c r="D11" s="333">
        <v>227.2</v>
      </c>
      <c r="E11" s="187"/>
      <c r="F11" s="187"/>
      <c r="G11" s="334">
        <v>17499</v>
      </c>
      <c r="H11" s="187"/>
      <c r="I11" s="187"/>
      <c r="J11" s="203"/>
      <c r="O11"/>
      <c r="P11"/>
      <c r="Q11"/>
    </row>
    <row r="12" spans="1:17" ht="15" x14ac:dyDescent="0.2">
      <c r="A12" s="424"/>
      <c r="B12" s="425"/>
      <c r="C12" s="185"/>
      <c r="D12" s="187"/>
      <c r="E12" s="187"/>
      <c r="F12" s="187"/>
      <c r="G12" s="187"/>
      <c r="H12" s="187"/>
      <c r="I12" s="187"/>
      <c r="J12" s="203"/>
      <c r="O12"/>
      <c r="P12"/>
      <c r="Q12"/>
    </row>
    <row r="13" spans="1:17" x14ac:dyDescent="0.2">
      <c r="A13" s="188" t="s">
        <v>51</v>
      </c>
      <c r="B13" s="189"/>
      <c r="C13" s="189"/>
      <c r="D13" s="190">
        <f>Summary!B8/1000000</f>
        <v>202.22769479999999</v>
      </c>
      <c r="E13" s="191"/>
      <c r="F13" s="192"/>
      <c r="G13" s="193">
        <f>Summary!B43</f>
        <v>15267</v>
      </c>
      <c r="H13" s="191"/>
      <c r="I13" s="192"/>
      <c r="J13" s="231"/>
      <c r="K13" s="194"/>
      <c r="O13"/>
      <c r="P13"/>
      <c r="Q13"/>
    </row>
    <row r="14" spans="1:17" x14ac:dyDescent="0.2">
      <c r="A14" s="188" t="s">
        <v>52</v>
      </c>
      <c r="B14" s="189"/>
      <c r="C14" s="189"/>
      <c r="D14" s="190">
        <f>Summary!C8/1000000</f>
        <v>213.84153739999999</v>
      </c>
      <c r="E14" s="191">
        <f t="shared" ref="E14:E24" si="0">D14-D13</f>
        <v>11.613842599999998</v>
      </c>
      <c r="F14" s="192">
        <f t="shared" ref="F14:F24" si="1">E14/D13</f>
        <v>5.7429535610767385E-2</v>
      </c>
      <c r="G14" s="193">
        <f>Summary!C43</f>
        <v>15600</v>
      </c>
      <c r="H14" s="305">
        <f t="shared" ref="H14:H24" si="2">G14-G13</f>
        <v>333</v>
      </c>
      <c r="I14" s="192">
        <f t="shared" ref="I14:I24" si="3">H14/G13</f>
        <v>2.1811750835134605E-2</v>
      </c>
      <c r="J14" s="231"/>
      <c r="K14" s="194"/>
      <c r="O14"/>
      <c r="P14"/>
      <c r="Q14"/>
    </row>
    <row r="15" spans="1:17" x14ac:dyDescent="0.2">
      <c r="A15" s="188" t="s">
        <v>53</v>
      </c>
      <c r="B15" s="189"/>
      <c r="C15" s="189"/>
      <c r="D15" s="190">
        <f>Summary!D8/1000000</f>
        <v>214.63789080000001</v>
      </c>
      <c r="E15" s="191">
        <f t="shared" si="0"/>
        <v>0.7963534000000152</v>
      </c>
      <c r="F15" s="192">
        <f t="shared" si="1"/>
        <v>3.7240351415468976E-3</v>
      </c>
      <c r="G15" s="193">
        <f>Summary!D43</f>
        <v>15990</v>
      </c>
      <c r="H15" s="305">
        <f t="shared" si="2"/>
        <v>390</v>
      </c>
      <c r="I15" s="192">
        <f t="shared" si="3"/>
        <v>2.5000000000000001E-2</v>
      </c>
      <c r="J15" s="231"/>
      <c r="K15" s="194"/>
      <c r="O15"/>
      <c r="P15"/>
      <c r="Q15"/>
    </row>
    <row r="16" spans="1:17" x14ac:dyDescent="0.2">
      <c r="A16" s="188" t="s">
        <v>54</v>
      </c>
      <c r="B16" s="189"/>
      <c r="C16" s="189"/>
      <c r="D16" s="190">
        <f>Summary!E8/1000000</f>
        <v>225.99874299999999</v>
      </c>
      <c r="E16" s="191">
        <f t="shared" si="0"/>
        <v>11.360852199999982</v>
      </c>
      <c r="F16" s="192">
        <f t="shared" si="1"/>
        <v>5.2930319794215856E-2</v>
      </c>
      <c r="G16" s="193">
        <f>Summary!E43</f>
        <v>16287</v>
      </c>
      <c r="H16" s="305">
        <f t="shared" si="2"/>
        <v>297</v>
      </c>
      <c r="I16" s="192">
        <f t="shared" si="3"/>
        <v>1.8574108818011258E-2</v>
      </c>
      <c r="J16" s="231"/>
      <c r="K16" s="194"/>
      <c r="O16"/>
      <c r="P16"/>
      <c r="Q16"/>
    </row>
    <row r="17" spans="1:13" x14ac:dyDescent="0.2">
      <c r="A17" s="188" t="s">
        <v>55</v>
      </c>
      <c r="B17" s="189"/>
      <c r="C17" s="189"/>
      <c r="D17" s="190">
        <f>Summary!F8/1000000</f>
        <v>219.3814711</v>
      </c>
      <c r="E17" s="191">
        <f t="shared" si="0"/>
        <v>-6.6172718999999915</v>
      </c>
      <c r="F17" s="192">
        <f t="shared" si="1"/>
        <v>-2.9280127013803753E-2</v>
      </c>
      <c r="G17" s="193">
        <f>Summary!F43</f>
        <v>16394</v>
      </c>
      <c r="H17" s="305">
        <f t="shared" si="2"/>
        <v>107</v>
      </c>
      <c r="I17" s="192">
        <f t="shared" si="3"/>
        <v>6.5696567814821638E-3</v>
      </c>
      <c r="J17" s="231"/>
      <c r="K17" s="194"/>
    </row>
    <row r="18" spans="1:13" x14ac:dyDescent="0.2">
      <c r="A18" s="188" t="s">
        <v>56</v>
      </c>
      <c r="B18" s="189"/>
      <c r="C18" s="189"/>
      <c r="D18" s="190">
        <f>Summary!G8/1000000</f>
        <v>219.7527474</v>
      </c>
      <c r="E18" s="191">
        <f t="shared" si="0"/>
        <v>0.37127630000000522</v>
      </c>
      <c r="F18" s="192">
        <f t="shared" si="1"/>
        <v>1.6923776567747031E-3</v>
      </c>
      <c r="G18" s="193">
        <f>Summary!G43</f>
        <v>16645</v>
      </c>
      <c r="H18" s="305">
        <f t="shared" si="2"/>
        <v>251</v>
      </c>
      <c r="I18" s="192">
        <f t="shared" si="3"/>
        <v>1.5310479443698915E-2</v>
      </c>
      <c r="J18" s="231"/>
      <c r="K18" s="194"/>
    </row>
    <row r="19" spans="1:13" x14ac:dyDescent="0.2">
      <c r="A19" s="188" t="s">
        <v>248</v>
      </c>
      <c r="B19" s="189"/>
      <c r="C19" s="189"/>
      <c r="D19" s="190">
        <f>Summary!H8/1000000</f>
        <v>226.83618595000002</v>
      </c>
      <c r="E19" s="191">
        <f t="shared" si="0"/>
        <v>7.083438550000011</v>
      </c>
      <c r="F19" s="192">
        <f t="shared" si="1"/>
        <v>3.2233674590227267E-2</v>
      </c>
      <c r="G19" s="193">
        <f>Summary!H43</f>
        <v>17044</v>
      </c>
      <c r="H19" s="305">
        <f t="shared" si="2"/>
        <v>399</v>
      </c>
      <c r="I19" s="192">
        <f t="shared" si="3"/>
        <v>2.3971162511264642E-2</v>
      </c>
      <c r="J19" s="231"/>
      <c r="K19" s="194"/>
    </row>
    <row r="20" spans="1:13" x14ac:dyDescent="0.2">
      <c r="A20" s="188" t="s">
        <v>249</v>
      </c>
      <c r="B20" s="189"/>
      <c r="C20" s="189"/>
      <c r="D20" s="190">
        <f>Summary!I8/1000000</f>
        <v>229.13505551200001</v>
      </c>
      <c r="E20" s="191">
        <f t="shared" si="0"/>
        <v>2.298869561999993</v>
      </c>
      <c r="F20" s="192">
        <f t="shared" si="1"/>
        <v>1.0134492221213407E-2</v>
      </c>
      <c r="G20" s="193">
        <f>Summary!I43</f>
        <v>17361</v>
      </c>
      <c r="H20" s="305">
        <f t="shared" si="2"/>
        <v>317</v>
      </c>
      <c r="I20" s="192">
        <f t="shared" si="3"/>
        <v>1.8598920441210982E-2</v>
      </c>
      <c r="J20" s="231"/>
      <c r="K20" s="194"/>
    </row>
    <row r="21" spans="1:13" ht="15" customHeight="1" x14ac:dyDescent="0.2">
      <c r="A21" s="188" t="s">
        <v>80</v>
      </c>
      <c r="B21" s="189"/>
      <c r="C21" s="196"/>
      <c r="D21" s="190">
        <f>Summary!J8/1000000</f>
        <v>231.85024890999998</v>
      </c>
      <c r="E21" s="191">
        <f t="shared" si="0"/>
        <v>2.7151933979999683</v>
      </c>
      <c r="F21" s="192">
        <f t="shared" si="1"/>
        <v>1.1849751195568463E-2</v>
      </c>
      <c r="G21" s="193">
        <f>Summary!J43</f>
        <v>17552</v>
      </c>
      <c r="H21" s="305">
        <f t="shared" si="2"/>
        <v>191</v>
      </c>
      <c r="I21" s="192">
        <f t="shared" si="3"/>
        <v>1.1001670410690629E-2</v>
      </c>
      <c r="J21" s="231"/>
      <c r="K21" s="194"/>
    </row>
    <row r="22" spans="1:13" s="202" customFormat="1" ht="15" x14ac:dyDescent="0.25">
      <c r="A22" s="188" t="s">
        <v>85</v>
      </c>
      <c r="B22" s="195"/>
      <c r="C22" s="185"/>
      <c r="D22" s="190">
        <f>Summary!K8/1000000</f>
        <v>233.57712906799995</v>
      </c>
      <c r="E22" s="191">
        <f t="shared" si="0"/>
        <v>1.7268801579999717</v>
      </c>
      <c r="F22" s="192">
        <f t="shared" si="1"/>
        <v>7.4482566489299526E-3</v>
      </c>
      <c r="G22" s="193">
        <f>Summary!K43</f>
        <v>17776</v>
      </c>
      <c r="H22" s="305">
        <f t="shared" si="2"/>
        <v>224</v>
      </c>
      <c r="I22" s="192">
        <f t="shared" si="3"/>
        <v>1.276207839562443E-2</v>
      </c>
      <c r="J22" s="231"/>
      <c r="K22" s="201"/>
    </row>
    <row r="23" spans="1:13" s="202" customFormat="1" ht="15" x14ac:dyDescent="0.25">
      <c r="A23" s="184" t="s">
        <v>250</v>
      </c>
      <c r="B23" s="185"/>
      <c r="C23" s="203"/>
      <c r="D23" s="197">
        <f ca="1">Summary!L8/1000000</f>
        <v>231.94628149981881</v>
      </c>
      <c r="E23" s="198">
        <f t="shared" ca="1" si="0"/>
        <v>-1.6308475681811387</v>
      </c>
      <c r="F23" s="199">
        <f t="shared" ca="1" si="1"/>
        <v>-6.9820516019201504E-3</v>
      </c>
      <c r="G23" s="200">
        <f>Summary!L43</f>
        <v>18069.790799690374</v>
      </c>
      <c r="H23" s="306">
        <f t="shared" si="2"/>
        <v>293.79079969037412</v>
      </c>
      <c r="I23" s="199">
        <f t="shared" si="3"/>
        <v>1.6527385221105653E-2</v>
      </c>
      <c r="J23" s="282"/>
      <c r="K23" s="201"/>
    </row>
    <row r="24" spans="1:13" s="202" customFormat="1" ht="15" x14ac:dyDescent="0.25">
      <c r="A24" s="187" t="s">
        <v>251</v>
      </c>
      <c r="B24" s="187"/>
      <c r="C24" s="203"/>
      <c r="D24" s="197">
        <f ca="1">Summary!M8/1000000</f>
        <v>231.11940858641617</v>
      </c>
      <c r="E24" s="198">
        <f t="shared" ca="1" si="0"/>
        <v>-0.82687291340263869</v>
      </c>
      <c r="F24" s="199">
        <f t="shared" ca="1" si="1"/>
        <v>-3.5649328286527612E-3</v>
      </c>
      <c r="G24" s="200">
        <f>Summary!M43</f>
        <v>18369.15648808888</v>
      </c>
      <c r="H24" s="306">
        <f t="shared" si="2"/>
        <v>299.36568839850588</v>
      </c>
      <c r="I24" s="199">
        <f t="shared" si="3"/>
        <v>1.6567191713344878E-2</v>
      </c>
      <c r="J24" s="282"/>
      <c r="K24" s="201"/>
    </row>
    <row r="25" spans="1:13" x14ac:dyDescent="0.2">
      <c r="A25"/>
      <c r="B25"/>
      <c r="C25"/>
      <c r="D25"/>
      <c r="E25"/>
      <c r="F25"/>
      <c r="G25"/>
      <c r="H25"/>
      <c r="I25"/>
      <c r="J25"/>
      <c r="K25" s="194"/>
    </row>
    <row r="26" spans="1:13" ht="15" x14ac:dyDescent="0.2">
      <c r="A26" s="405" t="s">
        <v>252</v>
      </c>
      <c r="B26" s="405"/>
      <c r="C26" s="405"/>
      <c r="D26" s="405"/>
      <c r="E26" s="405"/>
      <c r="F26" s="405"/>
      <c r="G26" s="405"/>
      <c r="H26" s="405"/>
      <c r="I26" s="405"/>
      <c r="J26" s="405"/>
      <c r="K26" s="405"/>
      <c r="L26" s="204"/>
      <c r="M26" s="205"/>
    </row>
    <row r="27" spans="1:13" ht="45" x14ac:dyDescent="0.2">
      <c r="A27" s="426" t="s">
        <v>239</v>
      </c>
      <c r="B27" s="427"/>
      <c r="C27" s="347"/>
      <c r="D27" s="341" t="s">
        <v>128</v>
      </c>
      <c r="E27" s="341" t="str">
        <f>Summary!A15</f>
        <v>GS&lt;50</v>
      </c>
      <c r="F27" s="341" t="str">
        <f>Summary!A19</f>
        <v>GS&gt;50</v>
      </c>
      <c r="G27" s="341" t="s">
        <v>131</v>
      </c>
      <c r="H27" s="341" t="str">
        <f>Summary!A24</f>
        <v>Sentinels</v>
      </c>
      <c r="I27" s="341" t="str">
        <f>Summary!A34</f>
        <v>USL</v>
      </c>
      <c r="J27" s="341" t="str">
        <f>Summary!A38</f>
        <v>Hydro One Load Transfers</v>
      </c>
      <c r="K27" s="341" t="s">
        <v>10</v>
      </c>
    </row>
    <row r="28" spans="1:13" ht="14.25" customHeight="1" x14ac:dyDescent="0.2">
      <c r="A28" s="405" t="s">
        <v>253</v>
      </c>
      <c r="B28" s="405"/>
      <c r="C28" s="405"/>
      <c r="D28" s="405"/>
      <c r="E28" s="405"/>
      <c r="F28" s="405"/>
      <c r="G28" s="405"/>
      <c r="H28" s="405"/>
      <c r="I28" s="405"/>
      <c r="J28" s="405"/>
      <c r="K28" s="405"/>
    </row>
    <row r="29" spans="1:13" ht="14.25" customHeight="1" x14ac:dyDescent="0.2">
      <c r="A29" s="428"/>
      <c r="B29" s="429"/>
      <c r="C29" s="206"/>
      <c r="D29" s="207"/>
      <c r="E29" s="207"/>
      <c r="F29" s="207"/>
      <c r="G29" s="207"/>
      <c r="H29" s="208"/>
      <c r="I29" s="207"/>
      <c r="J29" s="207"/>
      <c r="K29" s="209"/>
    </row>
    <row r="30" spans="1:13" ht="14.25" customHeight="1" x14ac:dyDescent="0.2">
      <c r="A30" s="188" t="str">
        <f>A11</f>
        <v>2009 Board Approved</v>
      </c>
      <c r="B30" s="185"/>
      <c r="C30" s="185"/>
      <c r="D30" s="333">
        <v>153.80000000000001</v>
      </c>
      <c r="E30" s="333">
        <v>31</v>
      </c>
      <c r="F30" s="333">
        <v>40</v>
      </c>
      <c r="G30" s="333">
        <v>1.6</v>
      </c>
      <c r="H30" s="335">
        <v>0.1</v>
      </c>
      <c r="I30" s="335">
        <v>0.6</v>
      </c>
      <c r="J30" s="335"/>
      <c r="K30" s="336">
        <f>SUM(D30:I30)</f>
        <v>227.1</v>
      </c>
    </row>
    <row r="31" spans="1:13" ht="14.25" customHeight="1" x14ac:dyDescent="0.2">
      <c r="A31" s="424"/>
      <c r="B31" s="425"/>
      <c r="C31" s="185"/>
      <c r="D31" s="187"/>
      <c r="E31" s="187"/>
      <c r="F31" s="187"/>
      <c r="G31" s="187"/>
      <c r="H31" s="209"/>
      <c r="K31" s="187"/>
    </row>
    <row r="32" spans="1:13" x14ac:dyDescent="0.2">
      <c r="A32" s="188" t="str">
        <f t="shared" ref="A32:A43" si="4">A13</f>
        <v xml:space="preserve">2002 Actual </v>
      </c>
      <c r="B32" s="189"/>
      <c r="C32" s="189"/>
      <c r="D32" s="190">
        <f>Summary!B13/1000000</f>
        <v>138.68151399999999</v>
      </c>
      <c r="E32" s="190">
        <f>Summary!B17/1000000</f>
        <v>22.284839999999999</v>
      </c>
      <c r="F32" s="190">
        <f>Summary!B21/1000000</f>
        <v>38.854281</v>
      </c>
      <c r="G32" s="190">
        <f>Summary!B31/1000000</f>
        <v>1.1718869999999999</v>
      </c>
      <c r="H32" s="210">
        <f>Summary!B26/1000000</f>
        <v>0.1324592</v>
      </c>
      <c r="I32" s="210">
        <f>Summary!B36/1000000</f>
        <v>0</v>
      </c>
      <c r="J32" s="210">
        <f>Summary!B39/1000000</f>
        <v>1.1027136000000002</v>
      </c>
      <c r="K32" s="190">
        <f>SUM(D32:J32)</f>
        <v>202.22769479999997</v>
      </c>
      <c r="L32" s="211"/>
      <c r="M32" s="211"/>
    </row>
    <row r="33" spans="1:13" x14ac:dyDescent="0.2">
      <c r="A33" s="188" t="str">
        <f t="shared" si="4"/>
        <v xml:space="preserve">2003 Actual </v>
      </c>
      <c r="B33" s="189"/>
      <c r="C33" s="189"/>
      <c r="D33" s="190">
        <f>Summary!C13/1000000</f>
        <v>147.383455</v>
      </c>
      <c r="E33" s="190">
        <f>Summary!C17/1000000</f>
        <v>24.957359</v>
      </c>
      <c r="F33" s="190">
        <f>Summary!C21/1000000</f>
        <v>38.763995999999999</v>
      </c>
      <c r="G33" s="190">
        <f>Summary!C31/1000000</f>
        <v>0.94663299999999995</v>
      </c>
      <c r="H33" s="210">
        <f>Summary!C26/1000000</f>
        <v>0.13602400000000001</v>
      </c>
      <c r="I33" s="210">
        <f>Summary!C36/1000000</f>
        <v>0</v>
      </c>
      <c r="J33" s="210">
        <f>Summary!C39/1000000</f>
        <v>1.6540704000000002</v>
      </c>
      <c r="K33" s="190">
        <f t="shared" ref="K33:K43" si="5">SUM(D33:J33)</f>
        <v>213.84153739999996</v>
      </c>
      <c r="L33" s="211"/>
      <c r="M33" s="211"/>
    </row>
    <row r="34" spans="1:13" x14ac:dyDescent="0.2">
      <c r="A34" s="188" t="str">
        <f t="shared" si="4"/>
        <v xml:space="preserve">2004 Actual </v>
      </c>
      <c r="B34" s="189"/>
      <c r="C34" s="189"/>
      <c r="D34" s="190">
        <f>Summary!D13/1000000</f>
        <v>148.79000099999999</v>
      </c>
      <c r="E34" s="190">
        <f>Summary!D17/1000000</f>
        <v>26.929694000000001</v>
      </c>
      <c r="F34" s="190">
        <f>Summary!D21/1000000</f>
        <v>36.303637000000002</v>
      </c>
      <c r="G34" s="190">
        <f>Summary!D31/1000000</f>
        <v>1.2387079999999999</v>
      </c>
      <c r="H34" s="210">
        <f>Summary!D26/1000000</f>
        <v>0.135298</v>
      </c>
      <c r="I34" s="210">
        <f>Summary!D36/1000000</f>
        <v>0</v>
      </c>
      <c r="J34" s="210">
        <f>Summary!D39/1000000</f>
        <v>1.2405528000000001</v>
      </c>
      <c r="K34" s="190">
        <f t="shared" si="5"/>
        <v>214.63789080000001</v>
      </c>
      <c r="L34" s="211"/>
      <c r="M34" s="211"/>
    </row>
    <row r="35" spans="1:13" x14ac:dyDescent="0.2">
      <c r="A35" s="188" t="str">
        <f t="shared" si="4"/>
        <v xml:space="preserve">2005 Actual </v>
      </c>
      <c r="B35" s="189"/>
      <c r="C35" s="189"/>
      <c r="D35" s="190">
        <f>Summary!E13/1000000</f>
        <v>154.81806499999999</v>
      </c>
      <c r="E35" s="190">
        <f>Summary!E17/1000000</f>
        <v>28.301932999999998</v>
      </c>
      <c r="F35" s="190">
        <f>Summary!E21/1000000</f>
        <v>39.824874999999999</v>
      </c>
      <c r="G35" s="190">
        <f>Summary!E31/1000000</f>
        <v>1.463209</v>
      </c>
      <c r="H35" s="210">
        <f>Summary!E26/1000000</f>
        <v>0.13164300000000001</v>
      </c>
      <c r="I35" s="210">
        <f>Summary!E36/1000000</f>
        <v>0</v>
      </c>
      <c r="J35" s="210">
        <f>Summary!E39/1000000</f>
        <v>1.4590179999999999</v>
      </c>
      <c r="K35" s="190">
        <f t="shared" si="5"/>
        <v>225.99874299999996</v>
      </c>
      <c r="L35" s="211"/>
      <c r="M35" s="211"/>
    </row>
    <row r="36" spans="1:13" ht="12.75" customHeight="1" x14ac:dyDescent="0.2">
      <c r="A36" s="188" t="str">
        <f t="shared" si="4"/>
        <v xml:space="preserve">2006 Actual </v>
      </c>
      <c r="B36" s="189"/>
      <c r="C36" s="189"/>
      <c r="D36" s="190">
        <f>Summary!F13/1000000</f>
        <v>149.103951</v>
      </c>
      <c r="E36" s="190">
        <f>Summary!F17/1000000</f>
        <v>27.191374</v>
      </c>
      <c r="F36" s="190">
        <f>Summary!F21/1000000</f>
        <v>39.830914999999997</v>
      </c>
      <c r="G36" s="190">
        <f>Summary!F31/1000000</f>
        <v>1.4455180000000001</v>
      </c>
      <c r="H36" s="210">
        <f>Summary!F26/1000000</f>
        <v>0.13186899999999999</v>
      </c>
      <c r="I36" s="210">
        <f>Summary!F36/1000000</f>
        <v>0.29177700000000001</v>
      </c>
      <c r="J36" s="210">
        <f>Summary!F39/1000000</f>
        <v>1.3860671</v>
      </c>
      <c r="K36" s="190">
        <f t="shared" si="5"/>
        <v>219.38147109999997</v>
      </c>
      <c r="L36" s="211"/>
      <c r="M36" s="211"/>
    </row>
    <row r="37" spans="1:13" x14ac:dyDescent="0.2">
      <c r="A37" s="188" t="str">
        <f t="shared" si="4"/>
        <v xml:space="preserve">2007 Actual </v>
      </c>
      <c r="B37" s="189"/>
      <c r="C37" s="189"/>
      <c r="D37" s="190">
        <f>Summary!G13/1000000</f>
        <v>148.69090199999999</v>
      </c>
      <c r="E37" s="190">
        <f>Summary!G17/1000000</f>
        <v>28.463422000000001</v>
      </c>
      <c r="F37" s="190">
        <f>Summary!G21/1000000</f>
        <v>39.320569999999996</v>
      </c>
      <c r="G37" s="190">
        <f>Summary!G31/1000000</f>
        <v>1.4959469999999999</v>
      </c>
      <c r="H37" s="210">
        <f>Summary!G26/1000000</f>
        <v>0.12637100000000001</v>
      </c>
      <c r="I37" s="210">
        <f>Summary!G36/1000000</f>
        <v>0.51969399999999999</v>
      </c>
      <c r="J37" s="210">
        <f>Summary!G39/1000000</f>
        <v>1.1358413999999999</v>
      </c>
      <c r="K37" s="190">
        <f t="shared" si="5"/>
        <v>219.7527474</v>
      </c>
      <c r="L37" s="211"/>
      <c r="M37" s="211"/>
    </row>
    <row r="38" spans="1:13" x14ac:dyDescent="0.2">
      <c r="A38" s="188" t="str">
        <f t="shared" si="4"/>
        <v xml:space="preserve">2008 Actual </v>
      </c>
      <c r="B38" s="189"/>
      <c r="C38" s="189"/>
      <c r="D38" s="190">
        <f>Summary!H13/1000000</f>
        <v>149.960621</v>
      </c>
      <c r="E38" s="190">
        <f>Summary!H17/1000000</f>
        <v>28.399681000000001</v>
      </c>
      <c r="F38" s="190">
        <f>Summary!H21/1000000</f>
        <v>45.269405570000004</v>
      </c>
      <c r="G38" s="190">
        <f>Summary!H31/1000000</f>
        <v>1.5338988</v>
      </c>
      <c r="H38" s="210">
        <f>Summary!H26/1000000</f>
        <v>0.12421161999999999</v>
      </c>
      <c r="I38" s="210">
        <f>Summary!H36/1000000</f>
        <v>0.50821499999999997</v>
      </c>
      <c r="J38" s="210">
        <f>Summary!H39/1000000</f>
        <v>1.0401529599999999</v>
      </c>
      <c r="K38" s="190">
        <f t="shared" si="5"/>
        <v>226.83618595000002</v>
      </c>
      <c r="L38" s="211"/>
      <c r="M38" s="211"/>
    </row>
    <row r="39" spans="1:13" x14ac:dyDescent="0.2">
      <c r="A39" s="188" t="str">
        <f t="shared" si="4"/>
        <v>2009 Actual</v>
      </c>
      <c r="B39" s="189"/>
      <c r="C39" s="189"/>
      <c r="D39" s="190">
        <f>Summary!I13/1000000</f>
        <v>150.37377699999999</v>
      </c>
      <c r="E39" s="190">
        <f>Summary!I17/1000000</f>
        <v>28.113433000000001</v>
      </c>
      <c r="F39" s="190">
        <f>Summary!I21/1000000</f>
        <v>47.473258209999997</v>
      </c>
      <c r="G39" s="190">
        <f>Summary!I31/1000000</f>
        <v>1.5769116000000001</v>
      </c>
      <c r="H39" s="210">
        <f>Summary!I26/1000000</f>
        <v>0.12202110000000001</v>
      </c>
      <c r="I39" s="210">
        <f>Summary!I36/1000000</f>
        <v>0.49368000000000001</v>
      </c>
      <c r="J39" s="210">
        <f>Summary!I39/1000000</f>
        <v>0.98197460200000009</v>
      </c>
      <c r="K39" s="190">
        <f t="shared" si="5"/>
        <v>229.13505551200001</v>
      </c>
      <c r="L39" s="211"/>
      <c r="M39" s="211"/>
    </row>
    <row r="40" spans="1:13" s="214" customFormat="1" ht="14.25" customHeight="1" x14ac:dyDescent="0.2">
      <c r="A40" s="188" t="str">
        <f t="shared" si="4"/>
        <v xml:space="preserve">2010 Actual </v>
      </c>
      <c r="B40" s="189"/>
      <c r="C40" s="212"/>
      <c r="D40" s="190">
        <f>Summary!J13/1000000</f>
        <v>148.34035622999997</v>
      </c>
      <c r="E40" s="190">
        <f>Summary!J17/1000000</f>
        <v>29.188873999999998</v>
      </c>
      <c r="F40" s="190">
        <f>Summary!J21/1000000</f>
        <v>51.128771119999989</v>
      </c>
      <c r="G40" s="190">
        <f>Summary!J31/1000000</f>
        <v>1.580058</v>
      </c>
      <c r="H40" s="213">
        <f>Summary!J26/1000000</f>
        <v>0.11670272</v>
      </c>
      <c r="I40" s="213">
        <f>Summary!J36/1000000</f>
        <v>0.49368000000000001</v>
      </c>
      <c r="J40" s="210">
        <f>Summary!J39/1000000</f>
        <v>1.00180684</v>
      </c>
      <c r="K40" s="190">
        <f t="shared" si="5"/>
        <v>231.85024890999998</v>
      </c>
      <c r="L40" s="211"/>
      <c r="M40" s="211"/>
    </row>
    <row r="41" spans="1:13" s="202" customFormat="1" ht="15" customHeight="1" x14ac:dyDescent="0.25">
      <c r="A41" s="188" t="str">
        <f t="shared" si="4"/>
        <v xml:space="preserve">2011 Actual </v>
      </c>
      <c r="B41" s="189"/>
      <c r="C41" s="185"/>
      <c r="D41" s="190">
        <f>Summary!K13/1000000</f>
        <v>150.09810956999999</v>
      </c>
      <c r="E41" s="190">
        <f>Summary!K17/1000000</f>
        <v>30.54869532</v>
      </c>
      <c r="F41" s="190">
        <f>Summary!K21/1000000</f>
        <v>49.921685450000005</v>
      </c>
      <c r="G41" s="190">
        <f>Summary!K31/1000000</f>
        <v>1.4573694099999999</v>
      </c>
      <c r="H41" s="213">
        <f>Summary!K26/1000000</f>
        <v>0.11024082</v>
      </c>
      <c r="I41" s="213">
        <f>Summary!K36/1000000</f>
        <v>0.48931200000000002</v>
      </c>
      <c r="J41" s="213">
        <f>Summary!K39/1000000</f>
        <v>0.95171649800000002</v>
      </c>
      <c r="K41" s="190">
        <f t="shared" si="5"/>
        <v>233.57712906800003</v>
      </c>
      <c r="L41" s="211"/>
      <c r="M41" s="211"/>
    </row>
    <row r="42" spans="1:13" s="202" customFormat="1" ht="15" customHeight="1" x14ac:dyDescent="0.25">
      <c r="A42" s="184" t="str">
        <f t="shared" si="4"/>
        <v>2012 Bridge</v>
      </c>
      <c r="B42" s="185"/>
      <c r="C42" s="185"/>
      <c r="D42" s="197">
        <f ca="1">Summary!$L$13/1000000</f>
        <v>147.74985341291057</v>
      </c>
      <c r="E42" s="197">
        <f ca="1">Summary!$L$17/1000000</f>
        <v>30.870768962180968</v>
      </c>
      <c r="F42" s="197">
        <f ca="1">Summary!$L$21/1000000</f>
        <v>50.262876287525295</v>
      </c>
      <c r="G42" s="197">
        <f ca="1">Summary!$L$31/1000000</f>
        <v>1.4811083764185775</v>
      </c>
      <c r="H42" s="197">
        <f ca="1">Summary!L26/1000000</f>
        <v>0.10714680439613332</v>
      </c>
      <c r="I42" s="197">
        <f ca="1">Summary!$L$36/1000000</f>
        <v>0.53825687154252799</v>
      </c>
      <c r="J42" s="215">
        <f>Summary!L39/1000000</f>
        <v>0.93627078484472293</v>
      </c>
      <c r="K42" s="197">
        <f t="shared" ca="1" si="5"/>
        <v>231.94628149981878</v>
      </c>
      <c r="L42" s="211"/>
      <c r="M42" s="211"/>
    </row>
    <row r="43" spans="1:13" s="202" customFormat="1" ht="15" x14ac:dyDescent="0.25">
      <c r="A43" s="184" t="str">
        <f t="shared" si="4"/>
        <v>2013 Test</v>
      </c>
      <c r="B43" s="185"/>
      <c r="C43" s="284"/>
      <c r="D43" s="285">
        <f ca="1">Summary!M13/1000000</f>
        <v>146.5628980275452</v>
      </c>
      <c r="E43" s="285">
        <f ca="1">Summary!M17/1000000</f>
        <v>31.437454722956144</v>
      </c>
      <c r="F43" s="285">
        <f ca="1">Summary!M21/1000000</f>
        <v>50.917130196279928</v>
      </c>
      <c r="G43" s="285">
        <f ca="1">Summary!M31/1000000</f>
        <v>1.5055448848815258</v>
      </c>
      <c r="H43" s="285">
        <f ca="1">Summary!M26/1000000</f>
        <v>0.10416113219668079</v>
      </c>
      <c r="I43" s="285">
        <f ca="1">Summary!M36/1000000</f>
        <v>0.59221987742047899</v>
      </c>
      <c r="J43" s="197">
        <v>0</v>
      </c>
      <c r="K43" s="197">
        <f t="shared" ca="1" si="5"/>
        <v>231.11940884127995</v>
      </c>
      <c r="L43" s="211"/>
    </row>
    <row r="44" spans="1:13" x14ac:dyDescent="0.2">
      <c r="A44" s="412"/>
      <c r="B44" s="413"/>
      <c r="C44" s="413"/>
      <c r="D44" s="413"/>
      <c r="E44" s="413"/>
      <c r="F44" s="413"/>
      <c r="G44" s="413"/>
      <c r="H44" s="413"/>
      <c r="I44" s="413"/>
      <c r="J44" s="287"/>
      <c r="K44" s="216"/>
    </row>
    <row r="45" spans="1:13" ht="17.100000000000001" customHeight="1" x14ac:dyDescent="0.2">
      <c r="A45" s="407" t="s">
        <v>254</v>
      </c>
      <c r="B45" s="407"/>
      <c r="C45" s="407"/>
      <c r="D45" s="407"/>
      <c r="E45" s="407"/>
      <c r="F45" s="407"/>
      <c r="G45" s="407"/>
      <c r="H45" s="407"/>
      <c r="I45" s="407"/>
      <c r="J45" s="407"/>
      <c r="K45" s="407"/>
    </row>
    <row r="46" spans="1:13" x14ac:dyDescent="0.2">
      <c r="A46" s="431"/>
      <c r="B46" s="431"/>
      <c r="C46" s="243"/>
      <c r="D46" s="217"/>
      <c r="E46" s="217"/>
      <c r="F46" s="217"/>
      <c r="G46" s="217"/>
      <c r="H46" s="217"/>
      <c r="I46" s="209"/>
      <c r="J46" s="209"/>
      <c r="K46" s="217"/>
    </row>
    <row r="47" spans="1:13" x14ac:dyDescent="0.2">
      <c r="A47" s="431"/>
      <c r="B47" s="431"/>
      <c r="C47" s="243"/>
      <c r="D47" s="217"/>
      <c r="E47" s="217"/>
      <c r="F47" s="217"/>
      <c r="G47" s="217"/>
      <c r="H47" s="217"/>
      <c r="I47" s="209"/>
      <c r="J47" s="209"/>
      <c r="K47" s="217"/>
    </row>
    <row r="48" spans="1:13" x14ac:dyDescent="0.2">
      <c r="A48" s="337" t="str">
        <f>A30</f>
        <v>2009 Board Approved</v>
      </c>
      <c r="B48" s="337"/>
      <c r="C48" s="337"/>
      <c r="D48" s="338">
        <v>13512</v>
      </c>
      <c r="E48" s="338">
        <v>827</v>
      </c>
      <c r="F48" s="338">
        <v>72</v>
      </c>
      <c r="G48" s="338">
        <v>2810</v>
      </c>
      <c r="H48" s="338">
        <v>193</v>
      </c>
      <c r="I48" s="338">
        <v>85</v>
      </c>
      <c r="J48" s="338"/>
      <c r="K48" s="338">
        <f>SUM(D48:J48)</f>
        <v>17499</v>
      </c>
    </row>
    <row r="49" spans="1:13" x14ac:dyDescent="0.2">
      <c r="A49" s="431"/>
      <c r="B49" s="431"/>
      <c r="C49" s="243"/>
      <c r="D49" s="217"/>
      <c r="E49" s="217"/>
      <c r="F49" s="217"/>
      <c r="G49" s="217"/>
      <c r="H49" s="217"/>
      <c r="I49" s="209"/>
      <c r="J49" s="209"/>
      <c r="K49" s="217"/>
    </row>
    <row r="50" spans="1:13" x14ac:dyDescent="0.2">
      <c r="A50" s="243" t="str">
        <f t="shared" ref="A50:A61" si="6">A32</f>
        <v xml:space="preserve">2002 Actual </v>
      </c>
      <c r="B50" s="295"/>
      <c r="C50" s="243"/>
      <c r="D50" s="217">
        <f>Summary!B12</f>
        <v>12075</v>
      </c>
      <c r="E50" s="217">
        <f>Summary!B16</f>
        <v>837</v>
      </c>
      <c r="F50" s="217">
        <f>Summary!B20</f>
        <v>71</v>
      </c>
      <c r="G50" s="217">
        <f>Summary!B30</f>
        <v>2107</v>
      </c>
      <c r="H50" s="217">
        <f>Summary!B25</f>
        <v>177</v>
      </c>
      <c r="I50" s="217">
        <f>Summary!B35</f>
        <v>0</v>
      </c>
      <c r="J50" s="217"/>
      <c r="K50" s="217">
        <f>SUM(D50:J50)</f>
        <v>15267</v>
      </c>
      <c r="L50" s="218"/>
      <c r="M50" s="218"/>
    </row>
    <row r="51" spans="1:13" ht="12.75" customHeight="1" x14ac:dyDescent="0.2">
      <c r="A51" s="243" t="str">
        <f t="shared" si="6"/>
        <v xml:space="preserve">2003 Actual </v>
      </c>
      <c r="B51" s="243"/>
      <c r="C51" s="243"/>
      <c r="D51" s="217">
        <f>Summary!C12</f>
        <v>12299</v>
      </c>
      <c r="E51" s="217">
        <f>Summary!C16</f>
        <v>852</v>
      </c>
      <c r="F51" s="217">
        <f>Summary!C20</f>
        <v>72</v>
      </c>
      <c r="G51" s="217">
        <f>Summary!C30</f>
        <v>2196</v>
      </c>
      <c r="H51" s="217">
        <f>Summary!C25</f>
        <v>181</v>
      </c>
      <c r="I51" s="217">
        <f>Summary!C35</f>
        <v>0</v>
      </c>
      <c r="J51" s="217"/>
      <c r="K51" s="217">
        <f t="shared" ref="K51:K61" si="7">SUM(D51:J51)</f>
        <v>15600</v>
      </c>
      <c r="L51" s="218"/>
      <c r="M51" s="218"/>
    </row>
    <row r="52" spans="1:13" x14ac:dyDescent="0.2">
      <c r="A52" s="243" t="str">
        <f t="shared" si="6"/>
        <v xml:space="preserve">2004 Actual </v>
      </c>
      <c r="B52" s="243"/>
      <c r="C52" s="243"/>
      <c r="D52" s="217">
        <f>Summary!D12</f>
        <v>12539</v>
      </c>
      <c r="E52" s="217">
        <f>Summary!D16</f>
        <v>886</v>
      </c>
      <c r="F52" s="217">
        <f>Summary!D20</f>
        <v>73</v>
      </c>
      <c r="G52" s="217">
        <f>Summary!D30</f>
        <v>2309</v>
      </c>
      <c r="H52" s="217">
        <f>Summary!D25</f>
        <v>183</v>
      </c>
      <c r="I52" s="217">
        <f>Summary!D35</f>
        <v>0</v>
      </c>
      <c r="J52" s="217"/>
      <c r="K52" s="217">
        <f t="shared" si="7"/>
        <v>15990</v>
      </c>
      <c r="L52" s="218"/>
      <c r="M52" s="218"/>
    </row>
    <row r="53" spans="1:13" x14ac:dyDescent="0.2">
      <c r="A53" s="243" t="str">
        <f t="shared" si="6"/>
        <v xml:space="preserve">2005 Actual </v>
      </c>
      <c r="B53" s="243"/>
      <c r="C53" s="243"/>
      <c r="D53" s="217">
        <f>Summary!E12</f>
        <v>12748</v>
      </c>
      <c r="E53" s="217">
        <f>Summary!E16</f>
        <v>907</v>
      </c>
      <c r="F53" s="217">
        <f>Summary!E20</f>
        <v>72</v>
      </c>
      <c r="G53" s="217">
        <f>Summary!E30</f>
        <v>2371</v>
      </c>
      <c r="H53" s="217">
        <f>Summary!E25</f>
        <v>189</v>
      </c>
      <c r="I53" s="217">
        <f>Summary!E35</f>
        <v>0</v>
      </c>
      <c r="J53" s="217"/>
      <c r="K53" s="217">
        <f t="shared" si="7"/>
        <v>16287</v>
      </c>
      <c r="L53" s="218"/>
      <c r="M53" s="218"/>
    </row>
    <row r="54" spans="1:13" x14ac:dyDescent="0.2">
      <c r="A54" s="243" t="str">
        <f t="shared" si="6"/>
        <v xml:space="preserve">2006 Actual </v>
      </c>
      <c r="B54" s="243"/>
      <c r="C54" s="243"/>
      <c r="D54" s="217">
        <f>Summary!F12</f>
        <v>12867</v>
      </c>
      <c r="E54" s="217">
        <f>Summary!F16</f>
        <v>797</v>
      </c>
      <c r="F54" s="217">
        <f>Summary!F20</f>
        <v>80</v>
      </c>
      <c r="G54" s="217">
        <f>Summary!F30</f>
        <v>2371</v>
      </c>
      <c r="H54" s="217">
        <f>Summary!F25</f>
        <v>189</v>
      </c>
      <c r="I54" s="217">
        <f>Summary!F35</f>
        <v>90</v>
      </c>
      <c r="J54" s="217"/>
      <c r="K54" s="217">
        <f t="shared" si="7"/>
        <v>16394</v>
      </c>
      <c r="L54" s="218"/>
      <c r="M54" s="218"/>
    </row>
    <row r="55" spans="1:13" ht="12.75" customHeight="1" x14ac:dyDescent="0.2">
      <c r="A55" s="243" t="str">
        <f t="shared" si="6"/>
        <v xml:space="preserve">2007 Actual </v>
      </c>
      <c r="B55" s="243"/>
      <c r="C55" s="243"/>
      <c r="D55" s="217">
        <f>Summary!G12</f>
        <v>12991</v>
      </c>
      <c r="E55" s="217">
        <f>Summary!G16</f>
        <v>819</v>
      </c>
      <c r="F55" s="217">
        <f>Summary!G20</f>
        <v>71</v>
      </c>
      <c r="G55" s="217">
        <f>Summary!G30</f>
        <v>2489</v>
      </c>
      <c r="H55" s="217">
        <f>Summary!G25</f>
        <v>186</v>
      </c>
      <c r="I55" s="217">
        <f>Summary!G35</f>
        <v>89</v>
      </c>
      <c r="J55" s="217"/>
      <c r="K55" s="217">
        <f t="shared" si="7"/>
        <v>16645</v>
      </c>
      <c r="L55" s="218"/>
      <c r="M55" s="218"/>
    </row>
    <row r="56" spans="1:13" x14ac:dyDescent="0.2">
      <c r="A56" s="243" t="str">
        <f t="shared" si="6"/>
        <v xml:space="preserve">2008 Actual </v>
      </c>
      <c r="B56" s="243"/>
      <c r="C56" s="243"/>
      <c r="D56" s="217">
        <f>Summary!H12</f>
        <v>13277</v>
      </c>
      <c r="E56" s="217">
        <f>Summary!H16</f>
        <v>836</v>
      </c>
      <c r="F56" s="217">
        <f>Summary!H20</f>
        <v>73</v>
      </c>
      <c r="G56" s="217">
        <f>Summary!H30</f>
        <v>2588</v>
      </c>
      <c r="H56" s="217">
        <f>Summary!H25</f>
        <v>186</v>
      </c>
      <c r="I56" s="217">
        <f>Summary!H35</f>
        <v>84</v>
      </c>
      <c r="J56" s="217"/>
      <c r="K56" s="217">
        <f t="shared" si="7"/>
        <v>17044</v>
      </c>
      <c r="L56" s="218"/>
      <c r="M56" s="218"/>
    </row>
    <row r="57" spans="1:13" x14ac:dyDescent="0.2">
      <c r="A57" s="243" t="str">
        <f t="shared" si="6"/>
        <v>2009 Actual</v>
      </c>
      <c r="B57" s="243"/>
      <c r="C57" s="243"/>
      <c r="D57" s="217">
        <f>Summary!I12</f>
        <v>13533</v>
      </c>
      <c r="E57" s="217">
        <f>Summary!I16</f>
        <v>855</v>
      </c>
      <c r="F57" s="217">
        <f>Summary!I20</f>
        <v>72</v>
      </c>
      <c r="G57" s="217">
        <f>Summary!I30</f>
        <v>2625</v>
      </c>
      <c r="H57" s="217">
        <f>Summary!I25</f>
        <v>193</v>
      </c>
      <c r="I57" s="217">
        <f>Summary!I35</f>
        <v>83</v>
      </c>
      <c r="J57" s="217"/>
      <c r="K57" s="217">
        <f t="shared" si="7"/>
        <v>17361</v>
      </c>
      <c r="L57" s="218"/>
      <c r="M57" s="218"/>
    </row>
    <row r="58" spans="1:13" s="214" customFormat="1" ht="12.75" customHeight="1" x14ac:dyDescent="0.2">
      <c r="A58" s="243" t="str">
        <f t="shared" si="6"/>
        <v xml:space="preserve">2010 Actual </v>
      </c>
      <c r="B58" s="276"/>
      <c r="C58" s="296"/>
      <c r="D58" s="217">
        <f>Summary!J12</f>
        <v>13651</v>
      </c>
      <c r="E58" s="217">
        <f>Summary!J16</f>
        <v>865</v>
      </c>
      <c r="F58" s="217">
        <f>Summary!J20</f>
        <v>68</v>
      </c>
      <c r="G58" s="217">
        <f>Summary!J30</f>
        <v>2685</v>
      </c>
      <c r="H58" s="217">
        <f>Summary!J25</f>
        <v>201</v>
      </c>
      <c r="I58" s="217">
        <f>Summary!J35</f>
        <v>82</v>
      </c>
      <c r="J58" s="217"/>
      <c r="K58" s="217">
        <f t="shared" si="7"/>
        <v>17552</v>
      </c>
      <c r="L58" s="218"/>
      <c r="M58" s="218"/>
    </row>
    <row r="59" spans="1:13" s="214" customFormat="1" ht="12.75" customHeight="1" x14ac:dyDescent="0.2">
      <c r="A59" s="243" t="str">
        <f t="shared" si="6"/>
        <v xml:space="preserve">2011 Actual </v>
      </c>
      <c r="B59" s="295"/>
      <c r="C59" s="296"/>
      <c r="D59" s="217">
        <f>Summary!$K$12</f>
        <v>13779</v>
      </c>
      <c r="E59" s="217">
        <f>Summary!$K$16</f>
        <v>896</v>
      </c>
      <c r="F59" s="217">
        <f>Summary!$K$20</f>
        <v>67</v>
      </c>
      <c r="G59" s="217">
        <f>Summary!$K$30</f>
        <v>2728</v>
      </c>
      <c r="H59" s="217">
        <f>Summary!K25</f>
        <v>225</v>
      </c>
      <c r="I59" s="217">
        <f>Summary!K35</f>
        <v>81</v>
      </c>
      <c r="J59" s="217"/>
      <c r="K59" s="217">
        <f t="shared" si="7"/>
        <v>17776</v>
      </c>
      <c r="L59" s="218"/>
      <c r="M59" s="218"/>
    </row>
    <row r="60" spans="1:13" ht="12.75" customHeight="1" x14ac:dyDescent="0.2">
      <c r="A60" s="187" t="str">
        <f t="shared" si="6"/>
        <v>2012 Bridge</v>
      </c>
      <c r="B60" s="248"/>
      <c r="C60" s="187"/>
      <c r="D60" s="220">
        <f>Summary!$L$12</f>
        <v>13982.594477207709</v>
      </c>
      <c r="E60" s="220">
        <f>Summary!$L$16</f>
        <v>902.80708748624443</v>
      </c>
      <c r="F60" s="220">
        <f>Summary!$L$20</f>
        <v>66.569704772725899</v>
      </c>
      <c r="G60" s="220">
        <f>Summary!$L$30</f>
        <v>2807.4290635802972</v>
      </c>
      <c r="H60" s="220">
        <f>Summary!L25</f>
        <v>231.07944929215557</v>
      </c>
      <c r="I60" s="220">
        <f>Summary!L35</f>
        <v>79.311017351239116</v>
      </c>
      <c r="J60" s="220"/>
      <c r="K60" s="220">
        <f t="shared" si="7"/>
        <v>18069.790799690374</v>
      </c>
      <c r="L60" s="218"/>
      <c r="M60" s="218"/>
    </row>
    <row r="61" spans="1:13" ht="15" x14ac:dyDescent="0.2">
      <c r="A61" s="187" t="str">
        <f t="shared" si="6"/>
        <v>2013 Test</v>
      </c>
      <c r="B61" s="187"/>
      <c r="C61" s="209"/>
      <c r="D61" s="220">
        <f>Summary!$M$12</f>
        <v>14189.197206911933</v>
      </c>
      <c r="E61" s="220">
        <f>Summary!$M$16</f>
        <v>909.66588974932517</v>
      </c>
      <c r="F61" s="220">
        <f>Summary!$M$20</f>
        <v>66.142173037729634</v>
      </c>
      <c r="G61" s="220">
        <f>Summary!$M$30</f>
        <v>2889.1708016991734</v>
      </c>
      <c r="H61" s="220">
        <f>Summary!M25</f>
        <v>237.32316393407066</v>
      </c>
      <c r="I61" s="220">
        <f>Summary!M35</f>
        <v>77.657252756648802</v>
      </c>
      <c r="J61" s="209"/>
      <c r="K61" s="220">
        <f t="shared" si="7"/>
        <v>18369.15648808888</v>
      </c>
      <c r="L61" s="218"/>
      <c r="M61" s="218"/>
    </row>
    <row r="63" spans="1:13" ht="15" x14ac:dyDescent="0.2">
      <c r="A63" s="416" t="s">
        <v>255</v>
      </c>
      <c r="B63" s="417"/>
      <c r="C63" s="417"/>
      <c r="D63" s="417"/>
      <c r="E63" s="417"/>
      <c r="F63" s="417"/>
      <c r="G63" s="417"/>
      <c r="H63" s="417"/>
      <c r="I63" s="418"/>
      <c r="J63" s="203"/>
      <c r="K63" s="204"/>
    </row>
    <row r="64" spans="1:13" ht="30" x14ac:dyDescent="0.2">
      <c r="A64" s="435" t="s">
        <v>239</v>
      </c>
      <c r="B64" s="436"/>
      <c r="C64" s="347"/>
      <c r="D64" s="341" t="str">
        <f t="shared" ref="D64:I64" si="8">D27</f>
        <v xml:space="preserve">Residential </v>
      </c>
      <c r="E64" s="341" t="str">
        <f t="shared" si="8"/>
        <v>GS&lt;50</v>
      </c>
      <c r="F64" s="341" t="str">
        <f t="shared" si="8"/>
        <v>GS&gt;50</v>
      </c>
      <c r="G64" s="341" t="str">
        <f t="shared" si="8"/>
        <v>Street Lighting</v>
      </c>
      <c r="H64" s="341" t="str">
        <f t="shared" si="8"/>
        <v>Sentinels</v>
      </c>
      <c r="I64" s="341" t="str">
        <f t="shared" si="8"/>
        <v>USL</v>
      </c>
      <c r="J64" s="252"/>
    </row>
    <row r="65" spans="1:11" ht="15" x14ac:dyDescent="0.2">
      <c r="A65" s="416" t="s">
        <v>256</v>
      </c>
      <c r="B65" s="417"/>
      <c r="C65" s="417"/>
      <c r="D65" s="417"/>
      <c r="E65" s="417"/>
      <c r="F65" s="417"/>
      <c r="G65" s="417"/>
      <c r="H65" s="417"/>
      <c r="I65" s="418"/>
      <c r="J65" s="203"/>
    </row>
    <row r="66" spans="1:11" ht="15" x14ac:dyDescent="0.2">
      <c r="A66" s="424"/>
      <c r="B66" s="425"/>
      <c r="C66" s="425"/>
      <c r="D66" s="425"/>
      <c r="E66" s="425"/>
      <c r="F66" s="425"/>
      <c r="G66" s="425"/>
      <c r="H66" s="425"/>
      <c r="I66" s="445"/>
      <c r="J66" s="288"/>
    </row>
    <row r="67" spans="1:11" ht="15" x14ac:dyDescent="0.2">
      <c r="A67" s="221" t="str">
        <f>A48</f>
        <v>2009 Board Approved</v>
      </c>
      <c r="B67" s="222"/>
      <c r="C67" s="222"/>
      <c r="D67" s="193">
        <f t="shared" ref="D67:I67" si="9">D30/D48*1000000</f>
        <v>11382.474837181764</v>
      </c>
      <c r="E67" s="193">
        <f t="shared" si="9"/>
        <v>37484.885126964931</v>
      </c>
      <c r="F67" s="193">
        <f t="shared" si="9"/>
        <v>555555.55555555562</v>
      </c>
      <c r="G67" s="193">
        <f t="shared" si="9"/>
        <v>569.39501779359443</v>
      </c>
      <c r="H67" s="193">
        <f t="shared" si="9"/>
        <v>518.13471502590676</v>
      </c>
      <c r="I67" s="193">
        <f t="shared" si="9"/>
        <v>7058.823529411764</v>
      </c>
      <c r="J67" s="289"/>
    </row>
    <row r="68" spans="1:11" ht="15" x14ac:dyDescent="0.2">
      <c r="A68" s="424"/>
      <c r="B68" s="425"/>
      <c r="C68" s="425"/>
      <c r="D68" s="425"/>
      <c r="E68" s="425"/>
      <c r="F68" s="425"/>
      <c r="G68" s="425"/>
      <c r="H68" s="425"/>
      <c r="I68" s="445"/>
      <c r="J68" s="288"/>
    </row>
    <row r="69" spans="1:11" x14ac:dyDescent="0.2">
      <c r="A69" s="188" t="str">
        <f t="shared" ref="A69:A80" si="10">A13</f>
        <v xml:space="preserve">2002 Actual </v>
      </c>
      <c r="B69" s="189"/>
      <c r="C69" s="189"/>
      <c r="D69" s="193">
        <f>D32/D50*1000000</f>
        <v>11485.011511387163</v>
      </c>
      <c r="E69" s="193">
        <f>E32/E50*1000000</f>
        <v>26624.659498207882</v>
      </c>
      <c r="F69" s="193">
        <f>F32/F50*1000000</f>
        <v>547243.39436619717</v>
      </c>
      <c r="G69" s="193">
        <f>G32/G50*1000000</f>
        <v>556.18747033697196</v>
      </c>
      <c r="H69" s="193">
        <f>H32/H50*1000000</f>
        <v>748.35706214689264</v>
      </c>
      <c r="I69" s="193"/>
      <c r="J69" s="289"/>
    </row>
    <row r="70" spans="1:11" x14ac:dyDescent="0.2">
      <c r="A70" s="188" t="str">
        <f t="shared" si="10"/>
        <v xml:space="preserve">2003 Actual </v>
      </c>
      <c r="B70" s="189"/>
      <c r="C70" s="189"/>
      <c r="D70" s="193">
        <f t="shared" ref="D70:H80" si="11">D33/D51*1000000</f>
        <v>11983.368973087243</v>
      </c>
      <c r="E70" s="193">
        <f t="shared" si="11"/>
        <v>29292.674882629111</v>
      </c>
      <c r="F70" s="193">
        <f t="shared" si="11"/>
        <v>538388.83333333337</v>
      </c>
      <c r="G70" s="193">
        <f t="shared" si="11"/>
        <v>431.0714936247723</v>
      </c>
      <c r="H70" s="193">
        <f t="shared" si="11"/>
        <v>751.5138121546961</v>
      </c>
      <c r="I70" s="193"/>
      <c r="J70" s="289"/>
    </row>
    <row r="71" spans="1:11" x14ac:dyDescent="0.2">
      <c r="A71" s="188" t="str">
        <f t="shared" si="10"/>
        <v xml:space="preserve">2004 Actual </v>
      </c>
      <c r="B71" s="189"/>
      <c r="C71" s="189"/>
      <c r="D71" s="193">
        <f t="shared" si="11"/>
        <v>11866.177605869687</v>
      </c>
      <c r="E71" s="193">
        <f t="shared" si="11"/>
        <v>30394.688487584652</v>
      </c>
      <c r="F71" s="193">
        <f t="shared" si="11"/>
        <v>497310.095890411</v>
      </c>
      <c r="G71" s="193">
        <f t="shared" si="11"/>
        <v>536.46946730186232</v>
      </c>
      <c r="H71" s="193">
        <f t="shared" si="11"/>
        <v>739.33333333333337</v>
      </c>
      <c r="I71" s="193"/>
      <c r="J71" s="289"/>
    </row>
    <row r="72" spans="1:11" x14ac:dyDescent="0.2">
      <c r="A72" s="188" t="str">
        <f t="shared" si="10"/>
        <v xml:space="preserve">2005 Actual </v>
      </c>
      <c r="B72" s="189"/>
      <c r="C72" s="189"/>
      <c r="D72" s="193">
        <f t="shared" si="11"/>
        <v>12144.498352682775</v>
      </c>
      <c r="E72" s="193">
        <f t="shared" si="11"/>
        <v>31203.895259095916</v>
      </c>
      <c r="F72" s="193">
        <f t="shared" si="11"/>
        <v>553123.26388888888</v>
      </c>
      <c r="G72" s="193">
        <f t="shared" si="11"/>
        <v>617.12737241670186</v>
      </c>
      <c r="H72" s="193">
        <f t="shared" si="11"/>
        <v>696.52380952380952</v>
      </c>
      <c r="I72" s="193"/>
      <c r="J72" s="289"/>
    </row>
    <row r="73" spans="1:11" x14ac:dyDescent="0.2">
      <c r="A73" s="188" t="str">
        <f t="shared" si="10"/>
        <v xml:space="preserve">2006 Actual </v>
      </c>
      <c r="B73" s="189"/>
      <c r="C73" s="189"/>
      <c r="D73" s="193">
        <f t="shared" si="11"/>
        <v>11588.089764513872</v>
      </c>
      <c r="E73" s="193">
        <f t="shared" si="11"/>
        <v>34117.156838143033</v>
      </c>
      <c r="F73" s="193">
        <f t="shared" si="11"/>
        <v>497886.43749999994</v>
      </c>
      <c r="G73" s="193">
        <f t="shared" si="11"/>
        <v>609.66596372838467</v>
      </c>
      <c r="H73" s="193">
        <f t="shared" si="11"/>
        <v>697.71957671957671</v>
      </c>
      <c r="I73" s="193">
        <f t="shared" ref="I73:I80" si="12">I36/I54*1000000</f>
        <v>3241.9666666666672</v>
      </c>
      <c r="J73" s="289"/>
    </row>
    <row r="74" spans="1:11" x14ac:dyDescent="0.2">
      <c r="A74" s="188" t="str">
        <f t="shared" si="10"/>
        <v xml:space="preserve">2007 Actual </v>
      </c>
      <c r="B74" s="189"/>
      <c r="C74" s="189"/>
      <c r="D74" s="193">
        <f t="shared" si="11"/>
        <v>11445.685628512047</v>
      </c>
      <c r="E74" s="193">
        <f t="shared" si="11"/>
        <v>34753.873015873018</v>
      </c>
      <c r="F74" s="193">
        <f t="shared" si="11"/>
        <v>553810.84507042239</v>
      </c>
      <c r="G74" s="193">
        <f t="shared" si="11"/>
        <v>601.02330253113701</v>
      </c>
      <c r="H74" s="193">
        <f t="shared" si="11"/>
        <v>679.41397849462362</v>
      </c>
      <c r="I74" s="193">
        <f t="shared" si="12"/>
        <v>5839.2584269662921</v>
      </c>
      <c r="J74" s="289"/>
    </row>
    <row r="75" spans="1:11" x14ac:dyDescent="0.2">
      <c r="A75" s="188" t="str">
        <f t="shared" si="10"/>
        <v xml:space="preserve">2008 Actual </v>
      </c>
      <c r="B75" s="189"/>
      <c r="C75" s="189"/>
      <c r="D75" s="193">
        <f t="shared" si="11"/>
        <v>11294.766965428938</v>
      </c>
      <c r="E75" s="193">
        <f t="shared" si="11"/>
        <v>33970.910287081337</v>
      </c>
      <c r="F75" s="193">
        <f t="shared" si="11"/>
        <v>620128.84342465759</v>
      </c>
      <c r="G75" s="193">
        <f t="shared" si="11"/>
        <v>592.69659969088104</v>
      </c>
      <c r="H75" s="193">
        <f t="shared" si="11"/>
        <v>667.80440860215049</v>
      </c>
      <c r="I75" s="193">
        <f t="shared" si="12"/>
        <v>6050.1785714285706</v>
      </c>
      <c r="J75" s="289"/>
    </row>
    <row r="76" spans="1:11" x14ac:dyDescent="0.2">
      <c r="A76" s="188" t="str">
        <f t="shared" si="10"/>
        <v>2009 Actual</v>
      </c>
      <c r="B76" s="189"/>
      <c r="C76" s="189"/>
      <c r="D76" s="193">
        <f t="shared" si="11"/>
        <v>11111.63651814084</v>
      </c>
      <c r="E76" s="193">
        <f t="shared" si="11"/>
        <v>32881.208187134507</v>
      </c>
      <c r="F76" s="193">
        <f t="shared" si="11"/>
        <v>659350.80847222218</v>
      </c>
      <c r="G76" s="193">
        <f t="shared" si="11"/>
        <v>600.72822857142864</v>
      </c>
      <c r="H76" s="193">
        <f t="shared" si="11"/>
        <v>632.23367875647671</v>
      </c>
      <c r="I76" s="193">
        <f t="shared" si="12"/>
        <v>5947.9518072289156</v>
      </c>
      <c r="J76" s="289"/>
    </row>
    <row r="77" spans="1:11" s="214" customFormat="1" x14ac:dyDescent="0.2">
      <c r="A77" s="188" t="str">
        <f t="shared" si="10"/>
        <v xml:space="preserve">2010 Actual </v>
      </c>
      <c r="B77" s="189"/>
      <c r="C77" s="189"/>
      <c r="D77" s="193">
        <f t="shared" si="11"/>
        <v>10866.629274778403</v>
      </c>
      <c r="E77" s="193">
        <f t="shared" si="11"/>
        <v>33744.363005780346</v>
      </c>
      <c r="F77" s="193">
        <f t="shared" si="11"/>
        <v>751893.69294117636</v>
      </c>
      <c r="G77" s="193">
        <f t="shared" si="11"/>
        <v>588.47597765363128</v>
      </c>
      <c r="H77" s="193">
        <f t="shared" si="11"/>
        <v>580.61054726368161</v>
      </c>
      <c r="I77" s="193">
        <f t="shared" si="12"/>
        <v>6020.4878048780483</v>
      </c>
      <c r="J77" s="289"/>
    </row>
    <row r="78" spans="1:11" s="202" customFormat="1" ht="15" x14ac:dyDescent="0.25">
      <c r="A78" s="188" t="str">
        <f t="shared" si="10"/>
        <v xml:space="preserve">2011 Actual </v>
      </c>
      <c r="B78" s="189"/>
      <c r="C78" s="185"/>
      <c r="D78" s="193">
        <f t="shared" si="11"/>
        <v>10893.251293272369</v>
      </c>
      <c r="E78" s="193">
        <f t="shared" si="11"/>
        <v>34094.526026785716</v>
      </c>
      <c r="F78" s="193">
        <f t="shared" si="11"/>
        <v>745099.78283582104</v>
      </c>
      <c r="G78" s="193">
        <f t="shared" si="11"/>
        <v>534.22632331378293</v>
      </c>
      <c r="H78" s="193">
        <f t="shared" si="11"/>
        <v>489.95920000000007</v>
      </c>
      <c r="I78" s="193">
        <f t="shared" si="12"/>
        <v>6040.8888888888887</v>
      </c>
      <c r="J78" s="283"/>
      <c r="K78" s="179"/>
    </row>
    <row r="79" spans="1:11" s="202" customFormat="1" ht="15" x14ac:dyDescent="0.25">
      <c r="A79" s="187" t="str">
        <f t="shared" si="10"/>
        <v>2012 Bridge</v>
      </c>
      <c r="B79" s="187"/>
      <c r="C79" s="185"/>
      <c r="D79" s="200">
        <f t="shared" ca="1" si="11"/>
        <v>10566.698022584424</v>
      </c>
      <c r="E79" s="200">
        <f t="shared" ca="1" si="11"/>
        <v>34194.203158214936</v>
      </c>
      <c r="F79" s="200">
        <f t="shared" ca="1" si="11"/>
        <v>755041.2978264906</v>
      </c>
      <c r="G79" s="200">
        <f t="shared" ca="1" si="11"/>
        <v>527.56751564355784</v>
      </c>
      <c r="H79" s="200">
        <f t="shared" ca="1" si="11"/>
        <v>463.67950384314253</v>
      </c>
      <c r="I79" s="200">
        <f t="shared" ca="1" si="12"/>
        <v>6786.6595275002928</v>
      </c>
      <c r="J79" s="283"/>
    </row>
    <row r="80" spans="1:11" s="202" customFormat="1" ht="15" x14ac:dyDescent="0.25">
      <c r="A80" s="187" t="str">
        <f t="shared" si="10"/>
        <v>2013 Test</v>
      </c>
      <c r="B80" s="187"/>
      <c r="C80" s="185"/>
      <c r="D80" s="200">
        <f t="shared" ca="1" si="11"/>
        <v>10329.18888153521</v>
      </c>
      <c r="E80" s="200">
        <f t="shared" ca="1" si="11"/>
        <v>34559.342146619681</v>
      </c>
      <c r="F80" s="200">
        <f t="shared" ca="1" si="11"/>
        <v>769813.38619212213</v>
      </c>
      <c r="G80" s="200">
        <f t="shared" ca="1" si="11"/>
        <v>521.0993008776386</v>
      </c>
      <c r="H80" s="200">
        <f t="shared" ca="1" si="11"/>
        <v>438.89998123241423</v>
      </c>
      <c r="I80" s="200">
        <f t="shared" ca="1" si="12"/>
        <v>7626.0729860775909</v>
      </c>
      <c r="J80" s="283"/>
    </row>
    <row r="81" spans="1:17" x14ac:dyDescent="0.2">
      <c r="A81" s="446"/>
      <c r="B81" s="447"/>
      <c r="C81" s="447"/>
      <c r="D81" s="447"/>
      <c r="E81" s="447"/>
      <c r="F81" s="447"/>
      <c r="G81" s="447"/>
      <c r="H81" s="447"/>
      <c r="I81" s="448"/>
      <c r="J81" s="290"/>
    </row>
    <row r="82" spans="1:17" ht="15" x14ac:dyDescent="0.2">
      <c r="A82" s="437" t="s">
        <v>257</v>
      </c>
      <c r="B82" s="438"/>
      <c r="C82" s="438"/>
      <c r="D82" s="438"/>
      <c r="E82" s="438"/>
      <c r="F82" s="438"/>
      <c r="G82" s="438"/>
      <c r="H82" s="438"/>
      <c r="I82" s="439"/>
      <c r="J82" s="230"/>
    </row>
    <row r="83" spans="1:17" ht="15" x14ac:dyDescent="0.2">
      <c r="A83" s="432"/>
      <c r="B83" s="433"/>
      <c r="C83" s="433"/>
      <c r="D83" s="433"/>
      <c r="E83" s="433"/>
      <c r="F83" s="433"/>
      <c r="G83" s="433"/>
      <c r="H83" s="433"/>
      <c r="I83" s="434"/>
      <c r="J83" s="282"/>
    </row>
    <row r="84" spans="1:17" ht="15" x14ac:dyDescent="0.2">
      <c r="A84" s="224" t="s">
        <v>258</v>
      </c>
      <c r="B84" s="223"/>
      <c r="C84" s="223"/>
      <c r="D84" s="192">
        <f t="shared" ref="D84:I84" si="13">D67/D76-1</f>
        <v>2.437429613529507E-2</v>
      </c>
      <c r="E84" s="192">
        <f t="shared" si="13"/>
        <v>0.14000936077621717</v>
      </c>
      <c r="F84" s="192">
        <f t="shared" si="13"/>
        <v>-0.15742037710876544</v>
      </c>
      <c r="G84" s="192">
        <f t="shared" si="13"/>
        <v>-5.2158712188948853E-2</v>
      </c>
      <c r="H84" s="192">
        <f t="shared" si="13"/>
        <v>-0.18046960730562178</v>
      </c>
      <c r="I84" s="192">
        <f t="shared" si="13"/>
        <v>0.186765420801281</v>
      </c>
      <c r="J84" s="231"/>
    </row>
    <row r="85" spans="1:17" ht="15" x14ac:dyDescent="0.2">
      <c r="A85" s="432"/>
      <c r="B85" s="433"/>
      <c r="C85" s="433"/>
      <c r="D85" s="433"/>
      <c r="E85" s="433"/>
      <c r="F85" s="433"/>
      <c r="G85" s="433"/>
      <c r="H85" s="433"/>
      <c r="I85" s="434"/>
      <c r="J85" s="282"/>
    </row>
    <row r="86" spans="1:17" x14ac:dyDescent="0.2">
      <c r="A86" s="225" t="str">
        <f t="shared" ref="A86:A97" si="14">A69</f>
        <v xml:space="preserve">2002 Actual </v>
      </c>
      <c r="B86" s="225"/>
      <c r="C86" s="225"/>
      <c r="D86" s="192"/>
      <c r="E86" s="192"/>
      <c r="F86" s="192"/>
      <c r="G86" s="192"/>
      <c r="H86" s="192"/>
      <c r="I86" s="192"/>
      <c r="J86" s="231"/>
    </row>
    <row r="87" spans="1:17" x14ac:dyDescent="0.2">
      <c r="A87" s="225" t="str">
        <f t="shared" si="14"/>
        <v xml:space="preserve">2003 Actual </v>
      </c>
      <c r="B87" s="225"/>
      <c r="C87" s="225"/>
      <c r="D87" s="192">
        <f t="shared" ref="D87:H90" si="15">D70/D69-1</f>
        <v>4.3391986260176374E-2</v>
      </c>
      <c r="E87" s="192">
        <f t="shared" si="15"/>
        <v>0.10020843213415787</v>
      </c>
      <c r="F87" s="192">
        <f t="shared" si="15"/>
        <v>-1.6180297695724488E-2</v>
      </c>
      <c r="G87" s="192">
        <f t="shared" si="15"/>
        <v>-0.22495288618493481</v>
      </c>
      <c r="H87" s="192">
        <f t="shared" si="15"/>
        <v>4.218240419549657E-3</v>
      </c>
      <c r="I87" s="192"/>
      <c r="J87" s="231"/>
    </row>
    <row r="88" spans="1:17" x14ac:dyDescent="0.2">
      <c r="A88" s="225" t="str">
        <f t="shared" si="14"/>
        <v xml:space="preserve">2004 Actual </v>
      </c>
      <c r="B88" s="225"/>
      <c r="C88" s="225"/>
      <c r="D88" s="192">
        <f t="shared" si="15"/>
        <v>-9.7795008633005942E-3</v>
      </c>
      <c r="E88" s="192">
        <f t="shared" si="15"/>
        <v>3.7620791183158531E-2</v>
      </c>
      <c r="F88" s="192">
        <f t="shared" si="15"/>
        <v>-7.6299386056339791E-2</v>
      </c>
      <c r="G88" s="192">
        <f t="shared" si="15"/>
        <v>0.24450230468924028</v>
      </c>
      <c r="H88" s="192">
        <f t="shared" si="15"/>
        <v>-1.6207924091826809E-2</v>
      </c>
      <c r="I88" s="192"/>
      <c r="J88" s="231"/>
    </row>
    <row r="89" spans="1:17" x14ac:dyDescent="0.2">
      <c r="A89" s="225" t="str">
        <f t="shared" si="14"/>
        <v xml:space="preserve">2005 Actual </v>
      </c>
      <c r="B89" s="225"/>
      <c r="C89" s="225"/>
      <c r="D89" s="192">
        <f t="shared" si="15"/>
        <v>2.3454962167043014E-2</v>
      </c>
      <c r="E89" s="192">
        <f t="shared" si="15"/>
        <v>2.6623295443274575E-2</v>
      </c>
      <c r="F89" s="192">
        <f t="shared" si="15"/>
        <v>0.11223011247850678</v>
      </c>
      <c r="G89" s="192">
        <f t="shared" si="15"/>
        <v>0.15034947938510479</v>
      </c>
      <c r="H89" s="192">
        <f t="shared" si="15"/>
        <v>-5.7902872600798738E-2</v>
      </c>
      <c r="I89" s="192"/>
      <c r="J89" s="231"/>
    </row>
    <row r="90" spans="1:17" x14ac:dyDescent="0.2">
      <c r="A90" s="225" t="str">
        <f t="shared" si="14"/>
        <v xml:space="preserve">2006 Actual </v>
      </c>
      <c r="B90" s="225"/>
      <c r="C90" s="225"/>
      <c r="D90" s="192">
        <f t="shared" si="15"/>
        <v>-4.5815691353442323E-2</v>
      </c>
      <c r="E90" s="192">
        <f t="shared" si="15"/>
        <v>9.3362112481707005E-2</v>
      </c>
      <c r="F90" s="192">
        <f t="shared" si="15"/>
        <v>-9.9863502396429493E-2</v>
      </c>
      <c r="G90" s="192">
        <f t="shared" si="15"/>
        <v>-1.2090548923632927E-2</v>
      </c>
      <c r="H90" s="192">
        <f t="shared" si="15"/>
        <v>1.7167642791489079E-3</v>
      </c>
      <c r="I90" s="192"/>
      <c r="J90" s="231"/>
    </row>
    <row r="91" spans="1:17" x14ac:dyDescent="0.2">
      <c r="A91" s="225" t="str">
        <f t="shared" si="14"/>
        <v xml:space="preserve">2007 Actual </v>
      </c>
      <c r="B91" s="225"/>
      <c r="C91" s="225"/>
      <c r="D91" s="192">
        <f t="shared" ref="D91:I91" si="16">D74/D73-1</f>
        <v>-1.2288836114983215E-2</v>
      </c>
      <c r="E91" s="192">
        <f t="shared" si="16"/>
        <v>1.8662638881389304E-2</v>
      </c>
      <c r="F91" s="192">
        <f t="shared" si="16"/>
        <v>0.1123236211278047</v>
      </c>
      <c r="G91" s="192">
        <f t="shared" si="16"/>
        <v>-1.4176059861360613E-2</v>
      </c>
      <c r="H91" s="192">
        <f t="shared" si="16"/>
        <v>-2.6236325933434945E-2</v>
      </c>
      <c r="I91" s="192">
        <f t="shared" si="16"/>
        <v>0.80114696644000793</v>
      </c>
      <c r="J91" s="231"/>
    </row>
    <row r="92" spans="1:17" x14ac:dyDescent="0.2">
      <c r="A92" s="225" t="str">
        <f t="shared" si="14"/>
        <v xml:space="preserve">2008 Actual </v>
      </c>
      <c r="B92" s="225"/>
      <c r="C92" s="225"/>
      <c r="D92" s="192">
        <f t="shared" ref="D92:I92" si="17">D75/D74-1</f>
        <v>-1.3185637626387248E-2</v>
      </c>
      <c r="E92" s="192">
        <f t="shared" si="17"/>
        <v>-2.2528790631020645E-2</v>
      </c>
      <c r="F92" s="192">
        <f t="shared" si="17"/>
        <v>0.119748464560679</v>
      </c>
      <c r="G92" s="192">
        <f t="shared" si="17"/>
        <v>-1.3854209654083349E-2</v>
      </c>
      <c r="H92" s="192">
        <f t="shared" si="17"/>
        <v>-1.7087622951468262E-2</v>
      </c>
      <c r="I92" s="192">
        <f t="shared" si="17"/>
        <v>3.612104980458275E-2</v>
      </c>
      <c r="J92" s="231"/>
    </row>
    <row r="93" spans="1:17" s="202" customFormat="1" ht="15" x14ac:dyDescent="0.25">
      <c r="A93" s="225" t="str">
        <f t="shared" si="14"/>
        <v>2009 Actual</v>
      </c>
      <c r="B93" s="225"/>
      <c r="C93" s="226"/>
      <c r="D93" s="192">
        <f t="shared" ref="D93:I93" si="18">D76/D75-1</f>
        <v>-1.6213742864162217E-2</v>
      </c>
      <c r="E93" s="192">
        <f t="shared" si="18"/>
        <v>-3.2077506629583308E-2</v>
      </c>
      <c r="F93" s="192">
        <f t="shared" si="18"/>
        <v>6.3248090237121524E-2</v>
      </c>
      <c r="G93" s="192">
        <f t="shared" si="18"/>
        <v>1.3550995373917241E-2</v>
      </c>
      <c r="H93" s="192">
        <f t="shared" si="18"/>
        <v>-5.326519170505406E-2</v>
      </c>
      <c r="I93" s="192">
        <f t="shared" si="18"/>
        <v>-1.6896487102448843E-2</v>
      </c>
      <c r="J93" s="231"/>
      <c r="K93" s="179"/>
    </row>
    <row r="94" spans="1:17" s="202" customFormat="1" ht="15" x14ac:dyDescent="0.25">
      <c r="A94" s="225" t="str">
        <f t="shared" si="14"/>
        <v xml:space="preserve">2010 Actual </v>
      </c>
      <c r="B94" s="226"/>
      <c r="C94" s="226"/>
      <c r="D94" s="192">
        <f t="shared" ref="D94:I94" si="19">D77/D76-1</f>
        <v>-2.2049609250846092E-2</v>
      </c>
      <c r="E94" s="192">
        <f t="shared" si="19"/>
        <v>2.6250702642476753E-2</v>
      </c>
      <c r="F94" s="192">
        <f t="shared" si="19"/>
        <v>0.14035454765481337</v>
      </c>
      <c r="G94" s="192">
        <f t="shared" si="19"/>
        <v>-2.039566368794421E-2</v>
      </c>
      <c r="H94" s="192">
        <f t="shared" si="19"/>
        <v>-8.1651979683099452E-2</v>
      </c>
      <c r="I94" s="192">
        <f t="shared" si="19"/>
        <v>1.2195121951219523E-2</v>
      </c>
      <c r="J94" s="231"/>
      <c r="K94" s="194"/>
      <c r="L94" s="227"/>
      <c r="M94" s="227"/>
      <c r="N94" s="227"/>
      <c r="O94" s="227"/>
      <c r="P94" s="227"/>
      <c r="Q94" s="227"/>
    </row>
    <row r="95" spans="1:17" s="202" customFormat="1" ht="15" x14ac:dyDescent="0.25">
      <c r="A95" s="225" t="str">
        <f t="shared" si="14"/>
        <v xml:space="preserve">2011 Actual </v>
      </c>
      <c r="B95" s="226"/>
      <c r="C95" s="226"/>
      <c r="D95" s="192">
        <f t="shared" ref="D95:I95" si="20">D78/D77-1</f>
        <v>2.4498874325047382E-3</v>
      </c>
      <c r="E95" s="192">
        <f t="shared" si="20"/>
        <v>1.0376933799147059E-2</v>
      </c>
      <c r="F95" s="192">
        <f t="shared" si="20"/>
        <v>-9.0357322705815202E-3</v>
      </c>
      <c r="G95" s="192">
        <f t="shared" si="20"/>
        <v>-9.2186693084996163E-2</v>
      </c>
      <c r="H95" s="192">
        <f t="shared" si="20"/>
        <v>-0.15613107218066546</v>
      </c>
      <c r="I95" s="192">
        <f t="shared" si="20"/>
        <v>3.388609805722087E-3</v>
      </c>
      <c r="J95" s="231"/>
      <c r="K95" s="194"/>
      <c r="L95" s="228"/>
      <c r="M95" s="228"/>
      <c r="N95" s="228"/>
      <c r="O95" s="228"/>
      <c r="P95" s="228"/>
      <c r="Q95" s="228"/>
    </row>
    <row r="96" spans="1:17" s="202" customFormat="1" ht="15" x14ac:dyDescent="0.25">
      <c r="A96" s="226" t="str">
        <f t="shared" si="14"/>
        <v>2012 Bridge</v>
      </c>
      <c r="B96" s="226"/>
      <c r="C96" s="226"/>
      <c r="D96" s="199">
        <f t="shared" ref="D96:I96" ca="1" si="21">D79/D78-1</f>
        <v>-2.9977576197991906E-2</v>
      </c>
      <c r="E96" s="199">
        <f t="shared" ca="1" si="21"/>
        <v>2.9235523424173682E-3</v>
      </c>
      <c r="F96" s="199">
        <f t="shared" ca="1" si="21"/>
        <v>1.3342528369599815E-2</v>
      </c>
      <c r="G96" s="199">
        <f t="shared" ca="1" si="21"/>
        <v>-1.2464394545219637E-2</v>
      </c>
      <c r="H96" s="199">
        <f t="shared" ca="1" si="21"/>
        <v>-5.3636499032689966E-2</v>
      </c>
      <c r="I96" s="199">
        <f t="shared" ca="1" si="21"/>
        <v>0.12345379170656701</v>
      </c>
      <c r="J96" s="282"/>
      <c r="K96" s="201"/>
    </row>
    <row r="97" spans="1:11" s="202" customFormat="1" ht="15" x14ac:dyDescent="0.25">
      <c r="A97" s="226" t="str">
        <f t="shared" si="14"/>
        <v>2013 Test</v>
      </c>
      <c r="B97" s="226"/>
      <c r="C97" s="230"/>
      <c r="D97" s="199">
        <f t="shared" ref="D97:I97" ca="1" si="22">D80/D79-1</f>
        <v>-2.2477139078033614E-2</v>
      </c>
      <c r="E97" s="199">
        <f t="shared" ca="1" si="22"/>
        <v>1.0678388577012976E-2</v>
      </c>
      <c r="F97" s="199">
        <f t="shared" ca="1" si="22"/>
        <v>1.956460978777641E-2</v>
      </c>
      <c r="G97" s="199">
        <f t="shared" ca="1" si="22"/>
        <v>-1.2260449277338381E-2</v>
      </c>
      <c r="H97" s="199">
        <f t="shared" ca="1" si="22"/>
        <v>-5.3441056603422576E-2</v>
      </c>
      <c r="I97" s="199">
        <f t="shared" ca="1" si="22"/>
        <v>0.1236858067177089</v>
      </c>
      <c r="J97" s="282"/>
      <c r="K97" s="201"/>
    </row>
    <row r="98" spans="1:11" s="202" customFormat="1" ht="15" x14ac:dyDescent="0.25">
      <c r="A98" s="229"/>
      <c r="B98" s="230"/>
      <c r="C98" s="230"/>
      <c r="D98" s="231"/>
      <c r="E98" s="231"/>
      <c r="F98" s="231"/>
      <c r="G98" s="231"/>
      <c r="H98" s="231"/>
      <c r="I98" s="231"/>
      <c r="J98" s="231"/>
      <c r="K98" s="194"/>
    </row>
    <row r="99" spans="1:11" ht="15" x14ac:dyDescent="0.2">
      <c r="A99" s="440" t="s">
        <v>301</v>
      </c>
      <c r="B99" s="441"/>
      <c r="C99" s="441"/>
      <c r="D99" s="442"/>
    </row>
    <row r="100" spans="1:11" ht="15" x14ac:dyDescent="0.2">
      <c r="A100" s="426" t="s">
        <v>259</v>
      </c>
      <c r="B100" s="427"/>
      <c r="C100" s="347"/>
      <c r="D100" s="345" t="s">
        <v>260</v>
      </c>
      <c r="K100" s="205"/>
    </row>
    <row r="101" spans="1:11" x14ac:dyDescent="0.2">
      <c r="A101" s="414" t="s">
        <v>23</v>
      </c>
      <c r="B101" s="415"/>
      <c r="C101" s="189"/>
      <c r="D101" s="233">
        <f>'Purchased Power Model '!N6</f>
        <v>0.97573295156331596</v>
      </c>
      <c r="K101"/>
    </row>
    <row r="102" spans="1:11" x14ac:dyDescent="0.2">
      <c r="A102" s="188" t="s">
        <v>24</v>
      </c>
      <c r="B102" s="189"/>
      <c r="C102" s="189"/>
      <c r="D102" s="233">
        <f>'Purchased Power Model '!N7</f>
        <v>0.97466860733363681</v>
      </c>
      <c r="K102"/>
    </row>
    <row r="103" spans="1:11" x14ac:dyDescent="0.2">
      <c r="A103" s="414" t="s">
        <v>261</v>
      </c>
      <c r="B103" s="415"/>
      <c r="C103" s="189"/>
      <c r="D103" s="234">
        <f>'Purchased Power Model '!Q13</f>
        <v>916.74565836418913</v>
      </c>
      <c r="K103"/>
    </row>
    <row r="104" spans="1:11" x14ac:dyDescent="0.2">
      <c r="A104" s="188" t="s">
        <v>262</v>
      </c>
      <c r="B104" s="189"/>
      <c r="C104" s="189"/>
      <c r="D104" s="234"/>
      <c r="K104"/>
    </row>
    <row r="105" spans="1:11" x14ac:dyDescent="0.2">
      <c r="A105" s="235" t="str">
        <f>'Purchased Power Model '!M19</f>
        <v>Heating Degree Days</v>
      </c>
      <c r="B105" s="189"/>
      <c r="C105" s="189"/>
      <c r="D105" s="236">
        <f>'Purchased Power Model '!P19</f>
        <v>46.976992615799304</v>
      </c>
      <c r="K105"/>
    </row>
    <row r="106" spans="1:11" x14ac:dyDescent="0.2">
      <c r="A106" s="235" t="str">
        <f>'Purchased Power Model '!M20</f>
        <v>Cooling Degree Days</v>
      </c>
      <c r="B106" s="189"/>
      <c r="C106" s="189"/>
      <c r="D106" s="236">
        <f>'Purchased Power Model '!P20</f>
        <v>16.354083154708889</v>
      </c>
      <c r="K106"/>
    </row>
    <row r="107" spans="1:11" x14ac:dyDescent="0.2">
      <c r="A107" s="235" t="str">
        <f>'Purchased Power Model '!M21</f>
        <v>Number of Days in Month</v>
      </c>
      <c r="B107" s="189"/>
      <c r="C107" s="189"/>
      <c r="D107" s="236">
        <f>'Purchased Power Model '!P21</f>
        <v>10.389426791840032</v>
      </c>
      <c r="K107"/>
    </row>
    <row r="108" spans="1:11" x14ac:dyDescent="0.2">
      <c r="A108" s="235" t="str">
        <f>'Purchased Power Model '!M22</f>
        <v>Spring Fall Flag</v>
      </c>
      <c r="B108" s="189"/>
      <c r="C108" s="189"/>
      <c r="D108" s="236">
        <f>'Purchased Power Model '!P22</f>
        <v>-8.1437849295841058</v>
      </c>
      <c r="K108"/>
    </row>
    <row r="109" spans="1:11" ht="27" customHeight="1" x14ac:dyDescent="0.2">
      <c r="A109" s="443" t="str">
        <f>'Purchased Power Model '!M23</f>
        <v>Number of Customers - 3 Main Classes</v>
      </c>
      <c r="B109" s="444"/>
      <c r="C109" s="189"/>
      <c r="D109" s="236">
        <f>'Purchased Power Model '!P23</f>
        <v>13.7778210249996</v>
      </c>
    </row>
    <row r="110" spans="1:11" x14ac:dyDescent="0.2">
      <c r="A110" s="235" t="str">
        <f>'Purchased Power Model '!M18</f>
        <v>Intercept</v>
      </c>
      <c r="B110" s="189"/>
      <c r="C110" s="189"/>
      <c r="D110" s="236">
        <f>'Purchased Power Model '!P18</f>
        <v>-8.7394602394767791</v>
      </c>
    </row>
    <row r="111" spans="1:11" x14ac:dyDescent="0.2">
      <c r="K111" s="205"/>
    </row>
    <row r="112" spans="1:11" ht="15" x14ac:dyDescent="0.2">
      <c r="A112" s="416" t="s">
        <v>304</v>
      </c>
      <c r="B112" s="417"/>
      <c r="C112" s="417"/>
      <c r="D112" s="417"/>
      <c r="E112" s="417"/>
      <c r="F112" s="418"/>
      <c r="K112" s="194"/>
    </row>
    <row r="113" spans="1:11" ht="30" x14ac:dyDescent="0.2">
      <c r="A113" s="426" t="s">
        <v>239</v>
      </c>
      <c r="B113" s="427"/>
      <c r="C113" s="347"/>
      <c r="D113" s="345" t="s">
        <v>263</v>
      </c>
      <c r="E113" s="345" t="s">
        <v>264</v>
      </c>
      <c r="F113" s="345" t="s">
        <v>9</v>
      </c>
      <c r="K113" s="194"/>
    </row>
    <row r="114" spans="1:11" ht="15" x14ac:dyDescent="0.2">
      <c r="A114" s="416" t="s">
        <v>265</v>
      </c>
      <c r="B114" s="417"/>
      <c r="C114" s="417"/>
      <c r="D114" s="417"/>
      <c r="E114" s="417"/>
      <c r="F114" s="418"/>
      <c r="K114" s="194"/>
    </row>
    <row r="115" spans="1:11" ht="15" x14ac:dyDescent="0.2">
      <c r="A115" s="414">
        <v>2002</v>
      </c>
      <c r="B115" s="415"/>
      <c r="C115" s="185"/>
      <c r="D115" s="190">
        <f>'Purchased Power Model '!B150/1000000</f>
        <v>229.95280431</v>
      </c>
      <c r="E115" s="190">
        <f>'Purchased Power Model '!J150/1000000</f>
        <v>231.40193083504968</v>
      </c>
      <c r="F115" s="237">
        <f t="shared" ref="F115:F124" si="23">E115/D115-1</f>
        <v>6.3018432386503509E-3</v>
      </c>
      <c r="K115" s="194"/>
    </row>
    <row r="116" spans="1:11" x14ac:dyDescent="0.2">
      <c r="A116" s="414">
        <v>2003</v>
      </c>
      <c r="B116" s="415"/>
      <c r="C116" s="189"/>
      <c r="D116" s="190">
        <f>'Purchased Power Model '!B151/1000000</f>
        <v>234.480796</v>
      </c>
      <c r="E116" s="190">
        <f>'Purchased Power Model '!J151/1000000</f>
        <v>234.08285578034855</v>
      </c>
      <c r="F116" s="237">
        <f t="shared" si="23"/>
        <v>-1.6971122004014738E-3</v>
      </c>
      <c r="G116"/>
      <c r="K116" s="194"/>
    </row>
    <row r="117" spans="1:11" x14ac:dyDescent="0.2">
      <c r="A117" s="414">
        <v>2004</v>
      </c>
      <c r="B117" s="415"/>
      <c r="C117" s="189"/>
      <c r="D117" s="190">
        <f>'Purchased Power Model '!B152/1000000</f>
        <v>234.4126</v>
      </c>
      <c r="E117" s="190">
        <f>'Purchased Power Model '!J152/1000000</f>
        <v>232.67294822083218</v>
      </c>
      <c r="F117" s="237">
        <f t="shared" si="23"/>
        <v>-7.4213236795624971E-3</v>
      </c>
      <c r="G117"/>
      <c r="K117" s="194"/>
    </row>
    <row r="118" spans="1:11" x14ac:dyDescent="0.2">
      <c r="A118" s="414">
        <v>2005</v>
      </c>
      <c r="B118" s="415"/>
      <c r="C118" s="189"/>
      <c r="D118" s="190">
        <f>'Purchased Power Model '!B153/1000000</f>
        <v>242.68732783019999</v>
      </c>
      <c r="E118" s="190">
        <f>'Purchased Power Model '!J153/1000000</f>
        <v>243.39156727342251</v>
      </c>
      <c r="F118" s="237">
        <f t="shared" si="23"/>
        <v>2.9018385488805976E-3</v>
      </c>
      <c r="G118"/>
      <c r="K118" s="194"/>
    </row>
    <row r="119" spans="1:11" x14ac:dyDescent="0.2">
      <c r="A119" s="414">
        <v>2006</v>
      </c>
      <c r="B119" s="415"/>
      <c r="C119" s="189"/>
      <c r="D119" s="190">
        <f>'Purchased Power Model '!B154/1000000</f>
        <v>234.39889869999999</v>
      </c>
      <c r="E119" s="190">
        <f>'Purchased Power Model '!J154/1000000</f>
        <v>234.08331283045462</v>
      </c>
      <c r="F119" s="237">
        <f t="shared" si="23"/>
        <v>-1.3463624244637318E-3</v>
      </c>
      <c r="G119"/>
      <c r="K119" s="194"/>
    </row>
    <row r="120" spans="1:11" x14ac:dyDescent="0.2">
      <c r="A120" s="414">
        <v>2007</v>
      </c>
      <c r="B120" s="415"/>
      <c r="C120" s="189"/>
      <c r="D120" s="190">
        <f>'Purchased Power Model '!B155/1000000</f>
        <v>241.1546361</v>
      </c>
      <c r="E120" s="190">
        <f>'Purchased Power Model '!J155/1000000</f>
        <v>241.95314735085589</v>
      </c>
      <c r="F120" s="237">
        <f t="shared" si="23"/>
        <v>3.3112000821113874E-3</v>
      </c>
      <c r="G120"/>
      <c r="K120" s="194"/>
    </row>
    <row r="121" spans="1:11" x14ac:dyDescent="0.2">
      <c r="A121" s="414">
        <v>2008</v>
      </c>
      <c r="B121" s="415"/>
      <c r="C121" s="189"/>
      <c r="D121" s="190">
        <f>'Purchased Power Model '!B156/1000000</f>
        <v>245.62302780000002</v>
      </c>
      <c r="E121" s="190">
        <f>'Purchased Power Model '!J156/1000000</f>
        <v>243.42578829814761</v>
      </c>
      <c r="F121" s="237">
        <f t="shared" si="23"/>
        <v>-8.9455761600720773E-3</v>
      </c>
      <c r="G121"/>
      <c r="K121" s="194"/>
    </row>
    <row r="122" spans="1:11" x14ac:dyDescent="0.2">
      <c r="A122" s="414">
        <v>2009</v>
      </c>
      <c r="B122" s="415"/>
      <c r="C122" s="189"/>
      <c r="D122" s="190">
        <f>'Purchased Power Model '!B157/1000000</f>
        <v>247.23918920000003</v>
      </c>
      <c r="E122" s="190">
        <f>'Purchased Power Model '!J157/1000000</f>
        <v>246.67281960490678</v>
      </c>
      <c r="F122" s="237">
        <f t="shared" si="23"/>
        <v>-2.2907759765993241E-3</v>
      </c>
      <c r="G122"/>
      <c r="K122" s="194"/>
    </row>
    <row r="123" spans="1:11" x14ac:dyDescent="0.2">
      <c r="A123" s="414">
        <v>2010</v>
      </c>
      <c r="B123" s="415"/>
      <c r="C123" s="189"/>
      <c r="D123" s="190">
        <f>'Purchased Power Model '!B158/1000000</f>
        <v>250.23937879999997</v>
      </c>
      <c r="E123" s="190">
        <f>'Purchased Power Model '!J158/1000000</f>
        <v>247.84189428260643</v>
      </c>
      <c r="F123" s="237">
        <f t="shared" si="23"/>
        <v>-9.5807643420889876E-3</v>
      </c>
      <c r="G123"/>
      <c r="K123" s="194"/>
    </row>
    <row r="124" spans="1:11" ht="12.75" customHeight="1" x14ac:dyDescent="0.2">
      <c r="A124" s="414">
        <v>2011</v>
      </c>
      <c r="B124" s="415"/>
      <c r="C124" s="238"/>
      <c r="D124" s="190">
        <f>'Purchased Power Model '!B159/1000000</f>
        <v>246.75816720000003</v>
      </c>
      <c r="E124" s="190">
        <f>'Purchased Power Model '!J159/1000000</f>
        <v>251.42056146357666</v>
      </c>
      <c r="F124" s="237">
        <f t="shared" si="23"/>
        <v>1.8894589453639865E-2</v>
      </c>
      <c r="G124"/>
    </row>
    <row r="125" spans="1:11" s="202" customFormat="1" ht="12.75" customHeight="1" x14ac:dyDescent="0.25">
      <c r="A125" s="416" t="s">
        <v>81</v>
      </c>
      <c r="B125" s="417"/>
      <c r="C125" s="219"/>
      <c r="D125" s="239"/>
      <c r="E125" s="197">
        <f>'Purchased Power Model '!J160/1000000</f>
        <v>254.02786783937242</v>
      </c>
      <c r="F125" s="240"/>
    </row>
    <row r="126" spans="1:11" s="202" customFormat="1" ht="15" x14ac:dyDescent="0.25">
      <c r="A126" s="416" t="s">
        <v>86</v>
      </c>
      <c r="B126" s="417"/>
      <c r="C126" s="185"/>
      <c r="D126" s="239"/>
      <c r="E126" s="197">
        <f>'Purchased Power Model '!J161/1000000</f>
        <v>256.19455773854185</v>
      </c>
      <c r="F126" s="240"/>
      <c r="K126" s="241"/>
    </row>
    <row r="127" spans="1:11" s="194" customFormat="1" ht="15" x14ac:dyDescent="0.2">
      <c r="A127" s="184" t="s">
        <v>266</v>
      </c>
      <c r="B127" s="189"/>
      <c r="C127" s="189"/>
      <c r="D127" s="234"/>
      <c r="E127" s="197">
        <f>'Purchased Power Model '!K181/1000000</f>
        <v>256.12297417120993</v>
      </c>
      <c r="F127" s="237"/>
      <c r="K127" s="242"/>
    </row>
    <row r="128" spans="1:11" x14ac:dyDescent="0.2">
      <c r="K128"/>
    </row>
    <row r="129" spans="1:12" x14ac:dyDescent="0.2">
      <c r="K129"/>
    </row>
    <row r="130" spans="1:12" x14ac:dyDescent="0.2">
      <c r="K130"/>
    </row>
    <row r="131" spans="1:12" ht="15" x14ac:dyDescent="0.2">
      <c r="A131" s="416" t="s">
        <v>305</v>
      </c>
      <c r="B131" s="417"/>
      <c r="C131" s="417"/>
      <c r="D131" s="417"/>
      <c r="E131" s="417"/>
      <c r="F131" s="417"/>
      <c r="G131" s="417"/>
      <c r="H131" s="417"/>
      <c r="I131" s="417"/>
      <c r="J131" s="418"/>
      <c r="K131"/>
      <c r="L131" s="205"/>
    </row>
    <row r="132" spans="1:12" ht="30" x14ac:dyDescent="0.2">
      <c r="A132" s="430" t="s">
        <v>239</v>
      </c>
      <c r="B132" s="430"/>
      <c r="C132" s="339"/>
      <c r="D132" s="341" t="str">
        <f t="shared" ref="D132:I132" si="24">D64</f>
        <v xml:space="preserve">Residential </v>
      </c>
      <c r="E132" s="341" t="str">
        <f t="shared" si="24"/>
        <v>GS&lt;50</v>
      </c>
      <c r="F132" s="341" t="str">
        <f t="shared" si="24"/>
        <v>GS&gt;50</v>
      </c>
      <c r="G132" s="341" t="str">
        <f t="shared" si="24"/>
        <v>Street Lighting</v>
      </c>
      <c r="H132" s="341" t="str">
        <f t="shared" si="24"/>
        <v>Sentinels</v>
      </c>
      <c r="I132" s="341" t="str">
        <f t="shared" si="24"/>
        <v>USL</v>
      </c>
      <c r="J132" s="341" t="s">
        <v>10</v>
      </c>
    </row>
    <row r="133" spans="1:12" ht="15" x14ac:dyDescent="0.2">
      <c r="A133" s="270" t="s">
        <v>254</v>
      </c>
      <c r="B133" s="185"/>
      <c r="C133" s="185"/>
      <c r="D133" s="185"/>
      <c r="E133" s="185"/>
      <c r="F133" s="185"/>
      <c r="G133" s="185"/>
      <c r="H133" s="185"/>
      <c r="I133" s="185"/>
      <c r="J133" s="186"/>
    </row>
    <row r="134" spans="1:12" x14ac:dyDescent="0.2">
      <c r="A134" s="406">
        <f t="shared" ref="A134:A143" si="25">A115</f>
        <v>2002</v>
      </c>
      <c r="B134" s="406"/>
      <c r="C134" s="243"/>
      <c r="D134" s="244">
        <f>'Rate Class Customer Model'!B3</f>
        <v>12075</v>
      </c>
      <c r="E134" s="244">
        <f>'Rate Class Customer Model'!C3</f>
        <v>837</v>
      </c>
      <c r="F134" s="244">
        <f>'Rate Class Customer Model'!D3</f>
        <v>71</v>
      </c>
      <c r="G134" s="244">
        <f>'Rate Class Customer Model'!F3</f>
        <v>2107</v>
      </c>
      <c r="H134" s="244">
        <f>'Rate Class Customer Model'!E3</f>
        <v>177</v>
      </c>
      <c r="I134" s="244">
        <f>'Rate Class Customer Model'!G3</f>
        <v>0</v>
      </c>
      <c r="J134" s="244">
        <f t="shared" ref="J134:J143" si="26">SUM(D134:I134)</f>
        <v>15267</v>
      </c>
      <c r="L134" s="218"/>
    </row>
    <row r="135" spans="1:12" x14ac:dyDescent="0.2">
      <c r="A135" s="406">
        <f t="shared" si="25"/>
        <v>2003</v>
      </c>
      <c r="B135" s="406"/>
      <c r="C135" s="243"/>
      <c r="D135" s="244">
        <f>'Rate Class Customer Model'!B4</f>
        <v>12299</v>
      </c>
      <c r="E135" s="244">
        <f>'Rate Class Customer Model'!C4</f>
        <v>852</v>
      </c>
      <c r="F135" s="244">
        <f>'Rate Class Customer Model'!D4</f>
        <v>72</v>
      </c>
      <c r="G135" s="244">
        <f>'Rate Class Customer Model'!F4</f>
        <v>2196</v>
      </c>
      <c r="H135" s="244">
        <f>'Rate Class Customer Model'!E4</f>
        <v>181</v>
      </c>
      <c r="I135" s="244">
        <f>'Rate Class Customer Model'!G4</f>
        <v>0</v>
      </c>
      <c r="J135" s="244">
        <f t="shared" si="26"/>
        <v>15600</v>
      </c>
    </row>
    <row r="136" spans="1:12" x14ac:dyDescent="0.2">
      <c r="A136" s="406">
        <f t="shared" si="25"/>
        <v>2004</v>
      </c>
      <c r="B136" s="406"/>
      <c r="C136" s="243"/>
      <c r="D136" s="244">
        <f>'Rate Class Customer Model'!B5</f>
        <v>12539</v>
      </c>
      <c r="E136" s="244">
        <f>'Rate Class Customer Model'!C5</f>
        <v>886</v>
      </c>
      <c r="F136" s="244">
        <f>'Rate Class Customer Model'!D5</f>
        <v>73</v>
      </c>
      <c r="G136" s="244">
        <f>'Rate Class Customer Model'!F5</f>
        <v>2309</v>
      </c>
      <c r="H136" s="244">
        <f>'Rate Class Customer Model'!E5</f>
        <v>183</v>
      </c>
      <c r="I136" s="244">
        <f>'Rate Class Customer Model'!G5</f>
        <v>0</v>
      </c>
      <c r="J136" s="244">
        <f t="shared" si="26"/>
        <v>15990</v>
      </c>
    </row>
    <row r="137" spans="1:12" x14ac:dyDescent="0.2">
      <c r="A137" s="406">
        <f t="shared" si="25"/>
        <v>2005</v>
      </c>
      <c r="B137" s="406"/>
      <c r="C137" s="243"/>
      <c r="D137" s="244">
        <f>'Rate Class Customer Model'!B6</f>
        <v>12748</v>
      </c>
      <c r="E137" s="244">
        <f>'Rate Class Customer Model'!C6</f>
        <v>907</v>
      </c>
      <c r="F137" s="244">
        <f>'Rate Class Customer Model'!D6</f>
        <v>72</v>
      </c>
      <c r="G137" s="244">
        <f>'Rate Class Customer Model'!F6</f>
        <v>2371</v>
      </c>
      <c r="H137" s="244">
        <f>'Rate Class Customer Model'!E6</f>
        <v>189</v>
      </c>
      <c r="I137" s="244">
        <f>'Rate Class Customer Model'!G6</f>
        <v>0</v>
      </c>
      <c r="J137" s="244">
        <f t="shared" si="26"/>
        <v>16287</v>
      </c>
    </row>
    <row r="138" spans="1:12" x14ac:dyDescent="0.2">
      <c r="A138" s="406">
        <f t="shared" si="25"/>
        <v>2006</v>
      </c>
      <c r="B138" s="406"/>
      <c r="C138" s="243"/>
      <c r="D138" s="244">
        <f>'Rate Class Customer Model'!B7</f>
        <v>12867</v>
      </c>
      <c r="E138" s="244">
        <f>'Rate Class Customer Model'!C7</f>
        <v>797</v>
      </c>
      <c r="F138" s="244">
        <f>'Rate Class Customer Model'!D7</f>
        <v>80</v>
      </c>
      <c r="G138" s="244">
        <f>'Rate Class Customer Model'!F7</f>
        <v>2371</v>
      </c>
      <c r="H138" s="244">
        <f>'Rate Class Customer Model'!E7</f>
        <v>189</v>
      </c>
      <c r="I138" s="244">
        <f>'Rate Class Customer Model'!G7</f>
        <v>90</v>
      </c>
      <c r="J138" s="244">
        <f t="shared" si="26"/>
        <v>16394</v>
      </c>
    </row>
    <row r="139" spans="1:12" x14ac:dyDescent="0.2">
      <c r="A139" s="406">
        <f t="shared" si="25"/>
        <v>2007</v>
      </c>
      <c r="B139" s="406"/>
      <c r="C139" s="243"/>
      <c r="D139" s="244">
        <f>'Rate Class Customer Model'!B8</f>
        <v>12991</v>
      </c>
      <c r="E139" s="244">
        <f>'Rate Class Customer Model'!C8</f>
        <v>819</v>
      </c>
      <c r="F139" s="244">
        <f>'Rate Class Customer Model'!D8</f>
        <v>71</v>
      </c>
      <c r="G139" s="244">
        <f>'Rate Class Customer Model'!F8</f>
        <v>2489</v>
      </c>
      <c r="H139" s="244">
        <f>'Rate Class Customer Model'!E8</f>
        <v>186</v>
      </c>
      <c r="I139" s="244">
        <f>'Rate Class Customer Model'!G8</f>
        <v>89</v>
      </c>
      <c r="J139" s="244">
        <f t="shared" si="26"/>
        <v>16645</v>
      </c>
    </row>
    <row r="140" spans="1:12" x14ac:dyDescent="0.2">
      <c r="A140" s="406">
        <f t="shared" si="25"/>
        <v>2008</v>
      </c>
      <c r="B140" s="406"/>
      <c r="C140" s="243"/>
      <c r="D140" s="244">
        <f>'Rate Class Customer Model'!B9</f>
        <v>13277</v>
      </c>
      <c r="E140" s="244">
        <f>'Rate Class Customer Model'!C9</f>
        <v>836</v>
      </c>
      <c r="F140" s="244">
        <f>'Rate Class Customer Model'!D9</f>
        <v>73</v>
      </c>
      <c r="G140" s="244">
        <f>'Rate Class Customer Model'!F9</f>
        <v>2588</v>
      </c>
      <c r="H140" s="244">
        <f>'Rate Class Customer Model'!E9</f>
        <v>186</v>
      </c>
      <c r="I140" s="244">
        <f>'Rate Class Customer Model'!G9</f>
        <v>84</v>
      </c>
      <c r="J140" s="244">
        <f t="shared" si="26"/>
        <v>17044</v>
      </c>
    </row>
    <row r="141" spans="1:12" x14ac:dyDescent="0.2">
      <c r="A141" s="406">
        <f t="shared" si="25"/>
        <v>2009</v>
      </c>
      <c r="B141" s="406"/>
      <c r="C141" s="243"/>
      <c r="D141" s="244">
        <f>'Rate Class Customer Model'!B10</f>
        <v>13533</v>
      </c>
      <c r="E141" s="244">
        <f>'Rate Class Customer Model'!C10</f>
        <v>855</v>
      </c>
      <c r="F141" s="244">
        <f>'Rate Class Customer Model'!D10</f>
        <v>72</v>
      </c>
      <c r="G141" s="244">
        <f>'Rate Class Customer Model'!F10</f>
        <v>2625</v>
      </c>
      <c r="H141" s="244">
        <f>'Rate Class Customer Model'!E10</f>
        <v>193</v>
      </c>
      <c r="I141" s="244">
        <f>'Rate Class Customer Model'!G10</f>
        <v>83</v>
      </c>
      <c r="J141" s="244">
        <f t="shared" si="26"/>
        <v>17361</v>
      </c>
    </row>
    <row r="142" spans="1:12" x14ac:dyDescent="0.2">
      <c r="A142" s="406">
        <f t="shared" si="25"/>
        <v>2010</v>
      </c>
      <c r="B142" s="406"/>
      <c r="C142" s="243"/>
      <c r="D142" s="244">
        <f>'Rate Class Customer Model'!B11</f>
        <v>13651</v>
      </c>
      <c r="E142" s="244">
        <f>'Rate Class Customer Model'!C11</f>
        <v>865</v>
      </c>
      <c r="F142" s="244">
        <f>'Rate Class Customer Model'!D11</f>
        <v>68</v>
      </c>
      <c r="G142" s="244">
        <f>'Rate Class Customer Model'!F11</f>
        <v>2685</v>
      </c>
      <c r="H142" s="244">
        <f>'Rate Class Customer Model'!E11</f>
        <v>201</v>
      </c>
      <c r="I142" s="244">
        <f>'Rate Class Customer Model'!G11</f>
        <v>82</v>
      </c>
      <c r="J142" s="244">
        <f t="shared" si="26"/>
        <v>17552</v>
      </c>
    </row>
    <row r="143" spans="1:12" x14ac:dyDescent="0.2">
      <c r="A143" s="406">
        <f t="shared" si="25"/>
        <v>2011</v>
      </c>
      <c r="B143" s="406"/>
      <c r="C143" s="268"/>
      <c r="D143" s="244">
        <f>'Rate Class Customer Model'!B12</f>
        <v>13779</v>
      </c>
      <c r="E143" s="244">
        <f>'Rate Class Customer Model'!C12</f>
        <v>896</v>
      </c>
      <c r="F143" s="244">
        <f>'Rate Class Customer Model'!D12</f>
        <v>67</v>
      </c>
      <c r="G143" s="244">
        <f>'Rate Class Customer Model'!F12</f>
        <v>2728</v>
      </c>
      <c r="H143" s="244">
        <f>'Rate Class Customer Model'!E12</f>
        <v>225</v>
      </c>
      <c r="I143" s="244">
        <f>'Rate Class Customer Model'!G12</f>
        <v>81</v>
      </c>
      <c r="J143" s="244">
        <f t="shared" si="26"/>
        <v>17776</v>
      </c>
    </row>
    <row r="145" spans="1:13" ht="15" x14ac:dyDescent="0.2">
      <c r="A145" s="405" t="s">
        <v>306</v>
      </c>
      <c r="B145" s="405"/>
      <c r="C145" s="405"/>
      <c r="D145" s="405"/>
      <c r="E145" s="405"/>
      <c r="F145" s="405"/>
      <c r="G145" s="405"/>
      <c r="H145" s="405"/>
      <c r="I145" s="405"/>
      <c r="J145" s="203"/>
      <c r="K145" s="194"/>
    </row>
    <row r="146" spans="1:13" ht="30" x14ac:dyDescent="0.2">
      <c r="A146" s="430" t="s">
        <v>239</v>
      </c>
      <c r="B146" s="430"/>
      <c r="C146" s="339"/>
      <c r="D146" s="341" t="str">
        <f t="shared" ref="D146:I146" si="27">D132</f>
        <v xml:space="preserve">Residential </v>
      </c>
      <c r="E146" s="341" t="str">
        <f t="shared" si="27"/>
        <v>GS&lt;50</v>
      </c>
      <c r="F146" s="341" t="str">
        <f t="shared" si="27"/>
        <v>GS&gt;50</v>
      </c>
      <c r="G146" s="341" t="str">
        <f t="shared" si="27"/>
        <v>Street Lighting</v>
      </c>
      <c r="H146" s="341" t="str">
        <f t="shared" si="27"/>
        <v>Sentinels</v>
      </c>
      <c r="I146" s="341" t="str">
        <f t="shared" si="27"/>
        <v>USL</v>
      </c>
      <c r="J146" s="252"/>
      <c r="K146" s="205"/>
    </row>
    <row r="147" spans="1:13" ht="15" x14ac:dyDescent="0.2">
      <c r="A147" s="405" t="s">
        <v>267</v>
      </c>
      <c r="B147" s="405"/>
      <c r="C147" s="405"/>
      <c r="D147" s="405"/>
      <c r="E147" s="405"/>
      <c r="F147" s="405"/>
      <c r="G147" s="405"/>
      <c r="H147" s="405"/>
      <c r="I147" s="405"/>
      <c r="J147" s="203"/>
    </row>
    <row r="148" spans="1:13" ht="15" x14ac:dyDescent="0.2">
      <c r="A148" s="406">
        <f t="shared" ref="A148:A157" si="28">A134</f>
        <v>2002</v>
      </c>
      <c r="B148" s="406"/>
      <c r="C148" s="187"/>
      <c r="D148" s="187"/>
      <c r="E148" s="187"/>
      <c r="F148" s="187"/>
      <c r="G148" s="187"/>
      <c r="H148" s="187"/>
      <c r="I148" s="187"/>
      <c r="J148" s="203"/>
    </row>
    <row r="149" spans="1:13" x14ac:dyDescent="0.2">
      <c r="A149" s="406">
        <f t="shared" si="28"/>
        <v>2003</v>
      </c>
      <c r="B149" s="406"/>
      <c r="C149" s="243"/>
      <c r="D149" s="245">
        <f t="shared" ref="D149:I156" si="29">D135/D134-1</f>
        <v>1.855072463768126E-2</v>
      </c>
      <c r="E149" s="245">
        <f t="shared" si="29"/>
        <v>1.7921146953405076E-2</v>
      </c>
      <c r="F149" s="245">
        <f t="shared" si="29"/>
        <v>1.4084507042253502E-2</v>
      </c>
      <c r="G149" s="245">
        <f t="shared" si="29"/>
        <v>4.2240151874703313E-2</v>
      </c>
      <c r="H149" s="245">
        <f t="shared" si="29"/>
        <v>2.2598870056497189E-2</v>
      </c>
      <c r="I149" s="245"/>
      <c r="J149" s="291"/>
    </row>
    <row r="150" spans="1:13" x14ac:dyDescent="0.2">
      <c r="A150" s="406">
        <f t="shared" si="28"/>
        <v>2004</v>
      </c>
      <c r="B150" s="406"/>
      <c r="C150" s="243"/>
      <c r="D150" s="245">
        <f t="shared" si="29"/>
        <v>1.9513781608260894E-2</v>
      </c>
      <c r="E150" s="245">
        <f t="shared" si="29"/>
        <v>3.9906103286384997E-2</v>
      </c>
      <c r="F150" s="245">
        <f t="shared" si="29"/>
        <v>1.388888888888884E-2</v>
      </c>
      <c r="G150" s="245">
        <f t="shared" si="29"/>
        <v>5.1457194899817926E-2</v>
      </c>
      <c r="H150" s="245">
        <f t="shared" si="29"/>
        <v>1.1049723756906049E-2</v>
      </c>
      <c r="I150" s="245"/>
      <c r="J150" s="291"/>
    </row>
    <row r="151" spans="1:13" x14ac:dyDescent="0.2">
      <c r="A151" s="406">
        <f t="shared" si="28"/>
        <v>2005</v>
      </c>
      <c r="B151" s="406"/>
      <c r="C151" s="243"/>
      <c r="D151" s="245">
        <f t="shared" si="29"/>
        <v>1.6667995852938766E-2</v>
      </c>
      <c r="E151" s="245">
        <f t="shared" si="29"/>
        <v>2.3702031602708784E-2</v>
      </c>
      <c r="F151" s="245">
        <f t="shared" si="29"/>
        <v>-1.3698630136986356E-2</v>
      </c>
      <c r="G151" s="245">
        <f t="shared" si="29"/>
        <v>2.6851450844521452E-2</v>
      </c>
      <c r="H151" s="245">
        <f t="shared" si="29"/>
        <v>3.2786885245901676E-2</v>
      </c>
      <c r="I151" s="245"/>
      <c r="J151" s="291"/>
    </row>
    <row r="152" spans="1:13" x14ac:dyDescent="0.2">
      <c r="A152" s="406">
        <f t="shared" si="28"/>
        <v>2006</v>
      </c>
      <c r="B152" s="406"/>
      <c r="C152" s="243"/>
      <c r="D152" s="245">
        <f t="shared" si="29"/>
        <v>9.3347976153121959E-3</v>
      </c>
      <c r="E152" s="245">
        <f t="shared" si="29"/>
        <v>-0.12127894156560093</v>
      </c>
      <c r="F152" s="245">
        <f t="shared" si="29"/>
        <v>0.11111111111111116</v>
      </c>
      <c r="G152" s="245">
        <f t="shared" si="29"/>
        <v>0</v>
      </c>
      <c r="H152" s="245">
        <f t="shared" si="29"/>
        <v>0</v>
      </c>
      <c r="I152" s="245"/>
      <c r="J152" s="291"/>
      <c r="M152" s="246"/>
    </row>
    <row r="153" spans="1:13" x14ac:dyDescent="0.2">
      <c r="A153" s="406">
        <f t="shared" si="28"/>
        <v>2007</v>
      </c>
      <c r="B153" s="406"/>
      <c r="C153" s="243"/>
      <c r="D153" s="245">
        <f t="shared" si="29"/>
        <v>9.6370560348177925E-3</v>
      </c>
      <c r="E153" s="245">
        <f t="shared" si="29"/>
        <v>2.7603513174403904E-2</v>
      </c>
      <c r="F153" s="245">
        <f t="shared" si="29"/>
        <v>-0.11250000000000004</v>
      </c>
      <c r="G153" s="245">
        <f t="shared" si="29"/>
        <v>4.9768030366933891E-2</v>
      </c>
      <c r="H153" s="245">
        <f t="shared" si="29"/>
        <v>-1.5873015873015928E-2</v>
      </c>
      <c r="I153" s="245">
        <f t="shared" si="29"/>
        <v>-1.1111111111111072E-2</v>
      </c>
      <c r="J153" s="291"/>
    </row>
    <row r="154" spans="1:13" x14ac:dyDescent="0.2">
      <c r="A154" s="406">
        <f t="shared" si="28"/>
        <v>2008</v>
      </c>
      <c r="B154" s="406"/>
      <c r="C154" s="243"/>
      <c r="D154" s="245">
        <f t="shared" si="29"/>
        <v>2.201524132091448E-2</v>
      </c>
      <c r="E154" s="245">
        <f t="shared" si="29"/>
        <v>2.0757020757020683E-2</v>
      </c>
      <c r="F154" s="245">
        <f t="shared" si="29"/>
        <v>2.8169014084507005E-2</v>
      </c>
      <c r="G154" s="245">
        <f t="shared" si="29"/>
        <v>3.9775010044194481E-2</v>
      </c>
      <c r="H154" s="245">
        <f t="shared" si="29"/>
        <v>0</v>
      </c>
      <c r="I154" s="245">
        <f t="shared" si="29"/>
        <v>-5.6179775280898903E-2</v>
      </c>
      <c r="J154" s="291"/>
    </row>
    <row r="155" spans="1:13" x14ac:dyDescent="0.2">
      <c r="A155" s="406">
        <f t="shared" si="28"/>
        <v>2009</v>
      </c>
      <c r="B155" s="406"/>
      <c r="C155" s="243"/>
      <c r="D155" s="245">
        <f t="shared" si="29"/>
        <v>1.9281464186186703E-2</v>
      </c>
      <c r="E155" s="245">
        <f t="shared" si="29"/>
        <v>2.2727272727272707E-2</v>
      </c>
      <c r="F155" s="245">
        <f t="shared" si="29"/>
        <v>-1.3698630136986356E-2</v>
      </c>
      <c r="G155" s="245">
        <f t="shared" si="29"/>
        <v>1.4296754250386456E-2</v>
      </c>
      <c r="H155" s="245">
        <f t="shared" si="29"/>
        <v>3.7634408602150504E-2</v>
      </c>
      <c r="I155" s="245">
        <f t="shared" si="29"/>
        <v>-1.1904761904761862E-2</v>
      </c>
      <c r="J155" s="291"/>
    </row>
    <row r="156" spans="1:13" x14ac:dyDescent="0.2">
      <c r="A156" s="406">
        <f t="shared" si="28"/>
        <v>2010</v>
      </c>
      <c r="B156" s="406"/>
      <c r="C156" s="243"/>
      <c r="D156" s="245">
        <f t="shared" si="29"/>
        <v>8.719426586861756E-3</v>
      </c>
      <c r="E156" s="245">
        <f t="shared" si="29"/>
        <v>1.1695906432748648E-2</v>
      </c>
      <c r="F156" s="245">
        <f t="shared" si="29"/>
        <v>-5.555555555555558E-2</v>
      </c>
      <c r="G156" s="245">
        <f t="shared" si="29"/>
        <v>2.2857142857142909E-2</v>
      </c>
      <c r="H156" s="245">
        <f t="shared" si="29"/>
        <v>4.1450777202072464E-2</v>
      </c>
      <c r="I156" s="245">
        <f t="shared" si="29"/>
        <v>-1.2048192771084376E-2</v>
      </c>
      <c r="J156" s="291"/>
    </row>
    <row r="157" spans="1:13" x14ac:dyDescent="0.2">
      <c r="A157" s="406">
        <f t="shared" si="28"/>
        <v>2011</v>
      </c>
      <c r="B157" s="406"/>
      <c r="C157" s="243"/>
      <c r="D157" s="245">
        <f t="shared" ref="D157:I157" si="30">D143/D142-1</f>
        <v>9.3766024467072384E-3</v>
      </c>
      <c r="E157" s="245">
        <f t="shared" si="30"/>
        <v>3.5838150289017268E-2</v>
      </c>
      <c r="F157" s="245">
        <f t="shared" si="30"/>
        <v>-1.4705882352941124E-2</v>
      </c>
      <c r="G157" s="245">
        <f t="shared" si="30"/>
        <v>1.6014897579143428E-2</v>
      </c>
      <c r="H157" s="245">
        <f t="shared" si="30"/>
        <v>0.11940298507462677</v>
      </c>
      <c r="I157" s="245">
        <f t="shared" si="30"/>
        <v>-1.2195121951219523E-2</v>
      </c>
      <c r="J157" s="291"/>
    </row>
    <row r="158" spans="1:13" ht="15" x14ac:dyDescent="0.2">
      <c r="A158" s="405" t="s">
        <v>268</v>
      </c>
      <c r="B158" s="405"/>
      <c r="C158" s="187"/>
      <c r="D158" s="247">
        <f>'Rate Class Customer Model'!B28-1</f>
        <v>1.4775707758742262E-2</v>
      </c>
      <c r="E158" s="247">
        <f>'Rate Class Customer Model'!C28-1</f>
        <v>7.5971958551834806E-3</v>
      </c>
      <c r="F158" s="247">
        <f>'Rate Class Customer Model'!D28-1</f>
        <v>-6.422316824986507E-3</v>
      </c>
      <c r="G158" s="247">
        <f>'Rate Class Customer Model'!F28-1</f>
        <v>2.9116225652601635E-2</v>
      </c>
      <c r="H158" s="247">
        <f>'Rate Class Customer Model'!E28-1</f>
        <v>2.7019774631802607E-2</v>
      </c>
      <c r="I158" s="247">
        <f>'Rate Class Customer Model'!G28-1</f>
        <v>-2.0851637639023202E-2</v>
      </c>
      <c r="J158" s="292"/>
    </row>
    <row r="159" spans="1:13" x14ac:dyDescent="0.2">
      <c r="I159"/>
      <c r="J159"/>
      <c r="L159" s="194"/>
    </row>
    <row r="160" spans="1:13" ht="15" x14ac:dyDescent="0.2">
      <c r="A160" s="416" t="s">
        <v>307</v>
      </c>
      <c r="B160" s="417"/>
      <c r="C160" s="417"/>
      <c r="D160" s="417"/>
      <c r="E160" s="417"/>
      <c r="F160" s="417"/>
      <c r="G160" s="417"/>
      <c r="H160" s="417"/>
      <c r="I160" s="417"/>
      <c r="J160" s="418"/>
      <c r="K160"/>
      <c r="L160" s="205"/>
    </row>
    <row r="161" spans="1:11" ht="30" x14ac:dyDescent="0.2">
      <c r="A161" s="411" t="s">
        <v>239</v>
      </c>
      <c r="B161" s="411"/>
      <c r="C161" s="346"/>
      <c r="D161" s="341" t="str">
        <f t="shared" ref="D161:I161" si="31">D146</f>
        <v xml:space="preserve">Residential </v>
      </c>
      <c r="E161" s="341" t="str">
        <f t="shared" si="31"/>
        <v>GS&lt;50</v>
      </c>
      <c r="F161" s="341" t="str">
        <f t="shared" si="31"/>
        <v>GS&gt;50</v>
      </c>
      <c r="G161" s="341" t="str">
        <f t="shared" si="31"/>
        <v>Street Lighting</v>
      </c>
      <c r="H161" s="341" t="str">
        <f t="shared" si="31"/>
        <v>Sentinels</v>
      </c>
      <c r="I161" s="341" t="str">
        <f t="shared" si="31"/>
        <v>USL</v>
      </c>
      <c r="J161" s="341" t="s">
        <v>10</v>
      </c>
      <c r="K161"/>
    </row>
    <row r="162" spans="1:11" ht="15" x14ac:dyDescent="0.2">
      <c r="A162" s="416" t="s">
        <v>269</v>
      </c>
      <c r="B162" s="417"/>
      <c r="C162" s="417"/>
      <c r="D162" s="417"/>
      <c r="E162" s="417"/>
      <c r="F162" s="417"/>
      <c r="G162" s="417"/>
      <c r="H162" s="417"/>
      <c r="I162" s="417"/>
      <c r="J162" s="418"/>
      <c r="K162"/>
    </row>
    <row r="163" spans="1:11" ht="15" x14ac:dyDescent="0.25">
      <c r="A163" s="404">
        <v>2012</v>
      </c>
      <c r="B163" s="404"/>
      <c r="C163" s="248"/>
      <c r="D163" s="249">
        <f t="shared" ref="D163:I163" si="32">D143*(1+D158)</f>
        <v>13982.594477207709</v>
      </c>
      <c r="E163" s="249">
        <f t="shared" si="32"/>
        <v>902.80708748624443</v>
      </c>
      <c r="F163" s="249">
        <f t="shared" si="32"/>
        <v>66.569704772725899</v>
      </c>
      <c r="G163" s="249">
        <f t="shared" si="32"/>
        <v>2807.4290635802972</v>
      </c>
      <c r="H163" s="249">
        <f t="shared" si="32"/>
        <v>231.07944929215557</v>
      </c>
      <c r="I163" s="249">
        <f t="shared" si="32"/>
        <v>79.311017351239116</v>
      </c>
      <c r="J163" s="250">
        <f>SUM(D163:I163)</f>
        <v>18069.790799690374</v>
      </c>
      <c r="K163" s="251"/>
    </row>
    <row r="164" spans="1:11" ht="15" x14ac:dyDescent="0.25">
      <c r="A164" s="404">
        <v>2013</v>
      </c>
      <c r="B164" s="404"/>
      <c r="C164" s="243"/>
      <c r="D164" s="249">
        <f t="shared" ref="D164:I164" si="33">D163*(1+D158)</f>
        <v>14189.197206911933</v>
      </c>
      <c r="E164" s="249">
        <f t="shared" si="33"/>
        <v>909.66588974932517</v>
      </c>
      <c r="F164" s="249">
        <f t="shared" si="33"/>
        <v>66.142173037729634</v>
      </c>
      <c r="G164" s="249">
        <f t="shared" si="33"/>
        <v>2889.1708016991734</v>
      </c>
      <c r="H164" s="249">
        <f t="shared" si="33"/>
        <v>237.32316393407066</v>
      </c>
      <c r="I164" s="249">
        <f t="shared" si="33"/>
        <v>77.657252756648802</v>
      </c>
      <c r="J164" s="250">
        <f>SUM(D164:I164)</f>
        <v>18369.15648808888</v>
      </c>
      <c r="K164" s="251"/>
    </row>
    <row r="165" spans="1:11" x14ac:dyDescent="0.2">
      <c r="K165"/>
    </row>
    <row r="166" spans="1:11" ht="15" x14ac:dyDescent="0.2">
      <c r="A166" s="416" t="s">
        <v>308</v>
      </c>
      <c r="B166" s="417"/>
      <c r="C166" s="417"/>
      <c r="D166" s="417"/>
      <c r="E166" s="417"/>
      <c r="F166" s="417"/>
      <c r="G166" s="417"/>
      <c r="H166" s="417"/>
      <c r="I166" s="417"/>
      <c r="J166" s="418"/>
    </row>
    <row r="167" spans="1:11" ht="45.75" customHeight="1" x14ac:dyDescent="0.2">
      <c r="A167" s="411" t="s">
        <v>239</v>
      </c>
      <c r="B167" s="411"/>
      <c r="C167" s="339"/>
      <c r="D167" s="345" t="str">
        <f t="shared" ref="D167:I167" si="34">D161</f>
        <v xml:space="preserve">Residential </v>
      </c>
      <c r="E167" s="345" t="str">
        <f t="shared" si="34"/>
        <v>GS&lt;50</v>
      </c>
      <c r="F167" s="345" t="str">
        <f t="shared" si="34"/>
        <v>GS&gt;50</v>
      </c>
      <c r="G167" s="345" t="str">
        <f t="shared" si="34"/>
        <v>Street Lighting</v>
      </c>
      <c r="H167" s="345" t="str">
        <f t="shared" si="34"/>
        <v>Sentinels</v>
      </c>
      <c r="I167" s="345" t="str">
        <f t="shared" si="34"/>
        <v>USL</v>
      </c>
      <c r="J167" s="341" t="str">
        <f>J27</f>
        <v>Hydro One Load Transfers</v>
      </c>
      <c r="K167" s="205"/>
    </row>
    <row r="168" spans="1:11" ht="15" x14ac:dyDescent="0.2">
      <c r="A168" s="405" t="s">
        <v>270</v>
      </c>
      <c r="B168" s="405"/>
      <c r="C168" s="405"/>
      <c r="D168" s="405"/>
      <c r="E168" s="405"/>
      <c r="F168" s="405"/>
      <c r="G168" s="405"/>
      <c r="H168" s="405"/>
      <c r="I168" s="300"/>
      <c r="J168" s="301"/>
      <c r="K168" s="252"/>
    </row>
    <row r="169" spans="1:11" ht="15" x14ac:dyDescent="0.2">
      <c r="A169" s="406">
        <f t="shared" ref="A169:A178" si="35">A148</f>
        <v>2002</v>
      </c>
      <c r="B169" s="406"/>
      <c r="C169" s="187"/>
      <c r="D169" s="244">
        <f>'Rate Class Energy Model'!H26</f>
        <v>11485.011511387163</v>
      </c>
      <c r="E169" s="244">
        <f>'Rate Class Energy Model'!I26</f>
        <v>26624.659498207886</v>
      </c>
      <c r="F169" s="244">
        <f>'Rate Class Energy Model'!J26</f>
        <v>547243.39436619717</v>
      </c>
      <c r="G169" s="244">
        <f>'Rate Class Energy Model'!L26</f>
        <v>556.18747033697196</v>
      </c>
      <c r="H169" s="244">
        <f>'Rate Class Energy Model'!K26</f>
        <v>748.35706214689276</v>
      </c>
      <c r="I169" s="244">
        <f>'Rate Class Energy Model'!M26</f>
        <v>0</v>
      </c>
      <c r="J169" s="244">
        <f>'Rate Class Energy Model'!N26</f>
        <v>1102713.6000000001</v>
      </c>
      <c r="K169" s="252"/>
    </row>
    <row r="170" spans="1:11" ht="15" x14ac:dyDescent="0.2">
      <c r="A170" s="406">
        <f t="shared" si="35"/>
        <v>2003</v>
      </c>
      <c r="B170" s="406"/>
      <c r="C170" s="243"/>
      <c r="D170" s="244">
        <f>'Rate Class Energy Model'!H27</f>
        <v>11983.368973087243</v>
      </c>
      <c r="E170" s="244">
        <f>'Rate Class Energy Model'!I27</f>
        <v>29292.674882629108</v>
      </c>
      <c r="F170" s="244">
        <f>'Rate Class Energy Model'!J27</f>
        <v>538388.83333333337</v>
      </c>
      <c r="G170" s="244">
        <f>'Rate Class Energy Model'!L27</f>
        <v>431.0714936247723</v>
      </c>
      <c r="H170" s="244">
        <f>'Rate Class Energy Model'!K27</f>
        <v>751.5138121546961</v>
      </c>
      <c r="I170" s="244">
        <f>'Rate Class Energy Model'!M27</f>
        <v>0</v>
      </c>
      <c r="J170" s="244">
        <f>'Rate Class Energy Model'!N27</f>
        <v>1654070.4000000001</v>
      </c>
      <c r="K170" s="253"/>
    </row>
    <row r="171" spans="1:11" ht="15" x14ac:dyDescent="0.2">
      <c r="A171" s="406">
        <f t="shared" si="35"/>
        <v>2004</v>
      </c>
      <c r="B171" s="406"/>
      <c r="C171" s="243"/>
      <c r="D171" s="244">
        <f>'Rate Class Energy Model'!H28</f>
        <v>11866.177605869687</v>
      </c>
      <c r="E171" s="244">
        <f>'Rate Class Energy Model'!I28</f>
        <v>30394.688487584652</v>
      </c>
      <c r="F171" s="244">
        <f>'Rate Class Energy Model'!J28</f>
        <v>497310.09589041094</v>
      </c>
      <c r="G171" s="244">
        <f>'Rate Class Energy Model'!L28</f>
        <v>536.46946730186232</v>
      </c>
      <c r="H171" s="244">
        <f>'Rate Class Energy Model'!K28</f>
        <v>739.33333333333337</v>
      </c>
      <c r="I171" s="244">
        <f>'Rate Class Energy Model'!M28</f>
        <v>0</v>
      </c>
      <c r="J171" s="244">
        <f>'Rate Class Energy Model'!N28</f>
        <v>1240552.8</v>
      </c>
      <c r="K171" s="254"/>
    </row>
    <row r="172" spans="1:11" ht="15" x14ac:dyDescent="0.2">
      <c r="A172" s="406">
        <f t="shared" si="35"/>
        <v>2005</v>
      </c>
      <c r="B172" s="406"/>
      <c r="C172" s="243"/>
      <c r="D172" s="244">
        <f>'Rate Class Energy Model'!H29</f>
        <v>12144.498352682775</v>
      </c>
      <c r="E172" s="244">
        <f>'Rate Class Energy Model'!I29</f>
        <v>31203.89525909592</v>
      </c>
      <c r="F172" s="244">
        <f>'Rate Class Energy Model'!J29</f>
        <v>553123.26388888888</v>
      </c>
      <c r="G172" s="244">
        <f>'Rate Class Energy Model'!L29</f>
        <v>617.12737241670186</v>
      </c>
      <c r="H172" s="244">
        <f>'Rate Class Energy Model'!K29</f>
        <v>696.52380952380952</v>
      </c>
      <c r="I172" s="244">
        <f>'Rate Class Energy Model'!M29</f>
        <v>0</v>
      </c>
      <c r="J172" s="244">
        <f>'Rate Class Energy Model'!N29</f>
        <v>1459018</v>
      </c>
      <c r="K172" s="254"/>
    </row>
    <row r="173" spans="1:11" x14ac:dyDescent="0.2">
      <c r="A173" s="406">
        <f t="shared" si="35"/>
        <v>2006</v>
      </c>
      <c r="B173" s="406"/>
      <c r="C173" s="243"/>
      <c r="D173" s="244">
        <f>'Rate Class Energy Model'!H30</f>
        <v>11588.089764513872</v>
      </c>
      <c r="E173" s="244">
        <f>'Rate Class Energy Model'!I30</f>
        <v>34117.156838143033</v>
      </c>
      <c r="F173" s="244">
        <f>'Rate Class Energy Model'!J30</f>
        <v>497886.4375</v>
      </c>
      <c r="G173" s="244">
        <f>'Rate Class Energy Model'!L30</f>
        <v>609.66596372838467</v>
      </c>
      <c r="H173" s="244">
        <f>'Rate Class Energy Model'!K30</f>
        <v>697.71957671957671</v>
      </c>
      <c r="I173" s="244">
        <f>'Rate Class Energy Model'!M30</f>
        <v>3241.9666666666667</v>
      </c>
      <c r="J173" s="244">
        <f>'Rate Class Energy Model'!N30</f>
        <v>1386067.1</v>
      </c>
    </row>
    <row r="174" spans="1:11" x14ac:dyDescent="0.2">
      <c r="A174" s="406">
        <f t="shared" si="35"/>
        <v>2007</v>
      </c>
      <c r="B174" s="406"/>
      <c r="C174" s="243"/>
      <c r="D174" s="244">
        <f>'Rate Class Energy Model'!H31</f>
        <v>11445.685628512047</v>
      </c>
      <c r="E174" s="244">
        <f>'Rate Class Energy Model'!I31</f>
        <v>34753.873015873018</v>
      </c>
      <c r="F174" s="244">
        <f>'Rate Class Energy Model'!J31</f>
        <v>553810.84507042251</v>
      </c>
      <c r="G174" s="244">
        <f>'Rate Class Energy Model'!L31</f>
        <v>601.02330253113701</v>
      </c>
      <c r="H174" s="244">
        <f>'Rate Class Energy Model'!K31</f>
        <v>679.41397849462362</v>
      </c>
      <c r="I174" s="244">
        <f>'Rate Class Energy Model'!M31</f>
        <v>5839.2584269662921</v>
      </c>
      <c r="J174" s="244">
        <f>'Rate Class Energy Model'!N31</f>
        <v>1135841.3999999999</v>
      </c>
      <c r="K174" s="205"/>
    </row>
    <row r="175" spans="1:11" x14ac:dyDescent="0.2">
      <c r="A175" s="406">
        <f t="shared" si="35"/>
        <v>2008</v>
      </c>
      <c r="B175" s="406"/>
      <c r="C175" s="243"/>
      <c r="D175" s="244">
        <f>'Rate Class Energy Model'!H32</f>
        <v>11294.766965428937</v>
      </c>
      <c r="E175" s="244">
        <f>'Rate Class Energy Model'!I32</f>
        <v>33970.910287081337</v>
      </c>
      <c r="F175" s="244">
        <f>'Rate Class Energy Model'!J32</f>
        <v>620128.84342465759</v>
      </c>
      <c r="G175" s="244">
        <f>'Rate Class Energy Model'!L32</f>
        <v>592.69659969088104</v>
      </c>
      <c r="H175" s="244">
        <f>'Rate Class Energy Model'!K32</f>
        <v>667.80440860215049</v>
      </c>
      <c r="I175" s="244">
        <f>'Rate Class Energy Model'!M32</f>
        <v>6050.1785714285716</v>
      </c>
      <c r="J175" s="244">
        <f>'Rate Class Energy Model'!N32</f>
        <v>1040152.96</v>
      </c>
    </row>
    <row r="176" spans="1:11" x14ac:dyDescent="0.2">
      <c r="A176" s="406">
        <f t="shared" si="35"/>
        <v>2009</v>
      </c>
      <c r="B176" s="406"/>
      <c r="C176" s="243"/>
      <c r="D176" s="244">
        <f>'Rate Class Energy Model'!H33</f>
        <v>11111.63651814084</v>
      </c>
      <c r="E176" s="244">
        <f>'Rate Class Energy Model'!I33</f>
        <v>32881.2081871345</v>
      </c>
      <c r="F176" s="244">
        <f>'Rate Class Energy Model'!J33</f>
        <v>659350.80847222218</v>
      </c>
      <c r="G176" s="244">
        <f>'Rate Class Energy Model'!L33</f>
        <v>600.72822857142864</v>
      </c>
      <c r="H176" s="244">
        <f>'Rate Class Energy Model'!K33</f>
        <v>632.23367875647671</v>
      </c>
      <c r="I176" s="244">
        <f>'Rate Class Energy Model'!M33</f>
        <v>5947.9518072289156</v>
      </c>
      <c r="J176" s="244">
        <f>'Rate Class Energy Model'!N33</f>
        <v>981974.60200000007</v>
      </c>
    </row>
    <row r="177" spans="1:20" x14ac:dyDescent="0.2">
      <c r="A177" s="406">
        <f t="shared" si="35"/>
        <v>2010</v>
      </c>
      <c r="B177" s="406"/>
      <c r="C177" s="243"/>
      <c r="D177" s="244">
        <f>'Rate Class Energy Model'!H34</f>
        <v>10866.629274778401</v>
      </c>
      <c r="E177" s="244">
        <f>'Rate Class Energy Model'!I34</f>
        <v>33744.363005780346</v>
      </c>
      <c r="F177" s="244">
        <f>'Rate Class Energy Model'!J34</f>
        <v>751893.69294117636</v>
      </c>
      <c r="G177" s="244">
        <f>'Rate Class Energy Model'!L34</f>
        <v>588.47597765363128</v>
      </c>
      <c r="H177" s="244">
        <f>'Rate Class Energy Model'!K34</f>
        <v>580.61054726368161</v>
      </c>
      <c r="I177" s="244">
        <f>'Rate Class Energy Model'!M34</f>
        <v>6020.4878048780483</v>
      </c>
      <c r="J177" s="244">
        <f>'Rate Class Energy Model'!N34</f>
        <v>1001806.8400000001</v>
      </c>
    </row>
    <row r="178" spans="1:20" x14ac:dyDescent="0.2">
      <c r="A178" s="406">
        <f t="shared" si="35"/>
        <v>2011</v>
      </c>
      <c r="B178" s="406"/>
      <c r="C178" s="243"/>
      <c r="D178" s="244">
        <f>'Rate Class Energy Model'!H35</f>
        <v>10893.251293272371</v>
      </c>
      <c r="E178" s="244">
        <f>'Rate Class Energy Model'!I35</f>
        <v>34094.526026785716</v>
      </c>
      <c r="F178" s="244">
        <f>'Rate Class Energy Model'!J35</f>
        <v>745099.78283582092</v>
      </c>
      <c r="G178" s="244">
        <f>'Rate Class Energy Model'!L35</f>
        <v>534.22632331378293</v>
      </c>
      <c r="H178" s="244">
        <f>'Rate Class Energy Model'!K35</f>
        <v>489.95920000000001</v>
      </c>
      <c r="I178" s="244">
        <f>'Rate Class Energy Model'!M35</f>
        <v>6040.8888888888887</v>
      </c>
      <c r="J178" s="244">
        <f>'Rate Class Energy Model'!N35</f>
        <v>951716.49800000002</v>
      </c>
    </row>
    <row r="180" spans="1:20" ht="15" x14ac:dyDescent="0.2">
      <c r="A180" s="405" t="s">
        <v>309</v>
      </c>
      <c r="B180" s="405"/>
      <c r="C180" s="405"/>
      <c r="D180" s="405"/>
      <c r="E180" s="405"/>
      <c r="F180" s="405"/>
      <c r="G180" s="405"/>
      <c r="H180" s="405"/>
      <c r="I180"/>
      <c r="J180"/>
    </row>
    <row r="181" spans="1:20" ht="45" x14ac:dyDescent="0.2">
      <c r="A181" s="411" t="s">
        <v>239</v>
      </c>
      <c r="B181" s="411"/>
      <c r="C181" s="339"/>
      <c r="D181" s="345" t="str">
        <f>D167</f>
        <v xml:space="preserve">Residential </v>
      </c>
      <c r="E181" s="345" t="str">
        <f t="shared" ref="E181:J181" si="36">E167</f>
        <v>GS&lt;50</v>
      </c>
      <c r="F181" s="345" t="str">
        <f t="shared" si="36"/>
        <v>GS&gt;50</v>
      </c>
      <c r="G181" s="345" t="str">
        <f t="shared" si="36"/>
        <v>Street Lighting</v>
      </c>
      <c r="H181" s="345" t="str">
        <f t="shared" si="36"/>
        <v>Sentinels</v>
      </c>
      <c r="I181" s="345" t="str">
        <f t="shared" si="36"/>
        <v>USL</v>
      </c>
      <c r="J181" s="345" t="str">
        <f t="shared" si="36"/>
        <v>Hydro One Load Transfers</v>
      </c>
      <c r="K181" s="255"/>
    </row>
    <row r="182" spans="1:20" ht="15" x14ac:dyDescent="0.2">
      <c r="A182" s="449" t="s">
        <v>271</v>
      </c>
      <c r="B182" s="450"/>
      <c r="C182" s="450"/>
      <c r="D182" s="450"/>
      <c r="E182" s="450"/>
      <c r="F182" s="450"/>
      <c r="G182" s="450"/>
      <c r="H182" s="450"/>
      <c r="I182" s="450"/>
      <c r="J182" s="450"/>
      <c r="K182" s="252"/>
    </row>
    <row r="183" spans="1:20" ht="15" x14ac:dyDescent="0.2">
      <c r="A183" s="406">
        <f t="shared" ref="A183:A192" si="37">A169</f>
        <v>2002</v>
      </c>
      <c r="B183" s="406"/>
      <c r="C183" s="187"/>
      <c r="D183" s="187"/>
      <c r="E183" s="187"/>
      <c r="F183" s="187"/>
      <c r="G183" s="187"/>
      <c r="H183" s="140"/>
      <c r="I183" s="140"/>
      <c r="J183" s="140"/>
      <c r="K183" s="252"/>
    </row>
    <row r="184" spans="1:20" ht="15" x14ac:dyDescent="0.2">
      <c r="A184" s="406">
        <f t="shared" si="37"/>
        <v>2003</v>
      </c>
      <c r="B184" s="406"/>
      <c r="C184" s="243"/>
      <c r="D184" s="245">
        <f>D170/D169-1</f>
        <v>4.3391986260176374E-2</v>
      </c>
      <c r="E184" s="245">
        <f>E170/E169-1</f>
        <v>0.10020843213415764</v>
      </c>
      <c r="F184" s="245">
        <f>F170/F169-1</f>
        <v>-1.6180297695724488E-2</v>
      </c>
      <c r="G184" s="245">
        <f>G170/G169-1</f>
        <v>-0.22495288618493481</v>
      </c>
      <c r="H184" s="245">
        <f>H170/H169-1</f>
        <v>4.218240419549435E-3</v>
      </c>
      <c r="I184" s="245"/>
      <c r="J184" s="245">
        <f>J170/J169-1</f>
        <v>0.5</v>
      </c>
      <c r="K184" s="253"/>
    </row>
    <row r="185" spans="1:20" ht="15" x14ac:dyDescent="0.2">
      <c r="A185" s="406">
        <f t="shared" si="37"/>
        <v>2004</v>
      </c>
      <c r="B185" s="406"/>
      <c r="C185" s="243"/>
      <c r="D185" s="245">
        <f t="shared" ref="D185:J185" si="38">D171/D170-1</f>
        <v>-9.7795008633005942E-3</v>
      </c>
      <c r="E185" s="245">
        <f t="shared" si="38"/>
        <v>3.7620791183158531E-2</v>
      </c>
      <c r="F185" s="245">
        <f t="shared" si="38"/>
        <v>-7.6299386056339902E-2</v>
      </c>
      <c r="G185" s="245">
        <f t="shared" si="38"/>
        <v>0.24450230468924028</v>
      </c>
      <c r="H185" s="245">
        <f t="shared" si="38"/>
        <v>-1.6207924091826809E-2</v>
      </c>
      <c r="I185" s="245"/>
      <c r="J185" s="245">
        <f t="shared" si="38"/>
        <v>-0.25</v>
      </c>
      <c r="K185" s="254"/>
    </row>
    <row r="186" spans="1:20" ht="15" x14ac:dyDescent="0.2">
      <c r="A186" s="406">
        <f t="shared" si="37"/>
        <v>2005</v>
      </c>
      <c r="B186" s="406"/>
      <c r="C186" s="243"/>
      <c r="D186" s="245">
        <f t="shared" ref="D186:J186" si="39">D172/D171-1</f>
        <v>2.3454962167043014E-2</v>
      </c>
      <c r="E186" s="245">
        <f t="shared" si="39"/>
        <v>2.6623295443274797E-2</v>
      </c>
      <c r="F186" s="245">
        <f t="shared" si="39"/>
        <v>0.112230112478507</v>
      </c>
      <c r="G186" s="245">
        <f t="shared" si="39"/>
        <v>0.15034947938510479</v>
      </c>
      <c r="H186" s="245">
        <f t="shared" si="39"/>
        <v>-5.7902872600798738E-2</v>
      </c>
      <c r="I186" s="245"/>
      <c r="J186" s="245">
        <f t="shared" si="39"/>
        <v>0.17610310500286652</v>
      </c>
      <c r="K186" s="254"/>
    </row>
    <row r="187" spans="1:20" ht="15" x14ac:dyDescent="0.2">
      <c r="A187" s="406">
        <f t="shared" si="37"/>
        <v>2006</v>
      </c>
      <c r="B187" s="406"/>
      <c r="C187" s="243"/>
      <c r="D187" s="245">
        <f t="shared" ref="D187:J187" si="40">D173/D172-1</f>
        <v>-4.5815691353442323E-2</v>
      </c>
      <c r="E187" s="245">
        <f t="shared" si="40"/>
        <v>9.3362112481706783E-2</v>
      </c>
      <c r="F187" s="245">
        <f t="shared" si="40"/>
        <v>-9.9863502396429382E-2</v>
      </c>
      <c r="G187" s="245">
        <f t="shared" si="40"/>
        <v>-1.2090548923632927E-2</v>
      </c>
      <c r="H187" s="245">
        <f t="shared" si="40"/>
        <v>1.7167642791489079E-3</v>
      </c>
      <c r="I187" s="245"/>
      <c r="J187" s="245">
        <f t="shared" si="40"/>
        <v>-4.9999999999999933E-2</v>
      </c>
      <c r="K187" s="253"/>
    </row>
    <row r="188" spans="1:20" ht="15" x14ac:dyDescent="0.2">
      <c r="A188" s="406">
        <f t="shared" si="37"/>
        <v>2007</v>
      </c>
      <c r="B188" s="406"/>
      <c r="C188" s="243"/>
      <c r="D188" s="245">
        <f t="shared" ref="D188:J188" si="41">D174/D173-1</f>
        <v>-1.2288836114983215E-2</v>
      </c>
      <c r="E188" s="245">
        <f t="shared" si="41"/>
        <v>1.8662638881389304E-2</v>
      </c>
      <c r="F188" s="245">
        <f t="shared" si="41"/>
        <v>0.11232362112780492</v>
      </c>
      <c r="G188" s="245">
        <f t="shared" si="41"/>
        <v>-1.4176059861360613E-2</v>
      </c>
      <c r="H188" s="245">
        <f t="shared" si="41"/>
        <v>-2.6236325933434945E-2</v>
      </c>
      <c r="I188" s="245">
        <f t="shared" si="41"/>
        <v>0.80114696644000816</v>
      </c>
      <c r="J188" s="245">
        <f t="shared" si="41"/>
        <v>-0.18052928317828199</v>
      </c>
      <c r="K188" s="256"/>
    </row>
    <row r="189" spans="1:20" ht="15" x14ac:dyDescent="0.2">
      <c r="A189" s="406">
        <f t="shared" si="37"/>
        <v>2008</v>
      </c>
      <c r="B189" s="406"/>
      <c r="C189" s="243"/>
      <c r="D189" s="245">
        <f t="shared" ref="D189:J189" si="42">D175/D174-1</f>
        <v>-1.3185637626387359E-2</v>
      </c>
      <c r="E189" s="245">
        <f t="shared" si="42"/>
        <v>-2.2528790631020645E-2</v>
      </c>
      <c r="F189" s="245">
        <f t="shared" si="42"/>
        <v>0.11974846456067878</v>
      </c>
      <c r="G189" s="245">
        <f t="shared" si="42"/>
        <v>-1.3854209654083349E-2</v>
      </c>
      <c r="H189" s="245">
        <f t="shared" si="42"/>
        <v>-1.7087622951468262E-2</v>
      </c>
      <c r="I189" s="245">
        <f t="shared" si="42"/>
        <v>3.612104980458275E-2</v>
      </c>
      <c r="J189" s="245">
        <f t="shared" si="42"/>
        <v>-8.4244543296273511E-2</v>
      </c>
      <c r="K189" s="256"/>
    </row>
    <row r="190" spans="1:20" ht="15" x14ac:dyDescent="0.2">
      <c r="A190" s="406">
        <f t="shared" si="37"/>
        <v>2009</v>
      </c>
      <c r="B190" s="406"/>
      <c r="C190" s="243"/>
      <c r="D190" s="245">
        <f t="shared" ref="D190:J190" si="43">D176/D175-1</f>
        <v>-1.6213742864161995E-2</v>
      </c>
      <c r="E190" s="245">
        <f t="shared" si="43"/>
        <v>-3.2077506629583419E-2</v>
      </c>
      <c r="F190" s="245">
        <f t="shared" si="43"/>
        <v>6.3248090237121524E-2</v>
      </c>
      <c r="G190" s="245">
        <f t="shared" si="43"/>
        <v>1.3550995373917241E-2</v>
      </c>
      <c r="H190" s="245">
        <f t="shared" si="43"/>
        <v>-5.326519170505406E-2</v>
      </c>
      <c r="I190" s="245">
        <f t="shared" si="43"/>
        <v>-1.6896487102448954E-2</v>
      </c>
      <c r="J190" s="245">
        <f t="shared" si="43"/>
        <v>-5.5932502465791067E-2</v>
      </c>
      <c r="K190" s="253"/>
    </row>
    <row r="191" spans="1:20" ht="15" x14ac:dyDescent="0.2">
      <c r="A191" s="406">
        <f t="shared" si="37"/>
        <v>2010</v>
      </c>
      <c r="B191" s="406"/>
      <c r="C191" s="243"/>
      <c r="D191" s="245">
        <f t="shared" ref="D191:J191" si="44">D177/D176-1</f>
        <v>-2.2049609250846203E-2</v>
      </c>
      <c r="E191" s="245">
        <f t="shared" si="44"/>
        <v>2.6250702642476975E-2</v>
      </c>
      <c r="F191" s="245">
        <f t="shared" si="44"/>
        <v>0.14035454765481337</v>
      </c>
      <c r="G191" s="245">
        <f t="shared" si="44"/>
        <v>-2.039566368794421E-2</v>
      </c>
      <c r="H191" s="245">
        <f t="shared" si="44"/>
        <v>-8.1651979683099452E-2</v>
      </c>
      <c r="I191" s="245">
        <f t="shared" si="44"/>
        <v>1.2195121951219523E-2</v>
      </c>
      <c r="J191" s="245">
        <f t="shared" si="44"/>
        <v>2.0196284058271452E-2</v>
      </c>
      <c r="K191" s="257"/>
      <c r="L191" s="257"/>
      <c r="M191" s="257"/>
      <c r="N191" s="257"/>
      <c r="O191" s="257"/>
      <c r="P191" s="257"/>
      <c r="Q191" s="257"/>
      <c r="R191" s="257"/>
      <c r="S191" s="257"/>
      <c r="T191" s="257"/>
    </row>
    <row r="192" spans="1:20" ht="15" x14ac:dyDescent="0.2">
      <c r="A192" s="406">
        <f t="shared" si="37"/>
        <v>2011</v>
      </c>
      <c r="B192" s="406"/>
      <c r="C192" s="243"/>
      <c r="D192" s="245">
        <f t="shared" ref="D192:J192" si="45">D178/D177-1</f>
        <v>2.4498874325049602E-3</v>
      </c>
      <c r="E192" s="245">
        <f t="shared" si="45"/>
        <v>1.0376933799147059E-2</v>
      </c>
      <c r="F192" s="245">
        <f t="shared" si="45"/>
        <v>-9.0357322705817422E-3</v>
      </c>
      <c r="G192" s="245">
        <f t="shared" si="45"/>
        <v>-9.2186693084996163E-2</v>
      </c>
      <c r="H192" s="245">
        <f t="shared" si="45"/>
        <v>-0.15613107218066558</v>
      </c>
      <c r="I192" s="245">
        <f t="shared" si="45"/>
        <v>3.388609805722087E-3</v>
      </c>
      <c r="J192" s="245">
        <f t="shared" si="45"/>
        <v>-5.0000000000000044E-2</v>
      </c>
      <c r="K192" s="257"/>
      <c r="L192" s="257"/>
      <c r="M192" s="257"/>
      <c r="N192" s="257"/>
      <c r="O192" s="257"/>
      <c r="P192" s="257"/>
      <c r="Q192" s="257"/>
      <c r="R192" s="257"/>
      <c r="S192" s="257"/>
      <c r="T192" s="257"/>
    </row>
    <row r="193" spans="1:15" ht="15" x14ac:dyDescent="0.2">
      <c r="A193" s="405" t="str">
        <f>A158</f>
        <v>Geometric Mean</v>
      </c>
      <c r="B193" s="405"/>
      <c r="C193" s="187"/>
      <c r="D193" s="247">
        <f>'Rate Class Energy Model'!H53-1</f>
        <v>-5.8604698751031359E-3</v>
      </c>
      <c r="E193" s="247">
        <f>'Rate Class Energy Model'!I53-1</f>
        <v>2.7858660389474821E-2</v>
      </c>
      <c r="F193" s="247">
        <f>'Rate Class Energy Model'!J53-1</f>
        <v>3.4886344830830751E-2</v>
      </c>
      <c r="G193" s="247">
        <f>'Rate Class Energy Model'!L53-1</f>
        <v>-4.4662010267628727E-3</v>
      </c>
      <c r="H193" s="247">
        <f>'Rate Class Energy Model'!K53-1</f>
        <v>-4.5971764335802412E-2</v>
      </c>
      <c r="I193" s="247">
        <f>'Rate Class Energy Model'!M53-1</f>
        <v>0.13255280624890897</v>
      </c>
      <c r="J193" s="247">
        <f>'Rate Class Energy Model'!N53-1</f>
        <v>-1.6229321639097072E-2</v>
      </c>
      <c r="K193" s="258"/>
    </row>
    <row r="194" spans="1:15" ht="15" x14ac:dyDescent="0.2">
      <c r="K194" s="258"/>
    </row>
    <row r="195" spans="1:15" ht="15" customHeight="1" x14ac:dyDescent="0.2">
      <c r="A195" s="184" t="s">
        <v>310</v>
      </c>
      <c r="B195" s="185"/>
      <c r="C195" s="185"/>
      <c r="D195" s="185"/>
      <c r="E195" s="185"/>
      <c r="F195" s="185"/>
      <c r="G195" s="185"/>
      <c r="H195" s="185"/>
      <c r="I195" s="185"/>
      <c r="J195" s="186"/>
    </row>
    <row r="196" spans="1:15" ht="48" customHeight="1" x14ac:dyDescent="0.2">
      <c r="A196" s="426" t="s">
        <v>239</v>
      </c>
      <c r="B196" s="454"/>
      <c r="C196" s="339"/>
      <c r="D196" s="345" t="str">
        <f>D181</f>
        <v xml:space="preserve">Residential </v>
      </c>
      <c r="E196" s="345" t="str">
        <f t="shared" ref="E196:J196" si="46">E181</f>
        <v>GS&lt;50</v>
      </c>
      <c r="F196" s="345" t="str">
        <f t="shared" si="46"/>
        <v>GS&gt;50</v>
      </c>
      <c r="G196" s="345" t="str">
        <f t="shared" si="46"/>
        <v>Street Lighting</v>
      </c>
      <c r="H196" s="345" t="str">
        <f t="shared" si="46"/>
        <v>Sentinels</v>
      </c>
      <c r="I196" s="345" t="str">
        <f t="shared" si="46"/>
        <v>USL</v>
      </c>
      <c r="J196" s="345" t="str">
        <f t="shared" si="46"/>
        <v>Hydro One Load Transfers</v>
      </c>
    </row>
    <row r="197" spans="1:15" ht="15" customHeight="1" x14ac:dyDescent="0.2">
      <c r="A197" s="259" t="s">
        <v>272</v>
      </c>
      <c r="B197" s="187"/>
      <c r="C197" s="187"/>
      <c r="D197" s="187"/>
      <c r="E197" s="187"/>
      <c r="F197" s="187"/>
      <c r="G197" s="187"/>
      <c r="H197" s="187"/>
      <c r="I197" s="300"/>
      <c r="J197" s="301"/>
    </row>
    <row r="198" spans="1:15" ht="15" customHeight="1" x14ac:dyDescent="0.2">
      <c r="A198" s="451">
        <v>2012</v>
      </c>
      <c r="B198" s="453"/>
      <c r="C198" s="248"/>
      <c r="D198" s="249">
        <f>D178*(1+D193)</f>
        <v>10829.411722226219</v>
      </c>
      <c r="E198" s="249">
        <f t="shared" ref="E198:J198" si="47">E178*(1+E193)</f>
        <v>35044.353848506049</v>
      </c>
      <c r="F198" s="249">
        <f t="shared" si="47"/>
        <v>771093.59079320845</v>
      </c>
      <c r="G198" s="249">
        <f t="shared" si="47"/>
        <v>531.84036116007519</v>
      </c>
      <c r="H198" s="249">
        <f t="shared" si="47"/>
        <v>467.43491112344174</v>
      </c>
      <c r="I198" s="249">
        <f t="shared" si="47"/>
        <v>6841.6256633489647</v>
      </c>
      <c r="J198" s="249">
        <f t="shared" si="47"/>
        <v>936270.78484472295</v>
      </c>
    </row>
    <row r="199" spans="1:15" ht="15" customHeight="1" x14ac:dyDescent="0.2">
      <c r="A199" s="451">
        <v>2013</v>
      </c>
      <c r="B199" s="453"/>
      <c r="C199" s="187"/>
      <c r="D199" s="249">
        <f t="shared" ref="D199:J199" si="48">D198*(1+D193)</f>
        <v>10765.946281063023</v>
      </c>
      <c r="E199" s="249">
        <f t="shared" si="48"/>
        <v>36020.642600940162</v>
      </c>
      <c r="F199" s="249">
        <f t="shared" si="48"/>
        <v>797994.22769846383</v>
      </c>
      <c r="G199" s="249">
        <f t="shared" si="48"/>
        <v>529.46505519298807</v>
      </c>
      <c r="H199" s="249">
        <f t="shared" si="48"/>
        <v>445.94610354694811</v>
      </c>
      <c r="I199" s="249">
        <f t="shared" si="48"/>
        <v>7748.5023443304235</v>
      </c>
      <c r="J199" s="249">
        <f t="shared" si="48"/>
        <v>921075.74513618811</v>
      </c>
      <c r="K199" s="218"/>
      <c r="L199" s="218"/>
      <c r="M199" s="218"/>
      <c r="N199" s="218"/>
      <c r="O199" s="218"/>
    </row>
    <row r="200" spans="1:15" x14ac:dyDescent="0.2">
      <c r="H200"/>
      <c r="I200"/>
      <c r="J200"/>
    </row>
    <row r="201" spans="1:15" ht="15" x14ac:dyDescent="0.2">
      <c r="A201" s="405" t="s">
        <v>311</v>
      </c>
      <c r="B201" s="405"/>
      <c r="C201" s="405"/>
      <c r="D201" s="405"/>
      <c r="E201" s="405"/>
      <c r="F201" s="405"/>
      <c r="G201" s="405"/>
      <c r="H201" s="405"/>
      <c r="I201" s="405"/>
      <c r="J201" s="405"/>
      <c r="K201" s="405"/>
      <c r="L201" s="205"/>
    </row>
    <row r="202" spans="1:15" ht="45" x14ac:dyDescent="0.2">
      <c r="A202" s="411" t="s">
        <v>239</v>
      </c>
      <c r="B202" s="411"/>
      <c r="C202" s="339"/>
      <c r="D202" s="345" t="str">
        <f>D196</f>
        <v xml:space="preserve">Residential </v>
      </c>
      <c r="E202" s="345" t="str">
        <f t="shared" ref="E202:J202" si="49">E196</f>
        <v>GS&lt;50</v>
      </c>
      <c r="F202" s="345" t="str">
        <f t="shared" si="49"/>
        <v>GS&gt;50</v>
      </c>
      <c r="G202" s="345" t="str">
        <f t="shared" si="49"/>
        <v>Street Lighting</v>
      </c>
      <c r="H202" s="345" t="str">
        <f t="shared" si="49"/>
        <v>Sentinels</v>
      </c>
      <c r="I202" s="345" t="str">
        <f t="shared" si="49"/>
        <v>USL</v>
      </c>
      <c r="J202" s="345" t="str">
        <f t="shared" si="49"/>
        <v>Hydro One Load Transfers</v>
      </c>
      <c r="K202" s="345" t="s">
        <v>10</v>
      </c>
    </row>
    <row r="203" spans="1:15" ht="15" x14ac:dyDescent="0.2">
      <c r="A203" s="405" t="s">
        <v>273</v>
      </c>
      <c r="B203" s="405"/>
      <c r="C203" s="405"/>
      <c r="D203" s="405"/>
      <c r="E203" s="405"/>
      <c r="F203" s="405"/>
      <c r="G203" s="405"/>
      <c r="H203" s="405"/>
      <c r="I203" s="405"/>
      <c r="J203" s="187"/>
      <c r="K203" s="140"/>
    </row>
    <row r="204" spans="1:15" ht="15" x14ac:dyDescent="0.2">
      <c r="A204" s="187" t="s">
        <v>274</v>
      </c>
      <c r="B204" s="187"/>
      <c r="C204" s="187"/>
      <c r="D204" s="260">
        <f>D198*D163/1000000</f>
        <v>151.42327253860876</v>
      </c>
      <c r="E204" s="260">
        <f t="shared" ref="E204:I205" si="50">E198*E163/1000000</f>
        <v>31.638291030807107</v>
      </c>
      <c r="F204" s="260">
        <f t="shared" si="50"/>
        <v>51.331472691244997</v>
      </c>
      <c r="G204" s="260">
        <f t="shared" si="50"/>
        <v>1.493104087105837</v>
      </c>
      <c r="H204" s="260">
        <f t="shared" si="50"/>
        <v>0.10801460184233261</v>
      </c>
      <c r="I204" s="260">
        <f t="shared" si="50"/>
        <v>0.54261629169655257</v>
      </c>
      <c r="J204" s="260">
        <f>J198*1/1000000</f>
        <v>0.93627078484472293</v>
      </c>
      <c r="K204" s="260">
        <f>SUM(D204:J204)</f>
        <v>237.47304202615032</v>
      </c>
    </row>
    <row r="205" spans="1:15" ht="15" x14ac:dyDescent="0.2">
      <c r="A205" s="187" t="s">
        <v>275</v>
      </c>
      <c r="B205" s="187"/>
      <c r="C205" s="187"/>
      <c r="D205" s="260">
        <f>D199*D164/1000000</f>
        <v>152.76013490102335</v>
      </c>
      <c r="E205" s="260">
        <f t="shared" si="50"/>
        <v>32.766749900926676</v>
      </c>
      <c r="F205" s="260">
        <f t="shared" si="50"/>
        <v>52.781072291541221</v>
      </c>
      <c r="G205" s="260">
        <f t="shared" si="50"/>
        <v>1.5297149779836223</v>
      </c>
      <c r="H205" s="260">
        <f t="shared" si="50"/>
        <v>0.1058333402378324</v>
      </c>
      <c r="I205" s="260">
        <f t="shared" si="50"/>
        <v>0.60172740503915356</v>
      </c>
      <c r="J205" s="260">
        <f>J199*1/1000000</f>
        <v>0.92107574513618806</v>
      </c>
      <c r="K205" s="260">
        <f>SUM(D205:J205)</f>
        <v>241.46630856188804</v>
      </c>
    </row>
    <row r="207" spans="1:15" ht="15" x14ac:dyDescent="0.2">
      <c r="D207" s="407" t="s">
        <v>312</v>
      </c>
      <c r="E207" s="407"/>
      <c r="F207" s="407"/>
      <c r="G207" s="407"/>
      <c r="H207" s="407"/>
      <c r="I207" s="407"/>
      <c r="J207" s="407"/>
    </row>
    <row r="208" spans="1:15" ht="45" x14ac:dyDescent="0.2">
      <c r="D208" s="345" t="str">
        <f t="shared" ref="D208:J208" si="51">D202</f>
        <v xml:space="preserve">Residential </v>
      </c>
      <c r="E208" s="345" t="str">
        <f t="shared" si="51"/>
        <v>GS&lt;50</v>
      </c>
      <c r="F208" s="345" t="str">
        <f t="shared" si="51"/>
        <v>GS&gt;50</v>
      </c>
      <c r="G208" s="345" t="str">
        <f t="shared" si="51"/>
        <v>Street Lighting</v>
      </c>
      <c r="H208" s="345" t="str">
        <f t="shared" si="51"/>
        <v>Sentinels</v>
      </c>
      <c r="I208" s="345" t="str">
        <f t="shared" si="51"/>
        <v>USL</v>
      </c>
      <c r="J208" s="345" t="str">
        <f t="shared" si="51"/>
        <v>Hydro One Load Transfers</v>
      </c>
    </row>
    <row r="209" spans="2:10" ht="15" x14ac:dyDescent="0.2">
      <c r="D209" s="405" t="s">
        <v>276</v>
      </c>
      <c r="E209" s="405"/>
      <c r="F209" s="405"/>
      <c r="G209" s="405"/>
      <c r="H209" s="405"/>
      <c r="I209" s="405"/>
      <c r="J209" s="405"/>
    </row>
    <row r="210" spans="2:10" x14ac:dyDescent="0.2">
      <c r="D210" s="302">
        <f>'Rate Class Energy Model'!H65</f>
        <v>0.82499999999999996</v>
      </c>
      <c r="E210" s="302">
        <f>'Rate Class Energy Model'!I65</f>
        <v>0.82499999999999996</v>
      </c>
      <c r="F210" s="302">
        <f>'Rate Class Energy Model'!J65</f>
        <v>0.65</v>
      </c>
      <c r="G210" s="302">
        <f>'Rate Class Energy Model'!K65</f>
        <v>0</v>
      </c>
      <c r="H210" s="302">
        <f>'Rate Class Energy Model'!L65</f>
        <v>0</v>
      </c>
      <c r="I210" s="302">
        <f>'Rate Class Energy Model'!M65</f>
        <v>0</v>
      </c>
      <c r="J210" s="302">
        <f>'Rate Class Energy Model'!N65</f>
        <v>0</v>
      </c>
    </row>
    <row r="211" spans="2:10" x14ac:dyDescent="0.2">
      <c r="D211" s="261"/>
      <c r="E211" s="261"/>
      <c r="F211" s="261"/>
      <c r="G211" s="261"/>
      <c r="H211" s="261"/>
      <c r="I211"/>
      <c r="J211"/>
    </row>
    <row r="212" spans="2:10" ht="15" x14ac:dyDescent="0.2">
      <c r="D212" s="407" t="s">
        <v>313</v>
      </c>
      <c r="E212" s="407"/>
      <c r="F212" s="407"/>
      <c r="G212" s="407"/>
      <c r="H212" s="407"/>
    </row>
    <row r="213" spans="2:10" ht="51" x14ac:dyDescent="0.2">
      <c r="D213" s="100"/>
      <c r="E213" s="178" t="s">
        <v>277</v>
      </c>
      <c r="F213" s="178" t="s">
        <v>278</v>
      </c>
      <c r="G213" s="178" t="s">
        <v>225</v>
      </c>
      <c r="H213" s="178" t="s">
        <v>226</v>
      </c>
    </row>
    <row r="214" spans="2:10" x14ac:dyDescent="0.2">
      <c r="D214" s="262">
        <v>2006</v>
      </c>
      <c r="E214" s="244">
        <f>'[4]Summary - LDC'!$E$44*1000</f>
        <v>1644593.0164673009</v>
      </c>
      <c r="F214" s="244">
        <f>'[4]Summary - LDC'!$E$24*1000</f>
        <v>1472589.1816880766</v>
      </c>
      <c r="G214" s="244">
        <f t="shared" ref="G214:G221" si="52">E214-F214</f>
        <v>172003.83477922436</v>
      </c>
      <c r="H214" s="263">
        <f t="shared" ref="H214:H222" si="53">G214/F214</f>
        <v>0.1168036794770221</v>
      </c>
    </row>
    <row r="215" spans="2:10" ht="15.95" customHeight="1" x14ac:dyDescent="0.2">
      <c r="D215" s="262">
        <v>2007</v>
      </c>
      <c r="E215" s="244">
        <f>'[4]Summary - LDC'!$F$44*1000</f>
        <v>4964101.0882684113</v>
      </c>
      <c r="F215" s="244">
        <f>'[4]Summary - LDC'!$F$24*1000</f>
        <v>2455328.8262043442</v>
      </c>
      <c r="G215" s="244">
        <f t="shared" si="52"/>
        <v>2508772.2620640672</v>
      </c>
      <c r="H215" s="263">
        <f t="shared" si="53"/>
        <v>1.0217663048995114</v>
      </c>
    </row>
    <row r="216" spans="2:10" x14ac:dyDescent="0.2">
      <c r="D216" s="262">
        <v>2008</v>
      </c>
      <c r="E216" s="244">
        <f>'[4]Summary - LDC'!$G$44*1000</f>
        <v>5013598.2926884945</v>
      </c>
      <c r="F216" s="244">
        <f>'[4]Summary - LDC'!$G$24*1000</f>
        <v>3143863.0678313305</v>
      </c>
      <c r="G216" s="244">
        <f t="shared" si="52"/>
        <v>1869735.2248571641</v>
      </c>
      <c r="H216" s="263">
        <f t="shared" si="53"/>
        <v>0.59472540136645546</v>
      </c>
    </row>
    <row r="217" spans="2:10" x14ac:dyDescent="0.2">
      <c r="D217" s="262">
        <v>2009</v>
      </c>
      <c r="E217" s="244">
        <f>'[4]Summary - LDC'!$H$44*1000</f>
        <v>7236398.8691248354</v>
      </c>
      <c r="F217" s="244">
        <f>'[4]Summary - LDC'!$H$24*1000</f>
        <v>4589194.16607197</v>
      </c>
      <c r="G217" s="244">
        <f t="shared" si="52"/>
        <v>2647204.7030528653</v>
      </c>
      <c r="H217" s="263">
        <f t="shared" si="53"/>
        <v>0.5768343215076227</v>
      </c>
    </row>
    <row r="218" spans="2:10" x14ac:dyDescent="0.2">
      <c r="D218" s="262">
        <v>2010</v>
      </c>
      <c r="E218" s="244">
        <f>'[4]Summary - LDC'!$I$44*1000</f>
        <v>6830132.24849921</v>
      </c>
      <c r="F218" s="244">
        <f>'[4]Summary - LDC'!$I$24*1000</f>
        <v>4029539.6024123211</v>
      </c>
      <c r="G218" s="244">
        <f t="shared" si="52"/>
        <v>2800592.6460868889</v>
      </c>
      <c r="H218" s="263">
        <f t="shared" si="53"/>
        <v>0.69501554083505923</v>
      </c>
    </row>
    <row r="219" spans="2:10" x14ac:dyDescent="0.2">
      <c r="D219" s="262">
        <v>2011</v>
      </c>
      <c r="E219" s="244">
        <f>'[4]Summary - LDC'!$J$44*1000</f>
        <v>6668005.1078730011</v>
      </c>
      <c r="F219" s="244">
        <f>'[4]Summary - LDC'!$J$24*1000</f>
        <v>3859190.3683245354</v>
      </c>
      <c r="G219" s="244">
        <f t="shared" si="52"/>
        <v>2808814.7395484657</v>
      </c>
      <c r="H219" s="263">
        <f t="shared" si="53"/>
        <v>0.7278248729584984</v>
      </c>
    </row>
    <row r="220" spans="2:10" x14ac:dyDescent="0.2">
      <c r="D220" s="262">
        <v>2012</v>
      </c>
      <c r="E220" s="244">
        <f>'[4]Summary - LDC'!$K$44*1000</f>
        <v>6394406.2921384275</v>
      </c>
      <c r="F220" s="244">
        <f>'[4]Summary - LDC'!$K$24*1000</f>
        <v>3742775.6196744414</v>
      </c>
      <c r="G220" s="244">
        <f t="shared" si="52"/>
        <v>2651630.6724639861</v>
      </c>
      <c r="H220" s="263">
        <f t="shared" si="53"/>
        <v>0.70846637413295788</v>
      </c>
    </row>
    <row r="221" spans="2:10" x14ac:dyDescent="0.2">
      <c r="D221" s="262">
        <v>2013</v>
      </c>
      <c r="E221" s="244">
        <f>'[4]Summary - LDC'!$L$44*1000</f>
        <v>6307311.1245764382</v>
      </c>
      <c r="F221" s="244">
        <f>'[4]Summary - LDC'!$L$24*1000</f>
        <v>3698821.8318048315</v>
      </c>
      <c r="G221" s="244">
        <f t="shared" si="52"/>
        <v>2608489.2927716067</v>
      </c>
      <c r="H221" s="263">
        <f t="shared" si="53"/>
        <v>0.70522166554283594</v>
      </c>
    </row>
    <row r="222" spans="2:10" x14ac:dyDescent="0.2">
      <c r="D222" s="262" t="s">
        <v>10</v>
      </c>
      <c r="E222" s="244">
        <f>SUM(E214:E221)</f>
        <v>45058546.03963612</v>
      </c>
      <c r="F222" s="244">
        <f>SUM(F214:F221)</f>
        <v>26991302.664011847</v>
      </c>
      <c r="G222" s="244">
        <f>SUM(G214:G221)</f>
        <v>18067243.375624269</v>
      </c>
      <c r="H222" s="263">
        <f t="shared" si="53"/>
        <v>0.66937278280065227</v>
      </c>
    </row>
    <row r="224" spans="2:10" ht="15" x14ac:dyDescent="0.25">
      <c r="B224" s="410" t="s">
        <v>314</v>
      </c>
      <c r="C224" s="410"/>
      <c r="D224" s="410"/>
      <c r="E224" s="410"/>
      <c r="F224" s="410"/>
      <c r="G224" s="410"/>
      <c r="H224" s="410"/>
    </row>
    <row r="225" spans="1:10" x14ac:dyDescent="0.2">
      <c r="B225" s="409" t="s">
        <v>279</v>
      </c>
      <c r="C225" s="409"/>
      <c r="D225" s="409"/>
      <c r="E225" s="409"/>
      <c r="F225" s="409"/>
      <c r="G225" s="409"/>
      <c r="H225" s="409"/>
    </row>
    <row r="226" spans="1:10" x14ac:dyDescent="0.2">
      <c r="B226" s="408">
        <f>'CDM Activity'!P3</f>
        <v>9200000</v>
      </c>
      <c r="C226" s="408"/>
      <c r="D226" s="408"/>
      <c r="E226" s="408"/>
      <c r="F226" s="408"/>
      <c r="G226" s="408"/>
      <c r="H226" s="408"/>
    </row>
    <row r="227" spans="1:10" x14ac:dyDescent="0.2">
      <c r="B227" s="209"/>
      <c r="C227" s="209"/>
      <c r="D227" s="100">
        <v>2011</v>
      </c>
      <c r="E227" s="100">
        <v>2012</v>
      </c>
      <c r="F227" s="100">
        <v>2013</v>
      </c>
      <c r="G227" s="100">
        <v>2014</v>
      </c>
      <c r="H227" s="100" t="s">
        <v>10</v>
      </c>
    </row>
    <row r="228" spans="1:10" x14ac:dyDescent="0.2">
      <c r="B228" s="264" t="s">
        <v>280</v>
      </c>
      <c r="C228" s="209"/>
      <c r="D228" s="232">
        <f ca="1">'CDM Activity'!P21</f>
        <v>6.439713913043478E-2</v>
      </c>
      <c r="E228" s="232">
        <f ca="1">D228</f>
        <v>6.439713913043478E-2</v>
      </c>
      <c r="F228" s="153">
        <f ca="1">E228</f>
        <v>6.439713913043478E-2</v>
      </c>
      <c r="G228" s="153">
        <f ca="1">F228</f>
        <v>6.439713913043478E-2</v>
      </c>
      <c r="H228" s="153">
        <f ca="1">SUM(D228:G228)</f>
        <v>0.25758855652173912</v>
      </c>
    </row>
    <row r="229" spans="1:10" x14ac:dyDescent="0.2">
      <c r="B229" s="264" t="s">
        <v>281</v>
      </c>
      <c r="C229" s="209"/>
      <c r="D229" s="153"/>
      <c r="E229" s="153">
        <f ca="1">(100%-H228)/6</f>
        <v>0.12373524057971015</v>
      </c>
      <c r="F229" s="153">
        <f ca="1">E229</f>
        <v>0.12373524057971015</v>
      </c>
      <c r="G229" s="153">
        <f ca="1">F229</f>
        <v>0.12373524057971015</v>
      </c>
      <c r="H229" s="153">
        <f ca="1">SUM(D229:G229)</f>
        <v>0.37120572173913047</v>
      </c>
    </row>
    <row r="230" spans="1:10" x14ac:dyDescent="0.2">
      <c r="B230" s="264" t="s">
        <v>282</v>
      </c>
      <c r="C230" s="209"/>
      <c r="D230" s="158"/>
      <c r="E230" s="153"/>
      <c r="F230" s="153">
        <f ca="1">F229</f>
        <v>0.12373524057971015</v>
      </c>
      <c r="G230" s="153">
        <f ca="1">G229</f>
        <v>0.12373524057971015</v>
      </c>
      <c r="H230" s="153">
        <f ca="1">SUM(D230:G230)</f>
        <v>0.2474704811594203</v>
      </c>
    </row>
    <row r="231" spans="1:10" x14ac:dyDescent="0.2">
      <c r="B231" s="264" t="s">
        <v>283</v>
      </c>
      <c r="C231" s="209"/>
      <c r="D231" s="158"/>
      <c r="E231" s="158"/>
      <c r="F231" s="153"/>
      <c r="G231" s="153">
        <f ca="1">G230</f>
        <v>0.12373524057971015</v>
      </c>
      <c r="H231" s="153">
        <f ca="1">SUM(D231:G231)</f>
        <v>0.12373524057971015</v>
      </c>
    </row>
    <row r="232" spans="1:10" x14ac:dyDescent="0.2">
      <c r="B232" s="264"/>
      <c r="C232" s="209"/>
      <c r="D232" s="153">
        <f ca="1">SUM(D228:D231)</f>
        <v>6.439713913043478E-2</v>
      </c>
      <c r="E232" s="153">
        <f ca="1">SUM(E228:E231)</f>
        <v>0.18813237971014493</v>
      </c>
      <c r="F232" s="153">
        <f ca="1">SUM(F228:F231)</f>
        <v>0.3118676202898551</v>
      </c>
      <c r="G232" s="153">
        <f ca="1">SUM(G228:G231)</f>
        <v>0.43560286086956523</v>
      </c>
      <c r="H232" s="153">
        <f ca="1">SUM(D232:G232)</f>
        <v>1</v>
      </c>
    </row>
    <row r="233" spans="1:10" x14ac:dyDescent="0.2">
      <c r="B233" s="403" t="s">
        <v>125</v>
      </c>
      <c r="C233" s="403"/>
      <c r="D233" s="403"/>
      <c r="E233" s="403"/>
      <c r="F233" s="403"/>
      <c r="G233" s="403"/>
      <c r="H233" s="403"/>
    </row>
    <row r="234" spans="1:10" x14ac:dyDescent="0.2">
      <c r="B234" s="264" t="s">
        <v>280</v>
      </c>
      <c r="C234" s="209"/>
      <c r="D234" s="135">
        <f ca="1">D228*$B$226</f>
        <v>592453.67999999993</v>
      </c>
      <c r="E234" s="135">
        <f ca="1">E228*$B$226</f>
        <v>592453.67999999993</v>
      </c>
      <c r="F234" s="135">
        <f ca="1">F228*$B$226</f>
        <v>592453.67999999993</v>
      </c>
      <c r="G234" s="135">
        <f ca="1">G228*$B$226</f>
        <v>592453.67999999993</v>
      </c>
      <c r="H234" s="135">
        <f ca="1">SUM(D234:G234)</f>
        <v>2369814.7199999997</v>
      </c>
    </row>
    <row r="235" spans="1:10" x14ac:dyDescent="0.2">
      <c r="B235" s="264" t="s">
        <v>281</v>
      </c>
      <c r="C235" s="209"/>
      <c r="D235" s="135"/>
      <c r="E235" s="135">
        <f ca="1">E229*$B$226</f>
        <v>1138364.2133333334</v>
      </c>
      <c r="F235" s="135">
        <f ca="1">F229*$B$226</f>
        <v>1138364.2133333334</v>
      </c>
      <c r="G235" s="135">
        <f ca="1">G229*$B$226</f>
        <v>1138364.2133333334</v>
      </c>
      <c r="H235" s="135">
        <f ca="1">SUM(D235:G235)</f>
        <v>3415092.64</v>
      </c>
    </row>
    <row r="236" spans="1:10" x14ac:dyDescent="0.2">
      <c r="B236" s="264" t="s">
        <v>282</v>
      </c>
      <c r="C236" s="209"/>
      <c r="D236" s="135"/>
      <c r="E236" s="135"/>
      <c r="F236" s="135">
        <f ca="1">F230*$B$226</f>
        <v>1138364.2133333334</v>
      </c>
      <c r="G236" s="135">
        <f ca="1">G230*$B$226</f>
        <v>1138364.2133333334</v>
      </c>
      <c r="H236" s="135">
        <f ca="1">SUM(D236:G236)</f>
        <v>2276728.4266666668</v>
      </c>
    </row>
    <row r="237" spans="1:10" x14ac:dyDescent="0.2">
      <c r="B237" s="264" t="s">
        <v>283</v>
      </c>
      <c r="C237" s="209"/>
      <c r="D237" s="135"/>
      <c r="E237" s="135"/>
      <c r="F237" s="135"/>
      <c r="G237" s="135">
        <f ca="1">G231*$B$226</f>
        <v>1138364.2133333334</v>
      </c>
      <c r="H237" s="135">
        <f ca="1">SUM(D237:G237)</f>
        <v>1138364.2133333334</v>
      </c>
    </row>
    <row r="238" spans="1:10" x14ac:dyDescent="0.2">
      <c r="B238" s="209"/>
      <c r="C238" s="209"/>
      <c r="D238" s="135">
        <f ca="1">SUM(D234:D237)</f>
        <v>592453.67999999993</v>
      </c>
      <c r="E238" s="135">
        <f ca="1">SUM(E234:E237)</f>
        <v>1730817.8933333333</v>
      </c>
      <c r="F238" s="135">
        <f ca="1">SUM(F234:F237)</f>
        <v>2869182.1066666665</v>
      </c>
      <c r="G238" s="135">
        <f ca="1">SUM(G234:G237)</f>
        <v>4007546.32</v>
      </c>
      <c r="H238" s="135">
        <f ca="1">SUM(D238:G238)</f>
        <v>9200000</v>
      </c>
    </row>
    <row r="240" spans="1:10" ht="15" x14ac:dyDescent="0.2">
      <c r="A240" s="209"/>
      <c r="B240" s="405" t="s">
        <v>315</v>
      </c>
      <c r="C240" s="405"/>
      <c r="D240" s="405"/>
      <c r="E240" s="405"/>
      <c r="F240" s="405"/>
      <c r="G240" s="405"/>
      <c r="H240" s="405"/>
      <c r="I240" s="405"/>
      <c r="J240" s="405"/>
    </row>
    <row r="241" spans="1:12" ht="30" x14ac:dyDescent="0.2">
      <c r="A241" s="265"/>
      <c r="B241" s="349"/>
      <c r="C241" s="339"/>
      <c r="D241" s="345" t="str">
        <f t="shared" ref="D241:I241" si="54">D246</f>
        <v xml:space="preserve">Residential </v>
      </c>
      <c r="E241" s="345" t="str">
        <f t="shared" si="54"/>
        <v>GS&lt;50</v>
      </c>
      <c r="F241" s="345" t="str">
        <f t="shared" si="54"/>
        <v>GS&gt;50</v>
      </c>
      <c r="G241" s="345" t="str">
        <f t="shared" si="54"/>
        <v>Street Lighting</v>
      </c>
      <c r="H241" s="345" t="str">
        <f t="shared" si="54"/>
        <v>Sentinels</v>
      </c>
      <c r="I241" s="345" t="str">
        <f t="shared" si="54"/>
        <v>USL</v>
      </c>
      <c r="J241" s="345" t="s">
        <v>10</v>
      </c>
    </row>
    <row r="242" spans="1:12" ht="15" x14ac:dyDescent="0.25">
      <c r="A242" s="209"/>
      <c r="B242" s="187" t="s">
        <v>125</v>
      </c>
      <c r="C242" s="243"/>
      <c r="D242" s="250">
        <f t="shared" ref="D242:I242" ca="1" si="55">D205/($K$205-$J$205)*$F$238</f>
        <v>1822096.5784173247</v>
      </c>
      <c r="E242" s="250">
        <f t="shared" ca="1" si="55"/>
        <v>390836.14922845131</v>
      </c>
      <c r="F242" s="250">
        <f t="shared" ca="1" si="55"/>
        <v>629563.5395316116</v>
      </c>
      <c r="G242" s="250">
        <f t="shared" ca="1" si="55"/>
        <v>18246.176786526386</v>
      </c>
      <c r="H242" s="250">
        <f t="shared" ca="1" si="55"/>
        <v>1262.3618541236256</v>
      </c>
      <c r="I242" s="250">
        <f t="shared" ca="1" si="55"/>
        <v>7177.3008486288827</v>
      </c>
      <c r="J242" s="250">
        <f ca="1">SUM(D242:I242)</f>
        <v>2869182.1066666669</v>
      </c>
    </row>
    <row r="243" spans="1:12" ht="15" x14ac:dyDescent="0.25">
      <c r="A243" s="209"/>
      <c r="B243" s="187" t="s">
        <v>284</v>
      </c>
      <c r="C243" s="243"/>
      <c r="D243" s="260"/>
      <c r="E243" s="260"/>
      <c r="F243" s="250">
        <f ca="1">F242*'Rate Class Load Model'!B27</f>
        <v>1811.145072628</v>
      </c>
      <c r="G243" s="250">
        <f ca="1">G242*'Rate Class Load Model'!D27</f>
        <v>53.326937811326211</v>
      </c>
      <c r="H243" s="260">
        <f ca="1">H242*'Rate Class Load Model'!C27</f>
        <v>3.506923369227033</v>
      </c>
      <c r="I243" s="250"/>
      <c r="J243" s="250">
        <f ca="1">SUM(D243:I243)</f>
        <v>1867.9789338085532</v>
      </c>
    </row>
    <row r="245" spans="1:12" ht="15" x14ac:dyDescent="0.2">
      <c r="A245" s="405" t="s">
        <v>317</v>
      </c>
      <c r="B245" s="405"/>
      <c r="C245" s="405"/>
      <c r="D245" s="405"/>
      <c r="E245" s="405"/>
      <c r="F245" s="405"/>
      <c r="G245" s="405"/>
      <c r="H245" s="405"/>
      <c r="I245" s="405"/>
      <c r="J245" s="405"/>
      <c r="K245" s="405"/>
      <c r="L245" s="205"/>
    </row>
    <row r="246" spans="1:12" ht="45" x14ac:dyDescent="0.2">
      <c r="A246" s="411" t="s">
        <v>239</v>
      </c>
      <c r="B246" s="411"/>
      <c r="C246" s="339"/>
      <c r="D246" s="345" t="str">
        <f>D208</f>
        <v xml:space="preserve">Residential </v>
      </c>
      <c r="E246" s="345" t="str">
        <f t="shared" ref="E246:J246" si="56">E208</f>
        <v>GS&lt;50</v>
      </c>
      <c r="F246" s="345" t="str">
        <f t="shared" si="56"/>
        <v>GS&gt;50</v>
      </c>
      <c r="G246" s="345" t="str">
        <f t="shared" si="56"/>
        <v>Street Lighting</v>
      </c>
      <c r="H246" s="345" t="str">
        <f t="shared" si="56"/>
        <v>Sentinels</v>
      </c>
      <c r="I246" s="345" t="str">
        <f t="shared" si="56"/>
        <v>USL</v>
      </c>
      <c r="J246" s="345" t="str">
        <f t="shared" si="56"/>
        <v>Hydro One Load Transfers</v>
      </c>
      <c r="K246" s="345" t="str">
        <f>J241</f>
        <v>Total</v>
      </c>
    </row>
    <row r="247" spans="1:12" ht="15" x14ac:dyDescent="0.2">
      <c r="A247" s="405" t="s">
        <v>285</v>
      </c>
      <c r="B247" s="405"/>
      <c r="C247" s="405"/>
      <c r="D247" s="405"/>
      <c r="E247" s="405"/>
      <c r="F247" s="405"/>
      <c r="G247" s="405"/>
      <c r="H247" s="405"/>
      <c r="I247" s="405"/>
      <c r="J247" s="405"/>
      <c r="K247" s="405"/>
    </row>
    <row r="248" spans="1:12" ht="15" x14ac:dyDescent="0.2">
      <c r="A248" s="187" t="s">
        <v>286</v>
      </c>
      <c r="B248" s="243"/>
      <c r="C248" s="243"/>
      <c r="D248" s="260">
        <f t="shared" ref="D248:J249" si="57">D204</f>
        <v>151.42327253860876</v>
      </c>
      <c r="E248" s="260">
        <f t="shared" si="57"/>
        <v>31.638291030807107</v>
      </c>
      <c r="F248" s="260">
        <f t="shared" si="57"/>
        <v>51.331472691244997</v>
      </c>
      <c r="G248" s="260">
        <f t="shared" si="57"/>
        <v>1.493104087105837</v>
      </c>
      <c r="H248" s="260">
        <f t="shared" si="57"/>
        <v>0.10801460184233261</v>
      </c>
      <c r="I248" s="260">
        <f t="shared" si="57"/>
        <v>0.54261629169655257</v>
      </c>
      <c r="J248" s="260">
        <f t="shared" si="57"/>
        <v>0.93627078484472293</v>
      </c>
      <c r="K248" s="260">
        <f>SUM(D248:J248)</f>
        <v>237.47304202615032</v>
      </c>
    </row>
    <row r="249" spans="1:12" ht="15" x14ac:dyDescent="0.2">
      <c r="A249" s="187" t="s">
        <v>287</v>
      </c>
      <c r="B249" s="243"/>
      <c r="C249" s="243"/>
      <c r="D249" s="260">
        <f t="shared" si="57"/>
        <v>152.76013490102335</v>
      </c>
      <c r="E249" s="260">
        <f t="shared" si="57"/>
        <v>32.766749900926676</v>
      </c>
      <c r="F249" s="260">
        <f t="shared" si="57"/>
        <v>52.781072291541221</v>
      </c>
      <c r="G249" s="260">
        <f t="shared" si="57"/>
        <v>1.5297149779836223</v>
      </c>
      <c r="H249" s="260">
        <f t="shared" si="57"/>
        <v>0.1058333402378324</v>
      </c>
      <c r="I249" s="260">
        <f t="shared" si="57"/>
        <v>0.60172740503915356</v>
      </c>
      <c r="J249" s="260">
        <f t="shared" si="57"/>
        <v>0.92107574513618806</v>
      </c>
      <c r="K249" s="260">
        <f>SUM(D249:J249)</f>
        <v>241.46630856188804</v>
      </c>
    </row>
    <row r="250" spans="1:12" ht="15" x14ac:dyDescent="0.2">
      <c r="A250" s="405" t="s">
        <v>288</v>
      </c>
      <c r="B250" s="405"/>
      <c r="C250" s="405"/>
      <c r="D250" s="405"/>
      <c r="E250" s="405"/>
      <c r="F250" s="405"/>
      <c r="G250" s="405"/>
      <c r="H250" s="405"/>
      <c r="I250" s="405"/>
      <c r="J250" s="405"/>
      <c r="K250" s="405"/>
    </row>
    <row r="251" spans="1:12" ht="15" x14ac:dyDescent="0.2">
      <c r="A251" s="404">
        <f>A198</f>
        <v>2012</v>
      </c>
      <c r="B251" s="404"/>
      <c r="C251" s="248"/>
      <c r="D251" s="266">
        <f>'Rate Class Energy Model'!H70/1000000</f>
        <v>-2.4568731498499359</v>
      </c>
      <c r="E251" s="266">
        <f>'Rate Class Energy Model'!I70/1000000</f>
        <v>-0.51333765568240974</v>
      </c>
      <c r="F251" s="266">
        <f>'Rate Class Energy Model'!J70/1000000</f>
        <v>-0.65619548614623235</v>
      </c>
      <c r="G251" s="266">
        <f>'Rate Class Energy Model'!K70/1000000</f>
        <v>0</v>
      </c>
      <c r="H251" s="266">
        <f>'Rate Class Energy Model'!L70/1000000</f>
        <v>0</v>
      </c>
      <c r="I251" s="266">
        <f>'Rate Class Energy Model'!M70/1000000</f>
        <v>0</v>
      </c>
      <c r="J251" s="266">
        <f>'Rate Class Energy Model'!N70/1000000</f>
        <v>0</v>
      </c>
      <c r="K251" s="266">
        <f>SUM(D251:J251)</f>
        <v>-3.626406291678578</v>
      </c>
    </row>
    <row r="252" spans="1:12" ht="15" x14ac:dyDescent="0.2">
      <c r="A252" s="404">
        <f>A199</f>
        <v>2013</v>
      </c>
      <c r="B252" s="404"/>
      <c r="C252" s="243"/>
      <c r="D252" s="266">
        <f>'Rate Class Energy Model'!H71/1000000</f>
        <v>-3.783567179458764</v>
      </c>
      <c r="E252" s="266">
        <f>'Rate Class Energy Model'!I71/1000000</f>
        <v>-0.81156775347839361</v>
      </c>
      <c r="F252" s="266">
        <f>'Rate Class Energy Model'!J71/1000000</f>
        <v>-1.0299805732288536</v>
      </c>
      <c r="G252" s="266">
        <f>'Rate Class Energy Model'!K71/1000000</f>
        <v>0</v>
      </c>
      <c r="H252" s="266">
        <f>'Rate Class Energy Model'!L71/1000000</f>
        <v>0</v>
      </c>
      <c r="I252" s="266">
        <f>'Rate Class Energy Model'!M71/1000000</f>
        <v>0</v>
      </c>
      <c r="J252" s="266">
        <f>'Rate Class Energy Model'!N71/1000000</f>
        <v>0</v>
      </c>
      <c r="K252" s="266">
        <f>SUM(D252:J252)</f>
        <v>-5.6251155061660114</v>
      </c>
    </row>
    <row r="253" spans="1:12" ht="15" customHeight="1" x14ac:dyDescent="0.2">
      <c r="A253" s="404" t="s">
        <v>316</v>
      </c>
      <c r="B253" s="404"/>
      <c r="C253" s="404"/>
      <c r="D253" s="404"/>
      <c r="E253" s="404"/>
      <c r="F253" s="404"/>
      <c r="G253" s="404"/>
      <c r="H253" s="404"/>
      <c r="I253" s="404"/>
      <c r="J253" s="404"/>
      <c r="K253" s="404"/>
    </row>
    <row r="254" spans="1:12" ht="15" customHeight="1" x14ac:dyDescent="0.2">
      <c r="A254" s="404">
        <f>A251</f>
        <v>2012</v>
      </c>
      <c r="B254" s="404"/>
      <c r="C254" s="243"/>
      <c r="D254" s="266"/>
      <c r="E254" s="266"/>
      <c r="F254" s="266"/>
      <c r="G254" s="266"/>
      <c r="H254" s="266"/>
      <c r="I254" s="266"/>
      <c r="J254" s="266"/>
      <c r="K254" s="266"/>
    </row>
    <row r="255" spans="1:12" ht="15" x14ac:dyDescent="0.2">
      <c r="A255" s="404">
        <f>A252</f>
        <v>2013</v>
      </c>
      <c r="B255" s="404"/>
      <c r="C255" s="243"/>
      <c r="D255" s="266"/>
      <c r="E255" s="266"/>
      <c r="F255" s="266"/>
      <c r="G255" s="266"/>
      <c r="H255" s="266"/>
      <c r="I255" s="266"/>
      <c r="J255" s="266">
        <f>-J249</f>
        <v>-0.92107574513618806</v>
      </c>
      <c r="K255" s="266">
        <f>SUM(D255:J255)</f>
        <v>-0.92107574513618806</v>
      </c>
    </row>
    <row r="256" spans="1:12" ht="15" customHeight="1" x14ac:dyDescent="0.2">
      <c r="A256" s="404" t="s">
        <v>289</v>
      </c>
      <c r="B256" s="404"/>
      <c r="C256" s="404"/>
      <c r="D256" s="404"/>
      <c r="E256" s="404"/>
      <c r="F256" s="404"/>
      <c r="G256" s="404"/>
      <c r="H256" s="404"/>
      <c r="I256" s="404"/>
      <c r="J256" s="404"/>
      <c r="K256" s="404"/>
    </row>
    <row r="257" spans="1:11" ht="15" x14ac:dyDescent="0.2">
      <c r="A257" s="404">
        <f>A254</f>
        <v>2012</v>
      </c>
      <c r="B257" s="404"/>
      <c r="C257" s="243"/>
      <c r="D257" s="266">
        <f ca="1">'Rate Class Energy Model'!H74/1000000</f>
        <v>-1.2165459758482644</v>
      </c>
      <c r="E257" s="266">
        <f ca="1">'Rate Class Energy Model'!I74/1000000</f>
        <v>-0.25418441294372945</v>
      </c>
      <c r="F257" s="266">
        <f ca="1">'Rate Class Energy Model'!J74/1000000</f>
        <v>-0.41240091757346531</v>
      </c>
      <c r="G257" s="266">
        <f ca="1">'Rate Class Energy Model'!L74/1000000</f>
        <v>-1.1995710687259534E-2</v>
      </c>
      <c r="H257" s="266">
        <f ca="1">'Rate Class Energy Model'!K74/1000000</f>
        <v>-8.677974461992799E-4</v>
      </c>
      <c r="I257" s="266">
        <f ca="1">'Rate Class Energy Model'!M74/1000000</f>
        <v>-4.3594201540244548E-3</v>
      </c>
      <c r="J257" s="266">
        <f>'Rate Class Energy Model'!N74/1000000</f>
        <v>0</v>
      </c>
      <c r="K257" s="266">
        <f ca="1">SUM(D257:J257)</f>
        <v>-1.9003542346529423</v>
      </c>
    </row>
    <row r="258" spans="1:11" ht="15" x14ac:dyDescent="0.2">
      <c r="A258" s="404">
        <f>A255</f>
        <v>2013</v>
      </c>
      <c r="B258" s="404"/>
      <c r="C258" s="243"/>
      <c r="D258" s="266">
        <f ca="1">'Rate Class Energy Model'!H75/1000000</f>
        <v>-2.4136696940193754</v>
      </c>
      <c r="E258" s="266">
        <f ca="1">'Rate Class Energy Model'!I75/1000000</f>
        <v>-0.51772742449214271</v>
      </c>
      <c r="F258" s="266">
        <f ca="1">'Rate Class Energy Model'!J75/1000000</f>
        <v>-0.83396152203244345</v>
      </c>
      <c r="G258" s="266">
        <f ca="1">'Rate Class Energy Model'!L75/1000000</f>
        <v>-2.4170093102096696E-2</v>
      </c>
      <c r="H258" s="266">
        <f ca="1">'Rate Class Energy Model'!K75/1000000</f>
        <v>-1.6722080411516196E-3</v>
      </c>
      <c r="I258" s="266">
        <f ca="1">'Rate Class Energy Model'!M75/1000000</f>
        <v>-9.5075276186745283E-3</v>
      </c>
      <c r="J258" s="266">
        <f>'Rate Class Energy Model'!N75/1000000</f>
        <v>0</v>
      </c>
      <c r="K258" s="266">
        <f ca="1">SUM(D258:J258)</f>
        <v>-3.8007084693058841</v>
      </c>
    </row>
    <row r="259" spans="1:11" ht="15" x14ac:dyDescent="0.2">
      <c r="A259" s="405" t="s">
        <v>290</v>
      </c>
      <c r="B259" s="405"/>
      <c r="C259" s="405"/>
      <c r="D259" s="405"/>
      <c r="E259" s="405"/>
      <c r="F259" s="405"/>
      <c r="G259" s="405"/>
      <c r="H259" s="405"/>
      <c r="I259" s="405"/>
      <c r="J259" s="405"/>
      <c r="K259" s="405"/>
    </row>
    <row r="260" spans="1:11" ht="15" x14ac:dyDescent="0.2">
      <c r="A260" s="187" t="s">
        <v>291</v>
      </c>
      <c r="B260" s="248"/>
      <c r="C260" s="248"/>
      <c r="D260" s="267">
        <f t="shared" ref="D260:J261" ca="1" si="58">D248+D251+D254+D257</f>
        <v>147.74985341291054</v>
      </c>
      <c r="E260" s="267">
        <f t="shared" ca="1" si="58"/>
        <v>30.870768962180968</v>
      </c>
      <c r="F260" s="267">
        <f t="shared" ca="1" si="58"/>
        <v>50.262876287525302</v>
      </c>
      <c r="G260" s="267">
        <f t="shared" ca="1" si="58"/>
        <v>1.4811083764185775</v>
      </c>
      <c r="H260" s="267">
        <f t="shared" ca="1" si="58"/>
        <v>0.10714680439613333</v>
      </c>
      <c r="I260" s="267">
        <f t="shared" ca="1" si="58"/>
        <v>0.5382568715425281</v>
      </c>
      <c r="J260" s="267">
        <f t="shared" si="58"/>
        <v>0.93627078484472293</v>
      </c>
      <c r="K260" s="266">
        <f ca="1">SUM(D260:J260)</f>
        <v>231.94628149981878</v>
      </c>
    </row>
    <row r="261" spans="1:11" ht="15" x14ac:dyDescent="0.2">
      <c r="A261" s="187" t="s">
        <v>292</v>
      </c>
      <c r="B261" s="243"/>
      <c r="C261" s="243"/>
      <c r="D261" s="267">
        <f t="shared" ca="1" si="58"/>
        <v>146.5628980275452</v>
      </c>
      <c r="E261" s="267">
        <f t="shared" ca="1" si="58"/>
        <v>31.43745472295614</v>
      </c>
      <c r="F261" s="267">
        <f t="shared" ca="1" si="58"/>
        <v>50.917130196279921</v>
      </c>
      <c r="G261" s="267">
        <f t="shared" ca="1" si="58"/>
        <v>1.5055448848815256</v>
      </c>
      <c r="H261" s="267">
        <f t="shared" ca="1" si="58"/>
        <v>0.10416113219668079</v>
      </c>
      <c r="I261" s="267">
        <f t="shared" ca="1" si="58"/>
        <v>0.59221987742047899</v>
      </c>
      <c r="J261" s="267">
        <f t="shared" si="58"/>
        <v>0</v>
      </c>
      <c r="K261" s="266">
        <f ca="1">SUM(D261:J261)</f>
        <v>231.11940884127995</v>
      </c>
    </row>
    <row r="263" spans="1:11" ht="15" x14ac:dyDescent="0.2">
      <c r="A263" s="405" t="s">
        <v>318</v>
      </c>
      <c r="B263" s="405"/>
      <c r="C263" s="405"/>
      <c r="D263" s="405"/>
      <c r="E263" s="405"/>
      <c r="F263" s="405"/>
      <c r="G263" s="405"/>
      <c r="H263" s="204"/>
    </row>
    <row r="264" spans="1:11" ht="30" x14ac:dyDescent="0.2">
      <c r="A264" s="411" t="s">
        <v>239</v>
      </c>
      <c r="B264" s="411"/>
      <c r="C264" s="339"/>
      <c r="D264" s="345" t="str">
        <f>F246</f>
        <v>GS&gt;50</v>
      </c>
      <c r="E264" s="345" t="str">
        <f>G246</f>
        <v>Street Lighting</v>
      </c>
      <c r="F264" s="345" t="str">
        <f>H246</f>
        <v>Sentinels</v>
      </c>
      <c r="G264" s="345" t="s">
        <v>10</v>
      </c>
    </row>
    <row r="265" spans="1:11" ht="15" x14ac:dyDescent="0.2">
      <c r="A265" s="405" t="s">
        <v>293</v>
      </c>
      <c r="B265" s="405"/>
      <c r="C265" s="405"/>
      <c r="D265" s="405"/>
      <c r="E265" s="405"/>
      <c r="F265" s="405"/>
      <c r="G265" s="405"/>
    </row>
    <row r="266" spans="1:11" ht="15" x14ac:dyDescent="0.2">
      <c r="A266" s="406">
        <f t="shared" ref="A266:A275" si="59">A183</f>
        <v>2002</v>
      </c>
      <c r="B266" s="406"/>
      <c r="C266" s="187"/>
      <c r="D266" s="244">
        <f>'Rate Class Load Model'!B2</f>
        <v>88877.811111111107</v>
      </c>
      <c r="E266" s="244">
        <f>'Rate Class Load Model'!D2</f>
        <v>3254.6027777777781</v>
      </c>
      <c r="F266" s="244">
        <f>'Rate Class Load Model'!C2</f>
        <v>367.84500000000003</v>
      </c>
      <c r="G266" s="244">
        <f>SUM(D266:F266)</f>
        <v>92500.258888888886</v>
      </c>
      <c r="H266" s="218"/>
      <c r="I266" s="218"/>
    </row>
    <row r="267" spans="1:11" ht="15" x14ac:dyDescent="0.2">
      <c r="A267" s="406">
        <f t="shared" si="59"/>
        <v>2003</v>
      </c>
      <c r="B267" s="406"/>
      <c r="C267" s="187"/>
      <c r="D267" s="244">
        <f>'Rate Class Load Model'!B3</f>
        <v>118748</v>
      </c>
      <c r="E267" s="244">
        <f>'Rate Class Load Model'!D3</f>
        <v>3639</v>
      </c>
      <c r="F267" s="244">
        <f>'Rate Class Load Model'!C3</f>
        <v>378</v>
      </c>
      <c r="G267" s="244">
        <f t="shared" ref="G267:G275" si="60">SUM(D267:F267)</f>
        <v>122765</v>
      </c>
      <c r="H267" s="218"/>
      <c r="I267" s="218"/>
    </row>
    <row r="268" spans="1:11" x14ac:dyDescent="0.2">
      <c r="A268" s="406">
        <f t="shared" si="59"/>
        <v>2004</v>
      </c>
      <c r="B268" s="406"/>
      <c r="C268" s="243"/>
      <c r="D268" s="244">
        <f>'Rate Class Load Model'!B4</f>
        <v>112828</v>
      </c>
      <c r="E268" s="244">
        <f>'Rate Class Load Model'!D4</f>
        <v>3745</v>
      </c>
      <c r="F268" s="244">
        <f>'Rate Class Load Model'!C4</f>
        <v>375.82499999999999</v>
      </c>
      <c r="G268" s="244">
        <f t="shared" si="60"/>
        <v>116948.825</v>
      </c>
      <c r="H268" s="218"/>
      <c r="I268" s="218"/>
    </row>
    <row r="269" spans="1:11" x14ac:dyDescent="0.2">
      <c r="A269" s="406">
        <f t="shared" si="59"/>
        <v>2005</v>
      </c>
      <c r="B269" s="406"/>
      <c r="C269" s="243"/>
      <c r="D269" s="244">
        <f>'Rate Class Load Model'!B5</f>
        <v>115611</v>
      </c>
      <c r="E269" s="244">
        <f>'Rate Class Load Model'!D5</f>
        <v>3909</v>
      </c>
      <c r="F269" s="244">
        <f>'Rate Class Load Model'!C5</f>
        <v>365.22500000000002</v>
      </c>
      <c r="G269" s="244">
        <f t="shared" si="60"/>
        <v>119885.22500000001</v>
      </c>
      <c r="H269" s="218"/>
      <c r="I269" s="218"/>
    </row>
    <row r="270" spans="1:11" x14ac:dyDescent="0.2">
      <c r="A270" s="406">
        <f t="shared" si="59"/>
        <v>2006</v>
      </c>
      <c r="B270" s="406"/>
      <c r="C270" s="243"/>
      <c r="D270" s="244">
        <f>'Rate Class Load Model'!B6</f>
        <v>118310</v>
      </c>
      <c r="E270" s="244">
        <f>'Rate Class Load Model'!D6</f>
        <v>4014</v>
      </c>
      <c r="F270" s="244">
        <f>'Rate Class Load Model'!C6</f>
        <v>367</v>
      </c>
      <c r="G270" s="244">
        <f t="shared" si="60"/>
        <v>122691</v>
      </c>
      <c r="H270" s="218"/>
      <c r="I270" s="218"/>
    </row>
    <row r="271" spans="1:11" x14ac:dyDescent="0.2">
      <c r="A271" s="406">
        <f t="shared" si="59"/>
        <v>2007</v>
      </c>
      <c r="B271" s="406"/>
      <c r="C271" s="243"/>
      <c r="D271" s="244">
        <f>'Rate Class Load Model'!B7</f>
        <v>116956</v>
      </c>
      <c r="E271" s="244">
        <f>'Rate Class Load Model'!D7</f>
        <v>4153</v>
      </c>
      <c r="F271" s="244">
        <f>'Rate Class Load Model'!C7</f>
        <v>351</v>
      </c>
      <c r="G271" s="244">
        <f t="shared" si="60"/>
        <v>121460</v>
      </c>
      <c r="H271" s="218"/>
      <c r="I271" s="218"/>
    </row>
    <row r="272" spans="1:11" x14ac:dyDescent="0.2">
      <c r="A272" s="406">
        <f t="shared" si="59"/>
        <v>2008</v>
      </c>
      <c r="B272" s="406"/>
      <c r="C272" s="243"/>
      <c r="D272" s="244">
        <f>'Rate Class Load Model'!B8</f>
        <v>134692.85</v>
      </c>
      <c r="E272" s="244">
        <f>'Rate Class Load Model'!D8</f>
        <v>4260.83</v>
      </c>
      <c r="F272" s="244">
        <f>'Rate Class Load Model'!C8</f>
        <v>345.03227777777778</v>
      </c>
      <c r="G272" s="244">
        <f t="shared" si="60"/>
        <v>139298.71227777778</v>
      </c>
      <c r="H272" s="218"/>
      <c r="I272" s="218"/>
    </row>
    <row r="273" spans="1:9" x14ac:dyDescent="0.2">
      <c r="A273" s="406">
        <f t="shared" si="59"/>
        <v>2009</v>
      </c>
      <c r="B273" s="406"/>
      <c r="C273" s="243"/>
      <c r="D273" s="244">
        <f>'Rate Class Load Model'!B9</f>
        <v>136122.29</v>
      </c>
      <c r="E273" s="244">
        <f>'Rate Class Load Model'!D9</f>
        <v>4370.32</v>
      </c>
      <c r="F273" s="244">
        <f>'Rate Class Load Model'!C9</f>
        <v>338.94749999999999</v>
      </c>
      <c r="G273" s="244">
        <f t="shared" si="60"/>
        <v>140831.55750000002</v>
      </c>
      <c r="H273" s="218"/>
      <c r="I273" s="218"/>
    </row>
    <row r="274" spans="1:9" x14ac:dyDescent="0.2">
      <c r="A274" s="406">
        <f t="shared" si="59"/>
        <v>2010</v>
      </c>
      <c r="B274" s="406"/>
      <c r="C274" s="243"/>
      <c r="D274" s="244">
        <f>'Rate Class Load Model'!B10</f>
        <v>144502.21</v>
      </c>
      <c r="E274" s="244">
        <f>'Rate Class Load Model'!D10</f>
        <v>4389.05</v>
      </c>
      <c r="F274" s="244">
        <f>'Rate Class Load Model'!C10</f>
        <v>324.17422222222223</v>
      </c>
      <c r="G274" s="244">
        <f t="shared" si="60"/>
        <v>149215.43422222219</v>
      </c>
      <c r="H274" s="218"/>
      <c r="I274" s="218"/>
    </row>
    <row r="275" spans="1:9" x14ac:dyDescent="0.2">
      <c r="A275" s="406">
        <f t="shared" si="59"/>
        <v>2011</v>
      </c>
      <c r="B275" s="406"/>
      <c r="C275" s="243"/>
      <c r="D275" s="244">
        <f>'Rate Class Load Model'!B11</f>
        <v>139425.35999999999</v>
      </c>
      <c r="E275" s="244">
        <f>'Rate Class Load Model'!D11</f>
        <v>4416</v>
      </c>
      <c r="F275" s="244">
        <f>'Rate Class Load Model'!C11</f>
        <v>306.31894444444447</v>
      </c>
      <c r="G275" s="244">
        <f t="shared" si="60"/>
        <v>144147.67894444443</v>
      </c>
      <c r="H275" s="218"/>
      <c r="I275" s="218"/>
    </row>
    <row r="277" spans="1:9" ht="27.75" customHeight="1" x14ac:dyDescent="0.2">
      <c r="A277" s="451" t="s">
        <v>320</v>
      </c>
      <c r="B277" s="452"/>
      <c r="C277" s="452"/>
      <c r="D277" s="452"/>
      <c r="E277" s="452"/>
      <c r="F277" s="453"/>
      <c r="G277" s="204"/>
    </row>
    <row r="278" spans="1:9" ht="30" x14ac:dyDescent="0.2">
      <c r="A278" s="411" t="s">
        <v>239</v>
      </c>
      <c r="B278" s="411"/>
      <c r="C278" s="339"/>
      <c r="D278" s="345" t="str">
        <f>D264</f>
        <v>GS&gt;50</v>
      </c>
      <c r="E278" s="345" t="str">
        <f>E264</f>
        <v>Street Lighting</v>
      </c>
      <c r="F278" s="345" t="str">
        <f>F264</f>
        <v>Sentinels</v>
      </c>
    </row>
    <row r="279" spans="1:9" ht="15" x14ac:dyDescent="0.2">
      <c r="A279" s="259" t="s">
        <v>294</v>
      </c>
      <c r="B279" s="259"/>
      <c r="C279" s="259"/>
      <c r="D279" s="259"/>
      <c r="E279" s="259"/>
      <c r="F279" s="140"/>
    </row>
    <row r="280" spans="1:9" ht="15" x14ac:dyDescent="0.2">
      <c r="A280" s="406">
        <f t="shared" ref="A280:A289" si="61">A266</f>
        <v>2002</v>
      </c>
      <c r="B280" s="406"/>
      <c r="C280" s="259"/>
      <c r="D280" s="303">
        <f>'Rate Class Load Model'!B16</f>
        <v>2.287465082962444E-3</v>
      </c>
      <c r="E280" s="303">
        <f>'Rate Class Load Model'!D16</f>
        <v>2.7772325981752321E-3</v>
      </c>
      <c r="F280" s="303">
        <f>'Rate Class Load Model'!C16</f>
        <v>2.7770437991472092E-3</v>
      </c>
    </row>
    <row r="281" spans="1:9" ht="15" x14ac:dyDescent="0.2">
      <c r="A281" s="406">
        <f t="shared" si="61"/>
        <v>2003</v>
      </c>
      <c r="B281" s="406"/>
      <c r="C281" s="259"/>
      <c r="D281" s="303">
        <f>'Rate Class Load Model'!B17</f>
        <v>3.0633580707210887E-3</v>
      </c>
      <c r="E281" s="303">
        <f>'Rate Class Load Model'!D17</f>
        <v>3.8441507955036427E-3</v>
      </c>
      <c r="F281" s="303">
        <f>'Rate Class Load Model'!C17</f>
        <v>2.7789213668176203E-3</v>
      </c>
    </row>
    <row r="282" spans="1:9" x14ac:dyDescent="0.2">
      <c r="A282" s="406">
        <f t="shared" si="61"/>
        <v>2004</v>
      </c>
      <c r="B282" s="406"/>
      <c r="C282" s="243"/>
      <c r="D282" s="303">
        <f>'Rate Class Load Model'!B18</f>
        <v>3.1078979772742881E-3</v>
      </c>
      <c r="E282" s="303">
        <f>'Rate Class Load Model'!D18</f>
        <v>3.023311385734168E-3</v>
      </c>
      <c r="F282" s="303">
        <f>'Rate Class Load Model'!C18</f>
        <v>2.7777572469659564E-3</v>
      </c>
    </row>
    <row r="283" spans="1:9" x14ac:dyDescent="0.2">
      <c r="A283" s="406">
        <f t="shared" si="61"/>
        <v>2005</v>
      </c>
      <c r="B283" s="406"/>
      <c r="C283" s="243"/>
      <c r="D283" s="303">
        <f>'Rate Class Load Model'!B19</f>
        <v>2.9029846295813861E-3</v>
      </c>
      <c r="E283" s="303">
        <f>'Rate Class Load Model'!D19</f>
        <v>2.671525393843258E-3</v>
      </c>
      <c r="F283" s="303">
        <f>'Rate Class Load Model'!C19</f>
        <v>2.7743594418237205E-3</v>
      </c>
    </row>
    <row r="284" spans="1:9" x14ac:dyDescent="0.2">
      <c r="A284" s="406">
        <f t="shared" si="61"/>
        <v>2006</v>
      </c>
      <c r="B284" s="406"/>
      <c r="C284" s="243"/>
      <c r="D284" s="303">
        <f>'Rate Class Load Model'!B20</f>
        <v>2.9703058541336548E-3</v>
      </c>
      <c r="E284" s="303">
        <f>'Rate Class Load Model'!D20</f>
        <v>2.7768592297017403E-3</v>
      </c>
      <c r="F284" s="303">
        <f>'Rate Class Load Model'!C20</f>
        <v>2.7830650114886745E-3</v>
      </c>
    </row>
    <row r="285" spans="1:9" x14ac:dyDescent="0.2">
      <c r="A285" s="406">
        <f t="shared" si="61"/>
        <v>2007</v>
      </c>
      <c r="B285" s="406"/>
      <c r="C285" s="243"/>
      <c r="D285" s="303">
        <f>'Rate Class Load Model'!B21</f>
        <v>2.9744228021109562E-3</v>
      </c>
      <c r="E285" s="303">
        <f>'Rate Class Load Model'!D21</f>
        <v>2.7761678722575066E-3</v>
      </c>
      <c r="F285" s="303">
        <f>'Rate Class Load Model'!C21</f>
        <v>2.7775359853130861E-3</v>
      </c>
    </row>
    <row r="286" spans="1:9" x14ac:dyDescent="0.2">
      <c r="A286" s="406">
        <f t="shared" si="61"/>
        <v>2008</v>
      </c>
      <c r="B286" s="406"/>
      <c r="C286" s="243"/>
      <c r="D286" s="303">
        <f>'Rate Class Load Model'!B22</f>
        <v>2.9753615781794329E-3</v>
      </c>
      <c r="E286" s="303">
        <f>'Rate Class Load Model'!D22</f>
        <v>2.7777777777777775E-3</v>
      </c>
      <c r="F286" s="303">
        <f>'Rate Class Load Model'!C22</f>
        <v>2.7777777777777779E-3</v>
      </c>
    </row>
    <row r="287" spans="1:9" x14ac:dyDescent="0.2">
      <c r="A287" s="406">
        <f t="shared" si="61"/>
        <v>2009</v>
      </c>
      <c r="B287" s="406"/>
      <c r="C287" s="243"/>
      <c r="D287" s="303">
        <f>'Rate Class Load Model'!B23</f>
        <v>2.8673466943822815E-3</v>
      </c>
      <c r="E287" s="303">
        <f>'Rate Class Load Model'!D23</f>
        <v>2.7714426097188959E-3</v>
      </c>
      <c r="F287" s="303">
        <f>'Rate Class Load Model'!C23</f>
        <v>2.7777777777777775E-3</v>
      </c>
    </row>
    <row r="288" spans="1:9" x14ac:dyDescent="0.2">
      <c r="A288" s="406">
        <f t="shared" si="61"/>
        <v>2010</v>
      </c>
      <c r="B288" s="406"/>
      <c r="C288" s="243"/>
      <c r="D288" s="303">
        <f>'Rate Class Load Model'!B24</f>
        <v>2.8262406241067509E-3</v>
      </c>
      <c r="E288" s="303">
        <f>'Rate Class Load Model'!D24</f>
        <v>2.7777777777777779E-3</v>
      </c>
      <c r="F288" s="303">
        <f>'Rate Class Load Model'!C24</f>
        <v>2.7777777777777779E-3</v>
      </c>
    </row>
    <row r="289" spans="1:11" x14ac:dyDescent="0.2">
      <c r="A289" s="406">
        <f t="shared" si="61"/>
        <v>2011</v>
      </c>
      <c r="B289" s="406"/>
      <c r="C289" s="243"/>
      <c r="D289" s="303">
        <f>'Rate Class Load Model'!B25</f>
        <v>2.7928816654166065E-3</v>
      </c>
      <c r="E289" s="303">
        <f>'Rate Class Load Model'!D25</f>
        <v>3.0301171204080647E-3</v>
      </c>
      <c r="F289" s="303">
        <f>'Rate Class Load Model'!C25</f>
        <v>2.7786344880638991E-3</v>
      </c>
    </row>
    <row r="290" spans="1:11" ht="15" x14ac:dyDescent="0.2">
      <c r="A290" s="405" t="s">
        <v>319</v>
      </c>
      <c r="B290" s="405"/>
      <c r="C290" s="187"/>
      <c r="D290" s="271">
        <f>'Rate Class Load Model'!B27</f>
        <v>2.8768264978868887E-3</v>
      </c>
      <c r="E290" s="271">
        <f>'Rate Class Load Model'!D27</f>
        <v>2.9226362560898062E-3</v>
      </c>
      <c r="F290" s="271">
        <f>'Rate Class Load Model'!C27</f>
        <v>2.7780650672953504E-3</v>
      </c>
    </row>
    <row r="292" spans="1:11" ht="15" x14ac:dyDescent="0.2">
      <c r="A292" s="405" t="s">
        <v>321</v>
      </c>
      <c r="B292" s="405"/>
      <c r="C292" s="405"/>
      <c r="D292" s="405"/>
      <c r="E292" s="405"/>
      <c r="F292" s="405"/>
      <c r="G292" s="405"/>
    </row>
    <row r="293" spans="1:11" ht="30" x14ac:dyDescent="0.2">
      <c r="A293" s="430" t="s">
        <v>239</v>
      </c>
      <c r="B293" s="430"/>
      <c r="C293" s="339"/>
      <c r="D293" s="345" t="str">
        <f>D264</f>
        <v>GS&gt;50</v>
      </c>
      <c r="E293" s="345" t="str">
        <f>E264</f>
        <v>Street Lighting</v>
      </c>
      <c r="F293" s="345" t="str">
        <f>F264</f>
        <v>Sentinels</v>
      </c>
      <c r="G293" s="345" t="str">
        <f>G264</f>
        <v>Total</v>
      </c>
    </row>
    <row r="294" spans="1:11" ht="15" x14ac:dyDescent="0.2">
      <c r="A294" s="187" t="s">
        <v>295</v>
      </c>
      <c r="B294" s="187"/>
      <c r="C294" s="187"/>
      <c r="D294" s="187"/>
      <c r="E294" s="187"/>
      <c r="F294" s="209"/>
      <c r="G294" s="209"/>
    </row>
    <row r="295" spans="1:11" ht="15" x14ac:dyDescent="0.2">
      <c r="A295" s="187" t="s">
        <v>291</v>
      </c>
      <c r="B295" s="243"/>
      <c r="C295" s="243"/>
      <c r="D295" s="249">
        <f ca="1">$D$290*F260*1000000</f>
        <v>144597.57436396336</v>
      </c>
      <c r="E295" s="249">
        <f ca="1">$E$290*G260*1000000</f>
        <v>4328.7410401192428</v>
      </c>
      <c r="F295" s="249">
        <f ca="1">$F$290*H260*1000000</f>
        <v>297.66079436522585</v>
      </c>
      <c r="G295" s="249">
        <f ca="1">SUM(D295:F295)</f>
        <v>149223.97619844781</v>
      </c>
      <c r="H295" s="218"/>
      <c r="I295" s="218"/>
      <c r="J295" s="218"/>
      <c r="K295" s="218"/>
    </row>
    <row r="296" spans="1:11" ht="15" x14ac:dyDescent="0.2">
      <c r="A296" s="187" t="s">
        <v>292</v>
      </c>
      <c r="B296" s="243"/>
      <c r="C296" s="243"/>
      <c r="D296" s="249">
        <f ca="1">$D$290*F261*1000000</f>
        <v>146479.74934501472</v>
      </c>
      <c r="E296" s="249">
        <f ca="1">$E$290*G261*1000000</f>
        <v>4400.1600657253002</v>
      </c>
      <c r="F296" s="249">
        <f ca="1">$F$290*H261*1000000</f>
        <v>289.36640272553188</v>
      </c>
      <c r="G296" s="249">
        <f ca="1">SUM(D296:F296)</f>
        <v>151169.27581346556</v>
      </c>
      <c r="H296" s="218"/>
      <c r="I296" s="218"/>
      <c r="J296" s="218"/>
      <c r="K296" s="218"/>
    </row>
    <row r="297" spans="1:11" ht="15" x14ac:dyDescent="0.2">
      <c r="A297" s="203"/>
      <c r="B297" s="269"/>
      <c r="C297" s="269"/>
      <c r="D297" s="272"/>
      <c r="E297" s="272"/>
      <c r="F297" s="272"/>
      <c r="G297" s="272"/>
    </row>
    <row r="298" spans="1:11" ht="15" x14ac:dyDescent="0.2">
      <c r="A298" s="416" t="s">
        <v>322</v>
      </c>
      <c r="B298" s="417"/>
      <c r="C298" s="417"/>
      <c r="D298" s="417"/>
      <c r="E298" s="417"/>
      <c r="F298" s="417"/>
      <c r="G298" s="417"/>
      <c r="H298" s="417"/>
      <c r="I298" s="418"/>
      <c r="J298" s="203"/>
    </row>
    <row r="299" spans="1:11" ht="60" x14ac:dyDescent="0.2">
      <c r="A299" s="455"/>
      <c r="B299" s="456"/>
      <c r="C299" s="339"/>
      <c r="D299" s="340" t="s">
        <v>247</v>
      </c>
      <c r="E299" s="340" t="s">
        <v>323</v>
      </c>
      <c r="F299" s="340" t="s">
        <v>324</v>
      </c>
      <c r="G299" s="340" t="s">
        <v>325</v>
      </c>
      <c r="H299" s="341" t="s">
        <v>296</v>
      </c>
      <c r="I299" s="341" t="s">
        <v>297</v>
      </c>
    </row>
    <row r="300" spans="1:11" x14ac:dyDescent="0.2">
      <c r="A300" s="459"/>
      <c r="B300" s="460"/>
      <c r="C300" s="342"/>
      <c r="D300" s="343"/>
      <c r="E300" s="343"/>
      <c r="F300" s="343"/>
      <c r="G300" s="343"/>
      <c r="H300" s="343"/>
      <c r="I300" s="344"/>
      <c r="J300" s="246"/>
    </row>
    <row r="301" spans="1:11" ht="15" x14ac:dyDescent="0.2">
      <c r="A301" s="416" t="s">
        <v>298</v>
      </c>
      <c r="B301" s="417"/>
      <c r="C301" s="417"/>
      <c r="D301" s="417"/>
      <c r="E301" s="417"/>
      <c r="F301" s="417"/>
      <c r="G301" s="417"/>
      <c r="H301" s="417"/>
      <c r="I301" s="418"/>
      <c r="J301" s="203"/>
    </row>
    <row r="302" spans="1:11" x14ac:dyDescent="0.2">
      <c r="A302" s="243" t="s">
        <v>59</v>
      </c>
      <c r="B302" s="243"/>
      <c r="C302" s="243"/>
      <c r="D302" s="217"/>
      <c r="E302" s="217">
        <f>Summary!I4</f>
        <v>247239189.20000002</v>
      </c>
      <c r="F302" s="217">
        <f>Summary!J4</f>
        <v>250239378.79999998</v>
      </c>
      <c r="G302" s="217">
        <f>Summary!K4</f>
        <v>246758167.20000002</v>
      </c>
      <c r="H302" s="217"/>
      <c r="J302" s="293"/>
    </row>
    <row r="303" spans="1:11" x14ac:dyDescent="0.2">
      <c r="A303" s="243" t="s">
        <v>60</v>
      </c>
      <c r="B303" s="243"/>
      <c r="C303" s="243"/>
      <c r="D303" s="217"/>
      <c r="E303" s="217">
        <f>Summary!I5</f>
        <v>246672819.60490677</v>
      </c>
      <c r="F303" s="217">
        <f>Summary!J5</f>
        <v>247841894.28260642</v>
      </c>
      <c r="G303" s="217">
        <f>Summary!K5</f>
        <v>251420561.46357667</v>
      </c>
      <c r="H303" s="217">
        <f>Summary!L5</f>
        <v>254027867.83937243</v>
      </c>
      <c r="I303" s="217">
        <f>Summary!M5</f>
        <v>256194557.73854184</v>
      </c>
      <c r="J303" s="293"/>
    </row>
    <row r="304" spans="1:11" ht="15" x14ac:dyDescent="0.2">
      <c r="A304" s="273" t="s">
        <v>299</v>
      </c>
      <c r="B304" s="273"/>
      <c r="C304" s="248"/>
      <c r="D304" s="274"/>
      <c r="E304" s="275">
        <f>E303/E302-1</f>
        <v>-2.2907759765993241E-3</v>
      </c>
      <c r="F304" s="275">
        <f>F303/F302-1</f>
        <v>-9.5807643420890987E-3</v>
      </c>
      <c r="G304" s="275">
        <f>G303/G302-1</f>
        <v>1.8894589453640087E-2</v>
      </c>
      <c r="H304" s="209"/>
      <c r="J304" s="246"/>
    </row>
    <row r="305" spans="1:10" ht="12.75" customHeight="1" x14ac:dyDescent="0.2">
      <c r="A305" s="446"/>
      <c r="B305" s="448"/>
      <c r="C305" s="243"/>
      <c r="D305" s="234"/>
      <c r="E305" s="275"/>
      <c r="F305" s="276"/>
      <c r="G305" s="276"/>
      <c r="H305" s="276"/>
      <c r="I305" s="209"/>
      <c r="J305" s="246"/>
    </row>
    <row r="306" spans="1:10" ht="15" x14ac:dyDescent="0.2">
      <c r="A306" s="416" t="s">
        <v>300</v>
      </c>
      <c r="B306" s="417"/>
      <c r="C306" s="417"/>
      <c r="D306" s="417"/>
      <c r="E306" s="417"/>
      <c r="F306" s="417"/>
      <c r="G306" s="417"/>
      <c r="H306" s="417"/>
      <c r="I306" s="418"/>
      <c r="J306" s="203"/>
    </row>
    <row r="307" spans="1:10" x14ac:dyDescent="0.2">
      <c r="A307" s="277" t="s">
        <v>68</v>
      </c>
      <c r="B307" s="243"/>
      <c r="C307" s="243"/>
      <c r="D307" s="217"/>
      <c r="E307" s="217"/>
      <c r="F307" s="278"/>
      <c r="G307" s="278"/>
      <c r="H307" s="278"/>
      <c r="I307" s="209"/>
      <c r="J307" s="246"/>
    </row>
    <row r="308" spans="1:10" x14ac:dyDescent="0.2">
      <c r="A308" s="243" t="s">
        <v>48</v>
      </c>
      <c r="B308" s="243"/>
      <c r="C308" s="243"/>
      <c r="D308" s="217">
        <f>D48</f>
        <v>13512</v>
      </c>
      <c r="E308" s="217">
        <f>Summary!I12</f>
        <v>13533</v>
      </c>
      <c r="F308" s="217">
        <f>Summary!J12</f>
        <v>13651</v>
      </c>
      <c r="G308" s="217">
        <f>Summary!K12</f>
        <v>13779</v>
      </c>
      <c r="H308" s="217">
        <f>Summary!L12</f>
        <v>13982.594477207709</v>
      </c>
      <c r="I308" s="217">
        <f>Summary!M12</f>
        <v>14189.197206911933</v>
      </c>
      <c r="J308" s="293"/>
    </row>
    <row r="309" spans="1:10" x14ac:dyDescent="0.2">
      <c r="A309" s="414" t="s">
        <v>49</v>
      </c>
      <c r="B309" s="461"/>
      <c r="C309" s="243"/>
      <c r="D309" s="217">
        <v>153846698</v>
      </c>
      <c r="E309" s="217">
        <f>Summary!I13</f>
        <v>150373777</v>
      </c>
      <c r="F309" s="217">
        <f>Summary!J13</f>
        <v>148340356.22999996</v>
      </c>
      <c r="G309" s="217">
        <f>Summary!K13</f>
        <v>150098109.56999999</v>
      </c>
      <c r="H309" s="217">
        <f ca="1">Summary!L13</f>
        <v>147749853.41291058</v>
      </c>
      <c r="I309" s="217">
        <f ca="1">Summary!M13</f>
        <v>146562898.02754521</v>
      </c>
      <c r="J309" s="293"/>
    </row>
    <row r="310" spans="1:10" x14ac:dyDescent="0.2">
      <c r="A310" s="446"/>
      <c r="B310" s="448"/>
      <c r="C310" s="243"/>
      <c r="D310" s="217"/>
      <c r="E310" s="217"/>
      <c r="F310" s="278"/>
      <c r="G310" s="278"/>
      <c r="H310" s="278"/>
      <c r="I310" s="209"/>
      <c r="J310" s="246"/>
    </row>
    <row r="311" spans="1:10" x14ac:dyDescent="0.2">
      <c r="A311" s="457" t="str">
        <f>E246</f>
        <v>GS&lt;50</v>
      </c>
      <c r="B311" s="458"/>
      <c r="C311" s="243"/>
      <c r="D311" s="217"/>
      <c r="E311" s="217"/>
      <c r="F311" s="278"/>
      <c r="G311" s="278"/>
      <c r="H311" s="278"/>
      <c r="I311" s="209"/>
      <c r="J311" s="246"/>
    </row>
    <row r="312" spans="1:10" x14ac:dyDescent="0.2">
      <c r="A312" s="243" t="s">
        <v>48</v>
      </c>
      <c r="B312" s="243"/>
      <c r="C312" s="243"/>
      <c r="D312" s="217">
        <f>E48</f>
        <v>827</v>
      </c>
      <c r="E312" s="217">
        <f>Summary!I16</f>
        <v>855</v>
      </c>
      <c r="F312" s="217">
        <f>Summary!J16</f>
        <v>865</v>
      </c>
      <c r="G312" s="217">
        <f>Summary!K16</f>
        <v>896</v>
      </c>
      <c r="H312" s="217">
        <f>Summary!L16</f>
        <v>902.80708748624443</v>
      </c>
      <c r="I312" s="217">
        <f>Summary!M16</f>
        <v>909.66588974932517</v>
      </c>
      <c r="J312" s="293"/>
    </row>
    <row r="313" spans="1:10" x14ac:dyDescent="0.2">
      <c r="A313" s="414" t="s">
        <v>49</v>
      </c>
      <c r="B313" s="461"/>
      <c r="C313" s="243"/>
      <c r="D313" s="217">
        <v>31019894</v>
      </c>
      <c r="E313" s="217">
        <f>Summary!I17</f>
        <v>28113433</v>
      </c>
      <c r="F313" s="217">
        <f>Summary!J17</f>
        <v>29188874</v>
      </c>
      <c r="G313" s="217">
        <f>Summary!K17</f>
        <v>30548695.32</v>
      </c>
      <c r="H313" s="217">
        <f ca="1">Summary!L17</f>
        <v>30870768.962180968</v>
      </c>
      <c r="I313" s="217">
        <f ca="1">Summary!M17</f>
        <v>31437454.722956143</v>
      </c>
      <c r="J313" s="293"/>
    </row>
    <row r="314" spans="1:10" x14ac:dyDescent="0.2">
      <c r="A314" s="446"/>
      <c r="B314" s="448"/>
      <c r="C314" s="243"/>
      <c r="D314" s="217"/>
      <c r="E314" s="217"/>
      <c r="F314" s="278"/>
      <c r="G314" s="278"/>
      <c r="H314" s="278"/>
      <c r="I314" s="209"/>
      <c r="J314" s="246"/>
    </row>
    <row r="315" spans="1:10" x14ac:dyDescent="0.2">
      <c r="A315" s="457" t="str">
        <f>Summary!A19</f>
        <v>GS&gt;50</v>
      </c>
      <c r="B315" s="458"/>
      <c r="C315" s="243"/>
      <c r="D315" s="217"/>
      <c r="E315" s="217"/>
      <c r="F315" s="278"/>
      <c r="G315" s="278"/>
      <c r="H315" s="278"/>
      <c r="I315" s="209"/>
      <c r="J315" s="246"/>
    </row>
    <row r="316" spans="1:10" x14ac:dyDescent="0.2">
      <c r="A316" s="243" t="s">
        <v>48</v>
      </c>
      <c r="B316" s="243"/>
      <c r="C316" s="243"/>
      <c r="D316" s="217">
        <f>F48</f>
        <v>72</v>
      </c>
      <c r="E316" s="217">
        <f>Summary!I20</f>
        <v>72</v>
      </c>
      <c r="F316" s="217">
        <f>Summary!J20</f>
        <v>68</v>
      </c>
      <c r="G316" s="217">
        <f>Summary!K20</f>
        <v>67</v>
      </c>
      <c r="H316" s="217">
        <f>Summary!L20</f>
        <v>66.569704772725899</v>
      </c>
      <c r="I316" s="217">
        <f>Summary!M20</f>
        <v>66.142173037729634</v>
      </c>
      <c r="J316" s="293"/>
    </row>
    <row r="317" spans="1:10" x14ac:dyDescent="0.2">
      <c r="A317" s="414" t="s">
        <v>49</v>
      </c>
      <c r="B317" s="461"/>
      <c r="C317" s="243"/>
      <c r="D317" s="217">
        <v>39978179</v>
      </c>
      <c r="E317" s="217">
        <f>Summary!I21</f>
        <v>47473258.210000001</v>
      </c>
      <c r="F317" s="217">
        <f>Summary!J21</f>
        <v>51128771.11999999</v>
      </c>
      <c r="G317" s="217">
        <f>Summary!K21</f>
        <v>49921685.450000003</v>
      </c>
      <c r="H317" s="217">
        <f ca="1">Summary!L21</f>
        <v>50262876.287525296</v>
      </c>
      <c r="I317" s="217">
        <f ca="1">Summary!M21</f>
        <v>50917130.196279928</v>
      </c>
      <c r="J317" s="293"/>
    </row>
    <row r="318" spans="1:10" x14ac:dyDescent="0.2">
      <c r="A318" s="414" t="s">
        <v>50</v>
      </c>
      <c r="B318" s="461"/>
      <c r="C318" s="243"/>
      <c r="D318" s="217">
        <v>115534</v>
      </c>
      <c r="E318" s="217">
        <f>Summary!I22</f>
        <v>136122.29</v>
      </c>
      <c r="F318" s="217">
        <f>Summary!J22</f>
        <v>144502.21</v>
      </c>
      <c r="G318" s="217">
        <f>Summary!K22</f>
        <v>139425.35999999999</v>
      </c>
      <c r="H318" s="217">
        <f ca="1">Summary!L22</f>
        <v>144597.57436396333</v>
      </c>
      <c r="I318" s="217">
        <f ca="1">Summary!M22</f>
        <v>146479.74934501474</v>
      </c>
      <c r="J318" s="293"/>
    </row>
    <row r="319" spans="1:10" x14ac:dyDescent="0.2">
      <c r="A319" s="446"/>
      <c r="B319" s="448"/>
      <c r="C319" s="243"/>
      <c r="D319" s="217"/>
      <c r="E319" s="217"/>
      <c r="F319" s="217"/>
      <c r="G319" s="217"/>
      <c r="H319" s="217"/>
      <c r="I319" s="209"/>
      <c r="J319" s="246"/>
    </row>
    <row r="320" spans="1:10" x14ac:dyDescent="0.2">
      <c r="A320" s="457" t="str">
        <f>Summary!A24</f>
        <v>Sentinels</v>
      </c>
      <c r="B320" s="458"/>
      <c r="C320" s="243"/>
      <c r="D320" s="217"/>
      <c r="E320" s="217"/>
      <c r="F320" s="217"/>
      <c r="G320" s="217"/>
      <c r="H320" s="217"/>
      <c r="I320" s="209"/>
      <c r="J320" s="246"/>
    </row>
    <row r="321" spans="1:10" x14ac:dyDescent="0.2">
      <c r="A321" s="243" t="s">
        <v>75</v>
      </c>
      <c r="B321" s="243"/>
      <c r="C321" s="243"/>
      <c r="D321" s="217">
        <f>H48</f>
        <v>193</v>
      </c>
      <c r="E321" s="217">
        <f>Summary!I25</f>
        <v>193</v>
      </c>
      <c r="F321" s="217">
        <f>Summary!J25</f>
        <v>201</v>
      </c>
      <c r="G321" s="217">
        <f>Summary!K25</f>
        <v>225</v>
      </c>
      <c r="H321" s="217">
        <f>Summary!L25</f>
        <v>231.07944929215557</v>
      </c>
      <c r="I321" s="217">
        <f>Summary!M25</f>
        <v>237.32316393407066</v>
      </c>
      <c r="J321" s="293"/>
    </row>
    <row r="322" spans="1:10" x14ac:dyDescent="0.2">
      <c r="A322" s="414" t="s">
        <v>49</v>
      </c>
      <c r="B322" s="461"/>
      <c r="C322" s="243"/>
      <c r="D322" s="217">
        <v>123512</v>
      </c>
      <c r="E322" s="217">
        <f>Summary!I26</f>
        <v>122021.1</v>
      </c>
      <c r="F322" s="217">
        <f>Summary!J26</f>
        <v>116702.72</v>
      </c>
      <c r="G322" s="217">
        <f>Summary!K26</f>
        <v>110240.82</v>
      </c>
      <c r="H322" s="217">
        <f ca="1">Summary!L26</f>
        <v>107146.80439613332</v>
      </c>
      <c r="I322" s="217">
        <f ca="1">Summary!M26</f>
        <v>104161.13219668079</v>
      </c>
      <c r="J322" s="293"/>
    </row>
    <row r="323" spans="1:10" x14ac:dyDescent="0.2">
      <c r="A323" s="414" t="s">
        <v>50</v>
      </c>
      <c r="B323" s="461"/>
      <c r="C323" s="243"/>
      <c r="D323" s="217">
        <v>344</v>
      </c>
      <c r="E323" s="217">
        <f>Summary!I27</f>
        <v>338.94749999999999</v>
      </c>
      <c r="F323" s="217">
        <f>Summary!J27</f>
        <v>324.17422222222223</v>
      </c>
      <c r="G323" s="217">
        <f>Summary!K27</f>
        <v>306.31894444444447</v>
      </c>
      <c r="H323" s="217">
        <f ca="1">Summary!L27</f>
        <v>297.66079436522585</v>
      </c>
      <c r="I323" s="217">
        <f ca="1">Summary!M27</f>
        <v>289.36640272553188</v>
      </c>
      <c r="J323" s="293"/>
    </row>
    <row r="324" spans="1:10" x14ac:dyDescent="0.2">
      <c r="A324" s="446"/>
      <c r="B324" s="448"/>
      <c r="C324" s="243"/>
      <c r="D324" s="217"/>
      <c r="E324" s="217"/>
      <c r="F324" s="217"/>
      <c r="G324" s="217"/>
      <c r="H324" s="217"/>
      <c r="I324" s="209"/>
      <c r="J324" s="246"/>
    </row>
    <row r="325" spans="1:10" x14ac:dyDescent="0.2">
      <c r="A325" s="277" t="s">
        <v>131</v>
      </c>
      <c r="B325" s="243"/>
      <c r="C325" s="243"/>
      <c r="D325" s="217"/>
      <c r="E325" s="217"/>
      <c r="F325" s="278"/>
      <c r="G325" s="278"/>
      <c r="H325" s="278"/>
      <c r="I325" s="209"/>
      <c r="J325" s="246"/>
    </row>
    <row r="326" spans="1:10" x14ac:dyDescent="0.2">
      <c r="A326" s="243" t="str">
        <f>A321</f>
        <v xml:space="preserve">  Connections</v>
      </c>
      <c r="B326" s="243"/>
      <c r="C326" s="243"/>
      <c r="D326" s="217">
        <f>G48</f>
        <v>2810</v>
      </c>
      <c r="E326" s="217">
        <f>Summary!I30</f>
        <v>2625</v>
      </c>
      <c r="F326" s="217">
        <f>Summary!J30</f>
        <v>2685</v>
      </c>
      <c r="G326" s="217">
        <f>Summary!K30</f>
        <v>2728</v>
      </c>
      <c r="H326" s="217">
        <f>Summary!L30</f>
        <v>2807.4290635802972</v>
      </c>
      <c r="I326" s="217">
        <f>Summary!M30</f>
        <v>2889.1708016991734</v>
      </c>
      <c r="J326" s="293"/>
    </row>
    <row r="327" spans="1:10" x14ac:dyDescent="0.2">
      <c r="A327" s="414" t="s">
        <v>49</v>
      </c>
      <c r="B327" s="461"/>
      <c r="C327" s="243"/>
      <c r="D327" s="217">
        <v>1652371</v>
      </c>
      <c r="E327" s="217">
        <f>Summary!I31</f>
        <v>1576911.6</v>
      </c>
      <c r="F327" s="217">
        <f>Summary!J31</f>
        <v>1580058</v>
      </c>
      <c r="G327" s="217">
        <f>Summary!K31</f>
        <v>1457369.41</v>
      </c>
      <c r="H327" s="217">
        <f ca="1">Summary!L31</f>
        <v>1481108.3764185775</v>
      </c>
      <c r="I327" s="217">
        <f ca="1">Summary!M31</f>
        <v>1505544.8848815258</v>
      </c>
      <c r="J327" s="293"/>
    </row>
    <row r="328" spans="1:10" x14ac:dyDescent="0.2">
      <c r="A328" s="414" t="s">
        <v>50</v>
      </c>
      <c r="B328" s="461"/>
      <c r="C328" s="243"/>
      <c r="D328" s="217">
        <v>4924</v>
      </c>
      <c r="E328" s="217">
        <f>Summary!I32</f>
        <v>4370.32</v>
      </c>
      <c r="F328" s="217">
        <f>Summary!J32</f>
        <v>4389.05</v>
      </c>
      <c r="G328" s="217">
        <f>Summary!K32</f>
        <v>4416</v>
      </c>
      <c r="H328" s="217">
        <f ca="1">Summary!L32</f>
        <v>4328.7410401192428</v>
      </c>
      <c r="I328" s="217">
        <f ca="1">Summary!M32</f>
        <v>4400.1600657253011</v>
      </c>
      <c r="J328" s="293"/>
    </row>
    <row r="329" spans="1:10" x14ac:dyDescent="0.2">
      <c r="A329" s="446"/>
      <c r="B329" s="448"/>
      <c r="C329" s="243"/>
      <c r="D329" s="217"/>
      <c r="E329" s="217"/>
      <c r="F329" s="217"/>
      <c r="G329" s="217"/>
      <c r="H329" s="217"/>
      <c r="I329" s="209"/>
      <c r="J329" s="246"/>
    </row>
    <row r="330" spans="1:10" x14ac:dyDescent="0.2">
      <c r="A330" s="457" t="str">
        <f>Summary!A34</f>
        <v>USL</v>
      </c>
      <c r="B330" s="458"/>
      <c r="C330" s="243"/>
      <c r="D330" s="217"/>
      <c r="E330" s="217"/>
      <c r="F330" s="217"/>
      <c r="G330" s="217"/>
      <c r="H330" s="217"/>
      <c r="I330" s="209"/>
      <c r="J330" s="246"/>
    </row>
    <row r="331" spans="1:10" x14ac:dyDescent="0.2">
      <c r="A331" s="243" t="str">
        <f>A326</f>
        <v xml:space="preserve">  Connections</v>
      </c>
      <c r="B331" s="243"/>
      <c r="C331" s="243"/>
      <c r="D331" s="217">
        <f>I48</f>
        <v>85</v>
      </c>
      <c r="E331" s="217">
        <f>Summary!I35</f>
        <v>83</v>
      </c>
      <c r="F331" s="217">
        <f>Summary!J35</f>
        <v>82</v>
      </c>
      <c r="G331" s="217">
        <f>Summary!K35</f>
        <v>81</v>
      </c>
      <c r="H331" s="217">
        <f>Summary!L35</f>
        <v>79.311017351239116</v>
      </c>
      <c r="I331" s="217">
        <f>Summary!M35</f>
        <v>77.657252756648802</v>
      </c>
      <c r="J331" s="293"/>
    </row>
    <row r="332" spans="1:10" x14ac:dyDescent="0.2">
      <c r="A332" s="414" t="s">
        <v>49</v>
      </c>
      <c r="B332" s="461"/>
      <c r="C332" s="243"/>
      <c r="D332" s="217">
        <v>562039</v>
      </c>
      <c r="E332" s="217">
        <f>Summary!I36</f>
        <v>493680</v>
      </c>
      <c r="F332" s="217">
        <f>Summary!J36</f>
        <v>493680</v>
      </c>
      <c r="G332" s="217">
        <f>Summary!K36</f>
        <v>489312</v>
      </c>
      <c r="H332" s="217">
        <f ca="1">Summary!L36</f>
        <v>538256.87154252804</v>
      </c>
      <c r="I332" s="217">
        <f ca="1">Summary!M36</f>
        <v>592219.87742047897</v>
      </c>
      <c r="J332" s="293"/>
    </row>
    <row r="333" spans="1:10" x14ac:dyDescent="0.2">
      <c r="A333" s="446"/>
      <c r="B333" s="448"/>
      <c r="C333" s="243"/>
      <c r="D333" s="217"/>
      <c r="E333" s="217"/>
      <c r="F333" s="217"/>
      <c r="G333" s="217"/>
      <c r="H333" s="217"/>
      <c r="I333" s="217"/>
      <c r="J333" s="293"/>
    </row>
    <row r="334" spans="1:10" x14ac:dyDescent="0.2">
      <c r="A334" s="457" t="str">
        <f>Summary!A38</f>
        <v>Hydro One Load Transfers</v>
      </c>
      <c r="B334" s="458"/>
      <c r="C334" s="243"/>
      <c r="D334" s="217"/>
      <c r="E334" s="217">
        <f>Summary!I39</f>
        <v>981974.60200000007</v>
      </c>
      <c r="F334" s="217">
        <f>Summary!J39</f>
        <v>1001806.8400000001</v>
      </c>
      <c r="G334" s="217">
        <f>Summary!K39</f>
        <v>951716.49800000002</v>
      </c>
      <c r="H334" s="217">
        <f>Summary!L39</f>
        <v>936270.78484472295</v>
      </c>
      <c r="I334" s="217">
        <f>Summary!M39</f>
        <v>-0.25486381188966334</v>
      </c>
      <c r="J334" s="293"/>
    </row>
    <row r="335" spans="1:10" x14ac:dyDescent="0.2">
      <c r="A335" s="414" t="s">
        <v>49</v>
      </c>
      <c r="B335" s="461"/>
      <c r="C335" s="243"/>
      <c r="D335" s="217"/>
      <c r="E335" s="217"/>
      <c r="F335" s="217"/>
      <c r="G335" s="217"/>
      <c r="H335" s="217"/>
      <c r="I335" s="209"/>
      <c r="J335" s="246"/>
    </row>
    <row r="336" spans="1:10" x14ac:dyDescent="0.2">
      <c r="A336" s="446"/>
      <c r="B336" s="448"/>
      <c r="C336" s="243"/>
      <c r="D336" s="217"/>
      <c r="E336" s="217"/>
      <c r="F336" s="217"/>
      <c r="G336" s="217"/>
      <c r="H336" s="217"/>
      <c r="I336" s="209"/>
      <c r="J336" s="246"/>
    </row>
    <row r="337" spans="1:10" x14ac:dyDescent="0.2">
      <c r="A337" s="273" t="s">
        <v>58</v>
      </c>
      <c r="B337" s="243"/>
      <c r="C337" s="243"/>
      <c r="D337" s="280">
        <f t="shared" ref="D337:I337" si="62">D308+D312+D316+D321+D326+D331</f>
        <v>17499</v>
      </c>
      <c r="E337" s="280">
        <f t="shared" si="62"/>
        <v>17361</v>
      </c>
      <c r="F337" s="280">
        <f t="shared" si="62"/>
        <v>17552</v>
      </c>
      <c r="G337" s="280">
        <f t="shared" si="62"/>
        <v>17776</v>
      </c>
      <c r="H337" s="280">
        <f t="shared" si="62"/>
        <v>18069.790799690374</v>
      </c>
      <c r="I337" s="280">
        <f t="shared" si="62"/>
        <v>18369.15648808888</v>
      </c>
      <c r="J337" s="294"/>
    </row>
    <row r="338" spans="1:10" x14ac:dyDescent="0.2">
      <c r="A338" s="462" t="s">
        <v>49</v>
      </c>
      <c r="B338" s="463"/>
      <c r="C338" s="243"/>
      <c r="D338" s="280">
        <f t="shared" ref="D338:I338" si="63">D309+D313+D317+D322+D327+D332+D334</f>
        <v>227182693</v>
      </c>
      <c r="E338" s="280">
        <f t="shared" si="63"/>
        <v>229135055.51199999</v>
      </c>
      <c r="F338" s="280">
        <f t="shared" si="63"/>
        <v>231850248.90999997</v>
      </c>
      <c r="G338" s="280">
        <f t="shared" si="63"/>
        <v>233577129.06799996</v>
      </c>
      <c r="H338" s="280">
        <f t="shared" ca="1" si="63"/>
        <v>231946281.4998188</v>
      </c>
      <c r="I338" s="280">
        <f t="shared" ca="1" si="63"/>
        <v>231119408.58641618</v>
      </c>
      <c r="J338" s="294"/>
    </row>
    <row r="339" spans="1:10" x14ac:dyDescent="0.2">
      <c r="A339" s="462" t="s">
        <v>57</v>
      </c>
      <c r="B339" s="463"/>
      <c r="C339" s="243"/>
      <c r="D339" s="280">
        <f>D310+D314+D318+D323+D328+D335</f>
        <v>120802</v>
      </c>
      <c r="E339" s="280">
        <f>F310+F314+E318+E323+E328+F335</f>
        <v>140831.55750000002</v>
      </c>
      <c r="F339" s="280">
        <f>G310+G314+F318+F323+F328+G335</f>
        <v>149215.43422222219</v>
      </c>
      <c r="G339" s="280">
        <f>H310+H314+G318+G323+G328+H335</f>
        <v>144147.67894444443</v>
      </c>
      <c r="H339" s="280">
        <f ca="1">I310+I314+H318+H323+H328+I335</f>
        <v>149223.97619844778</v>
      </c>
      <c r="I339" s="280">
        <f ca="1">J310+J314+I318+I323+I328+J335</f>
        <v>151169.27581346559</v>
      </c>
      <c r="J339" s="294"/>
    </row>
    <row r="340" spans="1:10" x14ac:dyDescent="0.2">
      <c r="A340" s="281"/>
      <c r="B340" s="279"/>
      <c r="C340" s="189"/>
      <c r="D340" s="217"/>
      <c r="E340" s="217"/>
      <c r="F340" s="217"/>
      <c r="G340" s="217"/>
      <c r="H340" s="217"/>
      <c r="I340" s="209"/>
      <c r="J340" s="246"/>
    </row>
    <row r="341" spans="1:10" customFormat="1" ht="12.75" x14ac:dyDescent="0.2">
      <c r="E341" s="251"/>
      <c r="F341" s="251"/>
      <c r="G341" s="251"/>
      <c r="H341" s="251"/>
      <c r="I341" s="251"/>
      <c r="J341" s="251"/>
    </row>
    <row r="342" spans="1:10" customFormat="1" ht="12.75" x14ac:dyDescent="0.2">
      <c r="E342" s="251"/>
      <c r="F342" s="251"/>
      <c r="G342" s="251"/>
      <c r="H342" s="251"/>
      <c r="I342" s="251"/>
      <c r="J342" s="251"/>
    </row>
    <row r="343" spans="1:10" customFormat="1" ht="12.75" x14ac:dyDescent="0.2">
      <c r="E343" s="251"/>
      <c r="F343" s="251"/>
      <c r="G343" s="251"/>
      <c r="H343" s="251"/>
      <c r="I343" s="251"/>
      <c r="J343" s="251"/>
    </row>
    <row r="344" spans="1:10" customFormat="1" ht="12.75" x14ac:dyDescent="0.2">
      <c r="E344" s="251"/>
      <c r="F344" s="251"/>
      <c r="G344" s="251"/>
      <c r="H344" s="251"/>
      <c r="I344" s="251"/>
    </row>
    <row r="345" spans="1:10" customFormat="1" ht="12.75" x14ac:dyDescent="0.2">
      <c r="E345" s="251"/>
      <c r="F345" s="251"/>
      <c r="G345" s="251"/>
      <c r="H345" s="251"/>
      <c r="I345" s="251"/>
      <c r="J345" s="251"/>
    </row>
    <row r="346" spans="1:10" customFormat="1" ht="12.75" x14ac:dyDescent="0.2">
      <c r="E346" s="251"/>
      <c r="F346" s="251"/>
      <c r="G346" s="251"/>
      <c r="H346" s="251"/>
      <c r="I346" s="251"/>
      <c r="J346" s="251"/>
    </row>
    <row r="347" spans="1:10" customFormat="1" ht="12.75" x14ac:dyDescent="0.2">
      <c r="E347" s="251"/>
      <c r="F347" s="251"/>
      <c r="G347" s="251"/>
      <c r="H347" s="251"/>
      <c r="I347" s="251"/>
      <c r="J347" s="251"/>
    </row>
    <row r="348" spans="1:10" customFormat="1" ht="12.75" x14ac:dyDescent="0.2">
      <c r="E348" s="251"/>
      <c r="F348" s="251"/>
      <c r="G348" s="251"/>
      <c r="H348" s="251"/>
      <c r="I348" s="251"/>
    </row>
    <row r="349" spans="1:10" customFormat="1" ht="12.75" x14ac:dyDescent="0.2"/>
    <row r="350" spans="1:10" customFormat="1" ht="12.75" x14ac:dyDescent="0.2"/>
    <row r="351" spans="1:10" customFormat="1" ht="12.75" x14ac:dyDescent="0.2"/>
    <row r="352" spans="1:10" customFormat="1" ht="12.75" x14ac:dyDescent="0.2"/>
    <row r="353" customFormat="1" ht="12.75" x14ac:dyDescent="0.2"/>
    <row r="354" customFormat="1" ht="12.75" x14ac:dyDescent="0.2"/>
    <row r="355" customFormat="1" ht="12.75" x14ac:dyDescent="0.2"/>
    <row r="356" customFormat="1" ht="12.75" x14ac:dyDescent="0.2"/>
    <row r="357" customFormat="1" ht="12.75" x14ac:dyDescent="0.2"/>
    <row r="358" customFormat="1" ht="12.75" x14ac:dyDescent="0.2"/>
    <row r="359" customFormat="1" ht="12.75" x14ac:dyDescent="0.2"/>
    <row r="360" customFormat="1" ht="12.75" x14ac:dyDescent="0.2"/>
    <row r="361" customFormat="1" ht="12.75" x14ac:dyDescent="0.2"/>
    <row r="362" customFormat="1" ht="12.75" x14ac:dyDescent="0.2"/>
    <row r="363" customFormat="1" ht="12.75" x14ac:dyDescent="0.2"/>
    <row r="364" customFormat="1" ht="12.75" x14ac:dyDescent="0.2"/>
    <row r="365" customFormat="1" ht="12.75" x14ac:dyDescent="0.2"/>
    <row r="366" customFormat="1" ht="12.75" x14ac:dyDescent="0.2"/>
    <row r="367" customFormat="1" ht="12.75" x14ac:dyDescent="0.2"/>
    <row r="368" customFormat="1" ht="12.75" x14ac:dyDescent="0.2"/>
    <row r="369" customFormat="1" ht="12.75" x14ac:dyDescent="0.2"/>
    <row r="370" customFormat="1" ht="12.75" x14ac:dyDescent="0.2"/>
    <row r="371" customFormat="1" ht="12.75" x14ac:dyDescent="0.2"/>
    <row r="372" customFormat="1" ht="12.75" x14ac:dyDescent="0.2"/>
    <row r="373" customFormat="1" ht="12.75" x14ac:dyDescent="0.2"/>
    <row r="374" customFormat="1" ht="12.75" x14ac:dyDescent="0.2"/>
    <row r="375" customFormat="1" ht="12.75" x14ac:dyDescent="0.2"/>
    <row r="376" customFormat="1" ht="12.75" x14ac:dyDescent="0.2"/>
    <row r="377" customFormat="1" ht="12.75" x14ac:dyDescent="0.2"/>
    <row r="378" customFormat="1" ht="12.75" x14ac:dyDescent="0.2"/>
    <row r="379" customFormat="1" ht="12.75" x14ac:dyDescent="0.2"/>
    <row r="380" customFormat="1" ht="12.75" x14ac:dyDescent="0.2"/>
    <row r="381" customFormat="1" ht="12.75" x14ac:dyDescent="0.2"/>
    <row r="382" customFormat="1" ht="12.75" x14ac:dyDescent="0.2"/>
    <row r="383" customFormat="1" ht="12.75" x14ac:dyDescent="0.2"/>
    <row r="384" customFormat="1" ht="12.75" x14ac:dyDescent="0.2"/>
    <row r="385" customFormat="1" ht="12.75" x14ac:dyDescent="0.2"/>
    <row r="386" customFormat="1" ht="12.75" x14ac:dyDescent="0.2"/>
    <row r="387" customFormat="1" ht="12.75" x14ac:dyDescent="0.2"/>
    <row r="388" customFormat="1" ht="12.75" x14ac:dyDescent="0.2"/>
    <row r="389" customFormat="1" ht="12.75" x14ac:dyDescent="0.2"/>
    <row r="390" customFormat="1" ht="12.75" x14ac:dyDescent="0.2"/>
    <row r="391" customFormat="1" ht="12.75" x14ac:dyDescent="0.2"/>
    <row r="392" customFormat="1" ht="12.75" x14ac:dyDescent="0.2"/>
    <row r="393" customFormat="1" ht="12.75" x14ac:dyDescent="0.2"/>
    <row r="394" customFormat="1" ht="12.75" x14ac:dyDescent="0.2"/>
    <row r="395" customFormat="1" ht="12.75" x14ac:dyDescent="0.2"/>
    <row r="396" customFormat="1" ht="12.75" x14ac:dyDescent="0.2"/>
    <row r="397" customFormat="1" ht="12.75" x14ac:dyDescent="0.2"/>
    <row r="398" customFormat="1" ht="12.75" x14ac:dyDescent="0.2"/>
    <row r="399" customFormat="1" ht="12.75" x14ac:dyDescent="0.2"/>
    <row r="400" customFormat="1" ht="12.75" x14ac:dyDescent="0.2"/>
    <row r="401" customFormat="1" ht="12.75" x14ac:dyDescent="0.2"/>
    <row r="402" customFormat="1" ht="12.75" x14ac:dyDescent="0.2"/>
    <row r="403" customFormat="1" ht="12.75" x14ac:dyDescent="0.2"/>
    <row r="404" customFormat="1" ht="12.75" x14ac:dyDescent="0.2"/>
    <row r="405" customFormat="1" ht="12.75" x14ac:dyDescent="0.2"/>
    <row r="406" customFormat="1" ht="12.75" x14ac:dyDescent="0.2"/>
    <row r="407" customFormat="1" ht="12.75" x14ac:dyDescent="0.2"/>
    <row r="408" customFormat="1" ht="12.75" x14ac:dyDescent="0.2"/>
    <row r="409" customFormat="1" ht="12.75" x14ac:dyDescent="0.2"/>
    <row r="410" customFormat="1" ht="12.75" x14ac:dyDescent="0.2"/>
    <row r="411" customFormat="1" ht="12.75" x14ac:dyDescent="0.2"/>
    <row r="412" customFormat="1" ht="12.75" x14ac:dyDescent="0.2"/>
    <row r="413" customFormat="1" ht="12.75" x14ac:dyDescent="0.2"/>
    <row r="414" customFormat="1" ht="12.75" x14ac:dyDescent="0.2"/>
    <row r="415" customFormat="1" ht="12.75" x14ac:dyDescent="0.2"/>
    <row r="416" customFormat="1" ht="12.75" x14ac:dyDescent="0.2"/>
    <row r="417" customFormat="1" ht="12.75" x14ac:dyDescent="0.2"/>
    <row r="418" customFormat="1" ht="12.75" x14ac:dyDescent="0.2"/>
    <row r="419" customFormat="1" ht="12.75" x14ac:dyDescent="0.2"/>
    <row r="420" customFormat="1" ht="12.75" x14ac:dyDescent="0.2"/>
    <row r="421" customFormat="1" ht="12.75" x14ac:dyDescent="0.2"/>
    <row r="422" customFormat="1" ht="12.75" x14ac:dyDescent="0.2"/>
    <row r="423" customFormat="1" ht="12.75" x14ac:dyDescent="0.2"/>
    <row r="424" customFormat="1" ht="12.75" x14ac:dyDescent="0.2"/>
    <row r="425" customFormat="1" ht="12.75" x14ac:dyDescent="0.2"/>
    <row r="426" customFormat="1" ht="12.75" x14ac:dyDescent="0.2"/>
    <row r="427" customFormat="1" ht="12.75" x14ac:dyDescent="0.2"/>
    <row r="428" customFormat="1" ht="12.75" x14ac:dyDescent="0.2"/>
    <row r="429" customFormat="1" ht="12.75" x14ac:dyDescent="0.2"/>
    <row r="430" customFormat="1" ht="12.75" x14ac:dyDescent="0.2"/>
    <row r="431" customFormat="1" ht="12.75" x14ac:dyDescent="0.2"/>
    <row r="432" customFormat="1" ht="12.75" x14ac:dyDescent="0.2"/>
    <row r="433" customFormat="1" ht="12.75" x14ac:dyDescent="0.2"/>
    <row r="434" customFormat="1" ht="12.75" x14ac:dyDescent="0.2"/>
    <row r="435" customFormat="1" ht="12.75" x14ac:dyDescent="0.2"/>
    <row r="436" customFormat="1" ht="12.75" x14ac:dyDescent="0.2"/>
    <row r="437" customFormat="1" ht="12.75" x14ac:dyDescent="0.2"/>
    <row r="438" customFormat="1" ht="12.75" x14ac:dyDescent="0.2"/>
    <row r="439" customFormat="1" ht="12.75" x14ac:dyDescent="0.2"/>
    <row r="440" customFormat="1" ht="12.75" x14ac:dyDescent="0.2"/>
    <row r="441" customFormat="1" ht="12.75" x14ac:dyDescent="0.2"/>
    <row r="442" customFormat="1" ht="12.75" x14ac:dyDescent="0.2"/>
    <row r="443" customFormat="1" ht="12.75" x14ac:dyDescent="0.2"/>
    <row r="444" customFormat="1" ht="12.75" x14ac:dyDescent="0.2"/>
    <row r="445" customFormat="1" ht="12.75" x14ac:dyDescent="0.2"/>
    <row r="446" customFormat="1" ht="12.75" x14ac:dyDescent="0.2"/>
    <row r="447" customFormat="1" ht="12.75" x14ac:dyDescent="0.2"/>
    <row r="448" customFormat="1" ht="12.75" x14ac:dyDescent="0.2"/>
    <row r="449" customFormat="1" ht="12.75" x14ac:dyDescent="0.2"/>
    <row r="450" customFormat="1" ht="12.75" x14ac:dyDescent="0.2"/>
    <row r="451" customFormat="1" ht="12.75" x14ac:dyDescent="0.2"/>
    <row r="452" customFormat="1" ht="12.75" x14ac:dyDescent="0.2"/>
    <row r="453" customFormat="1" ht="12.75" x14ac:dyDescent="0.2"/>
    <row r="454" customFormat="1" ht="12.75" x14ac:dyDescent="0.2"/>
    <row r="455" customFormat="1" ht="12.75" x14ac:dyDescent="0.2"/>
    <row r="456" customFormat="1" ht="12.75" x14ac:dyDescent="0.2"/>
    <row r="457" customFormat="1" ht="12.75" x14ac:dyDescent="0.2"/>
    <row r="458" customFormat="1" ht="12.75" x14ac:dyDescent="0.2"/>
    <row r="459" customFormat="1" ht="12.75" x14ac:dyDescent="0.2"/>
    <row r="460" customFormat="1" ht="12.75" x14ac:dyDescent="0.2"/>
    <row r="461" customFormat="1" ht="12.75" x14ac:dyDescent="0.2"/>
    <row r="462" customFormat="1" ht="12.75" x14ac:dyDescent="0.2"/>
    <row r="463" customFormat="1" ht="12.75" x14ac:dyDescent="0.2"/>
    <row r="464" customFormat="1" ht="12.75" x14ac:dyDescent="0.2"/>
    <row r="465" customFormat="1" ht="12.75" x14ac:dyDescent="0.2"/>
    <row r="466" customFormat="1" ht="12.75" x14ac:dyDescent="0.2"/>
    <row r="467" customFormat="1" ht="12.75" x14ac:dyDescent="0.2"/>
    <row r="468" customFormat="1" ht="12.75" x14ac:dyDescent="0.2"/>
    <row r="469" customFormat="1" ht="12.75" x14ac:dyDescent="0.2"/>
    <row r="470" customFormat="1" ht="12.75" x14ac:dyDescent="0.2"/>
    <row r="471" customFormat="1" ht="12.75" x14ac:dyDescent="0.2"/>
    <row r="472" customFormat="1" ht="12.75" x14ac:dyDescent="0.2"/>
    <row r="473" customFormat="1" ht="12.75" x14ac:dyDescent="0.2"/>
    <row r="474" customFormat="1" ht="12.75" x14ac:dyDescent="0.2"/>
    <row r="475" customFormat="1" ht="12.75" x14ac:dyDescent="0.2"/>
    <row r="476" customFormat="1" ht="12.75" x14ac:dyDescent="0.2"/>
    <row r="477" customFormat="1" ht="12.75" x14ac:dyDescent="0.2"/>
    <row r="478" customFormat="1" ht="12.75" x14ac:dyDescent="0.2"/>
    <row r="479" customFormat="1" ht="12.75" x14ac:dyDescent="0.2"/>
    <row r="480" customFormat="1" ht="12.75" x14ac:dyDescent="0.2"/>
    <row r="481" customFormat="1" ht="12.75" x14ac:dyDescent="0.2"/>
    <row r="482" customFormat="1" ht="12.75" x14ac:dyDescent="0.2"/>
    <row r="483" customFormat="1" ht="12.75" x14ac:dyDescent="0.2"/>
    <row r="484" customFormat="1" ht="12.75" x14ac:dyDescent="0.2"/>
    <row r="485" customFormat="1" ht="12.75" x14ac:dyDescent="0.2"/>
    <row r="486" customFormat="1" ht="12.75" x14ac:dyDescent="0.2"/>
    <row r="487" customFormat="1" ht="12.75" x14ac:dyDescent="0.2"/>
    <row r="488" customFormat="1" ht="12.75" x14ac:dyDescent="0.2"/>
    <row r="489" customFormat="1" ht="12.75" x14ac:dyDescent="0.2"/>
    <row r="490" customFormat="1" ht="12.75" x14ac:dyDescent="0.2"/>
    <row r="491" customFormat="1" ht="12.75" x14ac:dyDescent="0.2"/>
    <row r="492" customFormat="1" ht="12.75" x14ac:dyDescent="0.2"/>
    <row r="493" customFormat="1" ht="12.75" x14ac:dyDescent="0.2"/>
    <row r="494" customFormat="1" ht="12.75" x14ac:dyDescent="0.2"/>
    <row r="495" customFormat="1" ht="12.75" x14ac:dyDescent="0.2"/>
    <row r="496" customFormat="1" ht="12.75" x14ac:dyDescent="0.2"/>
    <row r="497" customFormat="1" ht="12.75" x14ac:dyDescent="0.2"/>
    <row r="498" customFormat="1" ht="12.75" x14ac:dyDescent="0.2"/>
    <row r="499" customFormat="1" ht="12.75" x14ac:dyDescent="0.2"/>
    <row r="500" customFormat="1" ht="12.75" x14ac:dyDescent="0.2"/>
    <row r="501" customFormat="1" ht="12.75" x14ac:dyDescent="0.2"/>
    <row r="502" customFormat="1" ht="12.75" x14ac:dyDescent="0.2"/>
    <row r="503" customFormat="1" ht="12.75" x14ac:dyDescent="0.2"/>
    <row r="504" customFormat="1" ht="12.75" x14ac:dyDescent="0.2"/>
    <row r="505" customFormat="1" ht="12.75" x14ac:dyDescent="0.2"/>
    <row r="506" customFormat="1" ht="12.75" x14ac:dyDescent="0.2"/>
    <row r="507" customFormat="1" ht="12.75" x14ac:dyDescent="0.2"/>
    <row r="508" customFormat="1" ht="12.75" x14ac:dyDescent="0.2"/>
    <row r="509" customFormat="1" ht="12.75" x14ac:dyDescent="0.2"/>
    <row r="510" customFormat="1" ht="12.75" x14ac:dyDescent="0.2"/>
    <row r="511" customFormat="1" ht="12.75" x14ac:dyDescent="0.2"/>
    <row r="512" customFormat="1" ht="12.75" x14ac:dyDescent="0.2"/>
    <row r="513" customFormat="1" ht="12.75" x14ac:dyDescent="0.2"/>
    <row r="514" customFormat="1" ht="12.75" x14ac:dyDescent="0.2"/>
    <row r="515" customFormat="1" ht="12.75" x14ac:dyDescent="0.2"/>
    <row r="516" customFormat="1" ht="12.75" x14ac:dyDescent="0.2"/>
    <row r="517" customFormat="1" ht="12.75" x14ac:dyDescent="0.2"/>
    <row r="518" customFormat="1" ht="12.75" x14ac:dyDescent="0.2"/>
    <row r="519" customFormat="1" ht="12.75" x14ac:dyDescent="0.2"/>
    <row r="520" customFormat="1" ht="12.75" x14ac:dyDescent="0.2"/>
    <row r="521" customFormat="1" ht="12.75" x14ac:dyDescent="0.2"/>
    <row r="522" customFormat="1" ht="12.75" x14ac:dyDescent="0.2"/>
    <row r="523" customFormat="1" ht="12.75" x14ac:dyDescent="0.2"/>
    <row r="524" customFormat="1" ht="12.75" x14ac:dyDescent="0.2"/>
    <row r="525" customFormat="1" ht="12.75" x14ac:dyDescent="0.2"/>
    <row r="526" customFormat="1" ht="12.75" x14ac:dyDescent="0.2"/>
    <row r="527" customFormat="1" ht="12.75" x14ac:dyDescent="0.2"/>
    <row r="528" customFormat="1" ht="12.75" x14ac:dyDescent="0.2"/>
    <row r="529" customFormat="1" ht="12.75" x14ac:dyDescent="0.2"/>
    <row r="530" customFormat="1" ht="12.75" x14ac:dyDescent="0.2"/>
    <row r="531" customFormat="1" ht="12.75" x14ac:dyDescent="0.2"/>
    <row r="532" customFormat="1" ht="12.75" x14ac:dyDescent="0.2"/>
    <row r="533" customFormat="1" ht="12.75" x14ac:dyDescent="0.2"/>
    <row r="534" customFormat="1" ht="12.75" x14ac:dyDescent="0.2"/>
    <row r="535" customFormat="1" ht="12.75" x14ac:dyDescent="0.2"/>
    <row r="536" customFormat="1" ht="12.75" x14ac:dyDescent="0.2"/>
    <row r="537" customFormat="1" ht="12.75" x14ac:dyDescent="0.2"/>
    <row r="538" customFormat="1" ht="12.75" x14ac:dyDescent="0.2"/>
    <row r="539" customFormat="1" ht="12.75" x14ac:dyDescent="0.2"/>
    <row r="540" customFormat="1" ht="12.75" x14ac:dyDescent="0.2"/>
    <row r="541" customFormat="1" ht="12.75" x14ac:dyDescent="0.2"/>
    <row r="542" customFormat="1" ht="12.75" x14ac:dyDescent="0.2"/>
    <row r="543" customFormat="1" ht="12.75" x14ac:dyDescent="0.2"/>
    <row r="544" customFormat="1" ht="12.75" x14ac:dyDescent="0.2"/>
    <row r="545" customFormat="1" ht="12.75" x14ac:dyDescent="0.2"/>
    <row r="546" customFormat="1" ht="12.75" x14ac:dyDescent="0.2"/>
    <row r="547" customFormat="1" ht="12.75" x14ac:dyDescent="0.2"/>
    <row r="548" customFormat="1" ht="12.75" x14ac:dyDescent="0.2"/>
    <row r="549" customFormat="1" ht="12.75" x14ac:dyDescent="0.2"/>
    <row r="550" customFormat="1" ht="12.75" x14ac:dyDescent="0.2"/>
    <row r="551" customFormat="1" ht="12.75" x14ac:dyDescent="0.2"/>
    <row r="552" customFormat="1" ht="12.75" x14ac:dyDescent="0.2"/>
    <row r="553" customFormat="1" ht="12.75" x14ac:dyDescent="0.2"/>
    <row r="554" customFormat="1" ht="12.75" x14ac:dyDescent="0.2"/>
    <row r="555" customFormat="1" ht="12.75" x14ac:dyDescent="0.2"/>
    <row r="556" customFormat="1" ht="12.75" x14ac:dyDescent="0.2"/>
    <row r="557" customFormat="1" ht="12.75" x14ac:dyDescent="0.2"/>
    <row r="558" customFormat="1" ht="12.75" x14ac:dyDescent="0.2"/>
    <row r="559" customFormat="1" ht="12.75" x14ac:dyDescent="0.2"/>
    <row r="560" customFormat="1" ht="12.75" x14ac:dyDescent="0.2"/>
    <row r="561" customFormat="1" ht="12.75" x14ac:dyDescent="0.2"/>
    <row r="562" customFormat="1" ht="12.75" x14ac:dyDescent="0.2"/>
    <row r="563" customFormat="1" ht="12.75" x14ac:dyDescent="0.2"/>
    <row r="564" customFormat="1" ht="12.75" x14ac:dyDescent="0.2"/>
    <row r="565" customFormat="1" ht="12.75" x14ac:dyDescent="0.2"/>
    <row r="566" customFormat="1" ht="12.75" x14ac:dyDescent="0.2"/>
    <row r="567" customFormat="1" ht="12.75" x14ac:dyDescent="0.2"/>
    <row r="568" customFormat="1" ht="12.75" x14ac:dyDescent="0.2"/>
    <row r="569" customFormat="1" ht="12.75" x14ac:dyDescent="0.2"/>
    <row r="570" customFormat="1" ht="12.75" x14ac:dyDescent="0.2"/>
    <row r="571" customFormat="1" ht="12.75" x14ac:dyDescent="0.2"/>
    <row r="572" customFormat="1" ht="12.75" x14ac:dyDescent="0.2"/>
    <row r="573" customFormat="1" ht="12.75" x14ac:dyDescent="0.2"/>
    <row r="574" customFormat="1" ht="12.75" x14ac:dyDescent="0.2"/>
    <row r="575" customFormat="1" ht="12.75" x14ac:dyDescent="0.2"/>
    <row r="576" customFormat="1" ht="12.75" x14ac:dyDescent="0.2"/>
    <row r="577" customFormat="1" ht="12.75" x14ac:dyDescent="0.2"/>
    <row r="578" customFormat="1" ht="12.75" x14ac:dyDescent="0.2"/>
    <row r="579" customFormat="1" ht="12.75" x14ac:dyDescent="0.2"/>
    <row r="580" customFormat="1" ht="12.75" x14ac:dyDescent="0.2"/>
    <row r="581" customFormat="1" ht="12.75" x14ac:dyDescent="0.2"/>
    <row r="582" customFormat="1" ht="12.75" x14ac:dyDescent="0.2"/>
    <row r="583" customFormat="1" ht="12.75" x14ac:dyDescent="0.2"/>
    <row r="584" customFormat="1" ht="12.75" x14ac:dyDescent="0.2"/>
    <row r="585" customFormat="1" ht="12.75" x14ac:dyDescent="0.2"/>
    <row r="586" customFormat="1" ht="12.75" x14ac:dyDescent="0.2"/>
    <row r="587" customFormat="1" ht="12.75" x14ac:dyDescent="0.2"/>
    <row r="588" customFormat="1" ht="12.75" x14ac:dyDescent="0.2"/>
    <row r="589" customFormat="1" ht="12.75" x14ac:dyDescent="0.2"/>
    <row r="590" customFormat="1" ht="12.75" x14ac:dyDescent="0.2"/>
    <row r="591" customFormat="1" ht="12.75" x14ac:dyDescent="0.2"/>
    <row r="592" customFormat="1" ht="12.75" x14ac:dyDescent="0.2"/>
    <row r="593" customFormat="1" ht="12.75" x14ac:dyDescent="0.2"/>
    <row r="594" customFormat="1" ht="12.75" x14ac:dyDescent="0.2"/>
    <row r="595" customFormat="1" ht="12.75" x14ac:dyDescent="0.2"/>
    <row r="596" customFormat="1" ht="12.75" x14ac:dyDescent="0.2"/>
    <row r="597" customFormat="1" ht="12.75" x14ac:dyDescent="0.2"/>
    <row r="598" customFormat="1" ht="12.75" x14ac:dyDescent="0.2"/>
    <row r="599" customFormat="1" ht="12.75" x14ac:dyDescent="0.2"/>
    <row r="600" customFormat="1" ht="12.75" x14ac:dyDescent="0.2"/>
    <row r="601" customFormat="1" ht="12.75" x14ac:dyDescent="0.2"/>
    <row r="602" customFormat="1" ht="12.75" x14ac:dyDescent="0.2"/>
    <row r="603" customFormat="1" ht="12.75" x14ac:dyDescent="0.2"/>
    <row r="604" customFormat="1" ht="12.75" x14ac:dyDescent="0.2"/>
    <row r="605" customFormat="1" ht="12.75" x14ac:dyDescent="0.2"/>
    <row r="606" customFormat="1" ht="12.75" x14ac:dyDescent="0.2"/>
    <row r="607" customFormat="1" ht="12.75" x14ac:dyDescent="0.2"/>
    <row r="608" customFormat="1" ht="12.75" x14ac:dyDescent="0.2"/>
    <row r="609" customFormat="1" ht="12.75" x14ac:dyDescent="0.2"/>
    <row r="610" customFormat="1" ht="12.75" x14ac:dyDescent="0.2"/>
    <row r="611" customFormat="1" ht="12.75" x14ac:dyDescent="0.2"/>
    <row r="612" customFormat="1" ht="12.75" x14ac:dyDescent="0.2"/>
    <row r="613" customFormat="1" ht="12.75" x14ac:dyDescent="0.2"/>
    <row r="614" customFormat="1" ht="12.75" x14ac:dyDescent="0.2"/>
    <row r="615" customFormat="1" ht="12.75" x14ac:dyDescent="0.2"/>
    <row r="616" customFormat="1" ht="12.75" x14ac:dyDescent="0.2"/>
    <row r="617" customFormat="1" ht="12.75" x14ac:dyDescent="0.2"/>
    <row r="618" customFormat="1" ht="12.75" x14ac:dyDescent="0.2"/>
    <row r="619" customFormat="1" ht="12.75" x14ac:dyDescent="0.2"/>
    <row r="620" customFormat="1" ht="12.75" x14ac:dyDescent="0.2"/>
    <row r="621" customFormat="1" ht="12.75" x14ac:dyDescent="0.2"/>
    <row r="622" customFormat="1" ht="12.75" x14ac:dyDescent="0.2"/>
    <row r="623" customFormat="1" ht="12.75" x14ac:dyDescent="0.2"/>
    <row r="624" customFormat="1" ht="12.75" x14ac:dyDescent="0.2"/>
    <row r="625" customFormat="1" ht="12.75" x14ac:dyDescent="0.2"/>
    <row r="626" customFormat="1" ht="12.75" x14ac:dyDescent="0.2"/>
    <row r="627" customFormat="1" ht="12.75" x14ac:dyDescent="0.2"/>
    <row r="628" customFormat="1" ht="12.75" x14ac:dyDescent="0.2"/>
    <row r="629" customFormat="1" ht="12.75" x14ac:dyDescent="0.2"/>
    <row r="630" customFormat="1" ht="12.75" x14ac:dyDescent="0.2"/>
    <row r="631" customFormat="1" ht="12.75" x14ac:dyDescent="0.2"/>
    <row r="632" customFormat="1" ht="12.75" x14ac:dyDescent="0.2"/>
    <row r="633" customFormat="1" ht="12.75" x14ac:dyDescent="0.2"/>
    <row r="634" customFormat="1" ht="12.75" x14ac:dyDescent="0.2"/>
    <row r="635" customFormat="1" ht="12.75" x14ac:dyDescent="0.2"/>
    <row r="636" customFormat="1" ht="12.75" x14ac:dyDescent="0.2"/>
    <row r="637" customFormat="1" ht="12.75" x14ac:dyDescent="0.2"/>
    <row r="638" customFormat="1" ht="12.75" x14ac:dyDescent="0.2"/>
    <row r="639" customFormat="1" ht="12.75" x14ac:dyDescent="0.2"/>
    <row r="640" customFormat="1" ht="12.75" x14ac:dyDescent="0.2"/>
    <row r="641" customFormat="1" ht="12.75" x14ac:dyDescent="0.2"/>
    <row r="642" customFormat="1" ht="12.75" x14ac:dyDescent="0.2"/>
    <row r="643" customFormat="1" ht="12.75" x14ac:dyDescent="0.2"/>
    <row r="644" customFormat="1" ht="12.75" x14ac:dyDescent="0.2"/>
    <row r="645" customFormat="1" ht="12.75" x14ac:dyDescent="0.2"/>
    <row r="646" customFormat="1" ht="12.75" x14ac:dyDescent="0.2"/>
    <row r="647" customFormat="1" ht="12.75" x14ac:dyDescent="0.2"/>
    <row r="648" customFormat="1" ht="12.75" x14ac:dyDescent="0.2"/>
    <row r="649" customFormat="1" ht="12.75" x14ac:dyDescent="0.2"/>
    <row r="650" customFormat="1" ht="12.75" x14ac:dyDescent="0.2"/>
    <row r="651" customFormat="1" ht="12.75" x14ac:dyDescent="0.2"/>
    <row r="652" customFormat="1" ht="12.75" x14ac:dyDescent="0.2"/>
    <row r="653" customFormat="1" ht="12.75" x14ac:dyDescent="0.2"/>
    <row r="654" customFormat="1" ht="12.75" x14ac:dyDescent="0.2"/>
    <row r="655" customFormat="1" ht="12.75" x14ac:dyDescent="0.2"/>
    <row r="656" customFormat="1" ht="12.75" x14ac:dyDescent="0.2"/>
    <row r="657" customFormat="1" ht="12.75" x14ac:dyDescent="0.2"/>
    <row r="658" customFormat="1" ht="12.75" x14ac:dyDescent="0.2"/>
    <row r="659" customFormat="1" ht="12.75" x14ac:dyDescent="0.2"/>
    <row r="660" customFormat="1" ht="12.75" x14ac:dyDescent="0.2"/>
    <row r="661" customFormat="1" ht="12.75" x14ac:dyDescent="0.2"/>
    <row r="662" customFormat="1" ht="12.75" x14ac:dyDescent="0.2"/>
    <row r="663" customFormat="1" ht="12.75" x14ac:dyDescent="0.2"/>
    <row r="664" customFormat="1" ht="12.75" x14ac:dyDescent="0.2"/>
    <row r="665" customFormat="1" ht="12.75" x14ac:dyDescent="0.2"/>
    <row r="666" customFormat="1" ht="12.75" x14ac:dyDescent="0.2"/>
    <row r="667" customFormat="1" ht="12.75" x14ac:dyDescent="0.2"/>
    <row r="668" customFormat="1" ht="12.75" x14ac:dyDescent="0.2"/>
    <row r="669" customFormat="1" ht="12.75" x14ac:dyDescent="0.2"/>
    <row r="670" customFormat="1" ht="12.75" x14ac:dyDescent="0.2"/>
    <row r="671" customFormat="1" ht="12.75" x14ac:dyDescent="0.2"/>
    <row r="672" customFormat="1" ht="12.75" x14ac:dyDescent="0.2"/>
    <row r="673" customFormat="1" ht="12.75" x14ac:dyDescent="0.2"/>
    <row r="674" customFormat="1" ht="12.75" x14ac:dyDescent="0.2"/>
    <row r="675" customFormat="1" ht="12.75" x14ac:dyDescent="0.2"/>
    <row r="676" customFormat="1" ht="12.75" x14ac:dyDescent="0.2"/>
    <row r="677" customFormat="1" ht="12.75" x14ac:dyDescent="0.2"/>
    <row r="678" customFormat="1" ht="12.75" x14ac:dyDescent="0.2"/>
    <row r="679" customFormat="1" ht="12.75" x14ac:dyDescent="0.2"/>
    <row r="680" customFormat="1" ht="12.75" x14ac:dyDescent="0.2"/>
    <row r="681" customFormat="1" ht="12.75" x14ac:dyDescent="0.2"/>
    <row r="682" customFormat="1" ht="12.75" x14ac:dyDescent="0.2"/>
    <row r="683" customFormat="1" ht="12.75" x14ac:dyDescent="0.2"/>
    <row r="684" customFormat="1" ht="12.75" x14ac:dyDescent="0.2"/>
    <row r="685" customFormat="1" ht="12.75" x14ac:dyDescent="0.2"/>
    <row r="686" customFormat="1" ht="12.75" x14ac:dyDescent="0.2"/>
    <row r="687" customFormat="1" ht="12.75" x14ac:dyDescent="0.2"/>
    <row r="688" customFormat="1" ht="12.75" x14ac:dyDescent="0.2"/>
    <row r="689" customFormat="1" ht="12.75" x14ac:dyDescent="0.2"/>
    <row r="690" customFormat="1" ht="12.75" x14ac:dyDescent="0.2"/>
    <row r="691" customFormat="1" ht="12.75" x14ac:dyDescent="0.2"/>
    <row r="692" customFormat="1" ht="12.75" x14ac:dyDescent="0.2"/>
    <row r="693" customFormat="1" ht="12.75" x14ac:dyDescent="0.2"/>
    <row r="694" customFormat="1" ht="12.75" x14ac:dyDescent="0.2"/>
    <row r="695" customFormat="1" ht="12.75" x14ac:dyDescent="0.2"/>
    <row r="696" customFormat="1" ht="12.75" x14ac:dyDescent="0.2"/>
    <row r="697" customFormat="1" ht="12.75" x14ac:dyDescent="0.2"/>
    <row r="698" customFormat="1" ht="12.75" x14ac:dyDescent="0.2"/>
    <row r="699" customFormat="1" ht="12.75" x14ac:dyDescent="0.2"/>
    <row r="700" customFormat="1" ht="12.75" x14ac:dyDescent="0.2"/>
    <row r="701" customFormat="1" ht="12.75" x14ac:dyDescent="0.2"/>
    <row r="702" customFormat="1" ht="12.75" x14ac:dyDescent="0.2"/>
    <row r="703" customFormat="1" ht="12.75" x14ac:dyDescent="0.2"/>
    <row r="704" customFormat="1" ht="12.75" x14ac:dyDescent="0.2"/>
    <row r="705" customFormat="1" ht="12.75" x14ac:dyDescent="0.2"/>
  </sheetData>
  <mergeCells count="191">
    <mergeCell ref="A265:G265"/>
    <mergeCell ref="A335:B335"/>
    <mergeCell ref="A187:B187"/>
    <mergeCell ref="A188:B188"/>
    <mergeCell ref="A292:G292"/>
    <mergeCell ref="A334:B334"/>
    <mergeCell ref="A333:B333"/>
    <mergeCell ref="B240:J240"/>
    <mergeCell ref="A328:B328"/>
    <mergeCell ref="A329:B329"/>
    <mergeCell ref="A336:B336"/>
    <mergeCell ref="A259:K259"/>
    <mergeCell ref="A266:B266"/>
    <mergeCell ref="A267:B267"/>
    <mergeCell ref="A263:G263"/>
    <mergeCell ref="A122:B122"/>
    <mergeCell ref="A123:B123"/>
    <mergeCell ref="A132:B132"/>
    <mergeCell ref="D209:J209"/>
    <mergeCell ref="D207:J207"/>
    <mergeCell ref="A143:B143"/>
    <mergeCell ref="A134:B134"/>
    <mergeCell ref="A185:B185"/>
    <mergeCell ref="A186:B186"/>
    <mergeCell ref="A338:B338"/>
    <mergeCell ref="A339:B339"/>
    <mergeCell ref="A332:B332"/>
    <mergeCell ref="A322:B322"/>
    <mergeCell ref="A324:B324"/>
    <mergeCell ref="A327:B327"/>
    <mergeCell ref="A330:B330"/>
    <mergeCell ref="A317:B317"/>
    <mergeCell ref="A318:B318"/>
    <mergeCell ref="A319:B319"/>
    <mergeCell ref="A323:B323"/>
    <mergeCell ref="A320:B320"/>
    <mergeCell ref="A315:B315"/>
    <mergeCell ref="A300:B300"/>
    <mergeCell ref="A305:B305"/>
    <mergeCell ref="A301:I301"/>
    <mergeCell ref="A306:I306"/>
    <mergeCell ref="A309:B309"/>
    <mergeCell ref="A310:B310"/>
    <mergeCell ref="A313:B313"/>
    <mergeCell ref="A314:B314"/>
    <mergeCell ref="A311:B311"/>
    <mergeCell ref="A299:B299"/>
    <mergeCell ref="A278:B278"/>
    <mergeCell ref="A290:B290"/>
    <mergeCell ref="A282:B282"/>
    <mergeCell ref="A283:B283"/>
    <mergeCell ref="A298:I298"/>
    <mergeCell ref="A293:B293"/>
    <mergeCell ref="A192:B192"/>
    <mergeCell ref="A201:K201"/>
    <mergeCell ref="A203:I203"/>
    <mergeCell ref="A277:F277"/>
    <mergeCell ref="A280:B280"/>
    <mergeCell ref="A281:B281"/>
    <mergeCell ref="A196:B196"/>
    <mergeCell ref="A198:B198"/>
    <mergeCell ref="A199:B199"/>
    <mergeCell ref="A252:B252"/>
    <mergeCell ref="A176:B176"/>
    <mergeCell ref="A177:B177"/>
    <mergeCell ref="A178:B178"/>
    <mergeCell ref="A288:B288"/>
    <mergeCell ref="A255:B255"/>
    <mergeCell ref="A202:B202"/>
    <mergeCell ref="A189:B189"/>
    <mergeCell ref="A190:B190"/>
    <mergeCell ref="A191:B191"/>
    <mergeCell ref="A193:B193"/>
    <mergeCell ref="A68:I68"/>
    <mergeCell ref="A66:I66"/>
    <mergeCell ref="A81:I81"/>
    <mergeCell ref="A181:B181"/>
    <mergeCell ref="A184:B184"/>
    <mergeCell ref="A180:H180"/>
    <mergeCell ref="A183:B183"/>
    <mergeCell ref="A182:J182"/>
    <mergeCell ref="A174:B174"/>
    <mergeCell ref="A175:B175"/>
    <mergeCell ref="A100:B100"/>
    <mergeCell ref="A82:I82"/>
    <mergeCell ref="A99:D99"/>
    <mergeCell ref="A85:I85"/>
    <mergeCell ref="A135:B135"/>
    <mergeCell ref="A124:B124"/>
    <mergeCell ref="A125:B125"/>
    <mergeCell ref="A131:J131"/>
    <mergeCell ref="A109:B109"/>
    <mergeCell ref="A115:B115"/>
    <mergeCell ref="A142:B142"/>
    <mergeCell ref="A169:B169"/>
    <mergeCell ref="A166:J166"/>
    <mergeCell ref="A136:B136"/>
    <mergeCell ref="A137:B137"/>
    <mergeCell ref="A138:B138"/>
    <mergeCell ref="A148:B148"/>
    <mergeCell ref="A140:B140"/>
    <mergeCell ref="A162:J162"/>
    <mergeCell ref="A160:J160"/>
    <mergeCell ref="A49:B49"/>
    <mergeCell ref="A31:B31"/>
    <mergeCell ref="A118:B118"/>
    <mergeCell ref="A101:B101"/>
    <mergeCell ref="A112:F112"/>
    <mergeCell ref="A126:B126"/>
    <mergeCell ref="A83:I83"/>
    <mergeCell ref="A113:B113"/>
    <mergeCell ref="A103:B103"/>
    <mergeCell ref="A64:B64"/>
    <mergeCell ref="A146:B146"/>
    <mergeCell ref="A141:B141"/>
    <mergeCell ref="A7:I7"/>
    <mergeCell ref="A9:I9"/>
    <mergeCell ref="A63:I63"/>
    <mergeCell ref="A65:I65"/>
    <mergeCell ref="A26:K26"/>
    <mergeCell ref="A28:K28"/>
    <mergeCell ref="A46:B46"/>
    <mergeCell ref="A47:B47"/>
    <mergeCell ref="A170:B170"/>
    <mergeCell ref="A171:B171"/>
    <mergeCell ref="A172:B172"/>
    <mergeCell ref="A139:B139"/>
    <mergeCell ref="A145:I145"/>
    <mergeCell ref="A147:I147"/>
    <mergeCell ref="A157:B157"/>
    <mergeCell ref="A153:B153"/>
    <mergeCell ref="A154:B154"/>
    <mergeCell ref="A155:B155"/>
    <mergeCell ref="A158:B158"/>
    <mergeCell ref="A161:B161"/>
    <mergeCell ref="A151:B151"/>
    <mergeCell ref="A152:B152"/>
    <mergeCell ref="A168:H168"/>
    <mergeCell ref="A163:B163"/>
    <mergeCell ref="A167:B167"/>
    <mergeCell ref="A156:B156"/>
    <mergeCell ref="A1:E1"/>
    <mergeCell ref="A45:K45"/>
    <mergeCell ref="A4:B4"/>
    <mergeCell ref="A5:B5"/>
    <mergeCell ref="A3:B3"/>
    <mergeCell ref="A2:B2"/>
    <mergeCell ref="A10:B10"/>
    <mergeCell ref="A12:B12"/>
    <mergeCell ref="A27:B27"/>
    <mergeCell ref="A29:B29"/>
    <mergeCell ref="A116:B116"/>
    <mergeCell ref="A117:B117"/>
    <mergeCell ref="A268:B268"/>
    <mergeCell ref="A246:B246"/>
    <mergeCell ref="A251:B251"/>
    <mergeCell ref="A247:K247"/>
    <mergeCell ref="A173:B173"/>
    <mergeCell ref="A164:B164"/>
    <mergeCell ref="A149:B149"/>
    <mergeCell ref="A150:B150"/>
    <mergeCell ref="A273:B273"/>
    <mergeCell ref="A274:B274"/>
    <mergeCell ref="A269:B269"/>
    <mergeCell ref="A270:B270"/>
    <mergeCell ref="A275:B275"/>
    <mergeCell ref="A44:I44"/>
    <mergeCell ref="A119:B119"/>
    <mergeCell ref="A120:B120"/>
    <mergeCell ref="A121:B121"/>
    <mergeCell ref="A114:F114"/>
    <mergeCell ref="D212:H212"/>
    <mergeCell ref="B226:H226"/>
    <mergeCell ref="B225:H225"/>
    <mergeCell ref="B224:H224"/>
    <mergeCell ref="A258:B258"/>
    <mergeCell ref="A272:B272"/>
    <mergeCell ref="A254:B254"/>
    <mergeCell ref="A271:B271"/>
    <mergeCell ref="A264:B264"/>
    <mergeCell ref="A245:K245"/>
    <mergeCell ref="B233:H233"/>
    <mergeCell ref="A257:B257"/>
    <mergeCell ref="A250:K250"/>
    <mergeCell ref="A253:K253"/>
    <mergeCell ref="A256:K256"/>
    <mergeCell ref="A289:B289"/>
    <mergeCell ref="A284:B284"/>
    <mergeCell ref="A285:B285"/>
    <mergeCell ref="A286:B286"/>
    <mergeCell ref="A287:B287"/>
  </mergeCells>
  <phoneticPr fontId="12" type="noConversion"/>
  <pageMargins left="0.7" right="0.7" top="0.75" bottom="0.75" header="0.3" footer="0.3"/>
  <pageSetup paperSize="5"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workbookViewId="0">
      <selection activeCell="C12" sqref="C12"/>
    </sheetView>
  </sheetViews>
  <sheetFormatPr defaultRowHeight="12.75" x14ac:dyDescent="0.2"/>
  <cols>
    <col min="1" max="1" width="11" customWidth="1"/>
    <col min="2" max="2" width="14.140625" style="6" bestFit="1" customWidth="1"/>
    <col min="3" max="3" width="14.140625" style="6" customWidth="1"/>
    <col min="4" max="4" width="17.7109375" style="6" customWidth="1"/>
    <col min="5" max="6" width="12.7109375" style="6" bestFit="1" customWidth="1"/>
    <col min="7" max="7" width="11.7109375" bestFit="1" customWidth="1"/>
    <col min="8" max="8" width="10.7109375" bestFit="1" customWidth="1"/>
  </cols>
  <sheetData>
    <row r="1" spans="1:5" ht="42" customHeight="1" x14ac:dyDescent="0.2">
      <c r="B1" s="8" t="str">
        <f>'Rate Class Customer Model'!D2</f>
        <v>GS&gt;50</v>
      </c>
      <c r="C1" s="8" t="str">
        <f>'Rate Class Customer Model'!E2</f>
        <v>Sentinels</v>
      </c>
      <c r="D1" s="8" t="str">
        <f>'Rate Class Customer Model'!F2</f>
        <v>Streetlights</v>
      </c>
      <c r="E1" s="6" t="s">
        <v>10</v>
      </c>
    </row>
    <row r="2" spans="1:5" x14ac:dyDescent="0.2">
      <c r="A2" s="32">
        <v>2002</v>
      </c>
      <c r="B2" s="52">
        <f>SUM('[5]Consumption Data '!$N$6:$N$17)</f>
        <v>88877.811111111107</v>
      </c>
      <c r="C2" s="52">
        <v>367.84500000000003</v>
      </c>
      <c r="D2" s="52">
        <v>3254.6027777777781</v>
      </c>
      <c r="E2" s="6">
        <f t="shared" ref="E2:E13" si="0">SUM(B2:D2)</f>
        <v>92500.258888888886</v>
      </c>
    </row>
    <row r="3" spans="1:5" x14ac:dyDescent="0.2">
      <c r="A3" s="32">
        <v>2003</v>
      </c>
      <c r="B3" s="52">
        <f>SUM('[5]Consumption Data '!$N$18:$N$29)</f>
        <v>118748</v>
      </c>
      <c r="C3" s="70">
        <v>378</v>
      </c>
      <c r="D3" s="52">
        <v>3639</v>
      </c>
      <c r="E3" s="6">
        <f t="shared" si="0"/>
        <v>122765</v>
      </c>
    </row>
    <row r="4" spans="1:5" x14ac:dyDescent="0.2">
      <c r="A4" s="32">
        <v>2004</v>
      </c>
      <c r="B4" s="52">
        <f>SUM('[5]Consumption Data '!$N$30:$N$41)</f>
        <v>112828</v>
      </c>
      <c r="C4" s="70">
        <v>375.82499999999999</v>
      </c>
      <c r="D4" s="52">
        <v>3745</v>
      </c>
      <c r="E4" s="6">
        <f t="shared" si="0"/>
        <v>116948.825</v>
      </c>
    </row>
    <row r="5" spans="1:5" x14ac:dyDescent="0.2">
      <c r="A5" s="32">
        <v>2005</v>
      </c>
      <c r="B5" s="52">
        <f>SUM('[5]Consumption Data '!$N$42:$N$53)</f>
        <v>115611</v>
      </c>
      <c r="C5" s="70">
        <v>365.22500000000002</v>
      </c>
      <c r="D5" s="52">
        <v>3909</v>
      </c>
      <c r="E5" s="6">
        <f t="shared" si="0"/>
        <v>119885.22500000001</v>
      </c>
    </row>
    <row r="6" spans="1:5" x14ac:dyDescent="0.2">
      <c r="A6" s="32">
        <v>2006</v>
      </c>
      <c r="B6" s="52">
        <f>SUM('[5]Consumption Data '!$N$54:$N$65)</f>
        <v>118310</v>
      </c>
      <c r="C6" s="70">
        <v>367</v>
      </c>
      <c r="D6" s="52">
        <v>4014</v>
      </c>
      <c r="E6" s="6">
        <f t="shared" si="0"/>
        <v>122691</v>
      </c>
    </row>
    <row r="7" spans="1:5" x14ac:dyDescent="0.2">
      <c r="A7" s="32">
        <v>2007</v>
      </c>
      <c r="B7" s="52">
        <f>SUM('[5]Consumption Data '!$N$66:$N$77)</f>
        <v>116956</v>
      </c>
      <c r="C7" s="70">
        <v>351</v>
      </c>
      <c r="D7" s="52">
        <v>4153</v>
      </c>
      <c r="E7" s="6">
        <f t="shared" si="0"/>
        <v>121460</v>
      </c>
    </row>
    <row r="8" spans="1:5" x14ac:dyDescent="0.2">
      <c r="A8" s="32">
        <v>2008</v>
      </c>
      <c r="B8" s="52">
        <f>SUM('[5]Consumption Data '!$N$78:$N$89)</f>
        <v>134692.85</v>
      </c>
      <c r="C8" s="70">
        <v>345.03227777777778</v>
      </c>
      <c r="D8" s="52">
        <v>4260.83</v>
      </c>
      <c r="E8" s="6">
        <f t="shared" si="0"/>
        <v>139298.71227777778</v>
      </c>
    </row>
    <row r="9" spans="1:5" x14ac:dyDescent="0.2">
      <c r="A9" s="32">
        <v>2009</v>
      </c>
      <c r="B9" s="52">
        <f>SUM('[5]Consumption Data '!$N$90:$N$101)</f>
        <v>136122.29</v>
      </c>
      <c r="C9" s="70">
        <v>338.94749999999999</v>
      </c>
      <c r="D9" s="52">
        <v>4370.32</v>
      </c>
      <c r="E9" s="6">
        <f t="shared" si="0"/>
        <v>140831.55750000002</v>
      </c>
    </row>
    <row r="10" spans="1:5" x14ac:dyDescent="0.2">
      <c r="A10" s="32">
        <v>2010</v>
      </c>
      <c r="B10" s="52">
        <f>SUM('[5]Consumption Data '!$N$102:$N$113)</f>
        <v>144502.21</v>
      </c>
      <c r="C10" s="70">
        <v>324.17422222222223</v>
      </c>
      <c r="D10" s="52">
        <v>4389.05</v>
      </c>
      <c r="E10" s="6">
        <f t="shared" si="0"/>
        <v>149215.43422222219</v>
      </c>
    </row>
    <row r="11" spans="1:5" x14ac:dyDescent="0.2">
      <c r="A11" s="32">
        <v>2011</v>
      </c>
      <c r="B11" s="52">
        <f>SUM('[5]Consumption Data '!$N$114:$N$125)</f>
        <v>139425.35999999999</v>
      </c>
      <c r="C11" s="70">
        <v>306.31894444444447</v>
      </c>
      <c r="D11" s="52">
        <v>4416</v>
      </c>
      <c r="E11" s="6">
        <f t="shared" si="0"/>
        <v>144147.67894444443</v>
      </c>
    </row>
    <row r="12" spans="1:5" x14ac:dyDescent="0.2">
      <c r="A12" s="32">
        <v>2012</v>
      </c>
      <c r="B12" s="33">
        <f ca="1">'Rate Class Energy Model'!J62*'Rate Class Load Model'!B27</f>
        <v>144597.57436396333</v>
      </c>
      <c r="C12" s="33">
        <f ca="1">'Rate Class Energy Model'!K62*'Rate Class Load Model'!C27</f>
        <v>297.66079436522585</v>
      </c>
      <c r="D12" s="33">
        <f ca="1">'Rate Class Energy Model'!L62*'Rate Class Load Model'!D27</f>
        <v>4328.7410401192428</v>
      </c>
      <c r="E12" s="6">
        <f t="shared" ca="1" si="0"/>
        <v>149223.97619844778</v>
      </c>
    </row>
    <row r="13" spans="1:5" x14ac:dyDescent="0.2">
      <c r="A13" s="32">
        <v>2013</v>
      </c>
      <c r="B13" s="33">
        <f ca="1">'Rate Class Energy Model'!J63*'Rate Class Load Model'!B27</f>
        <v>146479.74934501474</v>
      </c>
      <c r="C13" s="33">
        <f ca="1">'Rate Class Energy Model'!K63*'Rate Class Load Model'!C27</f>
        <v>289.36640272553188</v>
      </c>
      <c r="D13" s="33">
        <f ca="1">'Rate Class Energy Model'!L63*'Rate Class Load Model'!D27</f>
        <v>4400.1600657253011</v>
      </c>
      <c r="E13" s="6">
        <f t="shared" ca="1" si="0"/>
        <v>151169.27581346559</v>
      </c>
    </row>
    <row r="14" spans="1:5" x14ac:dyDescent="0.2">
      <c r="A14" s="22"/>
    </row>
    <row r="15" spans="1:5" x14ac:dyDescent="0.2">
      <c r="A15" s="21" t="s">
        <v>64</v>
      </c>
      <c r="B15" s="5"/>
      <c r="C15" s="5"/>
      <c r="D15" s="5"/>
    </row>
    <row r="16" spans="1:5" x14ac:dyDescent="0.2">
      <c r="A16" s="4">
        <v>2002</v>
      </c>
      <c r="B16" s="30">
        <f>B2/'Rate Class Energy Model'!J7</f>
        <v>2.287465082962444E-3</v>
      </c>
      <c r="C16" s="30">
        <f>C2/'Rate Class Energy Model'!K7</f>
        <v>2.7770437991472092E-3</v>
      </c>
      <c r="D16" s="30">
        <f>D2/'Rate Class Energy Model'!L7</f>
        <v>2.7772325981752321E-3</v>
      </c>
    </row>
    <row r="17" spans="1:4" x14ac:dyDescent="0.2">
      <c r="A17" s="4">
        <v>2003</v>
      </c>
      <c r="B17" s="30">
        <f>B3/'Rate Class Energy Model'!J8</f>
        <v>3.0633580707210887E-3</v>
      </c>
      <c r="C17" s="30">
        <f>C3/'Rate Class Energy Model'!K8</f>
        <v>2.7789213668176203E-3</v>
      </c>
      <c r="D17" s="30">
        <f>D3/'Rate Class Energy Model'!L8</f>
        <v>3.8441507955036427E-3</v>
      </c>
    </row>
    <row r="18" spans="1:4" x14ac:dyDescent="0.2">
      <c r="A18" s="4">
        <v>2004</v>
      </c>
      <c r="B18" s="30">
        <f>B4/'Rate Class Energy Model'!J9</f>
        <v>3.1078979772742881E-3</v>
      </c>
      <c r="C18" s="30">
        <f>C4/'Rate Class Energy Model'!K9</f>
        <v>2.7777572469659564E-3</v>
      </c>
      <c r="D18" s="30">
        <f>D4/'Rate Class Energy Model'!L9</f>
        <v>3.023311385734168E-3</v>
      </c>
    </row>
    <row r="19" spans="1:4" x14ac:dyDescent="0.2">
      <c r="A19" s="4">
        <v>2005</v>
      </c>
      <c r="B19" s="30">
        <f>B5/'Rate Class Energy Model'!J10</f>
        <v>2.9029846295813861E-3</v>
      </c>
      <c r="C19" s="30">
        <f>C5/'Rate Class Energy Model'!K10</f>
        <v>2.7743594418237205E-3</v>
      </c>
      <c r="D19" s="30">
        <f>D5/'Rate Class Energy Model'!L10</f>
        <v>2.671525393843258E-3</v>
      </c>
    </row>
    <row r="20" spans="1:4" x14ac:dyDescent="0.2">
      <c r="A20" s="4">
        <v>2006</v>
      </c>
      <c r="B20" s="30">
        <f>B6/'Rate Class Energy Model'!J11</f>
        <v>2.9703058541336548E-3</v>
      </c>
      <c r="C20" s="30">
        <f>C6/'Rate Class Energy Model'!K11</f>
        <v>2.7830650114886745E-3</v>
      </c>
      <c r="D20" s="30">
        <f>D6/'Rate Class Energy Model'!L11</f>
        <v>2.7768592297017403E-3</v>
      </c>
    </row>
    <row r="21" spans="1:4" x14ac:dyDescent="0.2">
      <c r="A21" s="4">
        <v>2007</v>
      </c>
      <c r="B21" s="30">
        <f>B7/'Rate Class Energy Model'!J12</f>
        <v>2.9744228021109562E-3</v>
      </c>
      <c r="C21" s="30">
        <f>C7/'Rate Class Energy Model'!K12</f>
        <v>2.7775359853130861E-3</v>
      </c>
      <c r="D21" s="30">
        <f>D7/'Rate Class Energy Model'!L12</f>
        <v>2.7761678722575066E-3</v>
      </c>
    </row>
    <row r="22" spans="1:4" x14ac:dyDescent="0.2">
      <c r="A22" s="4">
        <v>2008</v>
      </c>
      <c r="B22" s="30">
        <f>B8/'Rate Class Energy Model'!J13</f>
        <v>2.9753615781794329E-3</v>
      </c>
      <c r="C22" s="30">
        <f>C8/'Rate Class Energy Model'!K13</f>
        <v>2.7777777777777779E-3</v>
      </c>
      <c r="D22" s="30">
        <f>D8/'Rate Class Energy Model'!L13</f>
        <v>2.7777777777777775E-3</v>
      </c>
    </row>
    <row r="23" spans="1:4" x14ac:dyDescent="0.2">
      <c r="A23" s="4">
        <v>2009</v>
      </c>
      <c r="B23" s="30">
        <f>B9/'Rate Class Energy Model'!J14</f>
        <v>2.8673466943822815E-3</v>
      </c>
      <c r="C23" s="30">
        <f>C9/'Rate Class Energy Model'!K14</f>
        <v>2.7777777777777775E-3</v>
      </c>
      <c r="D23" s="30">
        <f>D9/'Rate Class Energy Model'!L14</f>
        <v>2.7714426097188959E-3</v>
      </c>
    </row>
    <row r="24" spans="1:4" x14ac:dyDescent="0.2">
      <c r="A24" s="4">
        <v>2010</v>
      </c>
      <c r="B24" s="30">
        <f>B10/'Rate Class Energy Model'!J15</f>
        <v>2.8262406241067509E-3</v>
      </c>
      <c r="C24" s="30">
        <f>C10/'Rate Class Energy Model'!K15</f>
        <v>2.7777777777777779E-3</v>
      </c>
      <c r="D24" s="30">
        <f>D10/'Rate Class Energy Model'!L15</f>
        <v>2.7777777777777779E-3</v>
      </c>
    </row>
    <row r="25" spans="1:4" x14ac:dyDescent="0.2">
      <c r="A25" s="4">
        <v>2011</v>
      </c>
      <c r="B25" s="30">
        <f>B11/'Rate Class Energy Model'!J16</f>
        <v>2.7928816654166065E-3</v>
      </c>
      <c r="C25" s="30">
        <f>C11/'Rate Class Energy Model'!K16</f>
        <v>2.7786344880638991E-3</v>
      </c>
      <c r="D25" s="30">
        <f>D11/'Rate Class Energy Model'!L16</f>
        <v>3.0301171204080647E-3</v>
      </c>
    </row>
    <row r="27" spans="1:4" x14ac:dyDescent="0.2">
      <c r="A27" t="s">
        <v>15</v>
      </c>
      <c r="B27" s="30">
        <f>AVERAGE(B16:B25)</f>
        <v>2.8768264978868887E-3</v>
      </c>
      <c r="C27" s="30">
        <f>AVERAGE(C16:C25)</f>
        <v>2.7780650672953504E-3</v>
      </c>
      <c r="D27" s="30">
        <f>AVERAGE(D16:D25)</f>
        <v>2.9226362560898062E-3</v>
      </c>
    </row>
    <row r="34" spans="2:4" x14ac:dyDescent="0.2">
      <c r="B34" s="28"/>
      <c r="C34" s="28"/>
      <c r="D34" s="28"/>
    </row>
    <row r="35" spans="2:4" x14ac:dyDescent="0.2">
      <c r="B35" s="28"/>
      <c r="C35" s="28"/>
      <c r="D35" s="28"/>
    </row>
    <row r="54" spans="2:4" x14ac:dyDescent="0.2">
      <c r="B54" s="17"/>
      <c r="C54" s="17"/>
      <c r="D54" s="17"/>
    </row>
    <row r="55" spans="2:4" x14ac:dyDescent="0.2">
      <c r="B55" s="17"/>
      <c r="C55" s="17"/>
      <c r="D55" s="17"/>
    </row>
  </sheetData>
  <phoneticPr fontId="0" type="noConversion"/>
  <pageMargins left="0.38" right="0.75" top="0.73" bottom="0.74" header="0.5" footer="0.5"/>
  <pageSetup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workbookViewId="0"/>
  </sheetViews>
  <sheetFormatPr defaultRowHeight="12.75" x14ac:dyDescent="0.2"/>
  <cols>
    <col min="6" max="6" width="9.28515625" style="77" customWidth="1"/>
    <col min="7" max="7" width="9.5703125" style="77" customWidth="1"/>
    <col min="22" max="22" width="9.85546875" bestFit="1" customWidth="1"/>
    <col min="23" max="23" width="11" bestFit="1" customWidth="1"/>
  </cols>
  <sheetData>
    <row r="1" spans="1:23" x14ac:dyDescent="0.2">
      <c r="A1" s="21" t="s">
        <v>88</v>
      </c>
      <c r="E1" s="467" t="s">
        <v>206</v>
      </c>
      <c r="F1" s="467"/>
      <c r="G1" s="21" t="s">
        <v>207</v>
      </c>
      <c r="H1" s="21"/>
      <c r="I1" s="21"/>
      <c r="J1" s="21"/>
    </row>
    <row r="2" spans="1:23" x14ac:dyDescent="0.2">
      <c r="A2" s="78"/>
      <c r="B2" s="78"/>
    </row>
    <row r="3" spans="1:23" x14ac:dyDescent="0.2">
      <c r="A3" s="79" t="s">
        <v>89</v>
      </c>
      <c r="B3" s="79"/>
      <c r="C3" s="79"/>
      <c r="D3" s="79"/>
      <c r="E3" s="79"/>
      <c r="F3" s="80"/>
      <c r="G3" s="80"/>
    </row>
    <row r="4" spans="1:23" x14ac:dyDescent="0.2">
      <c r="A4" s="81"/>
      <c r="B4" s="81"/>
      <c r="C4" s="81"/>
      <c r="D4" s="81"/>
      <c r="E4" s="81"/>
      <c r="F4" s="82"/>
      <c r="G4" s="82"/>
    </row>
    <row r="5" spans="1:23" x14ac:dyDescent="0.2">
      <c r="A5" s="83" t="s">
        <v>90</v>
      </c>
      <c r="B5" s="83">
        <v>1992</v>
      </c>
      <c r="C5" s="83">
        <v>1993</v>
      </c>
      <c r="D5" s="83">
        <v>1994</v>
      </c>
      <c r="E5" s="83">
        <v>1995</v>
      </c>
      <c r="F5" s="83">
        <v>1996</v>
      </c>
      <c r="G5" s="83">
        <v>1997</v>
      </c>
      <c r="H5" s="83">
        <v>1998</v>
      </c>
      <c r="I5" s="83">
        <v>1999</v>
      </c>
      <c r="J5" s="83">
        <v>2000</v>
      </c>
      <c r="K5" s="83">
        <f t="shared" ref="K5:Q5" si="0">K25</f>
        <v>2001</v>
      </c>
      <c r="L5" s="83">
        <f t="shared" si="0"/>
        <v>2002</v>
      </c>
      <c r="M5" s="83">
        <f t="shared" si="0"/>
        <v>2003</v>
      </c>
      <c r="N5" s="83">
        <f t="shared" si="0"/>
        <v>2004</v>
      </c>
      <c r="O5" s="83">
        <f t="shared" si="0"/>
        <v>2005</v>
      </c>
      <c r="P5" s="83">
        <f t="shared" si="0"/>
        <v>2006</v>
      </c>
      <c r="Q5" s="83">
        <f t="shared" si="0"/>
        <v>2007</v>
      </c>
      <c r="R5" s="83">
        <v>2008</v>
      </c>
      <c r="S5" s="83">
        <v>2009</v>
      </c>
      <c r="T5" s="83">
        <v>2010</v>
      </c>
      <c r="U5" s="83">
        <v>2011</v>
      </c>
      <c r="V5" s="88" t="s">
        <v>104</v>
      </c>
      <c r="W5" s="88" t="s">
        <v>105</v>
      </c>
    </row>
    <row r="6" spans="1:23" x14ac:dyDescent="0.2">
      <c r="A6" s="81"/>
      <c r="B6" s="81"/>
      <c r="C6" s="81"/>
      <c r="D6" s="81"/>
      <c r="E6" s="81"/>
      <c r="F6" s="80"/>
      <c r="G6" s="80"/>
    </row>
    <row r="7" spans="1:23" x14ac:dyDescent="0.2">
      <c r="A7" s="84"/>
      <c r="B7" s="84"/>
      <c r="C7" s="84"/>
      <c r="D7" s="84"/>
      <c r="E7" s="84"/>
      <c r="F7" s="80"/>
      <c r="G7" s="80"/>
      <c r="H7" s="80"/>
      <c r="I7" s="80"/>
    </row>
    <row r="8" spans="1:23" x14ac:dyDescent="0.2">
      <c r="A8" s="84" t="s">
        <v>91</v>
      </c>
      <c r="B8" s="85">
        <v>687.9</v>
      </c>
      <c r="C8" s="85">
        <v>635.1</v>
      </c>
      <c r="D8" s="85">
        <v>941.4</v>
      </c>
      <c r="E8" s="85">
        <v>653.20000000000005</v>
      </c>
      <c r="F8" s="85">
        <v>765.2</v>
      </c>
      <c r="G8" s="85">
        <v>756.6</v>
      </c>
      <c r="H8" s="85">
        <v>624.79999999999995</v>
      </c>
      <c r="I8" s="85">
        <v>749.8</v>
      </c>
      <c r="J8" s="85">
        <v>738.9</v>
      </c>
      <c r="K8" s="85">
        <v>684.9</v>
      </c>
      <c r="L8" s="85">
        <v>572.20000000000005</v>
      </c>
      <c r="M8" s="85">
        <v>814.5</v>
      </c>
      <c r="N8" s="85">
        <v>849.1</v>
      </c>
      <c r="O8" s="85">
        <v>770</v>
      </c>
      <c r="P8" s="85">
        <v>551.79999999999995</v>
      </c>
      <c r="Q8" s="85">
        <v>647.1</v>
      </c>
      <c r="R8" s="85">
        <v>623.5</v>
      </c>
      <c r="S8" s="85">
        <v>830.2</v>
      </c>
      <c r="T8" s="85">
        <v>720</v>
      </c>
      <c r="U8" s="85">
        <v>775.3</v>
      </c>
      <c r="V8" s="86">
        <f>AVERAGE(L8:U8)</f>
        <v>715.37000000000012</v>
      </c>
      <c r="W8" s="87">
        <f>TREND(B8:U8,$B$25:$U$25,2013)</f>
        <v>715.55</v>
      </c>
    </row>
    <row r="9" spans="1:23" x14ac:dyDescent="0.2">
      <c r="A9" s="84" t="s">
        <v>92</v>
      </c>
      <c r="B9" s="85">
        <v>635.70000000000005</v>
      </c>
      <c r="C9" s="85">
        <v>686.8</v>
      </c>
      <c r="D9" s="85">
        <v>737.5</v>
      </c>
      <c r="E9" s="85">
        <v>707</v>
      </c>
      <c r="F9" s="85">
        <v>689.8</v>
      </c>
      <c r="G9" s="85">
        <v>593</v>
      </c>
      <c r="H9" s="85">
        <v>512.20000000000005</v>
      </c>
      <c r="I9" s="85">
        <v>548.1</v>
      </c>
      <c r="J9" s="85">
        <v>612.70000000000005</v>
      </c>
      <c r="K9" s="85">
        <v>587.6</v>
      </c>
      <c r="L9" s="85">
        <v>540.20000000000005</v>
      </c>
      <c r="M9" s="85">
        <v>699</v>
      </c>
      <c r="N9" s="85">
        <v>631.70000000000005</v>
      </c>
      <c r="O9" s="85">
        <v>616.4</v>
      </c>
      <c r="P9" s="85">
        <v>604.29999999999995</v>
      </c>
      <c r="Q9" s="85">
        <v>740.1</v>
      </c>
      <c r="R9" s="85">
        <v>674.7</v>
      </c>
      <c r="S9" s="85">
        <v>606.4</v>
      </c>
      <c r="T9" s="85">
        <v>598.29999999999995</v>
      </c>
      <c r="U9" s="85">
        <v>654.20000000000005</v>
      </c>
      <c r="V9" s="86">
        <f t="shared" ref="V9:V19" si="1">AVERAGE(L9:U9)</f>
        <v>636.53</v>
      </c>
      <c r="W9" s="87">
        <f t="shared" ref="W9:W19" si="2">TREND(B9:U9,$B$25:$U$25,2013)</f>
        <v>620.59458646616531</v>
      </c>
    </row>
    <row r="10" spans="1:23" x14ac:dyDescent="0.2">
      <c r="A10" s="84" t="s">
        <v>93</v>
      </c>
      <c r="B10" s="85">
        <v>593</v>
      </c>
      <c r="C10" s="85">
        <v>530.1</v>
      </c>
      <c r="D10" s="85">
        <v>581.5</v>
      </c>
      <c r="E10" s="85">
        <v>498.1</v>
      </c>
      <c r="F10" s="85">
        <v>645.6</v>
      </c>
      <c r="G10" s="85">
        <v>600</v>
      </c>
      <c r="H10" s="85">
        <v>492.3</v>
      </c>
      <c r="I10" s="85">
        <v>550.6</v>
      </c>
      <c r="J10" s="85">
        <v>418.6</v>
      </c>
      <c r="K10" s="85">
        <v>566.6</v>
      </c>
      <c r="L10" s="85">
        <v>545.6</v>
      </c>
      <c r="M10" s="85">
        <v>581.1</v>
      </c>
      <c r="N10" s="85">
        <v>487.3</v>
      </c>
      <c r="O10" s="85">
        <v>608.6</v>
      </c>
      <c r="P10" s="85">
        <v>516.6</v>
      </c>
      <c r="Q10" s="85">
        <v>546.70000000000005</v>
      </c>
      <c r="R10" s="85">
        <v>610.20000000000005</v>
      </c>
      <c r="S10" s="85">
        <v>533.79999999999995</v>
      </c>
      <c r="T10" s="85">
        <v>422.8</v>
      </c>
      <c r="U10" s="85">
        <v>572.79999999999995</v>
      </c>
      <c r="V10" s="86">
        <f t="shared" si="1"/>
        <v>542.54999999999995</v>
      </c>
      <c r="W10" s="87">
        <f t="shared" si="2"/>
        <v>524.85759398496248</v>
      </c>
    </row>
    <row r="11" spans="1:23" x14ac:dyDescent="0.2">
      <c r="A11" s="84" t="s">
        <v>94</v>
      </c>
      <c r="B11" s="85">
        <v>372.8</v>
      </c>
      <c r="C11" s="85">
        <v>280.3</v>
      </c>
      <c r="D11" s="85">
        <v>320.2</v>
      </c>
      <c r="E11" s="85">
        <v>417.6</v>
      </c>
      <c r="F11" s="85">
        <v>408.2</v>
      </c>
      <c r="G11" s="85">
        <v>366.8</v>
      </c>
      <c r="H11" s="85">
        <v>282</v>
      </c>
      <c r="I11" s="85">
        <v>296.7</v>
      </c>
      <c r="J11" s="85">
        <v>339.2</v>
      </c>
      <c r="K11" s="85">
        <v>293.8</v>
      </c>
      <c r="L11" s="85">
        <v>329.5</v>
      </c>
      <c r="M11" s="85">
        <v>372.5</v>
      </c>
      <c r="N11" s="85">
        <v>331.5</v>
      </c>
      <c r="O11" s="85">
        <v>306.8</v>
      </c>
      <c r="P11" s="85">
        <v>293.3</v>
      </c>
      <c r="Q11" s="85">
        <v>356.4</v>
      </c>
      <c r="R11" s="85">
        <v>253.9</v>
      </c>
      <c r="S11" s="85">
        <v>305.8</v>
      </c>
      <c r="T11" s="85">
        <v>225.1</v>
      </c>
      <c r="U11" s="85">
        <v>332.3</v>
      </c>
      <c r="V11" s="86">
        <f t="shared" si="1"/>
        <v>310.71000000000004</v>
      </c>
      <c r="W11" s="87">
        <f t="shared" si="2"/>
        <v>282.73037593984918</v>
      </c>
    </row>
    <row r="12" spans="1:23" x14ac:dyDescent="0.2">
      <c r="A12" s="84" t="s">
        <v>95</v>
      </c>
      <c r="B12" s="85">
        <v>179.2</v>
      </c>
      <c r="C12" s="85">
        <v>182</v>
      </c>
      <c r="D12" s="85">
        <v>199.7</v>
      </c>
      <c r="E12" s="85">
        <v>149.19999999999999</v>
      </c>
      <c r="F12" s="85">
        <v>205.9</v>
      </c>
      <c r="G12" s="85">
        <v>260.8</v>
      </c>
      <c r="H12" s="85">
        <v>59.1</v>
      </c>
      <c r="I12" s="85">
        <v>97.1</v>
      </c>
      <c r="J12" s="85">
        <v>139.6</v>
      </c>
      <c r="K12" s="85">
        <v>111.5</v>
      </c>
      <c r="L12" s="85">
        <v>227.5</v>
      </c>
      <c r="M12" s="85">
        <v>177.9</v>
      </c>
      <c r="N12" s="85">
        <v>158.9</v>
      </c>
      <c r="O12" s="85">
        <v>189.4</v>
      </c>
      <c r="P12" s="85">
        <v>136.9</v>
      </c>
      <c r="Q12" s="85">
        <v>136.4</v>
      </c>
      <c r="R12" s="85">
        <v>193.5</v>
      </c>
      <c r="S12" s="85">
        <v>158.80000000000001</v>
      </c>
      <c r="T12" s="85">
        <v>107.9</v>
      </c>
      <c r="U12" s="85">
        <v>134.1</v>
      </c>
      <c r="V12" s="86">
        <f t="shared" si="1"/>
        <v>162.13</v>
      </c>
      <c r="W12" s="87">
        <f t="shared" si="2"/>
        <v>137.94616541353389</v>
      </c>
    </row>
    <row r="13" spans="1:23" x14ac:dyDescent="0.2">
      <c r="A13" s="84" t="s">
        <v>96</v>
      </c>
      <c r="B13" s="85">
        <v>67.099999999999994</v>
      </c>
      <c r="C13" s="85">
        <v>46.5</v>
      </c>
      <c r="D13" s="85">
        <v>35.6</v>
      </c>
      <c r="E13" s="85">
        <v>20</v>
      </c>
      <c r="F13" s="85">
        <v>20.9</v>
      </c>
      <c r="G13" s="85">
        <v>20.6</v>
      </c>
      <c r="H13" s="85">
        <v>54.7</v>
      </c>
      <c r="I13" s="85">
        <v>25</v>
      </c>
      <c r="J13" s="85">
        <v>34.5</v>
      </c>
      <c r="K13" s="85">
        <v>29.8</v>
      </c>
      <c r="L13" s="85">
        <v>36.200000000000003</v>
      </c>
      <c r="M13" s="85">
        <v>43.4</v>
      </c>
      <c r="N13" s="85">
        <v>44.2</v>
      </c>
      <c r="O13" s="85">
        <v>8.9</v>
      </c>
      <c r="P13" s="85">
        <v>19.5</v>
      </c>
      <c r="Q13" s="85">
        <v>16.5</v>
      </c>
      <c r="R13" s="85">
        <v>22.7</v>
      </c>
      <c r="S13" s="85">
        <v>49.3</v>
      </c>
      <c r="T13" s="85">
        <v>21.7</v>
      </c>
      <c r="U13" s="85">
        <v>19</v>
      </c>
      <c r="V13" s="86">
        <f t="shared" si="1"/>
        <v>28.139999999999997</v>
      </c>
      <c r="W13" s="87">
        <f t="shared" si="2"/>
        <v>20.177894736842291</v>
      </c>
    </row>
    <row r="14" spans="1:23" x14ac:dyDescent="0.2">
      <c r="A14" s="84" t="s">
        <v>97</v>
      </c>
      <c r="B14" s="85">
        <v>23.7</v>
      </c>
      <c r="C14" s="85">
        <v>0.6</v>
      </c>
      <c r="D14" s="85">
        <v>2.4</v>
      </c>
      <c r="E14" s="85">
        <v>10.3</v>
      </c>
      <c r="F14" s="85">
        <v>10.3</v>
      </c>
      <c r="G14" s="85">
        <v>12.4</v>
      </c>
      <c r="H14" s="85">
        <v>1</v>
      </c>
      <c r="I14" s="85">
        <v>0</v>
      </c>
      <c r="J14" s="85">
        <v>6.6</v>
      </c>
      <c r="K14" s="85">
        <v>9.3000000000000007</v>
      </c>
      <c r="L14" s="85">
        <v>0</v>
      </c>
      <c r="M14" s="85">
        <v>0.2</v>
      </c>
      <c r="N14" s="85">
        <v>3.6</v>
      </c>
      <c r="O14" s="85">
        <v>0</v>
      </c>
      <c r="P14" s="85">
        <v>0</v>
      </c>
      <c r="Q14" s="85">
        <v>3.2</v>
      </c>
      <c r="R14" s="85">
        <v>1</v>
      </c>
      <c r="S14" s="85">
        <v>6.2</v>
      </c>
      <c r="T14" s="85">
        <v>1.8</v>
      </c>
      <c r="U14" s="85">
        <v>0</v>
      </c>
      <c r="V14" s="86">
        <f t="shared" si="1"/>
        <v>1.6</v>
      </c>
      <c r="W14" s="87">
        <f t="shared" si="2"/>
        <v>-1.4312781954886304</v>
      </c>
    </row>
    <row r="15" spans="1:23" x14ac:dyDescent="0.2">
      <c r="A15" s="84" t="s">
        <v>98</v>
      </c>
      <c r="B15" s="85">
        <v>35.299999999999997</v>
      </c>
      <c r="C15" s="85">
        <v>9.6999999999999993</v>
      </c>
      <c r="D15" s="85">
        <v>24.5</v>
      </c>
      <c r="E15" s="85">
        <v>4.5999999999999996</v>
      </c>
      <c r="F15" s="85">
        <v>2.5</v>
      </c>
      <c r="G15" s="85">
        <v>17</v>
      </c>
      <c r="H15" s="85">
        <v>3.4</v>
      </c>
      <c r="I15" s="85">
        <v>8.4</v>
      </c>
      <c r="J15" s="85">
        <v>11.5</v>
      </c>
      <c r="K15" s="85">
        <v>0</v>
      </c>
      <c r="L15" s="85">
        <v>0.2</v>
      </c>
      <c r="M15" s="85">
        <v>2</v>
      </c>
      <c r="N15" s="85">
        <v>12.8</v>
      </c>
      <c r="O15" s="85">
        <v>0.2</v>
      </c>
      <c r="P15" s="85">
        <v>4.2</v>
      </c>
      <c r="Q15" s="85">
        <v>5.2</v>
      </c>
      <c r="R15" s="85">
        <v>12.7</v>
      </c>
      <c r="S15" s="85">
        <v>9.8000000000000007</v>
      </c>
      <c r="T15" s="85">
        <v>2.1</v>
      </c>
      <c r="U15" s="85">
        <v>0</v>
      </c>
      <c r="V15" s="86">
        <f t="shared" si="1"/>
        <v>4.92</v>
      </c>
      <c r="W15" s="87">
        <f t="shared" si="2"/>
        <v>-0.594962406014929</v>
      </c>
    </row>
    <row r="16" spans="1:23" x14ac:dyDescent="0.2">
      <c r="A16" s="84" t="s">
        <v>99</v>
      </c>
      <c r="B16" s="85">
        <v>123.5</v>
      </c>
      <c r="C16" s="85">
        <v>77.2</v>
      </c>
      <c r="D16" s="85">
        <v>76.2</v>
      </c>
      <c r="E16" s="85">
        <v>133.69999999999999</v>
      </c>
      <c r="F16" s="85">
        <v>71.599999999999994</v>
      </c>
      <c r="G16" s="85">
        <v>87.1</v>
      </c>
      <c r="H16" s="85">
        <v>39.700000000000003</v>
      </c>
      <c r="I16" s="85">
        <v>49.3</v>
      </c>
      <c r="J16" s="85">
        <v>99.5</v>
      </c>
      <c r="K16" s="85">
        <v>73.599999999999994</v>
      </c>
      <c r="L16" s="85">
        <v>21.8</v>
      </c>
      <c r="M16" s="85">
        <v>54.9</v>
      </c>
      <c r="N16" s="85">
        <v>30</v>
      </c>
      <c r="O16" s="85">
        <v>22.6</v>
      </c>
      <c r="P16" s="85">
        <v>80.900000000000006</v>
      </c>
      <c r="Q16" s="85">
        <v>36.9</v>
      </c>
      <c r="R16" s="85">
        <v>59</v>
      </c>
      <c r="S16" s="85">
        <v>55.2</v>
      </c>
      <c r="T16" s="85">
        <v>78.099999999999994</v>
      </c>
      <c r="U16" s="85">
        <v>48.2</v>
      </c>
      <c r="V16" s="86">
        <f t="shared" si="1"/>
        <v>48.76</v>
      </c>
      <c r="W16" s="87">
        <f t="shared" si="2"/>
        <v>35.33406015037599</v>
      </c>
    </row>
    <row r="17" spans="1:23" x14ac:dyDescent="0.2">
      <c r="A17" s="84" t="s">
        <v>100</v>
      </c>
      <c r="B17" s="85">
        <v>328.5</v>
      </c>
      <c r="C17" s="85">
        <v>200.8</v>
      </c>
      <c r="D17" s="85">
        <v>249.3</v>
      </c>
      <c r="E17" s="85">
        <v>219.4</v>
      </c>
      <c r="F17" s="85">
        <v>273.10000000000002</v>
      </c>
      <c r="G17" s="85">
        <v>266.89999999999998</v>
      </c>
      <c r="H17" s="85">
        <v>223.4</v>
      </c>
      <c r="I17" s="85">
        <v>267.60000000000002</v>
      </c>
      <c r="J17" s="85">
        <v>212.7</v>
      </c>
      <c r="K17" s="85">
        <v>232.5</v>
      </c>
      <c r="L17" s="85">
        <v>292.2</v>
      </c>
      <c r="M17" s="85">
        <v>276</v>
      </c>
      <c r="N17" s="85">
        <v>226.3</v>
      </c>
      <c r="O17" s="85">
        <v>220.2</v>
      </c>
      <c r="P17" s="85">
        <v>288.3</v>
      </c>
      <c r="Q17" s="85">
        <v>137.69999999999999</v>
      </c>
      <c r="R17" s="85">
        <v>278.60000000000002</v>
      </c>
      <c r="S17" s="85">
        <v>287.8</v>
      </c>
      <c r="T17" s="85">
        <v>241.6</v>
      </c>
      <c r="U17" s="85">
        <v>235.5</v>
      </c>
      <c r="V17" s="86">
        <f t="shared" si="1"/>
        <v>248.42000000000002</v>
      </c>
      <c r="W17" s="87">
        <f t="shared" si="2"/>
        <v>239.25263157894756</v>
      </c>
    </row>
    <row r="18" spans="1:23" x14ac:dyDescent="0.2">
      <c r="A18" s="84" t="s">
        <v>101</v>
      </c>
      <c r="B18" s="85">
        <v>456.2</v>
      </c>
      <c r="C18" s="85">
        <v>312.5</v>
      </c>
      <c r="D18" s="85">
        <v>379</v>
      </c>
      <c r="E18" s="85">
        <v>511.4</v>
      </c>
      <c r="F18" s="85">
        <v>512.1</v>
      </c>
      <c r="G18" s="85">
        <v>466.5</v>
      </c>
      <c r="H18" s="85">
        <v>392.6</v>
      </c>
      <c r="I18" s="85">
        <v>367.5</v>
      </c>
      <c r="J18" s="85">
        <v>432</v>
      </c>
      <c r="K18" s="85">
        <v>325.8</v>
      </c>
      <c r="L18" s="85">
        <v>445</v>
      </c>
      <c r="M18" s="85">
        <v>398.5</v>
      </c>
      <c r="N18" s="85">
        <v>379.1</v>
      </c>
      <c r="O18" s="85">
        <v>388.4</v>
      </c>
      <c r="P18" s="85">
        <v>382.2</v>
      </c>
      <c r="Q18" s="85">
        <v>462.5</v>
      </c>
      <c r="R18" s="85">
        <v>451.6</v>
      </c>
      <c r="S18" s="85">
        <v>361.2</v>
      </c>
      <c r="T18" s="85">
        <v>405.3</v>
      </c>
      <c r="U18" s="85">
        <v>342.1</v>
      </c>
      <c r="V18" s="86">
        <f t="shared" si="1"/>
        <v>401.59</v>
      </c>
      <c r="W18" s="87">
        <f t="shared" si="2"/>
        <v>383.57157894736883</v>
      </c>
    </row>
    <row r="19" spans="1:23" x14ac:dyDescent="0.2">
      <c r="A19" s="84" t="s">
        <v>102</v>
      </c>
      <c r="B19" s="85">
        <v>518.1</v>
      </c>
      <c r="C19" s="85">
        <v>503.5</v>
      </c>
      <c r="D19" s="85">
        <v>562.5</v>
      </c>
      <c r="E19" s="85">
        <v>717.5</v>
      </c>
      <c r="F19" s="85">
        <v>571.6</v>
      </c>
      <c r="G19" s="85">
        <v>586.20000000000005</v>
      </c>
      <c r="H19" s="85">
        <v>535.1</v>
      </c>
      <c r="I19" s="85">
        <v>579.29999999999995</v>
      </c>
      <c r="J19" s="85">
        <v>780.3</v>
      </c>
      <c r="K19" s="85">
        <v>505</v>
      </c>
      <c r="L19" s="85">
        <v>619.4</v>
      </c>
      <c r="M19" s="85">
        <v>561.5</v>
      </c>
      <c r="N19" s="85">
        <v>643.4</v>
      </c>
      <c r="O19" s="85">
        <v>665.3</v>
      </c>
      <c r="P19" s="85">
        <v>500.5</v>
      </c>
      <c r="Q19" s="85">
        <v>630.70000000000005</v>
      </c>
      <c r="R19" s="85">
        <v>654.6</v>
      </c>
      <c r="S19" s="85">
        <v>631.29999999999995</v>
      </c>
      <c r="T19" s="85">
        <v>676.2</v>
      </c>
      <c r="U19" s="85">
        <v>534</v>
      </c>
      <c r="V19" s="86">
        <f t="shared" si="1"/>
        <v>611.69000000000005</v>
      </c>
      <c r="W19" s="87">
        <f t="shared" si="2"/>
        <v>633.56804511278187</v>
      </c>
    </row>
    <row r="20" spans="1:23" x14ac:dyDescent="0.2">
      <c r="A20" s="84"/>
      <c r="B20" s="84"/>
      <c r="C20" s="84"/>
      <c r="D20" s="84"/>
      <c r="E20" s="84"/>
      <c r="F20" s="84"/>
      <c r="G20" s="84"/>
      <c r="R20" s="84"/>
      <c r="S20" s="84"/>
      <c r="T20" s="84"/>
      <c r="U20" s="84"/>
    </row>
    <row r="21" spans="1:23" x14ac:dyDescent="0.2">
      <c r="A21" s="84" t="s">
        <v>10</v>
      </c>
      <c r="B21" s="85">
        <f>SUM(B8:B19)</f>
        <v>4020.9999999999995</v>
      </c>
      <c r="C21" s="85">
        <f t="shared" ref="C21:U21" si="3">SUM(C8:C19)</f>
        <v>3465.1</v>
      </c>
      <c r="D21" s="85">
        <f t="shared" si="3"/>
        <v>4109.7999999999993</v>
      </c>
      <c r="E21" s="85">
        <f t="shared" si="3"/>
        <v>4042</v>
      </c>
      <c r="F21" s="85">
        <f t="shared" si="3"/>
        <v>4176.8</v>
      </c>
      <c r="G21" s="85">
        <f t="shared" si="3"/>
        <v>4033.9000000000005</v>
      </c>
      <c r="H21" s="85">
        <f t="shared" si="3"/>
        <v>3220.2999999999997</v>
      </c>
      <c r="I21" s="85">
        <f t="shared" si="3"/>
        <v>3539.3999999999996</v>
      </c>
      <c r="J21" s="85">
        <f t="shared" si="3"/>
        <v>3826.0999999999995</v>
      </c>
      <c r="K21" s="85">
        <f t="shared" si="3"/>
        <v>3420.4000000000005</v>
      </c>
      <c r="L21" s="85">
        <f t="shared" si="3"/>
        <v>3629.7999999999997</v>
      </c>
      <c r="M21" s="85">
        <f t="shared" si="3"/>
        <v>3981.5</v>
      </c>
      <c r="N21" s="85">
        <f t="shared" si="3"/>
        <v>3797.9000000000005</v>
      </c>
      <c r="O21" s="85">
        <f t="shared" si="3"/>
        <v>3796.8</v>
      </c>
      <c r="P21" s="85">
        <f t="shared" si="3"/>
        <v>3378.4999999999995</v>
      </c>
      <c r="Q21" s="85">
        <f t="shared" si="3"/>
        <v>3719.3999999999996</v>
      </c>
      <c r="R21" s="85">
        <f t="shared" si="3"/>
        <v>3835.9999999999995</v>
      </c>
      <c r="S21" s="85">
        <f t="shared" si="3"/>
        <v>3835.8</v>
      </c>
      <c r="T21" s="85">
        <f t="shared" si="3"/>
        <v>3500.8999999999996</v>
      </c>
      <c r="U21" s="85">
        <f t="shared" si="3"/>
        <v>3647.4999999999995</v>
      </c>
    </row>
    <row r="22" spans="1:23" x14ac:dyDescent="0.2">
      <c r="A22" s="79"/>
      <c r="B22" s="79"/>
      <c r="C22" s="79"/>
      <c r="D22" s="79"/>
      <c r="E22" s="79"/>
      <c r="F22" s="80"/>
      <c r="G22" s="80"/>
    </row>
    <row r="23" spans="1:23" x14ac:dyDescent="0.2">
      <c r="A23" s="79" t="s">
        <v>103</v>
      </c>
      <c r="B23" s="79"/>
      <c r="C23" s="79"/>
      <c r="D23" s="79"/>
      <c r="E23" s="79"/>
      <c r="F23" s="80"/>
      <c r="G23" s="80"/>
    </row>
    <row r="24" spans="1:23" x14ac:dyDescent="0.2">
      <c r="A24" s="81"/>
      <c r="B24" s="81"/>
      <c r="C24" s="81"/>
      <c r="D24" s="81"/>
      <c r="E24" s="81"/>
      <c r="F24" s="82"/>
      <c r="G24" s="82"/>
    </row>
    <row r="25" spans="1:23" x14ac:dyDescent="0.2">
      <c r="A25" s="83" t="s">
        <v>90</v>
      </c>
      <c r="B25" s="83">
        <v>1992</v>
      </c>
      <c r="C25" s="83">
        <v>1993</v>
      </c>
      <c r="D25" s="83">
        <v>1994</v>
      </c>
      <c r="E25" s="83">
        <v>1995</v>
      </c>
      <c r="F25" s="83">
        <v>1996</v>
      </c>
      <c r="G25" s="83">
        <v>1997</v>
      </c>
      <c r="H25" s="83">
        <v>1998</v>
      </c>
      <c r="I25" s="83">
        <v>1999</v>
      </c>
      <c r="J25" s="83">
        <v>2000</v>
      </c>
      <c r="K25" s="83">
        <v>2001</v>
      </c>
      <c r="L25" s="83">
        <v>2002</v>
      </c>
      <c r="M25" s="83">
        <v>2003</v>
      </c>
      <c r="N25" s="83">
        <v>2004</v>
      </c>
      <c r="O25" s="83">
        <v>2005</v>
      </c>
      <c r="P25" s="83">
        <v>2006</v>
      </c>
      <c r="Q25" s="83">
        <v>2007</v>
      </c>
      <c r="R25" s="83">
        <v>2008</v>
      </c>
      <c r="S25" s="83">
        <v>2009</v>
      </c>
      <c r="T25" s="83">
        <v>2010</v>
      </c>
      <c r="U25" s="83">
        <v>2011</v>
      </c>
      <c r="V25" s="88" t="s">
        <v>104</v>
      </c>
      <c r="W25" s="88" t="s">
        <v>105</v>
      </c>
    </row>
    <row r="26" spans="1:23" x14ac:dyDescent="0.2">
      <c r="A26" s="81"/>
      <c r="B26" s="81"/>
      <c r="C26" s="81"/>
      <c r="D26" s="81"/>
      <c r="E26" s="81"/>
      <c r="F26" s="80"/>
      <c r="G26" s="80"/>
      <c r="V26" s="89"/>
      <c r="W26" s="89"/>
    </row>
    <row r="27" spans="1:23" x14ac:dyDescent="0.2">
      <c r="F27" s="80"/>
      <c r="G27" s="80"/>
      <c r="V27" s="89"/>
      <c r="W27" s="89"/>
    </row>
    <row r="28" spans="1:23" x14ac:dyDescent="0.2">
      <c r="A28" s="84" t="s">
        <v>91</v>
      </c>
      <c r="B28" s="85">
        <v>0</v>
      </c>
      <c r="C28" s="85">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6">
        <f>AVERAGE(L28:U28)</f>
        <v>0</v>
      </c>
      <c r="W28" s="87">
        <f>TREND(B28:U28,$B$25:$U$25,2013)</f>
        <v>0</v>
      </c>
    </row>
    <row r="29" spans="1:23" x14ac:dyDescent="0.2">
      <c r="A29" s="84" t="s">
        <v>92</v>
      </c>
      <c r="B29" s="85">
        <v>0</v>
      </c>
      <c r="C29" s="85">
        <v>0</v>
      </c>
      <c r="D29" s="85">
        <v>0</v>
      </c>
      <c r="E29" s="85">
        <v>0</v>
      </c>
      <c r="F29" s="85">
        <v>0</v>
      </c>
      <c r="G29" s="85">
        <v>0</v>
      </c>
      <c r="H29" s="85">
        <v>0</v>
      </c>
      <c r="I29" s="85">
        <v>0</v>
      </c>
      <c r="J29" s="85">
        <v>0</v>
      </c>
      <c r="K29" s="85">
        <v>0</v>
      </c>
      <c r="L29" s="85">
        <v>0</v>
      </c>
      <c r="M29" s="85">
        <v>0</v>
      </c>
      <c r="N29" s="85">
        <v>0</v>
      </c>
      <c r="O29" s="85">
        <v>0</v>
      </c>
      <c r="P29" s="85">
        <v>0</v>
      </c>
      <c r="Q29" s="85">
        <v>0</v>
      </c>
      <c r="R29" s="85">
        <v>0</v>
      </c>
      <c r="S29" s="85">
        <v>0</v>
      </c>
      <c r="T29" s="85">
        <v>0</v>
      </c>
      <c r="U29" s="85">
        <v>0</v>
      </c>
      <c r="V29" s="86">
        <f t="shared" ref="V29:V39" si="4">AVERAGE(L29:U29)</f>
        <v>0</v>
      </c>
      <c r="W29" s="87">
        <f t="shared" ref="W29:W39" si="5">TREND(B29:U29,$B$25:$U$25,2013)</f>
        <v>0</v>
      </c>
    </row>
    <row r="30" spans="1:23" x14ac:dyDescent="0.2">
      <c r="A30" s="84" t="s">
        <v>93</v>
      </c>
      <c r="B30" s="85">
        <v>0</v>
      </c>
      <c r="C30" s="85">
        <v>0</v>
      </c>
      <c r="D30" s="85">
        <v>0</v>
      </c>
      <c r="E30" s="85">
        <v>0</v>
      </c>
      <c r="F30" s="85">
        <v>0</v>
      </c>
      <c r="G30" s="85">
        <v>0</v>
      </c>
      <c r="H30" s="85">
        <v>0</v>
      </c>
      <c r="I30" s="85">
        <v>0</v>
      </c>
      <c r="J30" s="85">
        <v>0</v>
      </c>
      <c r="K30" s="85">
        <v>0</v>
      </c>
      <c r="L30" s="85">
        <v>0</v>
      </c>
      <c r="M30" s="85">
        <v>0</v>
      </c>
      <c r="N30" s="85">
        <v>0</v>
      </c>
      <c r="O30" s="85">
        <v>0</v>
      </c>
      <c r="P30" s="85">
        <v>0</v>
      </c>
      <c r="Q30" s="85">
        <v>0</v>
      </c>
      <c r="R30" s="85">
        <v>0</v>
      </c>
      <c r="S30" s="85">
        <v>0</v>
      </c>
      <c r="T30" s="85">
        <v>0</v>
      </c>
      <c r="U30" s="85">
        <v>0</v>
      </c>
      <c r="V30" s="86">
        <f t="shared" si="4"/>
        <v>0</v>
      </c>
      <c r="W30" s="87">
        <f t="shared" si="5"/>
        <v>0</v>
      </c>
    </row>
    <row r="31" spans="1:23" x14ac:dyDescent="0.2">
      <c r="A31" s="84" t="s">
        <v>94</v>
      </c>
      <c r="B31" s="85">
        <v>0</v>
      </c>
      <c r="C31" s="85">
        <v>0</v>
      </c>
      <c r="D31" s="85">
        <v>0.5</v>
      </c>
      <c r="E31" s="85">
        <v>0</v>
      </c>
      <c r="F31" s="85">
        <v>0</v>
      </c>
      <c r="G31" s="85">
        <v>0</v>
      </c>
      <c r="H31" s="85">
        <v>0</v>
      </c>
      <c r="I31" s="85">
        <v>0</v>
      </c>
      <c r="J31" s="85">
        <v>0</v>
      </c>
      <c r="K31" s="85">
        <v>1.4</v>
      </c>
      <c r="L31" s="85">
        <v>8.3000000000000007</v>
      </c>
      <c r="M31" s="85">
        <v>2.4</v>
      </c>
      <c r="N31" s="85">
        <v>0</v>
      </c>
      <c r="O31" s="85">
        <v>0</v>
      </c>
      <c r="P31" s="85">
        <v>0</v>
      </c>
      <c r="Q31" s="85">
        <v>0</v>
      </c>
      <c r="R31" s="85">
        <v>0</v>
      </c>
      <c r="S31" s="85">
        <v>1.2</v>
      </c>
      <c r="T31" s="85">
        <v>0</v>
      </c>
      <c r="U31" s="85">
        <v>0</v>
      </c>
      <c r="V31" s="86">
        <f t="shared" si="4"/>
        <v>1.19</v>
      </c>
      <c r="W31" s="87">
        <f t="shared" si="5"/>
        <v>0.90270676691729079</v>
      </c>
    </row>
    <row r="32" spans="1:23" x14ac:dyDescent="0.2">
      <c r="A32" s="84" t="s">
        <v>95</v>
      </c>
      <c r="B32" s="85">
        <v>3.3</v>
      </c>
      <c r="C32" s="85">
        <v>4.3</v>
      </c>
      <c r="D32" s="85">
        <v>8.1999999999999993</v>
      </c>
      <c r="E32" s="85">
        <v>3.5</v>
      </c>
      <c r="F32" s="85">
        <v>8.6</v>
      </c>
      <c r="G32" s="85">
        <v>0</v>
      </c>
      <c r="H32" s="85">
        <v>28.6</v>
      </c>
      <c r="I32" s="85">
        <v>19.399999999999999</v>
      </c>
      <c r="J32" s="85">
        <v>23.7</v>
      </c>
      <c r="K32" s="85">
        <v>12.2</v>
      </c>
      <c r="L32" s="85">
        <v>7.8</v>
      </c>
      <c r="M32" s="85">
        <v>0</v>
      </c>
      <c r="N32" s="85">
        <v>8.6</v>
      </c>
      <c r="O32" s="85">
        <v>0.8</v>
      </c>
      <c r="P32" s="85">
        <v>26</v>
      </c>
      <c r="Q32" s="85">
        <v>22.4</v>
      </c>
      <c r="R32" s="85">
        <v>2.5</v>
      </c>
      <c r="S32" s="85">
        <v>6.9</v>
      </c>
      <c r="T32" s="85">
        <v>45.7</v>
      </c>
      <c r="U32" s="85">
        <v>13</v>
      </c>
      <c r="V32" s="86">
        <f t="shared" si="4"/>
        <v>13.37</v>
      </c>
      <c r="W32" s="87">
        <f t="shared" si="5"/>
        <v>20.2065413533835</v>
      </c>
    </row>
    <row r="33" spans="1:25" x14ac:dyDescent="0.2">
      <c r="A33" s="84" t="s">
        <v>96</v>
      </c>
      <c r="B33" s="85">
        <v>18.5</v>
      </c>
      <c r="C33" s="85">
        <v>17.899999999999999</v>
      </c>
      <c r="D33" s="85">
        <v>67.7</v>
      </c>
      <c r="E33" s="85">
        <v>77.900000000000006</v>
      </c>
      <c r="F33" s="85">
        <v>38.299999999999997</v>
      </c>
      <c r="G33" s="85">
        <v>73.2</v>
      </c>
      <c r="H33" s="85">
        <v>82.4</v>
      </c>
      <c r="I33" s="85">
        <v>96</v>
      </c>
      <c r="J33" s="85">
        <v>41.1</v>
      </c>
      <c r="K33" s="85">
        <v>79.7</v>
      </c>
      <c r="L33" s="85">
        <v>70</v>
      </c>
      <c r="M33" s="85">
        <v>52.9</v>
      </c>
      <c r="N33" s="85">
        <v>31.6</v>
      </c>
      <c r="O33" s="85">
        <v>146.30000000000001</v>
      </c>
      <c r="P33" s="85">
        <v>73.599999999999994</v>
      </c>
      <c r="Q33" s="85">
        <v>99.2</v>
      </c>
      <c r="R33" s="85">
        <v>71.5</v>
      </c>
      <c r="S33" s="85">
        <v>34.200000000000003</v>
      </c>
      <c r="T33" s="85">
        <v>58.7</v>
      </c>
      <c r="U33" s="85">
        <v>52.2</v>
      </c>
      <c r="V33" s="86">
        <f t="shared" si="4"/>
        <v>69.02000000000001</v>
      </c>
      <c r="W33" s="87">
        <f t="shared" si="5"/>
        <v>77.743533834586742</v>
      </c>
    </row>
    <row r="34" spans="1:25" x14ac:dyDescent="0.2">
      <c r="A34" s="84" t="s">
        <v>97</v>
      </c>
      <c r="B34" s="85">
        <v>24.5</v>
      </c>
      <c r="C34" s="85">
        <v>107.8</v>
      </c>
      <c r="D34" s="85">
        <v>111.2</v>
      </c>
      <c r="E34" s="85">
        <v>130.9</v>
      </c>
      <c r="F34" s="85">
        <v>59.6</v>
      </c>
      <c r="G34" s="85">
        <v>103</v>
      </c>
      <c r="H34" s="85">
        <v>101.3</v>
      </c>
      <c r="I34" s="85">
        <v>196.5</v>
      </c>
      <c r="J34" s="85">
        <v>71.8</v>
      </c>
      <c r="K34" s="85">
        <v>100.9</v>
      </c>
      <c r="L34" s="85">
        <v>192.4</v>
      </c>
      <c r="M34" s="85">
        <v>118.3</v>
      </c>
      <c r="N34" s="85">
        <v>86.4</v>
      </c>
      <c r="O34" s="85">
        <v>188.7</v>
      </c>
      <c r="P34" s="85">
        <v>167.3</v>
      </c>
      <c r="Q34" s="85">
        <v>106.1</v>
      </c>
      <c r="R34" s="85">
        <v>111</v>
      </c>
      <c r="S34" s="85">
        <v>43.7</v>
      </c>
      <c r="T34" s="85">
        <v>164.9</v>
      </c>
      <c r="U34" s="85">
        <v>198.5</v>
      </c>
      <c r="V34" s="86">
        <f t="shared" si="4"/>
        <v>137.72999999999999</v>
      </c>
      <c r="W34" s="87">
        <f t="shared" si="5"/>
        <v>157.18135338345837</v>
      </c>
    </row>
    <row r="35" spans="1:25" x14ac:dyDescent="0.2">
      <c r="A35" s="84" t="s">
        <v>98</v>
      </c>
      <c r="B35" s="85">
        <v>32.5</v>
      </c>
      <c r="C35" s="85">
        <v>103.5</v>
      </c>
      <c r="D35" s="85">
        <v>46.4</v>
      </c>
      <c r="E35" s="85">
        <v>122.9</v>
      </c>
      <c r="F35" s="85">
        <v>87.1</v>
      </c>
      <c r="G35" s="85">
        <v>46.8</v>
      </c>
      <c r="H35" s="85">
        <v>117.7</v>
      </c>
      <c r="I35" s="85">
        <v>79.099999999999994</v>
      </c>
      <c r="J35" s="85">
        <v>92.5</v>
      </c>
      <c r="K35" s="85">
        <v>160</v>
      </c>
      <c r="L35" s="85">
        <v>142.69999999999999</v>
      </c>
      <c r="M35" s="85">
        <v>128</v>
      </c>
      <c r="N35" s="85">
        <v>59.6</v>
      </c>
      <c r="O35" s="85">
        <v>140.69999999999999</v>
      </c>
      <c r="P35" s="85">
        <v>101.6</v>
      </c>
      <c r="Q35" s="85">
        <v>141</v>
      </c>
      <c r="R35" s="85">
        <v>64</v>
      </c>
      <c r="S35" s="85">
        <v>91</v>
      </c>
      <c r="T35" s="85">
        <v>138.80000000000001</v>
      </c>
      <c r="U35" s="85">
        <v>122.2</v>
      </c>
      <c r="V35" s="86">
        <f t="shared" si="4"/>
        <v>112.96000000000001</v>
      </c>
      <c r="W35" s="87">
        <f t="shared" si="5"/>
        <v>130.70556390977436</v>
      </c>
      <c r="Y35" t="s">
        <v>106</v>
      </c>
    </row>
    <row r="36" spans="1:25" x14ac:dyDescent="0.2">
      <c r="A36" s="84" t="s">
        <v>99</v>
      </c>
      <c r="B36" s="85">
        <v>23.3</v>
      </c>
      <c r="C36" s="85">
        <v>15.7</v>
      </c>
      <c r="D36" s="85">
        <v>13.7</v>
      </c>
      <c r="E36" s="85">
        <v>12.7</v>
      </c>
      <c r="F36" s="85">
        <v>27.1</v>
      </c>
      <c r="G36" s="85">
        <v>11.7</v>
      </c>
      <c r="H36" s="85">
        <v>45</v>
      </c>
      <c r="I36" s="85">
        <v>48.9</v>
      </c>
      <c r="J36" s="85">
        <v>35.200000000000003</v>
      </c>
      <c r="K36" s="85">
        <v>35.700000000000003</v>
      </c>
      <c r="L36" s="85">
        <v>87.6</v>
      </c>
      <c r="M36" s="85">
        <v>24</v>
      </c>
      <c r="N36" s="85">
        <v>41.2</v>
      </c>
      <c r="O36" s="85">
        <v>52.1</v>
      </c>
      <c r="P36" s="85">
        <v>12.9</v>
      </c>
      <c r="Q36" s="85">
        <v>47.5</v>
      </c>
      <c r="R36" s="85">
        <v>26.7</v>
      </c>
      <c r="S36" s="85">
        <v>20.9</v>
      </c>
      <c r="T36" s="85">
        <v>31.5</v>
      </c>
      <c r="U36" s="85">
        <v>39.700000000000003</v>
      </c>
      <c r="V36" s="86">
        <f t="shared" si="4"/>
        <v>38.409999999999997</v>
      </c>
      <c r="W36" s="87">
        <f t="shared" si="5"/>
        <v>42.468045112781965</v>
      </c>
    </row>
    <row r="37" spans="1:25" x14ac:dyDescent="0.2">
      <c r="A37" s="84" t="s">
        <v>100</v>
      </c>
      <c r="B37" s="85">
        <v>0</v>
      </c>
      <c r="C37" s="85">
        <v>2.5</v>
      </c>
      <c r="D37" s="85">
        <v>0</v>
      </c>
      <c r="E37" s="85">
        <v>3.2</v>
      </c>
      <c r="F37" s="85">
        <v>0</v>
      </c>
      <c r="G37" s="85">
        <v>2.8</v>
      </c>
      <c r="H37" s="85">
        <v>0</v>
      </c>
      <c r="I37" s="85">
        <v>0</v>
      </c>
      <c r="J37" s="85">
        <v>1.2</v>
      </c>
      <c r="K37" s="85">
        <v>2</v>
      </c>
      <c r="L37" s="85">
        <v>10</v>
      </c>
      <c r="M37" s="85">
        <v>0</v>
      </c>
      <c r="N37" s="85">
        <v>1.5</v>
      </c>
      <c r="O37" s="85">
        <v>7.6</v>
      </c>
      <c r="P37" s="85">
        <v>1.1000000000000001</v>
      </c>
      <c r="Q37" s="85">
        <v>19.8</v>
      </c>
      <c r="R37" s="85">
        <v>0</v>
      </c>
      <c r="S37" s="85">
        <v>0</v>
      </c>
      <c r="T37" s="85">
        <v>0</v>
      </c>
      <c r="U37" s="85">
        <v>2.4</v>
      </c>
      <c r="V37" s="86">
        <f t="shared" si="4"/>
        <v>4.24</v>
      </c>
      <c r="W37" s="87">
        <f t="shared" si="5"/>
        <v>4.6859398496240487</v>
      </c>
    </row>
    <row r="38" spans="1:25" x14ac:dyDescent="0.2">
      <c r="A38" s="84" t="s">
        <v>101</v>
      </c>
      <c r="B38" s="85">
        <v>0</v>
      </c>
      <c r="C38" s="85">
        <v>0</v>
      </c>
      <c r="D38" s="85">
        <v>0</v>
      </c>
      <c r="E38" s="85">
        <v>0</v>
      </c>
      <c r="F38" s="85">
        <v>0</v>
      </c>
      <c r="G38" s="85">
        <v>0</v>
      </c>
      <c r="H38" s="85">
        <v>0</v>
      </c>
      <c r="I38" s="85">
        <v>0</v>
      </c>
      <c r="J38" s="85">
        <v>0</v>
      </c>
      <c r="K38" s="85">
        <v>0</v>
      </c>
      <c r="L38" s="85">
        <v>0</v>
      </c>
      <c r="M38" s="85">
        <v>0</v>
      </c>
      <c r="N38" s="85">
        <v>0</v>
      </c>
      <c r="O38" s="85">
        <v>0</v>
      </c>
      <c r="P38" s="85">
        <v>0</v>
      </c>
      <c r="Q38" s="85">
        <v>0</v>
      </c>
      <c r="R38" s="85">
        <v>0</v>
      </c>
      <c r="S38" s="85">
        <v>0</v>
      </c>
      <c r="T38" s="85">
        <v>0</v>
      </c>
      <c r="U38" s="85">
        <v>0</v>
      </c>
      <c r="V38" s="86">
        <f t="shared" si="4"/>
        <v>0</v>
      </c>
      <c r="W38" s="87">
        <f t="shared" si="5"/>
        <v>0</v>
      </c>
    </row>
    <row r="39" spans="1:25" x14ac:dyDescent="0.2">
      <c r="A39" s="84" t="s">
        <v>102</v>
      </c>
      <c r="B39" s="85">
        <v>0</v>
      </c>
      <c r="C39" s="85">
        <v>0</v>
      </c>
      <c r="D39" s="85">
        <v>0</v>
      </c>
      <c r="E39" s="85">
        <v>0</v>
      </c>
      <c r="F39" s="85">
        <v>0</v>
      </c>
      <c r="G39" s="85">
        <v>0</v>
      </c>
      <c r="H39" s="85">
        <v>0</v>
      </c>
      <c r="I39" s="85">
        <v>0</v>
      </c>
      <c r="J39" s="85">
        <v>0</v>
      </c>
      <c r="K39" s="85">
        <v>0</v>
      </c>
      <c r="L39" s="85">
        <v>0</v>
      </c>
      <c r="M39" s="85">
        <v>0</v>
      </c>
      <c r="N39" s="85">
        <v>0</v>
      </c>
      <c r="O39" s="85">
        <v>0</v>
      </c>
      <c r="P39" s="85">
        <v>0</v>
      </c>
      <c r="Q39" s="85">
        <v>0</v>
      </c>
      <c r="R39" s="85">
        <v>0</v>
      </c>
      <c r="S39" s="85">
        <v>0</v>
      </c>
      <c r="T39" s="85">
        <v>0</v>
      </c>
      <c r="U39" s="85">
        <v>0</v>
      </c>
      <c r="V39" s="86">
        <f t="shared" si="4"/>
        <v>0</v>
      </c>
      <c r="W39" s="87">
        <f t="shared" si="5"/>
        <v>0</v>
      </c>
    </row>
    <row r="40" spans="1:25" x14ac:dyDescent="0.2">
      <c r="A40" s="84"/>
      <c r="B40" s="84"/>
      <c r="C40" s="84"/>
      <c r="D40" s="84"/>
      <c r="E40" s="84"/>
      <c r="F40" s="84"/>
      <c r="G40" s="84"/>
      <c r="H40" s="80"/>
      <c r="I40" s="80"/>
      <c r="R40" s="84"/>
      <c r="S40" s="84"/>
      <c r="T40" s="84"/>
      <c r="U40" s="84"/>
    </row>
    <row r="41" spans="1:25" x14ac:dyDescent="0.2">
      <c r="A41" s="84" t="s">
        <v>10</v>
      </c>
      <c r="B41" s="85">
        <f>SUM(B28:B39)</f>
        <v>102.1</v>
      </c>
      <c r="C41" s="85">
        <f t="shared" ref="C41:U41" si="6">SUM(C28:C39)</f>
        <v>251.7</v>
      </c>
      <c r="D41" s="85">
        <f t="shared" si="6"/>
        <v>247.70000000000002</v>
      </c>
      <c r="E41" s="85">
        <f t="shared" si="6"/>
        <v>351.1</v>
      </c>
      <c r="F41" s="85">
        <f t="shared" si="6"/>
        <v>220.7</v>
      </c>
      <c r="G41" s="85">
        <f t="shared" si="6"/>
        <v>237.5</v>
      </c>
      <c r="H41" s="85">
        <f t="shared" si="6"/>
        <v>375</v>
      </c>
      <c r="I41" s="85">
        <f t="shared" si="6"/>
        <v>439.9</v>
      </c>
      <c r="J41" s="85">
        <f t="shared" si="6"/>
        <v>265.5</v>
      </c>
      <c r="K41" s="85">
        <f t="shared" si="6"/>
        <v>391.9</v>
      </c>
      <c r="L41" s="85">
        <f t="shared" si="6"/>
        <v>518.79999999999995</v>
      </c>
      <c r="M41" s="85">
        <f t="shared" si="6"/>
        <v>325.60000000000002</v>
      </c>
      <c r="N41" s="85">
        <f t="shared" si="6"/>
        <v>228.90000000000003</v>
      </c>
      <c r="O41" s="85">
        <f t="shared" si="6"/>
        <v>536.20000000000005</v>
      </c>
      <c r="P41" s="85">
        <f t="shared" si="6"/>
        <v>382.5</v>
      </c>
      <c r="Q41" s="85">
        <f t="shared" si="6"/>
        <v>436</v>
      </c>
      <c r="R41" s="85">
        <f t="shared" si="6"/>
        <v>275.7</v>
      </c>
      <c r="S41" s="85">
        <f t="shared" si="6"/>
        <v>197.9</v>
      </c>
      <c r="T41" s="85">
        <f t="shared" si="6"/>
        <v>439.6</v>
      </c>
      <c r="U41" s="85">
        <f t="shared" si="6"/>
        <v>427.99999999999994</v>
      </c>
      <c r="V41" s="90"/>
      <c r="W41" s="90"/>
    </row>
    <row r="42" spans="1:25" x14ac:dyDescent="0.2">
      <c r="A42" s="84"/>
      <c r="B42" s="84"/>
      <c r="C42" s="84"/>
      <c r="D42" s="84"/>
      <c r="E42" s="84"/>
      <c r="F42" s="80"/>
      <c r="G42" s="80"/>
      <c r="H42" s="80"/>
      <c r="I42" s="80"/>
      <c r="J42" s="80"/>
      <c r="K42" s="80"/>
      <c r="L42" s="80"/>
      <c r="M42" s="80"/>
      <c r="N42" s="80"/>
      <c r="O42" s="80"/>
      <c r="P42" s="80"/>
      <c r="Q42" s="80"/>
    </row>
    <row r="43" spans="1:25" x14ac:dyDescent="0.2">
      <c r="A43" s="84"/>
      <c r="B43" s="84"/>
      <c r="C43" s="84"/>
      <c r="D43" s="84"/>
      <c r="E43" s="84"/>
      <c r="F43" s="80"/>
      <c r="G43" s="80"/>
      <c r="H43" s="80"/>
      <c r="I43" s="80"/>
    </row>
    <row r="44" spans="1:25" x14ac:dyDescent="0.2">
      <c r="A44" s="79"/>
      <c r="B44" s="79"/>
      <c r="C44" s="79"/>
      <c r="D44" s="79"/>
      <c r="E44" s="79"/>
      <c r="F44" s="80"/>
      <c r="G44" s="80"/>
    </row>
  </sheetData>
  <mergeCells count="1">
    <mergeCell ref="E1:F1"/>
  </mergeCells>
  <phoneticPr fontId="9" type="noConversion"/>
  <pageMargins left="0.5" right="0.5" top="0.75" bottom="0.75" header="0.5" footer="0.5"/>
  <pageSetup paperSize="5" scale="73" orientation="landscape" r:id="rId1"/>
  <headerFooter alignWithMargins="0">
    <oddFooter>&amp;L&amp;8&amp;D
&amp;Z&amp;F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11"/>
  <sheetViews>
    <sheetView topLeftCell="D1" workbookViewId="0">
      <selection activeCell="R31" sqref="R31"/>
    </sheetView>
  </sheetViews>
  <sheetFormatPr defaultRowHeight="12.75" x14ac:dyDescent="0.2"/>
  <cols>
    <col min="2" max="2" width="15.85546875" customWidth="1"/>
    <col min="3" max="3" width="13.28515625" customWidth="1"/>
    <col min="4" max="4" width="11" customWidth="1"/>
    <col min="6" max="6" width="12.85546875" bestFit="1" customWidth="1"/>
    <col min="7" max="7" width="13" bestFit="1" customWidth="1"/>
    <col min="8" max="8" width="12.85546875" bestFit="1" customWidth="1"/>
    <col min="10" max="10" width="10.28515625" bestFit="1" customWidth="1"/>
    <col min="15" max="15" width="11" customWidth="1"/>
    <col min="16" max="16" width="12.85546875" bestFit="1" customWidth="1"/>
    <col min="17" max="17" width="10.140625" bestFit="1" customWidth="1"/>
  </cols>
  <sheetData>
    <row r="1" spans="1:20" ht="15.75" x14ac:dyDescent="0.25">
      <c r="A1" s="48" t="s">
        <v>202</v>
      </c>
      <c r="B1" s="48"/>
      <c r="C1" s="48"/>
      <c r="D1" s="48"/>
      <c r="E1" s="48"/>
    </row>
    <row r="2" spans="1:20" ht="38.25" x14ac:dyDescent="0.2">
      <c r="B2" s="96" t="s">
        <v>223</v>
      </c>
      <c r="C2" s="96" t="s">
        <v>224</v>
      </c>
      <c r="D2" s="96" t="s">
        <v>225</v>
      </c>
      <c r="E2" s="96" t="s">
        <v>226</v>
      </c>
      <c r="F2" s="96" t="s">
        <v>108</v>
      </c>
      <c r="G2" s="96" t="s">
        <v>109</v>
      </c>
      <c r="P2" s="403" t="s">
        <v>123</v>
      </c>
      <c r="Q2" s="403"/>
      <c r="R2" s="403"/>
    </row>
    <row r="3" spans="1:20" x14ac:dyDescent="0.2">
      <c r="A3">
        <v>2005</v>
      </c>
      <c r="F3" s="97"/>
      <c r="G3" s="98">
        <f>F3</f>
        <v>0</v>
      </c>
      <c r="H3" s="98">
        <f t="shared" ref="H3:H11" si="0">G3/$N$15</f>
        <v>0</v>
      </c>
      <c r="J3" s="471" t="s">
        <v>111</v>
      </c>
      <c r="K3" s="471"/>
      <c r="M3" s="100" t="s">
        <v>112</v>
      </c>
      <c r="N3" s="100">
        <v>1</v>
      </c>
      <c r="P3" s="472">
        <v>9200000</v>
      </c>
      <c r="Q3" s="472"/>
      <c r="R3" s="472"/>
    </row>
    <row r="4" spans="1:20" ht="13.5" thickBot="1" x14ac:dyDescent="0.25">
      <c r="A4">
        <v>2006</v>
      </c>
      <c r="B4" s="98">
        <f>'[4]Summary - LDC'!$E$44*1000</f>
        <v>1644593.0164673009</v>
      </c>
      <c r="C4" s="98">
        <f>'[4]Summary - LDC'!$E$24*1000</f>
        <v>1472589.1816880766</v>
      </c>
      <c r="D4" s="174">
        <f>B4-C4</f>
        <v>172003.83477922436</v>
      </c>
      <c r="E4" s="175">
        <f>D4/C4</f>
        <v>0.1168036794770221</v>
      </c>
      <c r="F4" s="98">
        <f>C4</f>
        <v>1472589.1816880766</v>
      </c>
      <c r="G4" s="98">
        <f>F4</f>
        <v>1472589.1816880766</v>
      </c>
      <c r="H4" s="98">
        <f t="shared" si="0"/>
        <v>18879.348483180471</v>
      </c>
      <c r="J4" s="99">
        <f>G27</f>
        <v>1472589.1816880768</v>
      </c>
      <c r="K4" s="99">
        <f>F4-J4</f>
        <v>0</v>
      </c>
      <c r="M4" s="100" t="s">
        <v>113</v>
      </c>
      <c r="N4" s="100">
        <v>2</v>
      </c>
    </row>
    <row r="5" spans="1:20" x14ac:dyDescent="0.2">
      <c r="A5">
        <v>2007</v>
      </c>
      <c r="B5" s="98">
        <f>'[4]Summary - LDC'!$F$44*1000</f>
        <v>4964101.0882684113</v>
      </c>
      <c r="C5" s="98">
        <f>'[4]Summary - LDC'!$F$24*1000</f>
        <v>2455328.8262043442</v>
      </c>
      <c r="D5" s="174">
        <f t="shared" ref="D5:D10" si="1">B5-C5</f>
        <v>2508772.2620640672</v>
      </c>
      <c r="E5" s="175">
        <f t="shared" ref="E5:E10" si="2">D5/C5</f>
        <v>1.0217663048995114</v>
      </c>
      <c r="F5" s="98">
        <f>C5</f>
        <v>2455328.8262043442</v>
      </c>
      <c r="G5" s="98">
        <f>F5-H27</f>
        <v>-263297.35537364427</v>
      </c>
      <c r="H5" s="98">
        <f t="shared" si="0"/>
        <v>-3375.6071201749264</v>
      </c>
      <c r="J5" s="99">
        <f>G39</f>
        <v>2455328.8262043451</v>
      </c>
      <c r="K5" s="99">
        <f t="shared" ref="K5:K11" si="3">F5-J5</f>
        <v>0</v>
      </c>
      <c r="M5" s="100" t="s">
        <v>114</v>
      </c>
      <c r="N5" s="100">
        <v>3</v>
      </c>
      <c r="P5" s="473" t="s">
        <v>208</v>
      </c>
      <c r="Q5" s="474"/>
      <c r="R5" s="474"/>
      <c r="S5" s="474"/>
      <c r="T5" s="475"/>
    </row>
    <row r="6" spans="1:20" x14ac:dyDescent="0.2">
      <c r="A6">
        <v>2008</v>
      </c>
      <c r="B6" s="98">
        <f>'[4]Summary - LDC'!$G$44*1000</f>
        <v>5013598.2926884945</v>
      </c>
      <c r="C6" s="98">
        <f>'[4]Summary - LDC'!$G$24*1000</f>
        <v>3143863.0678313305</v>
      </c>
      <c r="D6" s="174">
        <f t="shared" si="1"/>
        <v>1869735.2248571641</v>
      </c>
      <c r="E6" s="175">
        <f t="shared" si="2"/>
        <v>0.59472540136645546</v>
      </c>
      <c r="F6" s="98">
        <f>C6</f>
        <v>3143863.0678313305</v>
      </c>
      <c r="G6" s="98">
        <f>F6-H39</f>
        <v>911324.31155852973</v>
      </c>
      <c r="H6" s="98">
        <f t="shared" si="0"/>
        <v>11683.64501998115</v>
      </c>
      <c r="J6" s="99">
        <f>G51</f>
        <v>3143863.0678313291</v>
      </c>
      <c r="K6" s="99">
        <f t="shared" si="3"/>
        <v>0</v>
      </c>
      <c r="M6" s="100" t="s">
        <v>115</v>
      </c>
      <c r="N6" s="100">
        <v>4</v>
      </c>
      <c r="P6" s="142">
        <v>2011</v>
      </c>
      <c r="Q6" s="100">
        <v>2012</v>
      </c>
      <c r="R6" s="100">
        <v>2013</v>
      </c>
      <c r="S6" s="100">
        <v>2014</v>
      </c>
      <c r="T6" s="143" t="s">
        <v>10</v>
      </c>
    </row>
    <row r="7" spans="1:20" x14ac:dyDescent="0.2">
      <c r="A7">
        <v>2009</v>
      </c>
      <c r="B7" s="98">
        <f>'[4]Summary - LDC'!$H$44*1000</f>
        <v>7236398.8691248354</v>
      </c>
      <c r="C7" s="98">
        <f>'[4]Summary - LDC'!$H$24*1000</f>
        <v>4589194.16607197</v>
      </c>
      <c r="D7" s="174">
        <f t="shared" si="1"/>
        <v>2647204.7030528653</v>
      </c>
      <c r="E7" s="175">
        <f t="shared" si="2"/>
        <v>0.5768343215076227</v>
      </c>
      <c r="F7" s="98">
        <f>C7</f>
        <v>4589194.16607197</v>
      </c>
      <c r="G7" s="98">
        <f>F7-H51</f>
        <v>674210.52692188509</v>
      </c>
      <c r="H7" s="98">
        <f t="shared" si="0"/>
        <v>8643.724704126731</v>
      </c>
      <c r="J7" s="99">
        <f>G63</f>
        <v>4589194.1660719682</v>
      </c>
      <c r="K7" s="99">
        <f t="shared" si="3"/>
        <v>0</v>
      </c>
      <c r="M7" s="100" t="s">
        <v>95</v>
      </c>
      <c r="N7" s="100">
        <v>5</v>
      </c>
      <c r="P7" s="144">
        <v>0.1</v>
      </c>
      <c r="Q7" s="141">
        <v>0.1</v>
      </c>
      <c r="R7" s="141">
        <v>0.1</v>
      </c>
      <c r="S7" s="141">
        <v>0.1</v>
      </c>
      <c r="T7" s="145">
        <f>SUM(P7:S7)</f>
        <v>0.4</v>
      </c>
    </row>
    <row r="8" spans="1:20" x14ac:dyDescent="0.2">
      <c r="A8">
        <v>2010</v>
      </c>
      <c r="B8" s="98">
        <f>'[4]Summary - LDC'!$I$44*1000</f>
        <v>6830132.24849921</v>
      </c>
      <c r="C8" s="98">
        <f>'[4]Summary - LDC'!$I$24*1000</f>
        <v>4029539.6024123211</v>
      </c>
      <c r="D8" s="174">
        <f t="shared" si="1"/>
        <v>2800592.6460868889</v>
      </c>
      <c r="E8" s="175">
        <f t="shared" si="2"/>
        <v>0.69501554083505923</v>
      </c>
      <c r="F8" s="98">
        <f>C8</f>
        <v>4029539.6024123211</v>
      </c>
      <c r="G8" s="98">
        <f>F8-H63</f>
        <v>-1130140.3941320102</v>
      </c>
      <c r="H8" s="98">
        <f t="shared" si="0"/>
        <v>-14488.979411948849</v>
      </c>
      <c r="J8" s="99">
        <f>G75</f>
        <v>4029539.602412323</v>
      </c>
      <c r="K8" s="99">
        <f t="shared" si="3"/>
        <v>0</v>
      </c>
      <c r="M8" s="100" t="s">
        <v>116</v>
      </c>
      <c r="N8" s="100">
        <v>6</v>
      </c>
      <c r="P8" s="146"/>
      <c r="Q8" s="141">
        <v>0.1</v>
      </c>
      <c r="R8" s="141">
        <v>0.1</v>
      </c>
      <c r="S8" s="141">
        <v>0.1</v>
      </c>
      <c r="T8" s="145">
        <f>SUM(P8:S8)</f>
        <v>0.30000000000000004</v>
      </c>
    </row>
    <row r="9" spans="1:20" x14ac:dyDescent="0.2">
      <c r="A9">
        <v>2011</v>
      </c>
      <c r="B9" s="98">
        <f>'[4]Summary - LDC'!$J$44*1000</f>
        <v>6668005.1078730011</v>
      </c>
      <c r="C9" s="98">
        <f>'[4]Summary - LDC'!$J$24*1000</f>
        <v>3859190.3683245354</v>
      </c>
      <c r="D9" s="174">
        <f t="shared" si="1"/>
        <v>2808814.7395484657</v>
      </c>
      <c r="E9" s="175">
        <f t="shared" si="2"/>
        <v>0.7278248729584984</v>
      </c>
      <c r="F9" s="98">
        <f ca="1">C9+P31</f>
        <v>4451644.0483245356</v>
      </c>
      <c r="G9" s="98">
        <f ca="1">F9-H75</f>
        <v>1378377.0871008351</v>
      </c>
      <c r="H9" s="98">
        <f t="shared" ca="1" si="0"/>
        <v>17671.501116677373</v>
      </c>
      <c r="J9" s="99">
        <f ca="1">G87</f>
        <v>4451644.0483245356</v>
      </c>
      <c r="K9" s="99">
        <f t="shared" ca="1" si="3"/>
        <v>0</v>
      </c>
      <c r="M9" s="100" t="s">
        <v>117</v>
      </c>
      <c r="N9" s="100">
        <v>7</v>
      </c>
      <c r="P9" s="146"/>
      <c r="Q9" s="140"/>
      <c r="R9" s="141">
        <v>0.1</v>
      </c>
      <c r="S9" s="141">
        <v>0.1</v>
      </c>
      <c r="T9" s="145">
        <f>SUM(P9:S9)</f>
        <v>0.2</v>
      </c>
    </row>
    <row r="10" spans="1:20" x14ac:dyDescent="0.2">
      <c r="A10">
        <v>2012</v>
      </c>
      <c r="B10" s="98">
        <f>'[4]Summary - LDC'!$K$44*1000</f>
        <v>6394406.2921384275</v>
      </c>
      <c r="C10" s="98">
        <f>'[4]Summary - LDC'!$K$24*1000</f>
        <v>3742775.6196744414</v>
      </c>
      <c r="D10" s="174">
        <f t="shared" si="1"/>
        <v>2651630.6724639861</v>
      </c>
      <c r="E10" s="175">
        <f t="shared" si="2"/>
        <v>0.70846637413295788</v>
      </c>
      <c r="F10" s="98">
        <f ca="1">C10+Q31</f>
        <v>5473593.5130077749</v>
      </c>
      <c r="G10" s="98">
        <f ca="1">F10-H87</f>
        <v>-144369.60901746619</v>
      </c>
      <c r="H10" s="98">
        <f t="shared" ca="1" si="0"/>
        <v>-1850.8924233008486</v>
      </c>
      <c r="J10" s="99">
        <f ca="1">G99</f>
        <v>5473593.5130077759</v>
      </c>
      <c r="K10" s="99">
        <f ca="1">F10-J10</f>
        <v>0</v>
      </c>
      <c r="M10" s="100" t="s">
        <v>118</v>
      </c>
      <c r="N10" s="100">
        <v>8</v>
      </c>
      <c r="P10" s="147"/>
      <c r="Q10" s="140"/>
      <c r="R10" s="140"/>
      <c r="S10" s="141">
        <v>0.1</v>
      </c>
      <c r="T10" s="145">
        <f>SUM(P10:S10)</f>
        <v>0.1</v>
      </c>
    </row>
    <row r="11" spans="1:20" x14ac:dyDescent="0.2">
      <c r="A11">
        <v>2013</v>
      </c>
      <c r="B11" s="98">
        <f>'[4]Summary - LDC'!$L$44*1000</f>
        <v>6307311.1245764382</v>
      </c>
      <c r="C11" s="98">
        <f>'[4]Summary - LDC'!$L$24*1000</f>
        <v>3698821.8318048315</v>
      </c>
      <c r="D11" s="174">
        <f>B11-C11</f>
        <v>2608489.2927716067</v>
      </c>
      <c r="E11" s="175">
        <f>D11/C11</f>
        <v>0.70522166554283594</v>
      </c>
      <c r="F11" s="98">
        <f ca="1">C11+R31</f>
        <v>6568003.938471498</v>
      </c>
      <c r="G11" s="98">
        <f ca="1">F11-H99</f>
        <v>1216569.3254015762</v>
      </c>
      <c r="H11" s="98">
        <f t="shared" ca="1" si="0"/>
        <v>15597.042633353542</v>
      </c>
      <c r="J11" s="99">
        <f ca="1">G111</f>
        <v>6568003.938471497</v>
      </c>
      <c r="K11" s="99">
        <f t="shared" ca="1" si="3"/>
        <v>0</v>
      </c>
      <c r="M11" s="100" t="s">
        <v>119</v>
      </c>
      <c r="N11" s="100">
        <v>9</v>
      </c>
      <c r="P11" s="144">
        <f>SUM(P7:P10)</f>
        <v>0.1</v>
      </c>
      <c r="Q11" s="141">
        <f>SUM(Q7:Q10)</f>
        <v>0.2</v>
      </c>
      <c r="R11" s="141">
        <f>SUM(R7:R10)</f>
        <v>0.30000000000000004</v>
      </c>
      <c r="S11" s="141">
        <f>SUM(S7:S10)</f>
        <v>0.4</v>
      </c>
      <c r="T11" s="145">
        <f>SUM(P11:S11)</f>
        <v>1</v>
      </c>
    </row>
    <row r="12" spans="1:20" x14ac:dyDescent="0.2">
      <c r="A12" t="s">
        <v>10</v>
      </c>
      <c r="B12" s="98">
        <f>SUM(B4:B11)</f>
        <v>45058546.03963612</v>
      </c>
      <c r="C12" s="98">
        <f>SUM(C4:C11)</f>
        <v>26991302.664011847</v>
      </c>
      <c r="D12" s="98">
        <f>SUM(D4:D11)</f>
        <v>18067243.375624269</v>
      </c>
      <c r="E12" s="175">
        <f>D12/C12</f>
        <v>0.66937278280065227</v>
      </c>
      <c r="F12" s="98">
        <f ca="1">SUM(F4:F11)</f>
        <v>32183756.344011851</v>
      </c>
      <c r="G12" s="98"/>
      <c r="H12" s="98"/>
      <c r="M12" s="100" t="s">
        <v>120</v>
      </c>
      <c r="N12" s="100">
        <v>10</v>
      </c>
      <c r="P12" s="476"/>
      <c r="Q12" s="477"/>
      <c r="R12" s="477"/>
      <c r="S12" s="477"/>
      <c r="T12" s="478"/>
    </row>
    <row r="13" spans="1:20" x14ac:dyDescent="0.2">
      <c r="F13" s="98"/>
      <c r="M13" s="100" t="s">
        <v>121</v>
      </c>
      <c r="N13" s="100">
        <v>11</v>
      </c>
      <c r="P13" s="148">
        <f>P7*P3</f>
        <v>920000</v>
      </c>
      <c r="Q13" s="135">
        <f>P13</f>
        <v>920000</v>
      </c>
      <c r="R13" s="135">
        <f>Q13</f>
        <v>920000</v>
      </c>
      <c r="S13" s="135">
        <f>R13</f>
        <v>920000</v>
      </c>
      <c r="T13" s="149">
        <f>SUM(P13:S13)</f>
        <v>3680000</v>
      </c>
    </row>
    <row r="14" spans="1:20" x14ac:dyDescent="0.2">
      <c r="F14" s="98" t="s">
        <v>110</v>
      </c>
      <c r="M14" s="100" t="s">
        <v>122</v>
      </c>
      <c r="N14" s="100">
        <v>12</v>
      </c>
      <c r="P14" s="148">
        <f>P8*P4</f>
        <v>0</v>
      </c>
      <c r="Q14" s="135">
        <f>Q13</f>
        <v>920000</v>
      </c>
      <c r="R14" s="135">
        <f>Q14</f>
        <v>920000</v>
      </c>
      <c r="S14" s="135">
        <f>R14</f>
        <v>920000</v>
      </c>
      <c r="T14" s="149">
        <f>SUM(P14:S14)</f>
        <v>2760000</v>
      </c>
    </row>
    <row r="15" spans="1:20" x14ac:dyDescent="0.2">
      <c r="F15" s="98"/>
      <c r="M15" s="100" t="s">
        <v>10</v>
      </c>
      <c r="N15" s="100">
        <f>SUM(N3:N14)</f>
        <v>78</v>
      </c>
      <c r="P15" s="148"/>
      <c r="Q15" s="135"/>
      <c r="R15" s="135">
        <f>R14</f>
        <v>920000</v>
      </c>
      <c r="S15" s="135">
        <f>R15</f>
        <v>920000</v>
      </c>
      <c r="T15" s="149">
        <f>SUM(P15:S15)</f>
        <v>1840000</v>
      </c>
    </row>
    <row r="16" spans="1:20" x14ac:dyDescent="0.2">
      <c r="A16" s="3">
        <v>38718</v>
      </c>
      <c r="B16" s="3"/>
      <c r="C16" s="3"/>
      <c r="D16" s="3"/>
      <c r="E16" s="3"/>
      <c r="F16" s="98">
        <f>$H$4</f>
        <v>18879.348483180471</v>
      </c>
      <c r="P16" s="148"/>
      <c r="Q16" s="135"/>
      <c r="R16" s="135">
        <f>Q16</f>
        <v>0</v>
      </c>
      <c r="S16" s="135">
        <f>S15</f>
        <v>920000</v>
      </c>
      <c r="T16" s="149">
        <f>SUM(P16:S16)</f>
        <v>920000</v>
      </c>
    </row>
    <row r="17" spans="1:21" ht="13.5" thickBot="1" x14ac:dyDescent="0.25">
      <c r="A17" s="3">
        <v>38749</v>
      </c>
      <c r="B17" s="3"/>
      <c r="C17" s="3"/>
      <c r="D17" s="3"/>
      <c r="E17" s="3"/>
      <c r="F17" s="98">
        <f t="shared" ref="F17:F27" si="4">F16+$H$4</f>
        <v>37758.696966360942</v>
      </c>
      <c r="P17" s="150">
        <f>SUM(P13:P16)</f>
        <v>920000</v>
      </c>
      <c r="Q17" s="151">
        <f>SUM(Q13:Q16)</f>
        <v>1840000</v>
      </c>
      <c r="R17" s="151">
        <f>SUM(R13:R16)</f>
        <v>2760000</v>
      </c>
      <c r="S17" s="151">
        <f>SUM(S13:S16)</f>
        <v>3680000</v>
      </c>
      <c r="T17" s="152">
        <f>SUM(P17:S17)</f>
        <v>9200000</v>
      </c>
    </row>
    <row r="18" spans="1:21" ht="13.5" thickBot="1" x14ac:dyDescent="0.25">
      <c r="A18" s="3">
        <v>38777</v>
      </c>
      <c r="B18" s="3"/>
      <c r="C18" s="3"/>
      <c r="D18" s="3"/>
      <c r="E18" s="3"/>
      <c r="F18" s="98">
        <f t="shared" si="4"/>
        <v>56638.045449541416</v>
      </c>
    </row>
    <row r="19" spans="1:21" x14ac:dyDescent="0.2">
      <c r="A19" s="3">
        <v>38808</v>
      </c>
      <c r="B19" s="3"/>
      <c r="C19" s="3"/>
      <c r="D19" s="3"/>
      <c r="E19" s="3"/>
      <c r="F19" s="98">
        <f t="shared" si="4"/>
        <v>75517.393932721883</v>
      </c>
      <c r="P19" s="473" t="s">
        <v>209</v>
      </c>
      <c r="Q19" s="474"/>
      <c r="R19" s="474"/>
      <c r="S19" s="474"/>
      <c r="T19" s="475"/>
    </row>
    <row r="20" spans="1:21" x14ac:dyDescent="0.2">
      <c r="A20" s="3">
        <v>38838</v>
      </c>
      <c r="B20" s="3"/>
      <c r="C20" s="3"/>
      <c r="D20" s="3"/>
      <c r="E20" s="3"/>
      <c r="F20" s="98">
        <f t="shared" si="4"/>
        <v>94396.74241590235</v>
      </c>
      <c r="P20" s="142">
        <v>2011</v>
      </c>
      <c r="Q20" s="100">
        <v>2012</v>
      </c>
      <c r="R20" s="100">
        <v>2013</v>
      </c>
      <c r="S20" s="100">
        <v>2014</v>
      </c>
      <c r="T20" s="143" t="s">
        <v>10</v>
      </c>
    </row>
    <row r="21" spans="1:21" x14ac:dyDescent="0.2">
      <c r="A21" s="3">
        <v>38869</v>
      </c>
      <c r="B21" s="3"/>
      <c r="C21" s="3"/>
      <c r="D21" s="3"/>
      <c r="E21" s="3"/>
      <c r="F21" s="98">
        <f t="shared" si="4"/>
        <v>113276.09089908282</v>
      </c>
      <c r="P21" s="159">
        <f ca="1">P42/T31</f>
        <v>6.439713913043478E-2</v>
      </c>
      <c r="Q21" s="153">
        <f ca="1">P21</f>
        <v>6.439713913043478E-2</v>
      </c>
      <c r="R21" s="153">
        <f ca="1">Q21</f>
        <v>6.439713913043478E-2</v>
      </c>
      <c r="S21" s="153">
        <f ca="1">R21</f>
        <v>6.439713913043478E-2</v>
      </c>
      <c r="T21" s="160">
        <f ca="1">SUM(P21:S21)</f>
        <v>0.25758855652173912</v>
      </c>
      <c r="U21" t="s">
        <v>220</v>
      </c>
    </row>
    <row r="22" spans="1:21" x14ac:dyDescent="0.2">
      <c r="A22" s="3">
        <v>38899</v>
      </c>
      <c r="B22" s="3"/>
      <c r="C22" s="3"/>
      <c r="D22" s="3"/>
      <c r="E22" s="3"/>
      <c r="F22" s="98">
        <f t="shared" si="4"/>
        <v>132155.43938226328</v>
      </c>
      <c r="P22" s="161"/>
      <c r="Q22" s="153">
        <f ca="1">(100%-T21)/6</f>
        <v>0.12373524057971015</v>
      </c>
      <c r="R22" s="153">
        <f ca="1">Q22</f>
        <v>0.12373524057971015</v>
      </c>
      <c r="S22" s="153">
        <f ca="1">R22</f>
        <v>0.12373524057971015</v>
      </c>
      <c r="T22" s="160">
        <f ca="1">SUM(P22:S22)</f>
        <v>0.37120572173913047</v>
      </c>
    </row>
    <row r="23" spans="1:21" x14ac:dyDescent="0.2">
      <c r="A23" s="3">
        <v>38930</v>
      </c>
      <c r="B23" s="3"/>
      <c r="C23" s="3"/>
      <c r="D23" s="3"/>
      <c r="E23" s="3"/>
      <c r="F23" s="98">
        <f t="shared" si="4"/>
        <v>151034.78786544377</v>
      </c>
      <c r="P23" s="162"/>
      <c r="Q23" s="153"/>
      <c r="R23" s="153">
        <f ca="1">R22</f>
        <v>0.12373524057971015</v>
      </c>
      <c r="S23" s="153">
        <f ca="1">S22</f>
        <v>0.12373524057971015</v>
      </c>
      <c r="T23" s="160">
        <f ca="1">SUM(P23:S23)</f>
        <v>0.2474704811594203</v>
      </c>
    </row>
    <row r="24" spans="1:21" x14ac:dyDescent="0.2">
      <c r="A24" s="3">
        <v>38961</v>
      </c>
      <c r="B24" s="3"/>
      <c r="C24" s="3"/>
      <c r="D24" s="3"/>
      <c r="E24" s="3"/>
      <c r="F24" s="98">
        <f t="shared" si="4"/>
        <v>169914.13634862425</v>
      </c>
      <c r="P24" s="162"/>
      <c r="Q24" s="158"/>
      <c r="R24" s="153"/>
      <c r="S24" s="153">
        <f ca="1">S23</f>
        <v>0.12373524057971015</v>
      </c>
      <c r="T24" s="160">
        <f ca="1">SUM(P24:S24)</f>
        <v>0.12373524057971015</v>
      </c>
    </row>
    <row r="25" spans="1:21" x14ac:dyDescent="0.2">
      <c r="A25" s="3">
        <v>38991</v>
      </c>
      <c r="B25" s="3"/>
      <c r="C25" s="3"/>
      <c r="D25" s="3"/>
      <c r="E25" s="3"/>
      <c r="F25" s="98">
        <f t="shared" si="4"/>
        <v>188793.48483180473</v>
      </c>
      <c r="P25" s="161">
        <f ca="1">SUM(P21:P24)</f>
        <v>6.439713913043478E-2</v>
      </c>
      <c r="Q25" s="153">
        <f ca="1">SUM(Q21:Q24)</f>
        <v>0.18813237971014493</v>
      </c>
      <c r="R25" s="153">
        <f ca="1">SUM(R21:R24)</f>
        <v>0.3118676202898551</v>
      </c>
      <c r="S25" s="153">
        <f ca="1">SUM(S21:S24)</f>
        <v>0.43560286086956523</v>
      </c>
      <c r="T25" s="160">
        <f ca="1">SUM(P25:S25)</f>
        <v>1</v>
      </c>
    </row>
    <row r="26" spans="1:21" x14ac:dyDescent="0.2">
      <c r="A26" s="3">
        <v>39022</v>
      </c>
      <c r="B26" s="3"/>
      <c r="C26" s="3"/>
      <c r="D26" s="3"/>
      <c r="E26" s="3"/>
      <c r="F26" s="98">
        <f t="shared" si="4"/>
        <v>207672.83331498521</v>
      </c>
      <c r="G26" s="4" t="s">
        <v>111</v>
      </c>
      <c r="P26" s="469"/>
      <c r="Q26" s="403"/>
      <c r="R26" s="403"/>
      <c r="S26" s="403"/>
      <c r="T26" s="470"/>
    </row>
    <row r="27" spans="1:21" x14ac:dyDescent="0.2">
      <c r="A27" s="3">
        <v>39052</v>
      </c>
      <c r="B27" s="3"/>
      <c r="C27" s="3"/>
      <c r="D27" s="3"/>
      <c r="E27" s="3"/>
      <c r="F27" s="98">
        <f t="shared" si="4"/>
        <v>226552.18179816569</v>
      </c>
      <c r="G27" s="98">
        <f>SUM(F16:F27)</f>
        <v>1472589.1816880768</v>
      </c>
      <c r="H27" s="98">
        <f>F27*12</f>
        <v>2718626.1815779884</v>
      </c>
      <c r="P27" s="148">
        <f ca="1">P3*P21</f>
        <v>592453.67999999993</v>
      </c>
      <c r="Q27" s="135">
        <f ca="1">P27</f>
        <v>592453.67999999993</v>
      </c>
      <c r="R27" s="135">
        <f ca="1">Q27</f>
        <v>592453.67999999993</v>
      </c>
      <c r="S27" s="135">
        <f ca="1">R27</f>
        <v>592453.67999999993</v>
      </c>
      <c r="T27" s="149">
        <f ca="1">SUM(P27:S27)</f>
        <v>2369814.7199999997</v>
      </c>
    </row>
    <row r="28" spans="1:21" x14ac:dyDescent="0.2">
      <c r="A28" s="3">
        <v>39083</v>
      </c>
      <c r="B28" s="3"/>
      <c r="C28" s="3"/>
      <c r="D28" s="3"/>
      <c r="E28" s="3"/>
      <c r="F28" s="98">
        <f t="shared" ref="F28:F39" si="5">F27+$H$5</f>
        <v>223176.57467799078</v>
      </c>
      <c r="P28" s="148"/>
      <c r="Q28" s="135">
        <f ca="1">P3*Q22</f>
        <v>1138364.2133333334</v>
      </c>
      <c r="R28" s="135">
        <f ca="1">Q28</f>
        <v>1138364.2133333334</v>
      </c>
      <c r="S28" s="135">
        <f ca="1">R28</f>
        <v>1138364.2133333334</v>
      </c>
      <c r="T28" s="149">
        <f ca="1">SUM(P28:S28)</f>
        <v>3415092.64</v>
      </c>
    </row>
    <row r="29" spans="1:21" x14ac:dyDescent="0.2">
      <c r="A29" s="3">
        <v>39114</v>
      </c>
      <c r="B29" s="3"/>
      <c r="C29" s="3"/>
      <c r="D29" s="3"/>
      <c r="E29" s="3"/>
      <c r="F29" s="98">
        <f t="shared" si="5"/>
        <v>219800.96755781586</v>
      </c>
      <c r="P29" s="148"/>
      <c r="Q29" s="135"/>
      <c r="R29" s="135">
        <f ca="1">R28</f>
        <v>1138364.2133333334</v>
      </c>
      <c r="S29" s="135">
        <f ca="1">R29</f>
        <v>1138364.2133333334</v>
      </c>
      <c r="T29" s="149">
        <f ca="1">SUM(P29:S29)</f>
        <v>2276728.4266666668</v>
      </c>
    </row>
    <row r="30" spans="1:21" x14ac:dyDescent="0.2">
      <c r="A30" s="3">
        <v>39142</v>
      </c>
      <c r="B30" s="3"/>
      <c r="C30" s="3"/>
      <c r="D30" s="3"/>
      <c r="E30" s="3"/>
      <c r="F30" s="98">
        <f t="shared" si="5"/>
        <v>216425.36043764095</v>
      </c>
      <c r="P30" s="148"/>
      <c r="Q30" s="135"/>
      <c r="R30" s="135"/>
      <c r="S30" s="135">
        <f ca="1">S29</f>
        <v>1138364.2133333334</v>
      </c>
      <c r="T30" s="149">
        <f ca="1">SUM(P30:S30)</f>
        <v>1138364.2133333334</v>
      </c>
    </row>
    <row r="31" spans="1:21" x14ac:dyDescent="0.2">
      <c r="A31" s="3">
        <v>39173</v>
      </c>
      <c r="B31" s="3"/>
      <c r="C31" s="3"/>
      <c r="D31" s="3"/>
      <c r="E31" s="3"/>
      <c r="F31" s="98">
        <f t="shared" si="5"/>
        <v>213049.75331746603</v>
      </c>
      <c r="P31" s="148">
        <f ca="1">SUM(P27:P30)</f>
        <v>592453.67999999993</v>
      </c>
      <c r="Q31" s="135">
        <f ca="1">SUM(Q27:Q30)</f>
        <v>1730817.8933333333</v>
      </c>
      <c r="R31" s="135">
        <f ca="1">SUM(R27:R30)</f>
        <v>2869182.1066666665</v>
      </c>
      <c r="S31" s="135">
        <f ca="1">SUM(S27:S30)</f>
        <v>4007546.32</v>
      </c>
      <c r="T31" s="163">
        <f ca="1">SUM(P31:S31)</f>
        <v>9200000</v>
      </c>
    </row>
    <row r="32" spans="1:21" x14ac:dyDescent="0.2">
      <c r="A32" s="3">
        <v>39203</v>
      </c>
      <c r="B32" s="3"/>
      <c r="C32" s="3"/>
      <c r="D32" s="3"/>
      <c r="E32" s="3"/>
      <c r="F32" s="98">
        <f t="shared" si="5"/>
        <v>209674.14619729112</v>
      </c>
      <c r="P32" s="146"/>
      <c r="Q32" s="157">
        <f ca="1">SUM(Q28:Q30)</f>
        <v>1138364.2133333334</v>
      </c>
      <c r="R32" s="157">
        <f ca="1">SUM(R28:R30)</f>
        <v>2276728.4266666668</v>
      </c>
      <c r="S32" s="140"/>
      <c r="T32" s="164"/>
    </row>
    <row r="33" spans="1:20" ht="13.5" thickBot="1" x14ac:dyDescent="0.25">
      <c r="A33" s="3">
        <v>39234</v>
      </c>
      <c r="B33" s="3"/>
      <c r="C33" s="3"/>
      <c r="D33" s="3"/>
      <c r="E33" s="3"/>
      <c r="F33" s="98">
        <f t="shared" si="5"/>
        <v>206298.53907711621</v>
      </c>
      <c r="P33" s="165" t="s">
        <v>213</v>
      </c>
      <c r="Q33" s="166"/>
      <c r="R33" s="167"/>
      <c r="S33" s="168"/>
      <c r="T33" s="169"/>
    </row>
    <row r="34" spans="1:20" x14ac:dyDescent="0.2">
      <c r="A34" s="3">
        <v>39264</v>
      </c>
      <c r="B34" s="3"/>
      <c r="C34" s="3"/>
      <c r="D34" s="3"/>
      <c r="E34" s="3"/>
      <c r="F34" s="98">
        <f t="shared" si="5"/>
        <v>202922.93195694129</v>
      </c>
    </row>
    <row r="35" spans="1:20" x14ac:dyDescent="0.2">
      <c r="A35" s="3">
        <v>39295</v>
      </c>
      <c r="B35" s="3"/>
      <c r="C35" s="3"/>
      <c r="D35" s="3"/>
      <c r="E35" s="3"/>
      <c r="F35" s="98">
        <f t="shared" si="5"/>
        <v>199547.32483676638</v>
      </c>
      <c r="R35" s="176">
        <f ca="1">R32*(1+E12)</f>
        <v>3800708.4693058846</v>
      </c>
      <c r="S35" t="s">
        <v>231</v>
      </c>
    </row>
    <row r="36" spans="1:20" x14ac:dyDescent="0.2">
      <c r="A36" s="3">
        <v>39326</v>
      </c>
      <c r="B36" s="3"/>
      <c r="C36" s="3"/>
      <c r="D36" s="3"/>
      <c r="E36" s="3"/>
      <c r="F36" s="98">
        <f t="shared" si="5"/>
        <v>196171.71771659146</v>
      </c>
    </row>
    <row r="37" spans="1:20" x14ac:dyDescent="0.2">
      <c r="A37" s="3">
        <v>39356</v>
      </c>
      <c r="B37" s="3"/>
      <c r="C37" s="3"/>
      <c r="D37" s="3"/>
      <c r="E37" s="3"/>
      <c r="F37" s="98">
        <f t="shared" si="5"/>
        <v>192796.11059641655</v>
      </c>
      <c r="R37" s="176">
        <f ca="1">R28+R29</f>
        <v>2276728.4266666668</v>
      </c>
      <c r="S37" t="s">
        <v>230</v>
      </c>
    </row>
    <row r="38" spans="1:20" x14ac:dyDescent="0.2">
      <c r="A38" s="3">
        <v>39387</v>
      </c>
      <c r="B38" s="3"/>
      <c r="C38" s="3"/>
      <c r="D38" s="3"/>
      <c r="E38" s="3"/>
      <c r="F38" s="98">
        <f t="shared" si="5"/>
        <v>189420.50347624163</v>
      </c>
      <c r="G38" s="4" t="s">
        <v>111</v>
      </c>
      <c r="J38" s="479"/>
      <c r="K38" s="477"/>
      <c r="L38" s="480"/>
      <c r="M38" s="100" t="s">
        <v>233</v>
      </c>
      <c r="N38" s="100" t="s">
        <v>234</v>
      </c>
      <c r="O38" s="100" t="s">
        <v>235</v>
      </c>
      <c r="P38" s="100">
        <v>2011</v>
      </c>
    </row>
    <row r="39" spans="1:20" x14ac:dyDescent="0.2">
      <c r="A39" s="3">
        <v>39417</v>
      </c>
      <c r="B39" s="3"/>
      <c r="C39" s="3"/>
      <c r="D39" s="3"/>
      <c r="E39" s="3"/>
      <c r="F39" s="98">
        <f t="shared" si="5"/>
        <v>186044.89635606672</v>
      </c>
      <c r="G39" s="98">
        <f>SUM(F28:F39)</f>
        <v>2455328.8262043451</v>
      </c>
      <c r="H39" s="98">
        <f>F39*12</f>
        <v>2232538.7562728007</v>
      </c>
      <c r="J39" s="140" t="s">
        <v>227</v>
      </c>
      <c r="K39" s="140"/>
      <c r="L39" s="140"/>
      <c r="M39" s="100"/>
      <c r="N39" s="100"/>
      <c r="O39" s="100"/>
      <c r="P39" s="135">
        <v>421710</v>
      </c>
    </row>
    <row r="40" spans="1:20" x14ac:dyDescent="0.2">
      <c r="A40" s="3">
        <v>39448</v>
      </c>
      <c r="B40" s="3"/>
      <c r="C40" s="3"/>
      <c r="D40" s="3"/>
      <c r="E40" s="3"/>
      <c r="F40" s="98">
        <f t="shared" ref="F40:F51" si="6">F39+$H$6</f>
        <v>197728.54137604786</v>
      </c>
      <c r="J40" s="140" t="s">
        <v>228</v>
      </c>
      <c r="K40" s="140"/>
      <c r="L40" s="140"/>
      <c r="M40" s="135">
        <v>258946</v>
      </c>
      <c r="N40" s="141">
        <v>0.52</v>
      </c>
      <c r="O40" s="135">
        <f>M40*N40</f>
        <v>134651.92000000001</v>
      </c>
      <c r="P40" s="135">
        <f>M40-O40</f>
        <v>124294.07999999999</v>
      </c>
    </row>
    <row r="41" spans="1:20" x14ac:dyDescent="0.2">
      <c r="A41" s="3">
        <v>39479</v>
      </c>
      <c r="B41" s="3"/>
      <c r="C41" s="3"/>
      <c r="D41" s="3"/>
      <c r="E41" s="3"/>
      <c r="F41" s="98">
        <f t="shared" si="6"/>
        <v>209412.18639602899</v>
      </c>
      <c r="J41" s="140" t="s">
        <v>229</v>
      </c>
      <c r="K41" s="140"/>
      <c r="L41" s="140"/>
      <c r="M41" s="135">
        <v>96770</v>
      </c>
      <c r="N41" s="141">
        <v>0.52</v>
      </c>
      <c r="O41" s="135">
        <f>M41*N41</f>
        <v>50320.4</v>
      </c>
      <c r="P41" s="135">
        <f>M41-O41</f>
        <v>46449.599999999999</v>
      </c>
    </row>
    <row r="42" spans="1:20" x14ac:dyDescent="0.2">
      <c r="A42" s="3">
        <v>39508</v>
      </c>
      <c r="B42" s="3"/>
      <c r="C42" s="3"/>
      <c r="D42" s="3"/>
      <c r="E42" s="3"/>
      <c r="F42" s="98">
        <f t="shared" si="6"/>
        <v>221095.83141601013</v>
      </c>
      <c r="J42" s="479"/>
      <c r="K42" s="477"/>
      <c r="L42" s="480"/>
      <c r="M42" s="100"/>
      <c r="N42" s="100"/>
      <c r="O42" s="100"/>
      <c r="P42" s="135">
        <f>SUM(P39:P41)</f>
        <v>592453.67999999993</v>
      </c>
    </row>
    <row r="43" spans="1:20" ht="48" customHeight="1" x14ac:dyDescent="0.2">
      <c r="A43" s="3">
        <v>39539</v>
      </c>
      <c r="B43" s="3"/>
      <c r="C43" s="3"/>
      <c r="D43" s="3"/>
      <c r="E43" s="3"/>
      <c r="F43" s="98">
        <f t="shared" si="6"/>
        <v>232779.47643599127</v>
      </c>
      <c r="Q43" s="468" t="s">
        <v>232</v>
      </c>
      <c r="R43" s="468"/>
      <c r="S43" s="468"/>
    </row>
    <row r="44" spans="1:20" x14ac:dyDescent="0.2">
      <c r="A44" s="3">
        <v>39569</v>
      </c>
      <c r="B44" s="3"/>
      <c r="C44" s="3"/>
      <c r="D44" s="3"/>
      <c r="E44" s="3"/>
      <c r="F44" s="98">
        <f t="shared" si="6"/>
        <v>244463.1214559724</v>
      </c>
      <c r="Q44" s="140"/>
      <c r="R44" s="100" t="s">
        <v>125</v>
      </c>
      <c r="S44" s="100" t="s">
        <v>126</v>
      </c>
    </row>
    <row r="45" spans="1:20" x14ac:dyDescent="0.2">
      <c r="A45" s="3">
        <v>39600</v>
      </c>
      <c r="B45" s="3"/>
      <c r="C45" s="3"/>
      <c r="D45" s="3"/>
      <c r="E45" s="3"/>
      <c r="F45" s="98">
        <f t="shared" si="6"/>
        <v>256146.76647595354</v>
      </c>
      <c r="Q45" s="140" t="s">
        <v>68</v>
      </c>
      <c r="R45" s="176">
        <f ca="1">R37*'Rate Class Energy Model'!H76</f>
        <v>1445854.2267413994</v>
      </c>
      <c r="S45" s="140"/>
    </row>
    <row r="46" spans="1:20" x14ac:dyDescent="0.2">
      <c r="A46" s="3">
        <v>39630</v>
      </c>
      <c r="B46" s="3"/>
      <c r="C46" s="3"/>
      <c r="D46" s="3"/>
      <c r="E46" s="3"/>
      <c r="F46" s="98">
        <f t="shared" si="6"/>
        <v>267830.41149593471</v>
      </c>
      <c r="Q46" s="140" t="s">
        <v>69</v>
      </c>
      <c r="R46" s="176">
        <f ca="1">R37*'Rate Class Energy Model'!I76</f>
        <v>310132.90130654234</v>
      </c>
      <c r="S46" s="140"/>
    </row>
    <row r="47" spans="1:20" x14ac:dyDescent="0.2">
      <c r="A47" s="3">
        <v>39661</v>
      </c>
      <c r="B47" s="3"/>
      <c r="C47" s="3"/>
      <c r="D47" s="3"/>
      <c r="E47" s="3"/>
      <c r="F47" s="98">
        <f t="shared" si="6"/>
        <v>279514.05651591584</v>
      </c>
      <c r="Q47" s="140" t="s">
        <v>70</v>
      </c>
      <c r="R47" s="176">
        <f ca="1">R37*'Rate Class Energy Model'!J76</f>
        <v>499565.78340359271</v>
      </c>
      <c r="S47" s="176">
        <f ca="1">R47*'Rate Class Load Model'!B27</f>
        <v>1437.1640831330776</v>
      </c>
    </row>
    <row r="48" spans="1:20" x14ac:dyDescent="0.2">
      <c r="A48" s="3">
        <v>39692</v>
      </c>
      <c r="B48" s="3"/>
      <c r="C48" s="3"/>
      <c r="D48" s="3"/>
      <c r="E48" s="3"/>
      <c r="F48" s="98">
        <f t="shared" si="6"/>
        <v>291197.70153589698</v>
      </c>
      <c r="Q48" s="140" t="s">
        <v>79</v>
      </c>
      <c r="R48" s="176">
        <f ca="1">R37*'Rate Class Energy Model'!K76</f>
        <v>1001.6983973742584</v>
      </c>
      <c r="S48" s="176">
        <f ca="1">R48*'Rate Class Load Model'!C27</f>
        <v>2.782783325711164</v>
      </c>
    </row>
    <row r="49" spans="1:19" x14ac:dyDescent="0.2">
      <c r="A49" s="3">
        <v>39722</v>
      </c>
      <c r="B49" s="3"/>
      <c r="C49" s="3"/>
      <c r="D49" s="3"/>
      <c r="E49" s="3"/>
      <c r="F49" s="98">
        <f t="shared" si="6"/>
        <v>302881.34655587812</v>
      </c>
      <c r="Q49" s="140" t="s">
        <v>73</v>
      </c>
      <c r="R49" s="176">
        <f ca="1">R37*'Rate Class Energy Model'!L76</f>
        <v>14478.547482694259</v>
      </c>
      <c r="S49" s="176">
        <f ca="1">R49*'Rate Class Load Model'!D27</f>
        <v>42.315527808440038</v>
      </c>
    </row>
    <row r="50" spans="1:19" x14ac:dyDescent="0.2">
      <c r="A50" s="3">
        <v>39753</v>
      </c>
      <c r="B50" s="3"/>
      <c r="C50" s="3"/>
      <c r="D50" s="3"/>
      <c r="E50" s="3"/>
      <c r="F50" s="98">
        <f t="shared" si="6"/>
        <v>314564.99157585925</v>
      </c>
      <c r="Q50" s="140" t="s">
        <v>71</v>
      </c>
      <c r="R50" s="176">
        <f ca="1">R37*'Rate Class Energy Model'!M76</f>
        <v>5695.2693350637119</v>
      </c>
      <c r="S50" s="140"/>
    </row>
    <row r="51" spans="1:19" x14ac:dyDescent="0.2">
      <c r="A51" s="3">
        <v>39783</v>
      </c>
      <c r="B51" s="3"/>
      <c r="C51" s="3"/>
      <c r="D51" s="3"/>
      <c r="E51" s="3"/>
      <c r="F51" s="98">
        <f t="shared" si="6"/>
        <v>326248.63659584039</v>
      </c>
      <c r="G51" s="98">
        <f>SUM(F40:F51)</f>
        <v>3143863.0678313291</v>
      </c>
      <c r="H51" s="98">
        <f>F51*12</f>
        <v>3914983.6391500849</v>
      </c>
      <c r="Q51" s="140" t="s">
        <v>10</v>
      </c>
      <c r="R51" s="176">
        <f ca="1">SUM(R45:R50)</f>
        <v>2276728.4266666663</v>
      </c>
      <c r="S51" s="176">
        <f ca="1">SUM(S45:S50)</f>
        <v>1482.2623942672287</v>
      </c>
    </row>
    <row r="52" spans="1:19" x14ac:dyDescent="0.2">
      <c r="A52" s="3">
        <v>39814</v>
      </c>
      <c r="B52" s="3"/>
      <c r="C52" s="3"/>
      <c r="D52" s="3"/>
      <c r="E52" s="3"/>
      <c r="F52" s="98">
        <f t="shared" ref="F52:F63" si="7">F51+$H$7</f>
        <v>334892.3612999671</v>
      </c>
    </row>
    <row r="53" spans="1:19" x14ac:dyDescent="0.2">
      <c r="A53" s="3">
        <v>39845</v>
      </c>
      <c r="B53" s="3"/>
      <c r="C53" s="3"/>
      <c r="D53" s="3"/>
      <c r="E53" s="3"/>
      <c r="F53" s="98">
        <f t="shared" si="7"/>
        <v>343536.08600409381</v>
      </c>
    </row>
    <row r="54" spans="1:19" x14ac:dyDescent="0.2">
      <c r="A54" s="3">
        <v>39873</v>
      </c>
      <c r="B54" s="3"/>
      <c r="C54" s="3"/>
      <c r="D54" s="3"/>
      <c r="E54" s="3"/>
      <c r="F54" s="98">
        <f t="shared" si="7"/>
        <v>352179.81070822052</v>
      </c>
    </row>
    <row r="55" spans="1:19" x14ac:dyDescent="0.2">
      <c r="A55" s="3">
        <v>39904</v>
      </c>
      <c r="B55" s="3"/>
      <c r="C55" s="3"/>
      <c r="D55" s="3"/>
      <c r="E55" s="3"/>
      <c r="F55" s="98">
        <f t="shared" si="7"/>
        <v>360823.53541234724</v>
      </c>
    </row>
    <row r="56" spans="1:19" x14ac:dyDescent="0.2">
      <c r="A56" s="3">
        <v>39934</v>
      </c>
      <c r="B56" s="3"/>
      <c r="C56" s="3"/>
      <c r="D56" s="3"/>
      <c r="E56" s="3"/>
      <c r="F56" s="98">
        <f t="shared" si="7"/>
        <v>369467.26011647395</v>
      </c>
    </row>
    <row r="57" spans="1:19" x14ac:dyDescent="0.2">
      <c r="A57" s="3">
        <v>39965</v>
      </c>
      <c r="B57" s="3"/>
      <c r="C57" s="3"/>
      <c r="D57" s="3"/>
      <c r="E57" s="3"/>
      <c r="F57" s="98">
        <f t="shared" si="7"/>
        <v>378110.98482060066</v>
      </c>
    </row>
    <row r="58" spans="1:19" x14ac:dyDescent="0.2">
      <c r="A58" s="3">
        <v>39995</v>
      </c>
      <c r="B58" s="3"/>
      <c r="C58" s="3"/>
      <c r="D58" s="3"/>
      <c r="E58" s="3"/>
      <c r="F58" s="98">
        <f t="shared" si="7"/>
        <v>386754.70952472737</v>
      </c>
    </row>
    <row r="59" spans="1:19" x14ac:dyDescent="0.2">
      <c r="A59" s="3">
        <v>40026</v>
      </c>
      <c r="B59" s="3"/>
      <c r="C59" s="3"/>
      <c r="D59" s="3"/>
      <c r="E59" s="3"/>
      <c r="F59" s="98">
        <f t="shared" si="7"/>
        <v>395398.43422885408</v>
      </c>
    </row>
    <row r="60" spans="1:19" x14ac:dyDescent="0.2">
      <c r="A60" s="3">
        <v>40057</v>
      </c>
      <c r="B60" s="3"/>
      <c r="C60" s="3"/>
      <c r="D60" s="3"/>
      <c r="E60" s="3"/>
      <c r="F60" s="98">
        <f t="shared" si="7"/>
        <v>404042.15893298079</v>
      </c>
    </row>
    <row r="61" spans="1:19" x14ac:dyDescent="0.2">
      <c r="A61" s="3">
        <v>40087</v>
      </c>
      <c r="B61" s="3"/>
      <c r="C61" s="3"/>
      <c r="D61" s="3"/>
      <c r="E61" s="3"/>
      <c r="F61" s="98">
        <f t="shared" si="7"/>
        <v>412685.8836371075</v>
      </c>
    </row>
    <row r="62" spans="1:19" x14ac:dyDescent="0.2">
      <c r="A62" s="3">
        <v>40118</v>
      </c>
      <c r="B62" s="3"/>
      <c r="C62" s="3"/>
      <c r="D62" s="3"/>
      <c r="E62" s="3"/>
      <c r="F62" s="98">
        <f t="shared" si="7"/>
        <v>421329.60834123421</v>
      </c>
    </row>
    <row r="63" spans="1:19" x14ac:dyDescent="0.2">
      <c r="A63" s="3">
        <v>40148</v>
      </c>
      <c r="B63" s="3"/>
      <c r="C63" s="3"/>
      <c r="D63" s="3"/>
      <c r="E63" s="3"/>
      <c r="F63" s="98">
        <f t="shared" si="7"/>
        <v>429973.33304536092</v>
      </c>
      <c r="G63" s="98">
        <f>SUM(F52:F63)</f>
        <v>4589194.1660719682</v>
      </c>
      <c r="H63" s="98">
        <f>F63*12</f>
        <v>5159679.9965443313</v>
      </c>
    </row>
    <row r="64" spans="1:19" x14ac:dyDescent="0.2">
      <c r="A64" s="3">
        <v>40179</v>
      </c>
      <c r="B64" s="3"/>
      <c r="C64" s="3"/>
      <c r="D64" s="3"/>
      <c r="E64" s="3"/>
      <c r="F64" s="98">
        <f t="shared" ref="F64:F75" si="8">F63+$H$8</f>
        <v>415484.3536334121</v>
      </c>
    </row>
    <row r="65" spans="1:8" x14ac:dyDescent="0.2">
      <c r="A65" s="3">
        <v>40210</v>
      </c>
      <c r="B65" s="3"/>
      <c r="C65" s="3"/>
      <c r="D65" s="3"/>
      <c r="E65" s="3"/>
      <c r="F65" s="98">
        <f t="shared" si="8"/>
        <v>400995.37422146328</v>
      </c>
    </row>
    <row r="66" spans="1:8" x14ac:dyDescent="0.2">
      <c r="A66" s="3">
        <v>40238</v>
      </c>
      <c r="B66" s="3"/>
      <c r="C66" s="3"/>
      <c r="D66" s="3"/>
      <c r="E66" s="3"/>
      <c r="F66" s="98">
        <f t="shared" si="8"/>
        <v>386506.39480951446</v>
      </c>
    </row>
    <row r="67" spans="1:8" x14ac:dyDescent="0.2">
      <c r="A67" s="3">
        <v>40269</v>
      </c>
      <c r="B67" s="3"/>
      <c r="C67" s="3"/>
      <c r="D67" s="3"/>
      <c r="E67" s="3"/>
      <c r="F67" s="98">
        <f t="shared" si="8"/>
        <v>372017.41539756564</v>
      </c>
    </row>
    <row r="68" spans="1:8" x14ac:dyDescent="0.2">
      <c r="A68" s="3">
        <v>40299</v>
      </c>
      <c r="B68" s="3"/>
      <c r="C68" s="3"/>
      <c r="D68" s="3"/>
      <c r="E68" s="3"/>
      <c r="F68" s="98">
        <f t="shared" si="8"/>
        <v>357528.43598561682</v>
      </c>
    </row>
    <row r="69" spans="1:8" x14ac:dyDescent="0.2">
      <c r="A69" s="3">
        <v>40330</v>
      </c>
      <c r="B69" s="3"/>
      <c r="C69" s="3"/>
      <c r="D69" s="3"/>
      <c r="E69" s="3"/>
      <c r="F69" s="98">
        <f t="shared" si="8"/>
        <v>343039.45657366799</v>
      </c>
    </row>
    <row r="70" spans="1:8" x14ac:dyDescent="0.2">
      <c r="A70" s="3">
        <v>40360</v>
      </c>
      <c r="B70" s="3"/>
      <c r="C70" s="3"/>
      <c r="D70" s="3"/>
      <c r="E70" s="3"/>
      <c r="F70" s="98">
        <f t="shared" si="8"/>
        <v>328550.47716171917</v>
      </c>
    </row>
    <row r="71" spans="1:8" x14ac:dyDescent="0.2">
      <c r="A71" s="3">
        <v>40391</v>
      </c>
      <c r="B71" s="3"/>
      <c r="C71" s="3"/>
      <c r="D71" s="3"/>
      <c r="E71" s="3"/>
      <c r="F71" s="98">
        <f t="shared" si="8"/>
        <v>314061.49774977035</v>
      </c>
    </row>
    <row r="72" spans="1:8" x14ac:dyDescent="0.2">
      <c r="A72" s="3">
        <v>40422</v>
      </c>
      <c r="B72" s="3"/>
      <c r="C72" s="3"/>
      <c r="D72" s="3"/>
      <c r="E72" s="3"/>
      <c r="F72" s="98">
        <f t="shared" si="8"/>
        <v>299572.51833782153</v>
      </c>
    </row>
    <row r="73" spans="1:8" x14ac:dyDescent="0.2">
      <c r="A73" s="3">
        <v>40452</v>
      </c>
      <c r="B73" s="3"/>
      <c r="C73" s="3"/>
      <c r="D73" s="3"/>
      <c r="E73" s="3"/>
      <c r="F73" s="98">
        <f t="shared" si="8"/>
        <v>285083.53892587271</v>
      </c>
    </row>
    <row r="74" spans="1:8" x14ac:dyDescent="0.2">
      <c r="A74" s="3">
        <v>40483</v>
      </c>
      <c r="B74" s="3"/>
      <c r="C74" s="3"/>
      <c r="D74" s="3"/>
      <c r="E74" s="3"/>
      <c r="F74" s="98">
        <f t="shared" si="8"/>
        <v>270594.55951392389</v>
      </c>
    </row>
    <row r="75" spans="1:8" x14ac:dyDescent="0.2">
      <c r="A75" s="3">
        <v>40513</v>
      </c>
      <c r="B75" s="3"/>
      <c r="C75" s="3"/>
      <c r="D75" s="3"/>
      <c r="E75" s="3"/>
      <c r="F75" s="98">
        <f t="shared" si="8"/>
        <v>256105.58010197504</v>
      </c>
      <c r="G75" s="98">
        <f>SUM(F64:F75)</f>
        <v>4029539.602412323</v>
      </c>
      <c r="H75" s="98">
        <f>F75*12</f>
        <v>3073266.9612237005</v>
      </c>
    </row>
    <row r="76" spans="1:8" x14ac:dyDescent="0.2">
      <c r="A76" s="3">
        <v>40544</v>
      </c>
      <c r="B76" s="3"/>
      <c r="C76" s="3"/>
      <c r="D76" s="3"/>
      <c r="E76" s="3"/>
      <c r="F76" s="98">
        <f t="shared" ref="F76:F87" ca="1" si="9">F75+$H$9</f>
        <v>273777.08121865243</v>
      </c>
    </row>
    <row r="77" spans="1:8" x14ac:dyDescent="0.2">
      <c r="A77" s="3">
        <v>40575</v>
      </c>
      <c r="B77" s="3"/>
      <c r="C77" s="3"/>
      <c r="D77" s="3"/>
      <c r="E77" s="3"/>
      <c r="F77" s="98">
        <f t="shared" ca="1" si="9"/>
        <v>291448.58233532979</v>
      </c>
    </row>
    <row r="78" spans="1:8" x14ac:dyDescent="0.2">
      <c r="A78" s="3">
        <v>40603</v>
      </c>
      <c r="B78" s="3"/>
      <c r="C78" s="3"/>
      <c r="D78" s="3"/>
      <c r="E78" s="3"/>
      <c r="F78" s="98">
        <f t="shared" ca="1" si="9"/>
        <v>309120.08345200715</v>
      </c>
    </row>
    <row r="79" spans="1:8" x14ac:dyDescent="0.2">
      <c r="A79" s="3">
        <v>40634</v>
      </c>
      <c r="B79" s="3"/>
      <c r="C79" s="3"/>
      <c r="D79" s="3"/>
      <c r="E79" s="3"/>
      <c r="F79" s="98">
        <f t="shared" ca="1" si="9"/>
        <v>326791.58456868451</v>
      </c>
    </row>
    <row r="80" spans="1:8" x14ac:dyDescent="0.2">
      <c r="A80" s="3">
        <v>40664</v>
      </c>
      <c r="B80" s="3"/>
      <c r="C80" s="3"/>
      <c r="D80" s="3"/>
      <c r="E80" s="3"/>
      <c r="F80" s="98">
        <f t="shared" ca="1" si="9"/>
        <v>344463.08568536188</v>
      </c>
    </row>
    <row r="81" spans="1:8" x14ac:dyDescent="0.2">
      <c r="A81" s="3">
        <v>40695</v>
      </c>
      <c r="B81" s="3"/>
      <c r="C81" s="3"/>
      <c r="D81" s="3"/>
      <c r="E81" s="3"/>
      <c r="F81" s="98">
        <f t="shared" ca="1" si="9"/>
        <v>362134.58680203924</v>
      </c>
    </row>
    <row r="82" spans="1:8" x14ac:dyDescent="0.2">
      <c r="A82" s="3">
        <v>40725</v>
      </c>
      <c r="B82" s="3"/>
      <c r="C82" s="3"/>
      <c r="D82" s="3"/>
      <c r="E82" s="3"/>
      <c r="F82" s="98">
        <f t="shared" ca="1" si="9"/>
        <v>379806.0879187166</v>
      </c>
    </row>
    <row r="83" spans="1:8" x14ac:dyDescent="0.2">
      <c r="A83" s="3">
        <v>40756</v>
      </c>
      <c r="B83" s="3"/>
      <c r="C83" s="3"/>
      <c r="D83" s="3"/>
      <c r="E83" s="3"/>
      <c r="F83" s="98">
        <f t="shared" ca="1" si="9"/>
        <v>397477.58903539396</v>
      </c>
    </row>
    <row r="84" spans="1:8" x14ac:dyDescent="0.2">
      <c r="A84" s="3">
        <v>40787</v>
      </c>
      <c r="B84" s="3"/>
      <c r="C84" s="3"/>
      <c r="D84" s="3"/>
      <c r="E84" s="3"/>
      <c r="F84" s="98">
        <f t="shared" ca="1" si="9"/>
        <v>415149.09015207132</v>
      </c>
    </row>
    <row r="85" spans="1:8" x14ac:dyDescent="0.2">
      <c r="A85" s="3">
        <v>40817</v>
      </c>
      <c r="B85" s="3"/>
      <c r="C85" s="3"/>
      <c r="D85" s="3"/>
      <c r="E85" s="3"/>
      <c r="F85" s="98">
        <f t="shared" ca="1" si="9"/>
        <v>432820.59126874869</v>
      </c>
    </row>
    <row r="86" spans="1:8" x14ac:dyDescent="0.2">
      <c r="A86" s="3">
        <v>40848</v>
      </c>
      <c r="B86" s="3"/>
      <c r="C86" s="3"/>
      <c r="D86" s="3"/>
      <c r="E86" s="3"/>
      <c r="F86" s="98">
        <f t="shared" ca="1" si="9"/>
        <v>450492.09238542605</v>
      </c>
    </row>
    <row r="87" spans="1:8" x14ac:dyDescent="0.2">
      <c r="A87" s="3">
        <v>40878</v>
      </c>
      <c r="B87" s="3"/>
      <c r="C87" s="3"/>
      <c r="D87" s="3"/>
      <c r="E87" s="3"/>
      <c r="F87" s="98">
        <f t="shared" ca="1" si="9"/>
        <v>468163.59350210341</v>
      </c>
      <c r="G87" s="98">
        <f ca="1">SUM(F76:F87)</f>
        <v>4451644.0483245356</v>
      </c>
      <c r="H87" s="98">
        <f ca="1">F87*12</f>
        <v>5617963.1220252411</v>
      </c>
    </row>
    <row r="88" spans="1:8" x14ac:dyDescent="0.2">
      <c r="A88" s="3">
        <v>40909</v>
      </c>
      <c r="B88" s="3"/>
      <c r="C88" s="3"/>
      <c r="D88" s="3"/>
      <c r="E88" s="3"/>
      <c r="F88" s="98">
        <f ca="1">F87+$H$10</f>
        <v>466312.70107880258</v>
      </c>
    </row>
    <row r="89" spans="1:8" x14ac:dyDescent="0.2">
      <c r="A89" s="3">
        <v>40940</v>
      </c>
      <c r="B89" s="3"/>
      <c r="C89" s="3"/>
      <c r="D89" s="3"/>
      <c r="E89" s="3"/>
      <c r="F89" s="98">
        <f t="shared" ref="F89:F99" ca="1" si="10">F88+$H$10</f>
        <v>464461.80865550175</v>
      </c>
    </row>
    <row r="90" spans="1:8" x14ac:dyDescent="0.2">
      <c r="A90" s="3">
        <v>40969</v>
      </c>
      <c r="B90" s="3"/>
      <c r="C90" s="3"/>
      <c r="D90" s="3"/>
      <c r="E90" s="3"/>
      <c r="F90" s="98">
        <f t="shared" ca="1" si="10"/>
        <v>462610.91623220092</v>
      </c>
    </row>
    <row r="91" spans="1:8" x14ac:dyDescent="0.2">
      <c r="A91" s="3">
        <v>41000</v>
      </c>
      <c r="B91" s="3"/>
      <c r="C91" s="3"/>
      <c r="D91" s="3"/>
      <c r="E91" s="3"/>
      <c r="F91" s="98">
        <f t="shared" ca="1" si="10"/>
        <v>460760.02380890009</v>
      </c>
    </row>
    <row r="92" spans="1:8" x14ac:dyDescent="0.2">
      <c r="A92" s="3">
        <v>41030</v>
      </c>
      <c r="B92" s="3"/>
      <c r="C92" s="3"/>
      <c r="D92" s="3"/>
      <c r="E92" s="3"/>
      <c r="F92" s="98">
        <f t="shared" ca="1" si="10"/>
        <v>458909.13138559926</v>
      </c>
    </row>
    <row r="93" spans="1:8" x14ac:dyDescent="0.2">
      <c r="A93" s="3">
        <v>41061</v>
      </c>
      <c r="B93" s="3"/>
      <c r="C93" s="3"/>
      <c r="D93" s="3"/>
      <c r="E93" s="3"/>
      <c r="F93" s="98">
        <f t="shared" ca="1" si="10"/>
        <v>457058.23896229843</v>
      </c>
    </row>
    <row r="94" spans="1:8" x14ac:dyDescent="0.2">
      <c r="A94" s="3">
        <v>41091</v>
      </c>
      <c r="B94" s="3"/>
      <c r="C94" s="3"/>
      <c r="D94" s="3"/>
      <c r="E94" s="3"/>
      <c r="F94" s="98">
        <f t="shared" ca="1" si="10"/>
        <v>455207.3465389976</v>
      </c>
    </row>
    <row r="95" spans="1:8" x14ac:dyDescent="0.2">
      <c r="A95" s="3">
        <v>41122</v>
      </c>
      <c r="B95" s="3"/>
      <c r="C95" s="3"/>
      <c r="D95" s="3"/>
      <c r="E95" s="3"/>
      <c r="F95" s="98">
        <f t="shared" ca="1" si="10"/>
        <v>453356.45411569678</v>
      </c>
    </row>
    <row r="96" spans="1:8" x14ac:dyDescent="0.2">
      <c r="A96" s="3">
        <v>41153</v>
      </c>
      <c r="B96" s="3"/>
      <c r="C96" s="3"/>
      <c r="D96" s="3"/>
      <c r="E96" s="3"/>
      <c r="F96" s="98">
        <f t="shared" ca="1" si="10"/>
        <v>451505.56169239595</v>
      </c>
    </row>
    <row r="97" spans="1:8" x14ac:dyDescent="0.2">
      <c r="A97" s="3">
        <v>41183</v>
      </c>
      <c r="B97" s="3"/>
      <c r="C97" s="3"/>
      <c r="D97" s="3"/>
      <c r="E97" s="3"/>
      <c r="F97" s="98">
        <f t="shared" ca="1" si="10"/>
        <v>449654.66926909512</v>
      </c>
    </row>
    <row r="98" spans="1:8" x14ac:dyDescent="0.2">
      <c r="A98" s="3">
        <v>41214</v>
      </c>
      <c r="B98" s="3"/>
      <c r="C98" s="3"/>
      <c r="D98" s="3"/>
      <c r="E98" s="3"/>
      <c r="F98" s="98">
        <f t="shared" ca="1" si="10"/>
        <v>447803.77684579429</v>
      </c>
    </row>
    <row r="99" spans="1:8" x14ac:dyDescent="0.2">
      <c r="A99" s="3">
        <v>41244</v>
      </c>
      <c r="B99" s="3"/>
      <c r="C99" s="3"/>
      <c r="D99" s="3"/>
      <c r="E99" s="3"/>
      <c r="F99" s="98">
        <f t="shared" ca="1" si="10"/>
        <v>445952.88442249346</v>
      </c>
      <c r="G99" s="98">
        <f ca="1">SUM(F88:F99)</f>
        <v>5473593.5130077759</v>
      </c>
      <c r="H99" s="98">
        <f ca="1">F99*12</f>
        <v>5351434.6130699217</v>
      </c>
    </row>
    <row r="100" spans="1:8" x14ac:dyDescent="0.2">
      <c r="A100" s="3">
        <v>41275</v>
      </c>
      <c r="B100" s="3"/>
      <c r="C100" s="3"/>
      <c r="D100" s="3"/>
      <c r="E100" s="3"/>
      <c r="F100" s="98">
        <f ca="1">F99+$H$11</f>
        <v>461549.92705584702</v>
      </c>
    </row>
    <row r="101" spans="1:8" x14ac:dyDescent="0.2">
      <c r="A101" s="3">
        <v>41306</v>
      </c>
      <c r="B101" s="3"/>
      <c r="C101" s="3"/>
      <c r="D101" s="3"/>
      <c r="E101" s="3"/>
      <c r="F101" s="98">
        <f t="shared" ref="F101:F111" ca="1" si="11">F100+$H$11</f>
        <v>477146.96968920057</v>
      </c>
    </row>
    <row r="102" spans="1:8" x14ac:dyDescent="0.2">
      <c r="A102" s="3">
        <v>41334</v>
      </c>
      <c r="B102" s="3"/>
      <c r="C102" s="3"/>
      <c r="D102" s="3"/>
      <c r="E102" s="3"/>
      <c r="F102" s="98">
        <f t="shared" ca="1" si="11"/>
        <v>492744.01232255413</v>
      </c>
    </row>
    <row r="103" spans="1:8" x14ac:dyDescent="0.2">
      <c r="A103" s="3">
        <v>41365</v>
      </c>
      <c r="B103" s="3"/>
      <c r="C103" s="3"/>
      <c r="D103" s="3"/>
      <c r="E103" s="3"/>
      <c r="F103" s="98">
        <f t="shared" ca="1" si="11"/>
        <v>508341.05495590769</v>
      </c>
    </row>
    <row r="104" spans="1:8" x14ac:dyDescent="0.2">
      <c r="A104" s="3">
        <v>41395</v>
      </c>
      <c r="B104" s="3"/>
      <c r="C104" s="3"/>
      <c r="D104" s="3"/>
      <c r="E104" s="3"/>
      <c r="F104" s="98">
        <f t="shared" ca="1" si="11"/>
        <v>523938.09758926125</v>
      </c>
    </row>
    <row r="105" spans="1:8" x14ac:dyDescent="0.2">
      <c r="A105" s="3">
        <v>41426</v>
      </c>
      <c r="B105" s="3"/>
      <c r="C105" s="3"/>
      <c r="D105" s="3"/>
      <c r="E105" s="3"/>
      <c r="F105" s="98">
        <f t="shared" ca="1" si="11"/>
        <v>539535.14022261475</v>
      </c>
    </row>
    <row r="106" spans="1:8" x14ac:dyDescent="0.2">
      <c r="A106" s="3">
        <v>41456</v>
      </c>
      <c r="B106" s="3"/>
      <c r="C106" s="3"/>
      <c r="D106" s="3"/>
      <c r="E106" s="3"/>
      <c r="F106" s="98">
        <f t="shared" ca="1" si="11"/>
        <v>555132.18285596825</v>
      </c>
    </row>
    <row r="107" spans="1:8" x14ac:dyDescent="0.2">
      <c r="A107" s="3">
        <v>41487</v>
      </c>
      <c r="B107" s="3"/>
      <c r="C107" s="3"/>
      <c r="D107" s="3"/>
      <c r="E107" s="3"/>
      <c r="F107" s="98">
        <f t="shared" ca="1" si="11"/>
        <v>570729.22548932175</v>
      </c>
    </row>
    <row r="108" spans="1:8" x14ac:dyDescent="0.2">
      <c r="A108" s="3">
        <v>41518</v>
      </c>
      <c r="B108" s="3"/>
      <c r="C108" s="3"/>
      <c r="D108" s="3"/>
      <c r="E108" s="3"/>
      <c r="F108" s="98">
        <f t="shared" ca="1" si="11"/>
        <v>586326.26812267525</v>
      </c>
    </row>
    <row r="109" spans="1:8" x14ac:dyDescent="0.2">
      <c r="A109" s="3">
        <v>41548</v>
      </c>
      <c r="B109" s="3"/>
      <c r="C109" s="3"/>
      <c r="D109" s="3"/>
      <c r="E109" s="3"/>
      <c r="F109" s="98">
        <f t="shared" ca="1" si="11"/>
        <v>601923.31075602875</v>
      </c>
    </row>
    <row r="110" spans="1:8" x14ac:dyDescent="0.2">
      <c r="A110" s="3">
        <v>41579</v>
      </c>
      <c r="B110" s="3"/>
      <c r="C110" s="3"/>
      <c r="D110" s="3"/>
      <c r="E110" s="3"/>
      <c r="F110" s="98">
        <f t="shared" ca="1" si="11"/>
        <v>617520.35338938225</v>
      </c>
    </row>
    <row r="111" spans="1:8" x14ac:dyDescent="0.2">
      <c r="A111" s="3">
        <v>41609</v>
      </c>
      <c r="B111" s="3"/>
      <c r="C111" s="3"/>
      <c r="D111" s="3"/>
      <c r="E111" s="3"/>
      <c r="F111" s="98">
        <f t="shared" ca="1" si="11"/>
        <v>633117.39602273575</v>
      </c>
      <c r="G111" s="98">
        <f ca="1">SUM(F100:F111)</f>
        <v>6568003.938471497</v>
      </c>
      <c r="H111" s="98">
        <f ca="1">F111*12</f>
        <v>7597408.7522728294</v>
      </c>
    </row>
  </sheetData>
  <mergeCells count="10">
    <mergeCell ref="Q43:S43"/>
    <mergeCell ref="P26:T26"/>
    <mergeCell ref="J3:K3"/>
    <mergeCell ref="P2:R2"/>
    <mergeCell ref="P3:R3"/>
    <mergeCell ref="P5:T5"/>
    <mergeCell ref="P19:T19"/>
    <mergeCell ref="P12:T12"/>
    <mergeCell ref="J38:L38"/>
    <mergeCell ref="J42:L42"/>
  </mergeCells>
  <phoneticPr fontId="9" type="noConversion"/>
  <pageMargins left="0.75" right="0.75" top="1" bottom="1" header="0.5" footer="0.5"/>
  <pageSetup scale="57"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1"/>
  <sheetViews>
    <sheetView workbookViewId="0"/>
  </sheetViews>
  <sheetFormatPr defaultRowHeight="12.75" x14ac:dyDescent="0.2"/>
  <cols>
    <col min="1" max="1" width="31.42578125" bestFit="1" customWidth="1"/>
    <col min="2" max="2" width="12.7109375" customWidth="1"/>
    <col min="3" max="3" width="11.7109375" customWidth="1"/>
    <col min="4" max="4" width="12.7109375" customWidth="1"/>
    <col min="5" max="5" width="10" customWidth="1"/>
    <col min="6" max="6" width="12.7109375" customWidth="1"/>
    <col min="7" max="7" width="12.85546875" customWidth="1"/>
  </cols>
  <sheetData>
    <row r="1" spans="1:7" ht="20.100000000000001" customHeight="1" x14ac:dyDescent="0.2">
      <c r="A1" s="365"/>
      <c r="B1" s="366" t="s">
        <v>125</v>
      </c>
      <c r="C1" s="366" t="s">
        <v>126</v>
      </c>
      <c r="D1" s="367" t="s">
        <v>127</v>
      </c>
    </row>
    <row r="2" spans="1:7" x14ac:dyDescent="0.2">
      <c r="A2" s="368" t="s">
        <v>128</v>
      </c>
      <c r="B2" s="128">
        <f ca="1">Summary!L13</f>
        <v>147749853.41291058</v>
      </c>
      <c r="C2" s="129"/>
      <c r="D2" s="369">
        <f>[9]SUMMARY!$D$36</f>
        <v>0.88557654391961693</v>
      </c>
    </row>
    <row r="3" spans="1:7" x14ac:dyDescent="0.2">
      <c r="A3" s="368" t="s">
        <v>129</v>
      </c>
      <c r="B3" s="128">
        <f ca="1">Summary!L17</f>
        <v>30870768.962180968</v>
      </c>
      <c r="C3" s="129"/>
      <c r="D3" s="369">
        <f>[9]SUMMARY!$D$35</f>
        <v>0.82382192372139251</v>
      </c>
    </row>
    <row r="4" spans="1:7" x14ac:dyDescent="0.2">
      <c r="A4" s="368" t="s">
        <v>130</v>
      </c>
      <c r="B4" s="128">
        <f ca="1">Summary!L21</f>
        <v>50262876.287525296</v>
      </c>
      <c r="C4" s="133">
        <f ca="1">Summary!L22</f>
        <v>144597.57436396333</v>
      </c>
      <c r="D4" s="369">
        <f>[9]SUMMARY!$D$34</f>
        <v>4.5442974306236429E-2</v>
      </c>
    </row>
    <row r="5" spans="1:7" x14ac:dyDescent="0.2">
      <c r="A5" s="368" t="s">
        <v>131</v>
      </c>
      <c r="B5" s="128">
        <f ca="1">Summary!L31</f>
        <v>1481108.3764185775</v>
      </c>
      <c r="C5" s="133">
        <f ca="1">Summary!L32</f>
        <v>4328.7410401192428</v>
      </c>
      <c r="D5" s="369">
        <f>[9]SUMMARY!$D$37</f>
        <v>0</v>
      </c>
    </row>
    <row r="6" spans="1:7" x14ac:dyDescent="0.2">
      <c r="A6" s="368" t="s">
        <v>132</v>
      </c>
      <c r="B6" s="128">
        <f ca="1">Summary!L26</f>
        <v>107146.80439613332</v>
      </c>
      <c r="C6" s="133">
        <f ca="1">Summary!L27</f>
        <v>297.66079436522585</v>
      </c>
      <c r="D6" s="369">
        <f>[9]SUMMARY!$D$38</f>
        <v>0.8876240328090732</v>
      </c>
    </row>
    <row r="7" spans="1:7" x14ac:dyDescent="0.2">
      <c r="A7" s="368" t="s">
        <v>133</v>
      </c>
      <c r="B7" s="128">
        <f ca="1">Summary!L36</f>
        <v>538256.87154252804</v>
      </c>
      <c r="C7" s="129"/>
      <c r="D7" s="369">
        <f>[9]SUMMARY!$D$39</f>
        <v>0.8898412464848604</v>
      </c>
    </row>
    <row r="8" spans="1:7" ht="13.5" thickBot="1" x14ac:dyDescent="0.25">
      <c r="A8" s="370" t="s">
        <v>134</v>
      </c>
      <c r="B8" s="371">
        <f ca="1">SUM(B2:B7)</f>
        <v>231010010.71497408</v>
      </c>
      <c r="C8" s="371">
        <f ca="1">SUM(C2:C7)</f>
        <v>149223.97619844778</v>
      </c>
      <c r="D8" s="372"/>
    </row>
    <row r="10" spans="1:7" ht="13.5" thickBot="1" x14ac:dyDescent="0.25"/>
    <row r="11" spans="1:7" x14ac:dyDescent="0.2">
      <c r="A11" s="365" t="s">
        <v>135</v>
      </c>
      <c r="B11" s="493" t="s">
        <v>136</v>
      </c>
      <c r="C11" s="494" t="s">
        <v>137</v>
      </c>
      <c r="D11" s="374"/>
      <c r="E11" s="375"/>
      <c r="F11" s="376"/>
    </row>
    <row r="12" spans="1:7" x14ac:dyDescent="0.2">
      <c r="A12" s="377" t="s">
        <v>138</v>
      </c>
      <c r="B12" s="485"/>
      <c r="C12" s="487"/>
      <c r="D12" s="488">
        <v>2012</v>
      </c>
      <c r="E12" s="489"/>
      <c r="F12" s="495"/>
      <c r="G12" s="21" t="s">
        <v>326</v>
      </c>
    </row>
    <row r="13" spans="1:7" x14ac:dyDescent="0.2">
      <c r="A13" s="378" t="s">
        <v>128</v>
      </c>
      <c r="B13" s="128">
        <f t="shared" ref="B13:B18" ca="1" si="0">B2*D2</f>
        <v>130843804.55003537</v>
      </c>
      <c r="C13" s="351">
        <v>1.0746</v>
      </c>
      <c r="D13" s="352">
        <f t="shared" ref="D13:D18" ca="1" si="1">B13*C13</f>
        <v>140604752.369468</v>
      </c>
      <c r="E13" s="353">
        <v>8.0689999999999998E-2</v>
      </c>
      <c r="F13" s="379">
        <f t="shared" ref="F13:F18" ca="1" si="2">D13*E13</f>
        <v>11345397.468692373</v>
      </c>
      <c r="G13" s="307">
        <f t="shared" ref="G13:G19" ca="1" si="3">(F13+F23)/(D13+D23)</f>
        <v>8.0471451198886476E-2</v>
      </c>
    </row>
    <row r="14" spans="1:7" x14ac:dyDescent="0.2">
      <c r="A14" s="378" t="s">
        <v>129</v>
      </c>
      <c r="B14" s="128">
        <f t="shared" ca="1" si="0"/>
        <v>25432016.273182582</v>
      </c>
      <c r="C14" s="351">
        <f>C13</f>
        <v>1.0746</v>
      </c>
      <c r="D14" s="352">
        <f t="shared" ca="1" si="1"/>
        <v>27329244.687162004</v>
      </c>
      <c r="E14" s="353">
        <f>E13</f>
        <v>8.0689999999999998E-2</v>
      </c>
      <c r="F14" s="379">
        <f t="shared" ca="1" si="2"/>
        <v>2205196.7538071019</v>
      </c>
      <c r="G14" s="330">
        <f t="shared" ca="1" si="3"/>
        <v>8.0353499874307857E-2</v>
      </c>
    </row>
    <row r="15" spans="1:7" x14ac:dyDescent="0.2">
      <c r="A15" s="378" t="s">
        <v>130</v>
      </c>
      <c r="B15" s="128">
        <f t="shared" ca="1" si="0"/>
        <v>2284094.5956915524</v>
      </c>
      <c r="C15" s="351">
        <f>C14</f>
        <v>1.0746</v>
      </c>
      <c r="D15" s="352">
        <f t="shared" ca="1" si="1"/>
        <v>2454488.052530142</v>
      </c>
      <c r="E15" s="353">
        <f>E14</f>
        <v>8.0689999999999998E-2</v>
      </c>
      <c r="F15" s="379">
        <f t="shared" ca="1" si="2"/>
        <v>198052.64095865717</v>
      </c>
      <c r="G15" s="330">
        <f t="shared" ca="1" si="3"/>
        <v>7.8866796080924922E-2</v>
      </c>
    </row>
    <row r="16" spans="1:7" x14ac:dyDescent="0.2">
      <c r="A16" s="378" t="s">
        <v>131</v>
      </c>
      <c r="B16" s="128">
        <f t="shared" ca="1" si="0"/>
        <v>0</v>
      </c>
      <c r="C16" s="351">
        <f>C15</f>
        <v>1.0746</v>
      </c>
      <c r="D16" s="352">
        <f t="shared" ca="1" si="1"/>
        <v>0</v>
      </c>
      <c r="E16" s="353">
        <f>E15</f>
        <v>8.0689999999999998E-2</v>
      </c>
      <c r="F16" s="379">
        <f t="shared" ca="1" si="2"/>
        <v>0</v>
      </c>
      <c r="G16" s="330">
        <f t="shared" ca="1" si="3"/>
        <v>7.8780000000000003E-2</v>
      </c>
    </row>
    <row r="17" spans="1:7" x14ac:dyDescent="0.2">
      <c r="A17" s="378" t="s">
        <v>132</v>
      </c>
      <c r="B17" s="128">
        <f t="shared" ca="1" si="0"/>
        <v>95106.078620700791</v>
      </c>
      <c r="C17" s="351">
        <f>C16</f>
        <v>1.0746</v>
      </c>
      <c r="D17" s="352">
        <f t="shared" ca="1" si="1"/>
        <v>102200.99208580508</v>
      </c>
      <c r="E17" s="353">
        <f>E16</f>
        <v>8.0689999999999998E-2</v>
      </c>
      <c r="F17" s="379">
        <f t="shared" ca="1" si="2"/>
        <v>8246.598051403611</v>
      </c>
      <c r="G17" s="330">
        <f t="shared" ca="1" si="3"/>
        <v>8.0475361902665327E-2</v>
      </c>
    </row>
    <row r="18" spans="1:7" x14ac:dyDescent="0.2">
      <c r="A18" s="378" t="s">
        <v>133</v>
      </c>
      <c r="B18" s="128">
        <f t="shared" ca="1" si="0"/>
        <v>478963.16550244455</v>
      </c>
      <c r="C18" s="351">
        <f>C17</f>
        <v>1.0746</v>
      </c>
      <c r="D18" s="352">
        <f t="shared" ca="1" si="1"/>
        <v>514693.81764892692</v>
      </c>
      <c r="E18" s="353">
        <f>E17</f>
        <v>8.0689999999999998E-2</v>
      </c>
      <c r="F18" s="379">
        <f t="shared" ca="1" si="2"/>
        <v>41530.644146091916</v>
      </c>
      <c r="G18" s="330">
        <f t="shared" ca="1" si="3"/>
        <v>8.0479596780786075E-2</v>
      </c>
    </row>
    <row r="19" spans="1:7" ht="13.5" thickBot="1" x14ac:dyDescent="0.25">
      <c r="A19" s="370" t="s">
        <v>134</v>
      </c>
      <c r="B19" s="371">
        <f ca="1">SUM(B13:B18)</f>
        <v>159133984.66303268</v>
      </c>
      <c r="C19" s="380"/>
      <c r="D19" s="371">
        <f ca="1">SUM(D13:D18)</f>
        <v>171005379.91889489</v>
      </c>
      <c r="E19" s="381"/>
      <c r="F19" s="382">
        <f ca="1">SUM(F13:F18)</f>
        <v>13798424.105655627</v>
      </c>
      <c r="G19" s="373">
        <f t="shared" ca="1" si="3"/>
        <v>8.0095726144359211E-2</v>
      </c>
    </row>
    <row r="20" spans="1:7" x14ac:dyDescent="0.2">
      <c r="A20" s="107"/>
      <c r="B20" s="108"/>
      <c r="C20" s="109"/>
      <c r="D20" s="108"/>
      <c r="E20" s="110"/>
      <c r="F20" s="111"/>
    </row>
    <row r="21" spans="1:7" x14ac:dyDescent="0.2">
      <c r="A21" s="355" t="s">
        <v>139</v>
      </c>
      <c r="B21" s="484" t="s">
        <v>136</v>
      </c>
      <c r="C21" s="486" t="s">
        <v>137</v>
      </c>
      <c r="D21" s="359"/>
      <c r="E21" s="360"/>
      <c r="F21" s="361"/>
    </row>
    <row r="22" spans="1:7" x14ac:dyDescent="0.2">
      <c r="A22" s="362" t="s">
        <v>140</v>
      </c>
      <c r="B22" s="485"/>
      <c r="C22" s="487"/>
      <c r="D22" s="488">
        <v>2012</v>
      </c>
      <c r="E22" s="489"/>
      <c r="F22" s="490"/>
      <c r="G22" s="21" t="s">
        <v>327</v>
      </c>
    </row>
    <row r="23" spans="1:7" x14ac:dyDescent="0.2">
      <c r="A23" s="105" t="s">
        <v>128</v>
      </c>
      <c r="B23" s="128">
        <f t="shared" ref="B23:B28" ca="1" si="4">B2-B13</f>
        <v>16906048.862875208</v>
      </c>
      <c r="C23" s="129">
        <f>C13</f>
        <v>1.0746</v>
      </c>
      <c r="D23" s="352">
        <f t="shared" ref="D23:D28" ca="1" si="5">B23*C23</f>
        <v>18167240.108045697</v>
      </c>
      <c r="E23" s="353">
        <v>7.8780000000000003E-2</v>
      </c>
      <c r="F23" s="354">
        <f t="shared" ref="F23:F28" ca="1" si="6">D23*E23</f>
        <v>1431215.1757118402</v>
      </c>
      <c r="G23" s="309">
        <f t="shared" ref="G23:G28" ca="1" si="7">F13+F23</f>
        <v>12776612.644404214</v>
      </c>
    </row>
    <row r="24" spans="1:7" x14ac:dyDescent="0.2">
      <c r="A24" s="105" t="s">
        <v>129</v>
      </c>
      <c r="B24" s="128">
        <f t="shared" ca="1" si="4"/>
        <v>5438752.6889983863</v>
      </c>
      <c r="C24" s="129">
        <f>C23</f>
        <v>1.0746</v>
      </c>
      <c r="D24" s="352">
        <f t="shared" ca="1" si="5"/>
        <v>5844483.6395976655</v>
      </c>
      <c r="E24" s="353">
        <f>E23</f>
        <v>7.8780000000000003E-2</v>
      </c>
      <c r="F24" s="354">
        <f t="shared" ca="1" si="6"/>
        <v>460428.42112750409</v>
      </c>
      <c r="G24" s="309">
        <f t="shared" ca="1" si="7"/>
        <v>2665625.1749346061</v>
      </c>
    </row>
    <row r="25" spans="1:7" x14ac:dyDescent="0.2">
      <c r="A25" s="105" t="s">
        <v>130</v>
      </c>
      <c r="B25" s="128">
        <f t="shared" ca="1" si="4"/>
        <v>47978781.691833742</v>
      </c>
      <c r="C25" s="129">
        <f>C24</f>
        <v>1.0746</v>
      </c>
      <c r="D25" s="352">
        <f t="shared" ca="1" si="5"/>
        <v>51557998.806044541</v>
      </c>
      <c r="E25" s="353">
        <f>E24</f>
        <v>7.8780000000000003E-2</v>
      </c>
      <c r="F25" s="354">
        <f t="shared" ca="1" si="6"/>
        <v>4061739.1459401892</v>
      </c>
      <c r="G25" s="309">
        <f t="shared" ca="1" si="7"/>
        <v>4259791.7868988467</v>
      </c>
    </row>
    <row r="26" spans="1:7" x14ac:dyDescent="0.2">
      <c r="A26" s="105" t="s">
        <v>131</v>
      </c>
      <c r="B26" s="128">
        <f t="shared" ca="1" si="4"/>
        <v>1481108.3764185775</v>
      </c>
      <c r="C26" s="129">
        <f>C25</f>
        <v>1.0746</v>
      </c>
      <c r="D26" s="352">
        <f t="shared" ca="1" si="5"/>
        <v>1591599.0612994034</v>
      </c>
      <c r="E26" s="353">
        <f>E25</f>
        <v>7.8780000000000003E-2</v>
      </c>
      <c r="F26" s="354">
        <f t="shared" ca="1" si="6"/>
        <v>125386.17404916701</v>
      </c>
      <c r="G26" s="309">
        <f t="shared" ca="1" si="7"/>
        <v>125386.17404916701</v>
      </c>
    </row>
    <row r="27" spans="1:7" x14ac:dyDescent="0.2">
      <c r="A27" s="105" t="s">
        <v>132</v>
      </c>
      <c r="B27" s="128">
        <f t="shared" ca="1" si="4"/>
        <v>12040.725775432526</v>
      </c>
      <c r="C27" s="129">
        <f>C26</f>
        <v>1.0746</v>
      </c>
      <c r="D27" s="352">
        <f t="shared" ca="1" si="5"/>
        <v>12938.963918279793</v>
      </c>
      <c r="E27" s="353">
        <f>E26</f>
        <v>7.8780000000000003E-2</v>
      </c>
      <c r="F27" s="354">
        <f t="shared" ca="1" si="6"/>
        <v>1019.3315774820821</v>
      </c>
      <c r="G27" s="309">
        <f t="shared" ca="1" si="7"/>
        <v>9265.9296288856931</v>
      </c>
    </row>
    <row r="28" spans="1:7" x14ac:dyDescent="0.2">
      <c r="A28" s="105" t="s">
        <v>133</v>
      </c>
      <c r="B28" s="128">
        <f t="shared" ca="1" si="4"/>
        <v>59293.706040083489</v>
      </c>
      <c r="C28" s="129">
        <f>C27</f>
        <v>1.0746</v>
      </c>
      <c r="D28" s="352">
        <f t="shared" ca="1" si="5"/>
        <v>63717.016510673719</v>
      </c>
      <c r="E28" s="353">
        <f>E27</f>
        <v>7.8780000000000003E-2</v>
      </c>
      <c r="F28" s="354">
        <f t="shared" ca="1" si="6"/>
        <v>5019.6265607108753</v>
      </c>
      <c r="G28" s="309">
        <f t="shared" ca="1" si="7"/>
        <v>46550.270706802788</v>
      </c>
    </row>
    <row r="29" spans="1:7" ht="13.5" thickBot="1" x14ac:dyDescent="0.25">
      <c r="A29" s="357" t="s">
        <v>134</v>
      </c>
      <c r="B29" s="358">
        <f ca="1">SUM(B23:B28)</f>
        <v>71876026.051941425</v>
      </c>
      <c r="C29" s="362"/>
      <c r="D29" s="358">
        <f ca="1">SUM(D23:D28)</f>
        <v>77237977.595416263</v>
      </c>
      <c r="E29" s="363"/>
      <c r="F29" s="364">
        <f ca="1">SUM(F23:F28)</f>
        <v>6084807.8749668933</v>
      </c>
      <c r="G29" s="310">
        <f ca="1">SUM(G23:G28)</f>
        <v>19883231.980622526</v>
      </c>
    </row>
    <row r="30" spans="1:7" ht="13.5" thickTop="1" x14ac:dyDescent="0.2">
      <c r="D30" s="383"/>
      <c r="E30" s="383"/>
      <c r="F30" s="383"/>
    </row>
    <row r="31" spans="1:7" x14ac:dyDescent="0.2">
      <c r="A31" s="388" t="s">
        <v>141</v>
      </c>
      <c r="B31" s="389"/>
      <c r="C31" s="390" t="s">
        <v>142</v>
      </c>
      <c r="D31" s="391"/>
      <c r="E31" s="392"/>
      <c r="F31" s="389"/>
    </row>
    <row r="32" spans="1:7" x14ac:dyDescent="0.2">
      <c r="A32" s="362" t="s">
        <v>140</v>
      </c>
      <c r="B32" s="393"/>
      <c r="C32" s="394" t="s">
        <v>143</v>
      </c>
      <c r="D32" s="481">
        <v>2012</v>
      </c>
      <c r="E32" s="482"/>
      <c r="F32" s="492"/>
    </row>
    <row r="33" spans="1:8" x14ac:dyDescent="0.2">
      <c r="A33" s="104" t="s">
        <v>128</v>
      </c>
      <c r="B33" s="130"/>
      <c r="C33" s="131" t="s">
        <v>125</v>
      </c>
      <c r="D33" s="352">
        <f ca="1">D13+D23</f>
        <v>158771992.4775137</v>
      </c>
      <c r="E33" s="384">
        <v>5.1999999999999998E-3</v>
      </c>
      <c r="F33" s="354">
        <f t="shared" ref="F33:F38" ca="1" si="8">D33*E33</f>
        <v>825614.3608830712</v>
      </c>
    </row>
    <row r="34" spans="1:8" x14ac:dyDescent="0.2">
      <c r="A34" s="104" t="s">
        <v>129</v>
      </c>
      <c r="B34" s="130"/>
      <c r="C34" s="131" t="s">
        <v>126</v>
      </c>
      <c r="D34" s="352">
        <f ca="1">D14+D24</f>
        <v>33173728.32675967</v>
      </c>
      <c r="E34" s="384">
        <v>4.7000000000000002E-3</v>
      </c>
      <c r="F34" s="354">
        <f t="shared" ca="1" si="8"/>
        <v>155916.52313577046</v>
      </c>
    </row>
    <row r="35" spans="1:8" x14ac:dyDescent="0.2">
      <c r="A35" s="104" t="s">
        <v>130</v>
      </c>
      <c r="B35" s="130"/>
      <c r="C35" s="131" t="s">
        <v>126</v>
      </c>
      <c r="D35" s="352">
        <f ca="1">C4</f>
        <v>144597.57436396333</v>
      </c>
      <c r="E35" s="384">
        <v>1.9279999999999999</v>
      </c>
      <c r="F35" s="354">
        <f t="shared" ca="1" si="8"/>
        <v>278784.12337372126</v>
      </c>
    </row>
    <row r="36" spans="1:8" x14ac:dyDescent="0.2">
      <c r="A36" s="104" t="s">
        <v>131</v>
      </c>
      <c r="B36" s="130"/>
      <c r="C36" s="131" t="s">
        <v>125</v>
      </c>
      <c r="D36" s="352">
        <f ca="1">C5</f>
        <v>4328.7410401192428</v>
      </c>
      <c r="E36" s="384">
        <v>1.454</v>
      </c>
      <c r="F36" s="354">
        <f t="shared" ca="1" si="8"/>
        <v>6293.9894723333791</v>
      </c>
      <c r="H36" s="36"/>
    </row>
    <row r="37" spans="1:8" x14ac:dyDescent="0.2">
      <c r="A37" s="104" t="s">
        <v>132</v>
      </c>
      <c r="B37" s="130"/>
      <c r="C37" s="131" t="s">
        <v>126</v>
      </c>
      <c r="D37" s="352">
        <f ca="1">C6</f>
        <v>297.66079436522585</v>
      </c>
      <c r="E37" s="384">
        <v>1.4614</v>
      </c>
      <c r="F37" s="354">
        <f t="shared" ca="1" si="8"/>
        <v>435.00148488534109</v>
      </c>
    </row>
    <row r="38" spans="1:8" x14ac:dyDescent="0.2">
      <c r="A38" s="104" t="s">
        <v>133</v>
      </c>
      <c r="B38" s="130"/>
      <c r="C38" s="131" t="s">
        <v>126</v>
      </c>
      <c r="D38" s="352">
        <f ca="1">D18+D28</f>
        <v>578410.83415960066</v>
      </c>
      <c r="E38" s="384">
        <f>E34</f>
        <v>4.7000000000000002E-3</v>
      </c>
      <c r="F38" s="354">
        <f t="shared" ca="1" si="8"/>
        <v>2718.530920550123</v>
      </c>
    </row>
    <row r="39" spans="1:8" x14ac:dyDescent="0.2">
      <c r="A39" s="357" t="s">
        <v>134</v>
      </c>
      <c r="B39" s="358"/>
      <c r="C39" s="362"/>
      <c r="D39" s="358"/>
      <c r="E39" s="363"/>
      <c r="F39" s="364">
        <f ca="1">SUM(F33:F38)</f>
        <v>1269762.5292703318</v>
      </c>
    </row>
    <row r="40" spans="1:8" x14ac:dyDescent="0.2">
      <c r="D40" s="383"/>
      <c r="E40" s="383"/>
      <c r="F40" s="383"/>
    </row>
    <row r="41" spans="1:8" x14ac:dyDescent="0.2">
      <c r="A41" s="388" t="s">
        <v>144</v>
      </c>
      <c r="B41" s="389"/>
      <c r="C41" s="395" t="s">
        <v>142</v>
      </c>
      <c r="D41" s="391"/>
      <c r="E41" s="392"/>
      <c r="F41" s="389"/>
    </row>
    <row r="42" spans="1:8" x14ac:dyDescent="0.2">
      <c r="A42" s="362" t="s">
        <v>140</v>
      </c>
      <c r="B42" s="393"/>
      <c r="C42" s="396" t="s">
        <v>143</v>
      </c>
      <c r="D42" s="481">
        <v>2012</v>
      </c>
      <c r="E42" s="482"/>
      <c r="F42" s="492"/>
    </row>
    <row r="43" spans="1:8" x14ac:dyDescent="0.2">
      <c r="A43" s="104" t="s">
        <v>128</v>
      </c>
      <c r="B43" s="130"/>
      <c r="C43" s="131" t="s">
        <v>125</v>
      </c>
      <c r="D43" s="352">
        <f t="shared" ref="D43:D48" ca="1" si="9">D33</f>
        <v>158771992.4775137</v>
      </c>
      <c r="E43" s="384">
        <v>4.1000000000000003E-3</v>
      </c>
      <c r="F43" s="354">
        <f t="shared" ref="F43:F48" ca="1" si="10">D43*E43</f>
        <v>650965.1691578062</v>
      </c>
    </row>
    <row r="44" spans="1:8" x14ac:dyDescent="0.2">
      <c r="A44" s="104" t="s">
        <v>129</v>
      </c>
      <c r="B44" s="130"/>
      <c r="C44" s="131" t="s">
        <v>126</v>
      </c>
      <c r="D44" s="352">
        <f t="shared" ca="1" si="9"/>
        <v>33173728.32675967</v>
      </c>
      <c r="E44" s="384">
        <v>3.8E-3</v>
      </c>
      <c r="F44" s="354">
        <f t="shared" ca="1" si="10"/>
        <v>126060.16764168674</v>
      </c>
    </row>
    <row r="45" spans="1:8" x14ac:dyDescent="0.2">
      <c r="A45" s="104" t="s">
        <v>130</v>
      </c>
      <c r="B45" s="130"/>
      <c r="C45" s="131" t="s">
        <v>126</v>
      </c>
      <c r="D45" s="352">
        <f t="shared" ca="1" si="9"/>
        <v>144597.57436396333</v>
      </c>
      <c r="E45" s="384">
        <v>1.4824999999999999</v>
      </c>
      <c r="F45" s="354">
        <f t="shared" ca="1" si="10"/>
        <v>214365.90399457564</v>
      </c>
    </row>
    <row r="46" spans="1:8" x14ac:dyDescent="0.2">
      <c r="A46" s="104" t="s">
        <v>131</v>
      </c>
      <c r="B46" s="130"/>
      <c r="C46" s="131" t="s">
        <v>125</v>
      </c>
      <c r="D46" s="352">
        <f t="shared" ca="1" si="9"/>
        <v>4328.7410401192428</v>
      </c>
      <c r="E46" s="384">
        <v>1.1458999999999999</v>
      </c>
      <c r="F46" s="354">
        <f t="shared" ca="1" si="10"/>
        <v>4960.3043578726401</v>
      </c>
    </row>
    <row r="47" spans="1:8" x14ac:dyDescent="0.2">
      <c r="A47" s="104" t="s">
        <v>132</v>
      </c>
      <c r="B47" s="130"/>
      <c r="C47" s="131" t="s">
        <v>126</v>
      </c>
      <c r="D47" s="352">
        <f t="shared" ca="1" si="9"/>
        <v>297.66079436522585</v>
      </c>
      <c r="E47" s="384">
        <v>1.1698999999999999</v>
      </c>
      <c r="F47" s="354">
        <f t="shared" ca="1" si="10"/>
        <v>348.23336332787773</v>
      </c>
    </row>
    <row r="48" spans="1:8" x14ac:dyDescent="0.2">
      <c r="A48" s="104" t="s">
        <v>133</v>
      </c>
      <c r="B48" s="130"/>
      <c r="C48" s="131" t="s">
        <v>126</v>
      </c>
      <c r="D48" s="352">
        <f t="shared" ca="1" si="9"/>
        <v>578410.83415960066</v>
      </c>
      <c r="E48" s="384">
        <f>E44</f>
        <v>3.8E-3</v>
      </c>
      <c r="F48" s="354">
        <f t="shared" ca="1" si="10"/>
        <v>2197.9611698064823</v>
      </c>
    </row>
    <row r="49" spans="1:6" x14ac:dyDescent="0.2">
      <c r="A49" s="357" t="s">
        <v>134</v>
      </c>
      <c r="B49" s="358"/>
      <c r="C49" s="362"/>
      <c r="D49" s="358"/>
      <c r="E49" s="363"/>
      <c r="F49" s="364">
        <f ca="1">SUM(F43:F48)</f>
        <v>998897.73968507559</v>
      </c>
    </row>
    <row r="50" spans="1:6" x14ac:dyDescent="0.2">
      <c r="D50" s="383"/>
      <c r="E50" s="383"/>
      <c r="F50" s="383"/>
    </row>
    <row r="51" spans="1:6" x14ac:dyDescent="0.2">
      <c r="A51" s="388" t="s">
        <v>145</v>
      </c>
      <c r="B51" s="389"/>
      <c r="C51" s="395"/>
      <c r="D51" s="391"/>
      <c r="E51" s="392"/>
      <c r="F51" s="389"/>
    </row>
    <row r="52" spans="1:6" x14ac:dyDescent="0.2">
      <c r="A52" s="362" t="s">
        <v>140</v>
      </c>
      <c r="B52" s="393"/>
      <c r="C52" s="396"/>
      <c r="D52" s="481">
        <v>2012</v>
      </c>
      <c r="E52" s="482"/>
      <c r="F52" s="483"/>
    </row>
    <row r="53" spans="1:6" x14ac:dyDescent="0.2">
      <c r="A53" s="104" t="s">
        <v>128</v>
      </c>
      <c r="B53" s="130"/>
      <c r="C53" s="131"/>
      <c r="D53" s="352">
        <f t="shared" ref="D53:D58" ca="1" si="11">D13+D23</f>
        <v>158771992.4775137</v>
      </c>
      <c r="E53" s="384">
        <v>5.1999999999999998E-3</v>
      </c>
      <c r="F53" s="354">
        <f t="shared" ref="F53:F58" ca="1" si="12">D53*E53</f>
        <v>825614.3608830712</v>
      </c>
    </row>
    <row r="54" spans="1:6" x14ac:dyDescent="0.2">
      <c r="A54" s="104" t="s">
        <v>129</v>
      </c>
      <c r="B54" s="130"/>
      <c r="C54" s="131"/>
      <c r="D54" s="352">
        <f t="shared" ca="1" si="11"/>
        <v>33173728.32675967</v>
      </c>
      <c r="E54" s="384">
        <v>5.1999999999999998E-3</v>
      </c>
      <c r="F54" s="354">
        <f t="shared" ca="1" si="12"/>
        <v>172503.38729915029</v>
      </c>
    </row>
    <row r="55" spans="1:6" x14ac:dyDescent="0.2">
      <c r="A55" s="104" t="s">
        <v>130</v>
      </c>
      <c r="B55" s="130"/>
      <c r="C55" s="131"/>
      <c r="D55" s="352">
        <f t="shared" ca="1" si="11"/>
        <v>54012486.858574681</v>
      </c>
      <c r="E55" s="384">
        <v>5.1999999999999998E-3</v>
      </c>
      <c r="F55" s="354">
        <f t="shared" ca="1" si="12"/>
        <v>280864.93166458834</v>
      </c>
    </row>
    <row r="56" spans="1:6" x14ac:dyDescent="0.2">
      <c r="A56" s="104" t="s">
        <v>131</v>
      </c>
      <c r="B56" s="130"/>
      <c r="C56" s="131"/>
      <c r="D56" s="352">
        <f t="shared" ca="1" si="11"/>
        <v>1591599.0612994034</v>
      </c>
      <c r="E56" s="384">
        <v>5.1999999999999998E-3</v>
      </c>
      <c r="F56" s="354">
        <f t="shared" ca="1" si="12"/>
        <v>8276.3151187568983</v>
      </c>
    </row>
    <row r="57" spans="1:6" x14ac:dyDescent="0.2">
      <c r="A57" s="104" t="s">
        <v>132</v>
      </c>
      <c r="B57" s="130"/>
      <c r="C57" s="131"/>
      <c r="D57" s="352">
        <f t="shared" ca="1" si="11"/>
        <v>115139.95600408487</v>
      </c>
      <c r="E57" s="384">
        <v>5.1999999999999998E-3</v>
      </c>
      <c r="F57" s="354">
        <f t="shared" ca="1" si="12"/>
        <v>598.72777122124137</v>
      </c>
    </row>
    <row r="58" spans="1:6" x14ac:dyDescent="0.2">
      <c r="A58" s="104" t="s">
        <v>133</v>
      </c>
      <c r="B58" s="130"/>
      <c r="C58" s="131"/>
      <c r="D58" s="352">
        <f t="shared" ca="1" si="11"/>
        <v>578410.83415960066</v>
      </c>
      <c r="E58" s="384">
        <v>5.1999999999999998E-3</v>
      </c>
      <c r="F58" s="354">
        <f t="shared" ca="1" si="12"/>
        <v>3007.7363376299231</v>
      </c>
    </row>
    <row r="59" spans="1:6" x14ac:dyDescent="0.2">
      <c r="A59" s="357" t="s">
        <v>134</v>
      </c>
      <c r="B59" s="358"/>
      <c r="C59" s="362"/>
      <c r="D59" s="358">
        <f ca="1">SUM(D53:D58)</f>
        <v>248243357.51431116</v>
      </c>
      <c r="E59" s="363"/>
      <c r="F59" s="364">
        <f ca="1">SUM(F53:F58)</f>
        <v>1290865.4590744178</v>
      </c>
    </row>
    <row r="60" spans="1:6" x14ac:dyDescent="0.2">
      <c r="D60" s="383"/>
      <c r="E60" s="383"/>
      <c r="F60" s="383"/>
    </row>
    <row r="61" spans="1:6" x14ac:dyDescent="0.2">
      <c r="A61" s="388" t="s">
        <v>146</v>
      </c>
      <c r="B61" s="389"/>
      <c r="C61" s="395"/>
      <c r="D61" s="391"/>
      <c r="E61" s="392"/>
      <c r="F61" s="389"/>
    </row>
    <row r="62" spans="1:6" x14ac:dyDescent="0.2">
      <c r="A62" s="362" t="s">
        <v>140</v>
      </c>
      <c r="B62" s="393"/>
      <c r="C62" s="396"/>
      <c r="D62" s="491">
        <v>2012</v>
      </c>
      <c r="E62" s="482"/>
      <c r="F62" s="492"/>
    </row>
    <row r="63" spans="1:6" x14ac:dyDescent="0.2">
      <c r="A63" s="104" t="s">
        <v>128</v>
      </c>
      <c r="B63" s="130"/>
      <c r="C63" s="131"/>
      <c r="D63" s="352">
        <f t="shared" ref="D63:D68" ca="1" si="13">D53</f>
        <v>158771992.4775137</v>
      </c>
      <c r="E63" s="384">
        <v>1.1000000000000001E-3</v>
      </c>
      <c r="F63" s="354">
        <f t="shared" ref="F63:F68" ca="1" si="14">D63*E63</f>
        <v>174649.19172526509</v>
      </c>
    </row>
    <row r="64" spans="1:6" x14ac:dyDescent="0.2">
      <c r="A64" s="104" t="s">
        <v>129</v>
      </c>
      <c r="B64" s="130"/>
      <c r="C64" s="131"/>
      <c r="D64" s="352">
        <f t="shared" ca="1" si="13"/>
        <v>33173728.32675967</v>
      </c>
      <c r="E64" s="384">
        <v>1.1000000000000001E-3</v>
      </c>
      <c r="F64" s="354">
        <f t="shared" ca="1" si="14"/>
        <v>36491.101159435639</v>
      </c>
    </row>
    <row r="65" spans="1:6" x14ac:dyDescent="0.2">
      <c r="A65" s="104" t="s">
        <v>130</v>
      </c>
      <c r="B65" s="130"/>
      <c r="C65" s="131"/>
      <c r="D65" s="352">
        <f t="shared" ca="1" si="13"/>
        <v>54012486.858574681</v>
      </c>
      <c r="E65" s="384">
        <v>1.1000000000000001E-3</v>
      </c>
      <c r="F65" s="354">
        <f t="shared" ca="1" si="14"/>
        <v>59413.735544432151</v>
      </c>
    </row>
    <row r="66" spans="1:6" x14ac:dyDescent="0.2">
      <c r="A66" s="104" t="s">
        <v>131</v>
      </c>
      <c r="B66" s="130"/>
      <c r="C66" s="131"/>
      <c r="D66" s="352">
        <f t="shared" ca="1" si="13"/>
        <v>1591599.0612994034</v>
      </c>
      <c r="E66" s="384">
        <v>1.1000000000000001E-3</v>
      </c>
      <c r="F66" s="354">
        <f t="shared" ca="1" si="14"/>
        <v>1750.7589674293438</v>
      </c>
    </row>
    <row r="67" spans="1:6" x14ac:dyDescent="0.2">
      <c r="A67" s="104" t="s">
        <v>132</v>
      </c>
      <c r="B67" s="130"/>
      <c r="C67" s="131"/>
      <c r="D67" s="352">
        <f t="shared" ca="1" si="13"/>
        <v>115139.95600408487</v>
      </c>
      <c r="E67" s="384">
        <v>1.1000000000000001E-3</v>
      </c>
      <c r="F67" s="354">
        <f t="shared" ca="1" si="14"/>
        <v>126.65395160449337</v>
      </c>
    </row>
    <row r="68" spans="1:6" x14ac:dyDescent="0.2">
      <c r="A68" s="104" t="s">
        <v>133</v>
      </c>
      <c r="B68" s="130"/>
      <c r="C68" s="131"/>
      <c r="D68" s="352">
        <f t="shared" ca="1" si="13"/>
        <v>578410.83415960066</v>
      </c>
      <c r="E68" s="384">
        <v>1.1000000000000001E-3</v>
      </c>
      <c r="F68" s="354">
        <f t="shared" ca="1" si="14"/>
        <v>636.25191757556081</v>
      </c>
    </row>
    <row r="69" spans="1:6" x14ac:dyDescent="0.2">
      <c r="A69" s="357" t="s">
        <v>134</v>
      </c>
      <c r="B69" s="358"/>
      <c r="C69" s="362"/>
      <c r="D69" s="358">
        <f ca="1">SUM(D63:D68)</f>
        <v>248243357.51431116</v>
      </c>
      <c r="E69" s="363"/>
      <c r="F69" s="364">
        <f ca="1">SUM(F63:F68)</f>
        <v>273067.69326574227</v>
      </c>
    </row>
    <row r="70" spans="1:6" x14ac:dyDescent="0.2">
      <c r="A70" s="107"/>
      <c r="B70" s="108"/>
      <c r="C70" s="109"/>
      <c r="D70" s="385"/>
      <c r="E70" s="386"/>
      <c r="F70" s="387"/>
    </row>
    <row r="71" spans="1:6" x14ac:dyDescent="0.2">
      <c r="A71" s="388" t="s">
        <v>328</v>
      </c>
      <c r="B71" s="389"/>
      <c r="C71" s="395" t="s">
        <v>142</v>
      </c>
      <c r="D71" s="391"/>
      <c r="E71" s="392"/>
      <c r="F71" s="389"/>
    </row>
    <row r="72" spans="1:6" x14ac:dyDescent="0.2">
      <c r="A72" s="362" t="s">
        <v>140</v>
      </c>
      <c r="B72" s="393"/>
      <c r="C72" s="396" t="s">
        <v>329</v>
      </c>
      <c r="D72" s="491">
        <v>2012</v>
      </c>
      <c r="E72" s="482"/>
      <c r="F72" s="492"/>
    </row>
    <row r="73" spans="1:6" x14ac:dyDescent="0.2">
      <c r="A73" s="104" t="s">
        <v>128</v>
      </c>
      <c r="B73" s="130"/>
      <c r="C73" s="131" t="s">
        <v>125</v>
      </c>
      <c r="D73" s="352">
        <f ca="1">B2</f>
        <v>147749853.41291058</v>
      </c>
      <c r="E73" s="384">
        <v>2.2000000000000001E-3</v>
      </c>
      <c r="F73" s="354">
        <f t="shared" ref="F73:F78" ca="1" si="15">D73*E73</f>
        <v>325049.67750840331</v>
      </c>
    </row>
    <row r="74" spans="1:6" x14ac:dyDescent="0.2">
      <c r="A74" s="104" t="s">
        <v>129</v>
      </c>
      <c r="B74" s="130"/>
      <c r="C74" s="312" t="s">
        <v>125</v>
      </c>
      <c r="D74" s="352">
        <f ca="1">B3</f>
        <v>30870768.962180968</v>
      </c>
      <c r="E74" s="384">
        <v>2E-3</v>
      </c>
      <c r="F74" s="354">
        <f t="shared" ca="1" si="15"/>
        <v>61741.537924361939</v>
      </c>
    </row>
    <row r="75" spans="1:6" x14ac:dyDescent="0.2">
      <c r="A75" s="104" t="s">
        <v>130</v>
      </c>
      <c r="B75" s="130"/>
      <c r="C75" s="131" t="s">
        <v>126</v>
      </c>
      <c r="D75" s="352">
        <f ca="1">C4</f>
        <v>144597.57436396333</v>
      </c>
      <c r="E75" s="384">
        <v>0.7883</v>
      </c>
      <c r="F75" s="354">
        <f t="shared" ca="1" si="15"/>
        <v>113986.26787111229</v>
      </c>
    </row>
    <row r="76" spans="1:6" x14ac:dyDescent="0.2">
      <c r="A76" s="104" t="s">
        <v>131</v>
      </c>
      <c r="B76" s="130"/>
      <c r="C76" s="312" t="s">
        <v>126</v>
      </c>
      <c r="D76" s="352">
        <f ca="1">C5</f>
        <v>4328.7410401192428</v>
      </c>
      <c r="E76" s="384">
        <v>1.6331</v>
      </c>
      <c r="F76" s="354">
        <f t="shared" ca="1" si="15"/>
        <v>7069.2669926187355</v>
      </c>
    </row>
    <row r="77" spans="1:6" x14ac:dyDescent="0.2">
      <c r="A77" s="104" t="s">
        <v>132</v>
      </c>
      <c r="B77" s="130"/>
      <c r="C77" s="131" t="s">
        <v>126</v>
      </c>
      <c r="D77" s="352">
        <f ca="1">C6</f>
        <v>297.66079436522585</v>
      </c>
      <c r="E77" s="384">
        <v>0.60650000000000004</v>
      </c>
      <c r="F77" s="354">
        <f t="shared" ca="1" si="15"/>
        <v>180.53127178250949</v>
      </c>
    </row>
    <row r="78" spans="1:6" x14ac:dyDescent="0.2">
      <c r="A78" s="104" t="s">
        <v>133</v>
      </c>
      <c r="B78" s="130"/>
      <c r="C78" s="312" t="s">
        <v>125</v>
      </c>
      <c r="D78" s="352">
        <f ca="1">B7</f>
        <v>538256.87154252804</v>
      </c>
      <c r="E78" s="384">
        <f>E74</f>
        <v>2E-3</v>
      </c>
      <c r="F78" s="354">
        <f t="shared" ca="1" si="15"/>
        <v>1076.5137430850561</v>
      </c>
    </row>
    <row r="79" spans="1:6" x14ac:dyDescent="0.2">
      <c r="A79" s="357" t="s">
        <v>134</v>
      </c>
      <c r="B79" s="358"/>
      <c r="C79" s="362"/>
      <c r="D79" s="358">
        <f ca="1">SUM(D73:D78)</f>
        <v>179308103.22283253</v>
      </c>
      <c r="E79" s="363"/>
      <c r="F79" s="364">
        <f ca="1">SUM(F73:F78)</f>
        <v>509103.79531136382</v>
      </c>
    </row>
    <row r="80" spans="1:6" x14ac:dyDescent="0.2">
      <c r="A80" s="107"/>
      <c r="B80" s="108"/>
      <c r="C80" s="109"/>
      <c r="D80" s="108"/>
      <c r="E80" s="110"/>
      <c r="F80" s="311"/>
    </row>
    <row r="82" spans="1:2" x14ac:dyDescent="0.2">
      <c r="A82" s="391" t="s">
        <v>335</v>
      </c>
      <c r="B82" s="398">
        <v>2012</v>
      </c>
    </row>
    <row r="83" spans="1:2" x14ac:dyDescent="0.2">
      <c r="A83" s="113"/>
      <c r="B83" s="106"/>
    </row>
    <row r="84" spans="1:2" x14ac:dyDescent="0.2">
      <c r="A84" s="114" t="s">
        <v>147</v>
      </c>
      <c r="B84" s="115">
        <f ca="1">F19+F29</f>
        <v>19883231.980622523</v>
      </c>
    </row>
    <row r="85" spans="1:2" x14ac:dyDescent="0.2">
      <c r="A85" s="329" t="s">
        <v>333</v>
      </c>
      <c r="B85" s="115">
        <v>72133</v>
      </c>
    </row>
    <row r="86" spans="1:2" x14ac:dyDescent="0.2">
      <c r="A86" s="114" t="s">
        <v>148</v>
      </c>
      <c r="B86" s="112">
        <f ca="1">F59</f>
        <v>1290865.4590744178</v>
      </c>
    </row>
    <row r="87" spans="1:2" x14ac:dyDescent="0.2">
      <c r="A87" s="114" t="s">
        <v>149</v>
      </c>
      <c r="B87" s="112">
        <f ca="1">F39</f>
        <v>1269762.5292703318</v>
      </c>
    </row>
    <row r="88" spans="1:2" x14ac:dyDescent="0.2">
      <c r="A88" s="114" t="s">
        <v>150</v>
      </c>
      <c r="B88" s="112">
        <f ca="1">F49</f>
        <v>998897.73968507559</v>
      </c>
    </row>
    <row r="89" spans="1:2" x14ac:dyDescent="0.2">
      <c r="A89" s="114" t="s">
        <v>151</v>
      </c>
      <c r="B89" s="112">
        <f ca="1">F69</f>
        <v>273067.69326574227</v>
      </c>
    </row>
    <row r="90" spans="1:2" x14ac:dyDescent="0.2">
      <c r="A90" s="114" t="s">
        <v>152</v>
      </c>
      <c r="B90" s="397">
        <f ca="1">F79</f>
        <v>509103.79531136382</v>
      </c>
    </row>
    <row r="91" spans="1:2" x14ac:dyDescent="0.2">
      <c r="A91" s="359" t="s">
        <v>134</v>
      </c>
      <c r="B91" s="358">
        <f ca="1">SUM(B84:B90)</f>
        <v>24297062.19722946</v>
      </c>
    </row>
  </sheetData>
  <mergeCells count="11">
    <mergeCell ref="B11:B12"/>
    <mergeCell ref="C11:C12"/>
    <mergeCell ref="D12:F12"/>
    <mergeCell ref="D32:F32"/>
    <mergeCell ref="D42:F42"/>
    <mergeCell ref="D52:F52"/>
    <mergeCell ref="B21:B22"/>
    <mergeCell ref="C21:C22"/>
    <mergeCell ref="D22:F22"/>
    <mergeCell ref="D72:F72"/>
    <mergeCell ref="D62:F62"/>
  </mergeCells>
  <phoneticPr fontId="9" type="noConversion"/>
  <pageMargins left="0.7" right="0.7" top="0.75" bottom="0.75" header="0.3" footer="0.3"/>
  <pageSetup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1"/>
  <sheetViews>
    <sheetView workbookViewId="0">
      <selection activeCell="F104" sqref="F104"/>
    </sheetView>
  </sheetViews>
  <sheetFormatPr defaultRowHeight="12.75" x14ac:dyDescent="0.2"/>
  <cols>
    <col min="1" max="1" width="31.42578125" bestFit="1" customWidth="1"/>
    <col min="2" max="2" width="12.7109375" customWidth="1"/>
    <col min="3" max="3" width="11.7109375" customWidth="1"/>
    <col min="4" max="4" width="12.7109375" customWidth="1"/>
    <col min="5" max="5" width="10" customWidth="1"/>
    <col min="6" max="6" width="12.7109375" customWidth="1"/>
    <col min="7" max="7" width="14.140625" customWidth="1"/>
  </cols>
  <sheetData>
    <row r="1" spans="1:7" ht="20.100000000000001" customHeight="1" x14ac:dyDescent="0.2">
      <c r="A1" s="355" t="s">
        <v>153</v>
      </c>
      <c r="B1" s="356" t="s">
        <v>125</v>
      </c>
      <c r="C1" s="356" t="s">
        <v>126</v>
      </c>
      <c r="D1" s="356" t="s">
        <v>127</v>
      </c>
    </row>
    <row r="2" spans="1:7" x14ac:dyDescent="0.2">
      <c r="A2" s="132" t="s">
        <v>128</v>
      </c>
      <c r="B2" s="128">
        <f ca="1">Summary!M13</f>
        <v>146562898.02754521</v>
      </c>
      <c r="C2" s="129"/>
      <c r="D2" s="350">
        <f>'2012 COP Forecast'!D2</f>
        <v>0.88557654391961693</v>
      </c>
    </row>
    <row r="3" spans="1:7" x14ac:dyDescent="0.2">
      <c r="A3" s="132" t="s">
        <v>129</v>
      </c>
      <c r="B3" s="128">
        <f ca="1">Summary!M17</f>
        <v>31437454.722956143</v>
      </c>
      <c r="C3" s="129"/>
      <c r="D3" s="350">
        <f>'2012 COP Forecast'!D3</f>
        <v>0.82382192372139251</v>
      </c>
    </row>
    <row r="4" spans="1:7" x14ac:dyDescent="0.2">
      <c r="A4" s="132" t="s">
        <v>130</v>
      </c>
      <c r="B4" s="128">
        <f ca="1">Summary!M21</f>
        <v>50917130.196279928</v>
      </c>
      <c r="C4" s="133">
        <f ca="1">Summary!M22</f>
        <v>146479.74934501474</v>
      </c>
      <c r="D4" s="350">
        <f>'2012 COP Forecast'!D4</f>
        <v>4.5442974306236429E-2</v>
      </c>
    </row>
    <row r="5" spans="1:7" x14ac:dyDescent="0.2">
      <c r="A5" s="132" t="s">
        <v>131</v>
      </c>
      <c r="B5" s="128">
        <f ca="1">Summary!M31</f>
        <v>1505544.8848815258</v>
      </c>
      <c r="C5" s="133">
        <f ca="1">Summary!M32</f>
        <v>4400.1600657253011</v>
      </c>
      <c r="D5" s="350">
        <f>'2012 COP Forecast'!D5</f>
        <v>0</v>
      </c>
    </row>
    <row r="6" spans="1:7" x14ac:dyDescent="0.2">
      <c r="A6" s="132" t="s">
        <v>132</v>
      </c>
      <c r="B6" s="128">
        <f ca="1">Summary!M26</f>
        <v>104161.13219668079</v>
      </c>
      <c r="C6" s="133">
        <f ca="1">Summary!M27</f>
        <v>289.36640272553188</v>
      </c>
      <c r="D6" s="350">
        <f>'2012 COP Forecast'!D6</f>
        <v>0.8876240328090732</v>
      </c>
    </row>
    <row r="7" spans="1:7" x14ac:dyDescent="0.2">
      <c r="A7" s="132" t="s">
        <v>133</v>
      </c>
      <c r="B7" s="128">
        <f ca="1">Summary!M36</f>
        <v>592219.87742047897</v>
      </c>
      <c r="C7" s="129"/>
      <c r="D7" s="350">
        <f>'2012 COP Forecast'!D7</f>
        <v>0.8898412464848604</v>
      </c>
    </row>
    <row r="8" spans="1:7" x14ac:dyDescent="0.2">
      <c r="A8" s="357" t="s">
        <v>134</v>
      </c>
      <c r="B8" s="358">
        <f ca="1">SUM(B2:B7)</f>
        <v>231119408.84127998</v>
      </c>
      <c r="C8" s="358">
        <f ca="1">SUM(C2:C7)</f>
        <v>151169.27581346559</v>
      </c>
      <c r="D8" s="358"/>
    </row>
    <row r="11" spans="1:7" x14ac:dyDescent="0.2">
      <c r="A11" s="355" t="s">
        <v>135</v>
      </c>
      <c r="B11" s="484" t="s">
        <v>154</v>
      </c>
      <c r="C11" s="486" t="s">
        <v>155</v>
      </c>
      <c r="D11" s="359"/>
      <c r="E11" s="360"/>
      <c r="F11" s="361"/>
    </row>
    <row r="12" spans="1:7" x14ac:dyDescent="0.2">
      <c r="A12" s="362" t="s">
        <v>138</v>
      </c>
      <c r="B12" s="485"/>
      <c r="C12" s="487"/>
      <c r="D12" s="488">
        <v>2013</v>
      </c>
      <c r="E12" s="489"/>
      <c r="F12" s="490"/>
      <c r="G12" s="21" t="s">
        <v>326</v>
      </c>
    </row>
    <row r="13" spans="1:7" x14ac:dyDescent="0.2">
      <c r="A13" s="105" t="s">
        <v>128</v>
      </c>
      <c r="B13" s="128">
        <f t="shared" ref="B13:B18" ca="1" si="0">B2*D2</f>
        <v>129792664.70207673</v>
      </c>
      <c r="C13" s="351">
        <f>'App.2-P_Loss Factors'!I22</f>
        <v>1.0714181903166546</v>
      </c>
      <c r="D13" s="352">
        <f t="shared" ref="D13:D18" ca="1" si="1">B13*C13</f>
        <v>139062221.9314754</v>
      </c>
      <c r="E13" s="353">
        <f>'2012 COP Forecast'!E13</f>
        <v>8.0689999999999998E-2</v>
      </c>
      <c r="F13" s="354">
        <f t="shared" ref="F13:F18" ca="1" si="2">D13*E13</f>
        <v>11220930.687650749</v>
      </c>
      <c r="G13" s="307">
        <f t="shared" ref="G13:G18" ca="1" si="3">(F13+F23)/(D13+D23)</f>
        <v>8.0470306964325666E-2</v>
      </c>
    </row>
    <row r="14" spans="1:7" x14ac:dyDescent="0.2">
      <c r="A14" s="105" t="s">
        <v>129</v>
      </c>
      <c r="B14" s="128">
        <f t="shared" ca="1" si="0"/>
        <v>25898864.426769909</v>
      </c>
      <c r="C14" s="351">
        <f>C13</f>
        <v>1.0714181903166546</v>
      </c>
      <c r="D14" s="352">
        <f t="shared" ca="1" si="1"/>
        <v>27748514.455386199</v>
      </c>
      <c r="E14" s="353">
        <f>E13</f>
        <v>8.0689999999999998E-2</v>
      </c>
      <c r="F14" s="354">
        <f t="shared" ca="1" si="2"/>
        <v>2239027.6314051123</v>
      </c>
      <c r="G14" s="307">
        <f t="shared" ca="1" si="3"/>
        <v>8.035173809354508E-2</v>
      </c>
    </row>
    <row r="15" spans="1:7" x14ac:dyDescent="0.2">
      <c r="A15" s="105" t="s">
        <v>130</v>
      </c>
      <c r="B15" s="128">
        <f t="shared" ca="1" si="0"/>
        <v>2313825.839256844</v>
      </c>
      <c r="C15" s="351">
        <f>C14</f>
        <v>1.0714181903166546</v>
      </c>
      <c r="D15" s="352">
        <f t="shared" ca="1" si="1"/>
        <v>2479075.0934044826</v>
      </c>
      <c r="E15" s="353">
        <f>E14</f>
        <v>8.0689999999999998E-2</v>
      </c>
      <c r="F15" s="354">
        <f t="shared" ca="1" si="2"/>
        <v>200036.5692868077</v>
      </c>
      <c r="G15" s="307">
        <f t="shared" ca="1" si="3"/>
        <v>7.8857250510667984E-2</v>
      </c>
    </row>
    <row r="16" spans="1:7" x14ac:dyDescent="0.2">
      <c r="A16" s="105" t="s">
        <v>131</v>
      </c>
      <c r="B16" s="128">
        <f t="shared" ca="1" si="0"/>
        <v>0</v>
      </c>
      <c r="C16" s="351">
        <f>C15</f>
        <v>1.0714181903166546</v>
      </c>
      <c r="D16" s="352">
        <f t="shared" ca="1" si="1"/>
        <v>0</v>
      </c>
      <c r="E16" s="353">
        <f>E15</f>
        <v>8.0689999999999998E-2</v>
      </c>
      <c r="F16" s="354">
        <f t="shared" ca="1" si="2"/>
        <v>0</v>
      </c>
      <c r="G16" s="307">
        <f t="shared" ca="1" si="3"/>
        <v>7.8770000000000007E-2</v>
      </c>
    </row>
    <row r="17" spans="1:7" x14ac:dyDescent="0.2">
      <c r="A17" s="105" t="s">
        <v>132</v>
      </c>
      <c r="B17" s="128">
        <f t="shared" ca="1" si="0"/>
        <v>92455.924222376794</v>
      </c>
      <c r="C17" s="351">
        <f>C16</f>
        <v>1.0714181903166546</v>
      </c>
      <c r="D17" s="352">
        <f t="shared" ca="1" si="1"/>
        <v>99058.959014392705</v>
      </c>
      <c r="E17" s="353">
        <f>E16</f>
        <v>8.0689999999999998E-2</v>
      </c>
      <c r="F17" s="354">
        <f t="shared" ca="1" si="2"/>
        <v>7993.0674028713474</v>
      </c>
      <c r="G17" s="307">
        <f t="shared" ca="1" si="3"/>
        <v>8.0474238142993412E-2</v>
      </c>
    </row>
    <row r="18" spans="1:7" x14ac:dyDescent="0.2">
      <c r="A18" s="105" t="s">
        <v>133</v>
      </c>
      <c r="B18" s="128">
        <f t="shared" ca="1" si="0"/>
        <v>526981.67391695024</v>
      </c>
      <c r="C18" s="351">
        <f>C17</f>
        <v>1.0714181903166546</v>
      </c>
      <c r="D18" s="352">
        <f t="shared" ca="1" si="1"/>
        <v>564617.75139814022</v>
      </c>
      <c r="E18" s="353">
        <f>E17</f>
        <v>8.0689999999999998E-2</v>
      </c>
      <c r="F18" s="354">
        <f t="shared" ca="1" si="2"/>
        <v>45559.006360315936</v>
      </c>
      <c r="G18" s="307">
        <f t="shared" ca="1" si="3"/>
        <v>8.0478495193250926E-2</v>
      </c>
    </row>
    <row r="19" spans="1:7" x14ac:dyDescent="0.2">
      <c r="A19" s="357" t="s">
        <v>134</v>
      </c>
      <c r="B19" s="358">
        <f ca="1">SUM(B13:B18)</f>
        <v>158624792.56624281</v>
      </c>
      <c r="C19" s="362"/>
      <c r="D19" s="358">
        <f ca="1">SUM(D13:D18)</f>
        <v>169953488.1906786</v>
      </c>
      <c r="E19" s="363"/>
      <c r="F19" s="364">
        <f ca="1">SUM(F13:F18)</f>
        <v>13713546.962105859</v>
      </c>
      <c r="G19" s="308">
        <f ca="1">(F19+F29)/B8</f>
        <v>8.580748144645628E-2</v>
      </c>
    </row>
    <row r="20" spans="1:7" x14ac:dyDescent="0.2">
      <c r="A20" s="107"/>
      <c r="B20" s="108"/>
      <c r="C20" s="109"/>
      <c r="D20" s="385"/>
      <c r="E20" s="386"/>
      <c r="F20" s="387"/>
    </row>
    <row r="21" spans="1:7" x14ac:dyDescent="0.2">
      <c r="A21" s="355" t="s">
        <v>139</v>
      </c>
      <c r="B21" s="484" t="s">
        <v>154</v>
      </c>
      <c r="C21" s="486" t="s">
        <v>155</v>
      </c>
      <c r="D21" s="359"/>
      <c r="E21" s="360"/>
      <c r="F21" s="361"/>
    </row>
    <row r="22" spans="1:7" x14ac:dyDescent="0.2">
      <c r="A22" s="362" t="s">
        <v>140</v>
      </c>
      <c r="B22" s="485"/>
      <c r="C22" s="487"/>
      <c r="D22" s="488">
        <v>2013</v>
      </c>
      <c r="E22" s="489"/>
      <c r="F22" s="490"/>
      <c r="G22" s="21" t="s">
        <v>327</v>
      </c>
    </row>
    <row r="23" spans="1:7" x14ac:dyDescent="0.2">
      <c r="A23" s="105" t="s">
        <v>128</v>
      </c>
      <c r="B23" s="128">
        <f t="shared" ref="B23:B28" ca="1" si="4">B2-B13</f>
        <v>16770233.325468481</v>
      </c>
      <c r="C23" s="129">
        <f>C13</f>
        <v>1.0714181903166546</v>
      </c>
      <c r="D23" s="352">
        <f t="shared" ref="D23:D28" ca="1" si="5">B23*C23</f>
        <v>17967933.040761493</v>
      </c>
      <c r="E23" s="353">
        <v>7.8770000000000007E-2</v>
      </c>
      <c r="F23" s="354">
        <f t="shared" ref="F23:F28" ca="1" si="6">D23*E23</f>
        <v>1415334.085620783</v>
      </c>
      <c r="G23" s="309">
        <f t="shared" ref="G23:G28" ca="1" si="7">F13+F23</f>
        <v>12636264.773271533</v>
      </c>
    </row>
    <row r="24" spans="1:7" x14ac:dyDescent="0.2">
      <c r="A24" s="105" t="s">
        <v>129</v>
      </c>
      <c r="B24" s="128">
        <f t="shared" ca="1" si="4"/>
        <v>5538590.2961862348</v>
      </c>
      <c r="C24" s="129">
        <f>C23</f>
        <v>1.0714181903166546</v>
      </c>
      <c r="D24" s="352">
        <f t="shared" ca="1" si="5"/>
        <v>5934146.3920452399</v>
      </c>
      <c r="E24" s="353">
        <f>E23</f>
        <v>7.8770000000000007E-2</v>
      </c>
      <c r="F24" s="354">
        <f t="shared" ca="1" si="6"/>
        <v>467432.71130140359</v>
      </c>
      <c r="G24" s="309">
        <f t="shared" ca="1" si="7"/>
        <v>2706460.3427065159</v>
      </c>
    </row>
    <row r="25" spans="1:7" x14ac:dyDescent="0.2">
      <c r="A25" s="105" t="s">
        <v>130</v>
      </c>
      <c r="B25" s="128">
        <f t="shared" ca="1" si="4"/>
        <v>48603304.357023083</v>
      </c>
      <c r="C25" s="129">
        <f>C24</f>
        <v>1.0714181903166546</v>
      </c>
      <c r="D25" s="352">
        <f t="shared" ca="1" si="5"/>
        <v>52074464.397611246</v>
      </c>
      <c r="E25" s="353">
        <f>E24</f>
        <v>7.8770000000000007E-2</v>
      </c>
      <c r="F25" s="354">
        <f t="shared" ca="1" si="6"/>
        <v>4101905.5605998384</v>
      </c>
      <c r="G25" s="309">
        <f t="shared" ca="1" si="7"/>
        <v>4301942.1298866458</v>
      </c>
    </row>
    <row r="26" spans="1:7" x14ac:dyDescent="0.2">
      <c r="A26" s="105" t="s">
        <v>131</v>
      </c>
      <c r="B26" s="128">
        <f t="shared" ca="1" si="4"/>
        <v>1505544.8848815258</v>
      </c>
      <c r="C26" s="129">
        <f>C25</f>
        <v>1.0714181903166546</v>
      </c>
      <c r="D26" s="352">
        <f t="shared" ca="1" si="5"/>
        <v>1613068.1760002605</v>
      </c>
      <c r="E26" s="353">
        <f>E25</f>
        <v>7.8770000000000007E-2</v>
      </c>
      <c r="F26" s="354">
        <f t="shared" ca="1" si="6"/>
        <v>127061.38022354053</v>
      </c>
      <c r="G26" s="309">
        <f t="shared" ca="1" si="7"/>
        <v>127061.38022354053</v>
      </c>
    </row>
    <row r="27" spans="1:7" x14ac:dyDescent="0.2">
      <c r="A27" s="105" t="s">
        <v>132</v>
      </c>
      <c r="B27" s="128">
        <f t="shared" ca="1" si="4"/>
        <v>11705.207974303994</v>
      </c>
      <c r="C27" s="129">
        <f>C26</f>
        <v>1.0714181903166546</v>
      </c>
      <c r="D27" s="352">
        <f t="shared" ca="1" si="5"/>
        <v>12541.172745108861</v>
      </c>
      <c r="E27" s="353">
        <f>E26</f>
        <v>7.8770000000000007E-2</v>
      </c>
      <c r="F27" s="354">
        <f t="shared" ca="1" si="6"/>
        <v>987.86817713222501</v>
      </c>
      <c r="G27" s="309">
        <f t="shared" ca="1" si="7"/>
        <v>8980.9355800035719</v>
      </c>
    </row>
    <row r="28" spans="1:7" x14ac:dyDescent="0.2">
      <c r="A28" s="105" t="s">
        <v>133</v>
      </c>
      <c r="B28" s="128">
        <f t="shared" ca="1" si="4"/>
        <v>65238.203503528726</v>
      </c>
      <c r="C28" s="129">
        <f>C27</f>
        <v>1.0714181903166546</v>
      </c>
      <c r="D28" s="352">
        <f t="shared" ca="1" si="5"/>
        <v>69897.397937260394</v>
      </c>
      <c r="E28" s="353">
        <f>E27</f>
        <v>7.8770000000000007E-2</v>
      </c>
      <c r="F28" s="354">
        <f t="shared" ca="1" si="6"/>
        <v>5505.818035518002</v>
      </c>
      <c r="G28" s="309">
        <f t="shared" ca="1" si="7"/>
        <v>51064.824395833937</v>
      </c>
    </row>
    <row r="29" spans="1:7" ht="13.5" thickBot="1" x14ac:dyDescent="0.25">
      <c r="A29" s="357" t="s">
        <v>134</v>
      </c>
      <c r="B29" s="358">
        <f ca="1">SUM(B23:B28)</f>
        <v>72494616.275037155</v>
      </c>
      <c r="C29" s="362"/>
      <c r="D29" s="358">
        <f ca="1">SUM(D23:D28)</f>
        <v>77672050.577100605</v>
      </c>
      <c r="E29" s="363"/>
      <c r="F29" s="364">
        <f ca="1">SUM(F23:F28)</f>
        <v>6118227.4239582159</v>
      </c>
      <c r="G29" s="310">
        <f ca="1">SUM(G23:G28)</f>
        <v>19831774.386064075</v>
      </c>
    </row>
    <row r="30" spans="1:7" ht="13.5" thickTop="1" x14ac:dyDescent="0.2">
      <c r="D30" s="383"/>
      <c r="E30" s="383"/>
      <c r="F30" s="383"/>
    </row>
    <row r="31" spans="1:7" x14ac:dyDescent="0.2">
      <c r="A31" s="388" t="s">
        <v>141</v>
      </c>
      <c r="B31" s="389"/>
      <c r="C31" s="390" t="s">
        <v>142</v>
      </c>
      <c r="D31" s="391"/>
      <c r="E31" s="392"/>
      <c r="F31" s="389"/>
    </row>
    <row r="32" spans="1:7" x14ac:dyDescent="0.2">
      <c r="A32" s="362" t="s">
        <v>140</v>
      </c>
      <c r="B32" s="393"/>
      <c r="C32" s="394" t="s">
        <v>143</v>
      </c>
      <c r="D32" s="481">
        <v>2013</v>
      </c>
      <c r="E32" s="482"/>
      <c r="F32" s="492"/>
    </row>
    <row r="33" spans="1:8" x14ac:dyDescent="0.2">
      <c r="A33" s="104" t="s">
        <v>128</v>
      </c>
      <c r="B33" s="130"/>
      <c r="C33" s="131" t="s">
        <v>125</v>
      </c>
      <c r="D33" s="352">
        <f ca="1">D13+D23</f>
        <v>157030154.9722369</v>
      </c>
      <c r="E33" s="384">
        <v>5.0000000000000001E-3</v>
      </c>
      <c r="F33" s="354">
        <f t="shared" ref="F33:F38" ca="1" si="8">D33*E33</f>
        <v>816556.80585563183</v>
      </c>
    </row>
    <row r="34" spans="1:8" x14ac:dyDescent="0.2">
      <c r="A34" s="104" t="s">
        <v>129</v>
      </c>
      <c r="B34" s="130"/>
      <c r="C34" s="331" t="s">
        <v>125</v>
      </c>
      <c r="D34" s="352">
        <f ca="1">D14+D24</f>
        <v>33682660.847431436</v>
      </c>
      <c r="E34" s="384">
        <v>4.5999999999999999E-3</v>
      </c>
      <c r="F34" s="354">
        <f t="shared" ca="1" si="8"/>
        <v>158308.50598292775</v>
      </c>
    </row>
    <row r="35" spans="1:8" x14ac:dyDescent="0.2">
      <c r="A35" s="104" t="s">
        <v>130</v>
      </c>
      <c r="B35" s="130"/>
      <c r="C35" s="131" t="s">
        <v>126</v>
      </c>
      <c r="D35" s="352">
        <f ca="1">C4</f>
        <v>146479.74934501474</v>
      </c>
      <c r="E35" s="384">
        <v>1.8708</v>
      </c>
      <c r="F35" s="354">
        <f t="shared" ca="1" si="8"/>
        <v>282412.95673718845</v>
      </c>
    </row>
    <row r="36" spans="1:8" x14ac:dyDescent="0.2">
      <c r="A36" s="104" t="s">
        <v>131</v>
      </c>
      <c r="B36" s="130"/>
      <c r="C36" s="331" t="s">
        <v>126</v>
      </c>
      <c r="D36" s="352">
        <f ca="1">C5</f>
        <v>4400.1600657253011</v>
      </c>
      <c r="E36" s="384">
        <v>1.4179999999999999</v>
      </c>
      <c r="F36" s="354">
        <f t="shared" ca="1" si="8"/>
        <v>6397.8327355645879</v>
      </c>
      <c r="H36" s="36"/>
    </row>
    <row r="37" spans="1:8" x14ac:dyDescent="0.2">
      <c r="A37" s="104" t="s">
        <v>132</v>
      </c>
      <c r="B37" s="130"/>
      <c r="C37" s="131" t="s">
        <v>126</v>
      </c>
      <c r="D37" s="352">
        <f ca="1">C6</f>
        <v>289.36640272553188</v>
      </c>
      <c r="E37" s="384">
        <v>1.4109</v>
      </c>
      <c r="F37" s="354">
        <f t="shared" ca="1" si="8"/>
        <v>422.8800609430923</v>
      </c>
    </row>
    <row r="38" spans="1:8" x14ac:dyDescent="0.2">
      <c r="A38" s="104" t="s">
        <v>133</v>
      </c>
      <c r="B38" s="130"/>
      <c r="C38" s="331" t="s">
        <v>125</v>
      </c>
      <c r="D38" s="352">
        <f ca="1">D18+D28</f>
        <v>634515.14933540067</v>
      </c>
      <c r="E38" s="384">
        <v>4.5999999999999999E-3</v>
      </c>
      <c r="F38" s="354">
        <f t="shared" ca="1" si="8"/>
        <v>2982.2212018763835</v>
      </c>
    </row>
    <row r="39" spans="1:8" x14ac:dyDescent="0.2">
      <c r="A39" s="357" t="s">
        <v>134</v>
      </c>
      <c r="B39" s="358"/>
      <c r="C39" s="362"/>
      <c r="D39" s="358"/>
      <c r="E39" s="363"/>
      <c r="F39" s="364">
        <f ca="1">SUM(F33:F38)</f>
        <v>1267081.202574132</v>
      </c>
    </row>
    <row r="40" spans="1:8" x14ac:dyDescent="0.2">
      <c r="D40" s="383"/>
      <c r="E40" s="383"/>
      <c r="F40" s="383"/>
    </row>
    <row r="41" spans="1:8" x14ac:dyDescent="0.2">
      <c r="A41" s="388" t="s">
        <v>144</v>
      </c>
      <c r="B41" s="389"/>
      <c r="C41" s="395" t="s">
        <v>142</v>
      </c>
      <c r="D41" s="391"/>
      <c r="E41" s="392"/>
      <c r="F41" s="389"/>
    </row>
    <row r="42" spans="1:8" x14ac:dyDescent="0.2">
      <c r="A42" s="362" t="s">
        <v>140</v>
      </c>
      <c r="B42" s="393"/>
      <c r="C42" s="396" t="s">
        <v>143</v>
      </c>
      <c r="D42" s="481">
        <v>2013</v>
      </c>
      <c r="E42" s="482"/>
      <c r="F42" s="492"/>
    </row>
    <row r="43" spans="1:8" x14ac:dyDescent="0.2">
      <c r="A43" s="104" t="s">
        <v>128</v>
      </c>
      <c r="B43" s="130"/>
      <c r="C43" s="131" t="s">
        <v>125</v>
      </c>
      <c r="D43" s="352">
        <f t="shared" ref="D43:D48" ca="1" si="9">D33</f>
        <v>157030154.9722369</v>
      </c>
      <c r="E43" s="384">
        <v>4.0000000000000001E-3</v>
      </c>
      <c r="F43" s="354">
        <f t="shared" ref="F43:F48" ca="1" si="10">D43*E43</f>
        <v>643823.6353861714</v>
      </c>
    </row>
    <row r="44" spans="1:8" x14ac:dyDescent="0.2">
      <c r="A44" s="104" t="s">
        <v>129</v>
      </c>
      <c r="B44" s="130"/>
      <c r="C44" s="331" t="s">
        <v>125</v>
      </c>
      <c r="D44" s="352">
        <f t="shared" ca="1" si="9"/>
        <v>33682660.847431436</v>
      </c>
      <c r="E44" s="384">
        <v>3.7000000000000002E-3</v>
      </c>
      <c r="F44" s="354">
        <f t="shared" ca="1" si="10"/>
        <v>127994.11122023946</v>
      </c>
    </row>
    <row r="45" spans="1:8" x14ac:dyDescent="0.2">
      <c r="A45" s="104" t="s">
        <v>130</v>
      </c>
      <c r="B45" s="130"/>
      <c r="C45" s="131" t="s">
        <v>126</v>
      </c>
      <c r="D45" s="352">
        <f t="shared" ca="1" si="9"/>
        <v>146479.74934501474</v>
      </c>
      <c r="E45" s="384">
        <v>1.4516</v>
      </c>
      <c r="F45" s="354">
        <f t="shared" ca="1" si="10"/>
        <v>217156.22840398434</v>
      </c>
    </row>
    <row r="46" spans="1:8" x14ac:dyDescent="0.2">
      <c r="A46" s="104" t="s">
        <v>131</v>
      </c>
      <c r="B46" s="130"/>
      <c r="C46" s="331" t="s">
        <v>126</v>
      </c>
      <c r="D46" s="352">
        <f t="shared" ca="1" si="9"/>
        <v>4400.1600657253011</v>
      </c>
      <c r="E46" s="384">
        <v>1.6635</v>
      </c>
      <c r="F46" s="354">
        <f t="shared" ca="1" si="10"/>
        <v>5042.1434193146224</v>
      </c>
    </row>
    <row r="47" spans="1:8" x14ac:dyDescent="0.2">
      <c r="A47" s="104" t="s">
        <v>132</v>
      </c>
      <c r="B47" s="130"/>
      <c r="C47" s="131" t="s">
        <v>126</v>
      </c>
      <c r="D47" s="352">
        <f t="shared" ca="1" si="9"/>
        <v>289.36640272553188</v>
      </c>
      <c r="E47" s="384">
        <v>1.1220000000000001</v>
      </c>
      <c r="F47" s="354">
        <f t="shared" ca="1" si="10"/>
        <v>338.52975454859973</v>
      </c>
    </row>
    <row r="48" spans="1:8" x14ac:dyDescent="0.2">
      <c r="A48" s="104" t="s">
        <v>133</v>
      </c>
      <c r="B48" s="130"/>
      <c r="C48" s="331" t="s">
        <v>125</v>
      </c>
      <c r="D48" s="352">
        <f t="shared" ca="1" si="9"/>
        <v>634515.14933540067</v>
      </c>
      <c r="E48" s="384">
        <v>3.7000000000000002E-3</v>
      </c>
      <c r="F48" s="354">
        <f t="shared" ca="1" si="10"/>
        <v>2411.1575674745227</v>
      </c>
    </row>
    <row r="49" spans="1:6" x14ac:dyDescent="0.2">
      <c r="A49" s="357" t="s">
        <v>134</v>
      </c>
      <c r="B49" s="358"/>
      <c r="C49" s="362"/>
      <c r="D49" s="358"/>
      <c r="E49" s="363"/>
      <c r="F49" s="364">
        <f ca="1">SUM(F43:F48)</f>
        <v>996765.8057517329</v>
      </c>
    </row>
    <row r="50" spans="1:6" x14ac:dyDescent="0.2">
      <c r="D50" s="383"/>
      <c r="E50" s="383"/>
      <c r="F50" s="383"/>
    </row>
    <row r="51" spans="1:6" x14ac:dyDescent="0.2">
      <c r="A51" s="388" t="s">
        <v>145</v>
      </c>
      <c r="B51" s="389"/>
      <c r="C51" s="395"/>
      <c r="D51" s="391"/>
      <c r="E51" s="392"/>
      <c r="F51" s="389"/>
    </row>
    <row r="52" spans="1:6" x14ac:dyDescent="0.2">
      <c r="A52" s="362" t="s">
        <v>140</v>
      </c>
      <c r="B52" s="393"/>
      <c r="C52" s="396"/>
      <c r="D52" s="481">
        <v>2013</v>
      </c>
      <c r="E52" s="482"/>
      <c r="F52" s="483"/>
    </row>
    <row r="53" spans="1:6" x14ac:dyDescent="0.2">
      <c r="A53" s="104" t="s">
        <v>128</v>
      </c>
      <c r="B53" s="130"/>
      <c r="C53" s="131"/>
      <c r="D53" s="352">
        <f t="shared" ref="D53:D58" ca="1" si="11">D13+D23</f>
        <v>157030154.9722369</v>
      </c>
      <c r="E53" s="384">
        <v>5.1999999999999998E-3</v>
      </c>
      <c r="F53" s="354">
        <f t="shared" ref="F53:F58" ca="1" si="12">D53*E53</f>
        <v>816556.80585563183</v>
      </c>
    </row>
    <row r="54" spans="1:6" x14ac:dyDescent="0.2">
      <c r="A54" s="104" t="s">
        <v>129</v>
      </c>
      <c r="B54" s="130"/>
      <c r="C54" s="131"/>
      <c r="D54" s="352">
        <f t="shared" ca="1" si="11"/>
        <v>33682660.847431436</v>
      </c>
      <c r="E54" s="384">
        <v>5.1999999999999998E-3</v>
      </c>
      <c r="F54" s="354">
        <f t="shared" ca="1" si="12"/>
        <v>175149.83640664347</v>
      </c>
    </row>
    <row r="55" spans="1:6" x14ac:dyDescent="0.2">
      <c r="A55" s="104" t="s">
        <v>130</v>
      </c>
      <c r="B55" s="130"/>
      <c r="C55" s="131"/>
      <c r="D55" s="352">
        <f t="shared" ca="1" si="11"/>
        <v>54553539.491015725</v>
      </c>
      <c r="E55" s="384">
        <v>5.1999999999999998E-3</v>
      </c>
      <c r="F55" s="354">
        <f t="shared" ca="1" si="12"/>
        <v>283678.40535328176</v>
      </c>
    </row>
    <row r="56" spans="1:6" x14ac:dyDescent="0.2">
      <c r="A56" s="104" t="s">
        <v>131</v>
      </c>
      <c r="B56" s="130"/>
      <c r="C56" s="131"/>
      <c r="D56" s="352">
        <f t="shared" ca="1" si="11"/>
        <v>1613068.1760002605</v>
      </c>
      <c r="E56" s="384">
        <v>5.1999999999999998E-3</v>
      </c>
      <c r="F56" s="354">
        <f t="shared" ca="1" si="12"/>
        <v>8387.9545152013543</v>
      </c>
    </row>
    <row r="57" spans="1:6" x14ac:dyDescent="0.2">
      <c r="A57" s="104" t="s">
        <v>132</v>
      </c>
      <c r="B57" s="130"/>
      <c r="C57" s="131"/>
      <c r="D57" s="352">
        <f t="shared" ca="1" si="11"/>
        <v>111600.13175950157</v>
      </c>
      <c r="E57" s="384">
        <v>5.1999999999999998E-3</v>
      </c>
      <c r="F57" s="354">
        <f t="shared" ca="1" si="12"/>
        <v>580.32068514940818</v>
      </c>
    </row>
    <row r="58" spans="1:6" x14ac:dyDescent="0.2">
      <c r="A58" s="104" t="s">
        <v>133</v>
      </c>
      <c r="B58" s="130"/>
      <c r="C58" s="131"/>
      <c r="D58" s="352">
        <f t="shared" ca="1" si="11"/>
        <v>634515.14933540067</v>
      </c>
      <c r="E58" s="384">
        <v>5.1999999999999998E-3</v>
      </c>
      <c r="F58" s="354">
        <f t="shared" ca="1" si="12"/>
        <v>3299.4787765440833</v>
      </c>
    </row>
    <row r="59" spans="1:6" x14ac:dyDescent="0.2">
      <c r="A59" s="357" t="s">
        <v>134</v>
      </c>
      <c r="B59" s="358"/>
      <c r="C59" s="362"/>
      <c r="D59" s="358">
        <f ca="1">SUM(D53:D58)</f>
        <v>247625538.76777926</v>
      </c>
      <c r="E59" s="363"/>
      <c r="F59" s="364">
        <f ca="1">SUM(F53:F58)</f>
        <v>1287652.8015924518</v>
      </c>
    </row>
    <row r="60" spans="1:6" x14ac:dyDescent="0.2">
      <c r="D60" s="383"/>
      <c r="E60" s="383"/>
      <c r="F60" s="383"/>
    </row>
    <row r="61" spans="1:6" x14ac:dyDescent="0.2">
      <c r="A61" s="388" t="s">
        <v>146</v>
      </c>
      <c r="B61" s="389"/>
      <c r="C61" s="395"/>
      <c r="D61" s="391"/>
      <c r="E61" s="392"/>
      <c r="F61" s="389"/>
    </row>
    <row r="62" spans="1:6" x14ac:dyDescent="0.2">
      <c r="A62" s="362" t="s">
        <v>140</v>
      </c>
      <c r="B62" s="393"/>
      <c r="C62" s="396"/>
      <c r="D62" s="491">
        <v>2013</v>
      </c>
      <c r="E62" s="482"/>
      <c r="F62" s="492"/>
    </row>
    <row r="63" spans="1:6" x14ac:dyDescent="0.2">
      <c r="A63" s="104" t="s">
        <v>128</v>
      </c>
      <c r="B63" s="130"/>
      <c r="C63" s="131"/>
      <c r="D63" s="352">
        <f t="shared" ref="D63:D68" ca="1" si="13">D53</f>
        <v>157030154.9722369</v>
      </c>
      <c r="E63" s="384">
        <v>1.1000000000000001E-3</v>
      </c>
      <c r="F63" s="354">
        <f t="shared" ref="F63:F68" ca="1" si="14">D63*E63</f>
        <v>172733.1704694606</v>
      </c>
    </row>
    <row r="64" spans="1:6" x14ac:dyDescent="0.2">
      <c r="A64" s="104" t="s">
        <v>129</v>
      </c>
      <c r="B64" s="130"/>
      <c r="C64" s="131"/>
      <c r="D64" s="352">
        <f t="shared" ca="1" si="13"/>
        <v>33682660.847431436</v>
      </c>
      <c r="E64" s="384">
        <v>1.1000000000000001E-3</v>
      </c>
      <c r="F64" s="354">
        <f t="shared" ca="1" si="14"/>
        <v>37050.926932174581</v>
      </c>
    </row>
    <row r="65" spans="1:6" x14ac:dyDescent="0.2">
      <c r="A65" s="104" t="s">
        <v>130</v>
      </c>
      <c r="B65" s="130"/>
      <c r="C65" s="131"/>
      <c r="D65" s="352">
        <f t="shared" ca="1" si="13"/>
        <v>54553539.491015725</v>
      </c>
      <c r="E65" s="384">
        <v>1.1000000000000001E-3</v>
      </c>
      <c r="F65" s="354">
        <f t="shared" ca="1" si="14"/>
        <v>60008.893440117303</v>
      </c>
    </row>
    <row r="66" spans="1:6" x14ac:dyDescent="0.2">
      <c r="A66" s="104" t="s">
        <v>131</v>
      </c>
      <c r="B66" s="130"/>
      <c r="C66" s="131"/>
      <c r="D66" s="352">
        <f t="shared" ca="1" si="13"/>
        <v>1613068.1760002605</v>
      </c>
      <c r="E66" s="384">
        <v>1.1000000000000001E-3</v>
      </c>
      <c r="F66" s="354">
        <f t="shared" ca="1" si="14"/>
        <v>1774.3749936002866</v>
      </c>
    </row>
    <row r="67" spans="1:6" x14ac:dyDescent="0.2">
      <c r="A67" s="104" t="s">
        <v>132</v>
      </c>
      <c r="B67" s="130"/>
      <c r="C67" s="131"/>
      <c r="D67" s="352">
        <f t="shared" ca="1" si="13"/>
        <v>111600.13175950157</v>
      </c>
      <c r="E67" s="384">
        <v>1.1000000000000001E-3</v>
      </c>
      <c r="F67" s="354">
        <f t="shared" ca="1" si="14"/>
        <v>122.76014493545173</v>
      </c>
    </row>
    <row r="68" spans="1:6" x14ac:dyDescent="0.2">
      <c r="A68" s="104" t="s">
        <v>133</v>
      </c>
      <c r="B68" s="130"/>
      <c r="C68" s="131"/>
      <c r="D68" s="352">
        <f t="shared" ca="1" si="13"/>
        <v>634515.14933540067</v>
      </c>
      <c r="E68" s="384">
        <v>1.1000000000000001E-3</v>
      </c>
      <c r="F68" s="354">
        <f t="shared" ca="1" si="14"/>
        <v>697.9666642689408</v>
      </c>
    </row>
    <row r="69" spans="1:6" x14ac:dyDescent="0.2">
      <c r="A69" s="357" t="s">
        <v>134</v>
      </c>
      <c r="B69" s="358"/>
      <c r="C69" s="362"/>
      <c r="D69" s="358">
        <f ca="1">SUM(D63:D68)</f>
        <v>247625538.76777926</v>
      </c>
      <c r="E69" s="363"/>
      <c r="F69" s="364">
        <f ca="1">SUM(F63:F68)</f>
        <v>272388.09264455718</v>
      </c>
    </row>
    <row r="70" spans="1:6" x14ac:dyDescent="0.2">
      <c r="D70" s="383"/>
      <c r="E70" s="383"/>
      <c r="F70" s="383"/>
    </row>
    <row r="71" spans="1:6" x14ac:dyDescent="0.2">
      <c r="A71" s="388" t="s">
        <v>328</v>
      </c>
      <c r="B71" s="389"/>
      <c r="C71" s="395" t="s">
        <v>142</v>
      </c>
      <c r="D71" s="391"/>
      <c r="E71" s="392"/>
      <c r="F71" s="389"/>
    </row>
    <row r="72" spans="1:6" x14ac:dyDescent="0.2">
      <c r="A72" s="362" t="s">
        <v>140</v>
      </c>
      <c r="B72" s="393"/>
      <c r="C72" s="396" t="s">
        <v>329</v>
      </c>
      <c r="D72" s="491">
        <v>2013</v>
      </c>
      <c r="E72" s="482"/>
      <c r="F72" s="492"/>
    </row>
    <row r="73" spans="1:6" x14ac:dyDescent="0.2">
      <c r="A73" s="104" t="s">
        <v>128</v>
      </c>
      <c r="B73" s="130"/>
      <c r="C73" s="131" t="s">
        <v>125</v>
      </c>
      <c r="D73" s="352">
        <f ca="1">B2</f>
        <v>146562898.02754521</v>
      </c>
      <c r="E73" s="384">
        <f>'[10]2012 COP Forecast'!E73</f>
        <v>2.2000000000000001E-3</v>
      </c>
      <c r="F73" s="354">
        <f t="shared" ref="F73:F78" ca="1" si="15">D73*E73</f>
        <v>322438.3756605995</v>
      </c>
    </row>
    <row r="74" spans="1:6" x14ac:dyDescent="0.2">
      <c r="A74" s="104" t="s">
        <v>129</v>
      </c>
      <c r="B74" s="130"/>
      <c r="C74" s="331" t="s">
        <v>125</v>
      </c>
      <c r="D74" s="352">
        <f ca="1">B3</f>
        <v>31437454.722956143</v>
      </c>
      <c r="E74" s="384">
        <f>'[10]2012 COP Forecast'!E74</f>
        <v>2E-3</v>
      </c>
      <c r="F74" s="354">
        <f t="shared" ca="1" si="15"/>
        <v>62874.909445912286</v>
      </c>
    </row>
    <row r="75" spans="1:6" x14ac:dyDescent="0.2">
      <c r="A75" s="104" t="s">
        <v>130</v>
      </c>
      <c r="B75" s="130"/>
      <c r="C75" s="131" t="s">
        <v>126</v>
      </c>
      <c r="D75" s="352">
        <f ca="1">C4</f>
        <v>146479.74934501474</v>
      </c>
      <c r="E75" s="384">
        <f>'[10]2012 COP Forecast'!E75</f>
        <v>0.7883</v>
      </c>
      <c r="F75" s="354">
        <f t="shared" ca="1" si="15"/>
        <v>115469.98640867512</v>
      </c>
    </row>
    <row r="76" spans="1:6" x14ac:dyDescent="0.2">
      <c r="A76" s="104" t="s">
        <v>131</v>
      </c>
      <c r="B76" s="130"/>
      <c r="C76" s="331" t="s">
        <v>126</v>
      </c>
      <c r="D76" s="352">
        <f ca="1">C5</f>
        <v>4400.1600657253011</v>
      </c>
      <c r="E76" s="384">
        <f>'[10]2012 COP Forecast'!E76</f>
        <v>1.6331</v>
      </c>
      <c r="F76" s="354">
        <f t="shared" ca="1" si="15"/>
        <v>7185.901403335989</v>
      </c>
    </row>
    <row r="77" spans="1:6" x14ac:dyDescent="0.2">
      <c r="A77" s="104" t="s">
        <v>132</v>
      </c>
      <c r="B77" s="130"/>
      <c r="C77" s="131" t="s">
        <v>126</v>
      </c>
      <c r="D77" s="352">
        <f ca="1">C6</f>
        <v>289.36640272553188</v>
      </c>
      <c r="E77" s="384">
        <f>'[10]2012 COP Forecast'!E77</f>
        <v>0.60650000000000004</v>
      </c>
      <c r="F77" s="354">
        <f t="shared" ca="1" si="15"/>
        <v>175.50072325303509</v>
      </c>
    </row>
    <row r="78" spans="1:6" x14ac:dyDescent="0.2">
      <c r="A78" s="104" t="s">
        <v>133</v>
      </c>
      <c r="B78" s="130"/>
      <c r="C78" s="331" t="s">
        <v>125</v>
      </c>
      <c r="D78" s="352">
        <f ca="1">B7</f>
        <v>592219.87742047897</v>
      </c>
      <c r="E78" s="384">
        <f>'[10]2012 COP Forecast'!E78</f>
        <v>2E-3</v>
      </c>
      <c r="F78" s="354">
        <f t="shared" ca="1" si="15"/>
        <v>1184.4397548409579</v>
      </c>
    </row>
    <row r="79" spans="1:6" x14ac:dyDescent="0.2">
      <c r="A79" s="357" t="s">
        <v>134</v>
      </c>
      <c r="B79" s="358"/>
      <c r="C79" s="362"/>
      <c r="D79" s="358">
        <f ca="1">SUM(D73:D78)</f>
        <v>178743741.90373528</v>
      </c>
      <c r="E79" s="363"/>
      <c r="F79" s="364">
        <f ca="1">SUM(F73:F78)</f>
        <v>509329.11339661689</v>
      </c>
    </row>
    <row r="80" spans="1:6" x14ac:dyDescent="0.2">
      <c r="D80" s="383"/>
      <c r="E80" s="383"/>
      <c r="F80" s="383"/>
    </row>
    <row r="81" spans="1:6" x14ac:dyDescent="0.2">
      <c r="D81" s="383"/>
      <c r="E81" s="383"/>
      <c r="F81" s="383"/>
    </row>
    <row r="82" spans="1:6" x14ac:dyDescent="0.2">
      <c r="A82" s="399" t="s">
        <v>335</v>
      </c>
      <c r="B82" s="400">
        <v>2013</v>
      </c>
    </row>
    <row r="83" spans="1:6" x14ac:dyDescent="0.2">
      <c r="A83" s="113"/>
      <c r="B83" s="106"/>
    </row>
    <row r="84" spans="1:6" x14ac:dyDescent="0.2">
      <c r="A84" s="114" t="s">
        <v>147</v>
      </c>
      <c r="B84" s="115">
        <f ca="1">F19+F29</f>
        <v>19831774.386064075</v>
      </c>
    </row>
    <row r="85" spans="1:6" x14ac:dyDescent="0.2">
      <c r="A85" s="329" t="s">
        <v>333</v>
      </c>
      <c r="B85" s="115">
        <v>73097</v>
      </c>
    </row>
    <row r="86" spans="1:6" x14ac:dyDescent="0.2">
      <c r="A86" s="114" t="s">
        <v>148</v>
      </c>
      <c r="B86" s="112">
        <f ca="1">F59</f>
        <v>1287652.8015924518</v>
      </c>
    </row>
    <row r="87" spans="1:6" x14ac:dyDescent="0.2">
      <c r="A87" s="114" t="s">
        <v>149</v>
      </c>
      <c r="B87" s="112">
        <f ca="1">F39</f>
        <v>1267081.202574132</v>
      </c>
    </row>
    <row r="88" spans="1:6" x14ac:dyDescent="0.2">
      <c r="A88" s="114" t="s">
        <v>150</v>
      </c>
      <c r="B88" s="112">
        <f ca="1">F49</f>
        <v>996765.8057517329</v>
      </c>
    </row>
    <row r="89" spans="1:6" x14ac:dyDescent="0.2">
      <c r="A89" s="114" t="s">
        <v>151</v>
      </c>
      <c r="B89" s="112">
        <f ca="1">F69</f>
        <v>272388.09264455718</v>
      </c>
    </row>
    <row r="90" spans="1:6" x14ac:dyDescent="0.2">
      <c r="A90" s="114" t="s">
        <v>152</v>
      </c>
      <c r="B90" s="397">
        <f ca="1">F79</f>
        <v>509329.11339661689</v>
      </c>
    </row>
    <row r="91" spans="1:6" x14ac:dyDescent="0.2">
      <c r="A91" s="401" t="s">
        <v>134</v>
      </c>
      <c r="B91" s="402">
        <f ca="1">SUM(B84:B90)</f>
        <v>24238088.402023565</v>
      </c>
    </row>
  </sheetData>
  <mergeCells count="11">
    <mergeCell ref="B11:B12"/>
    <mergeCell ref="C11:C12"/>
    <mergeCell ref="D12:F12"/>
    <mergeCell ref="D32:F32"/>
    <mergeCell ref="D42:F42"/>
    <mergeCell ref="D52:F52"/>
    <mergeCell ref="B21:B22"/>
    <mergeCell ref="C21:C22"/>
    <mergeCell ref="D22:F22"/>
    <mergeCell ref="D72:F72"/>
    <mergeCell ref="D62:F62"/>
  </mergeCells>
  <phoneticPr fontId="9" type="noConversion"/>
  <pageMargins left="0.7" right="0.7" top="0.75" bottom="0.75" header="0.3" footer="0.3"/>
  <pageSetup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0"/>
  <sheetViews>
    <sheetView tabSelected="1" workbookViewId="0">
      <selection activeCell="I21" sqref="I21"/>
    </sheetView>
  </sheetViews>
  <sheetFormatPr defaultRowHeight="12.75" x14ac:dyDescent="0.2"/>
  <cols>
    <col min="1" max="1" width="2.7109375" customWidth="1"/>
    <col min="2" max="2" width="8.7109375" customWidth="1"/>
    <col min="3" max="3" width="30.7109375" customWidth="1"/>
    <col min="4" max="8" width="12.7109375" customWidth="1"/>
    <col min="9" max="9" width="14.7109375" customWidth="1"/>
  </cols>
  <sheetData>
    <row r="2" spans="2:9" ht="18" x14ac:dyDescent="0.25">
      <c r="B2" s="496" t="s">
        <v>156</v>
      </c>
      <c r="C2" s="496"/>
      <c r="D2" s="496"/>
      <c r="E2" s="496"/>
      <c r="F2" s="496"/>
      <c r="G2" s="496"/>
      <c r="H2" s="496"/>
      <c r="I2" s="496"/>
    </row>
    <row r="3" spans="2:9" ht="18" x14ac:dyDescent="0.25">
      <c r="B3" s="496" t="s">
        <v>157</v>
      </c>
      <c r="C3" s="496"/>
      <c r="D3" s="496"/>
      <c r="E3" s="496"/>
      <c r="F3" s="496"/>
      <c r="G3" s="496"/>
      <c r="H3" s="496"/>
      <c r="I3" s="496"/>
    </row>
    <row r="5" spans="2:9" x14ac:dyDescent="0.2">
      <c r="B5" s="497"/>
      <c r="C5" s="497"/>
      <c r="D5" s="497"/>
      <c r="E5" s="497"/>
      <c r="F5" s="497"/>
      <c r="G5" s="497"/>
      <c r="H5" s="497"/>
      <c r="I5" s="497"/>
    </row>
    <row r="6" spans="2:9" ht="13.5" thickBot="1" x14ac:dyDescent="0.25"/>
    <row r="7" spans="2:9" x14ac:dyDescent="0.2">
      <c r="B7" s="498"/>
      <c r="C7" s="499"/>
      <c r="D7" s="502" t="s">
        <v>158</v>
      </c>
      <c r="E7" s="503"/>
      <c r="F7" s="503"/>
      <c r="G7" s="503"/>
      <c r="H7" s="504"/>
      <c r="I7" s="505" t="s">
        <v>159</v>
      </c>
    </row>
    <row r="8" spans="2:9" x14ac:dyDescent="0.2">
      <c r="B8" s="500"/>
      <c r="C8" s="501"/>
      <c r="D8" s="116" t="s">
        <v>160</v>
      </c>
      <c r="E8" s="116" t="s">
        <v>161</v>
      </c>
      <c r="F8" s="116" t="s">
        <v>162</v>
      </c>
      <c r="G8" s="116" t="s">
        <v>163</v>
      </c>
      <c r="H8" s="116" t="s">
        <v>164</v>
      </c>
      <c r="I8" s="506"/>
    </row>
    <row r="9" spans="2:9" x14ac:dyDescent="0.2">
      <c r="B9" s="117"/>
      <c r="C9" s="507" t="s">
        <v>165</v>
      </c>
      <c r="D9" s="508"/>
      <c r="E9" s="508"/>
      <c r="F9" s="508"/>
      <c r="G9" s="508"/>
      <c r="H9" s="508"/>
      <c r="I9" s="509"/>
    </row>
    <row r="10" spans="2:9" ht="25.5" x14ac:dyDescent="0.2">
      <c r="B10" s="118" t="s">
        <v>166</v>
      </c>
      <c r="C10" s="119" t="s">
        <v>167</v>
      </c>
      <c r="D10" s="321">
        <f>Summary!G4</f>
        <v>241154636.09999999</v>
      </c>
      <c r="E10" s="321">
        <f>Summary!H4</f>
        <v>245623027.80000001</v>
      </c>
      <c r="F10" s="321">
        <f>Summary!I4</f>
        <v>247239189.20000002</v>
      </c>
      <c r="G10" s="321">
        <f>Summary!J4</f>
        <v>250239378.79999998</v>
      </c>
      <c r="H10" s="321">
        <f>Summary!K4</f>
        <v>246758167.20000002</v>
      </c>
      <c r="I10" s="321">
        <f>IF(SUM(D10:H10)=0,0,AVERAGE(D10:H10))</f>
        <v>246202879.81999999</v>
      </c>
    </row>
    <row r="11" spans="2:9" ht="25.5" x14ac:dyDescent="0.2">
      <c r="B11" s="118" t="s">
        <v>168</v>
      </c>
      <c r="C11" s="119" t="s">
        <v>169</v>
      </c>
      <c r="D11" s="322">
        <v>235121981</v>
      </c>
      <c r="E11" s="322">
        <v>240965463</v>
      </c>
      <c r="F11" s="322">
        <v>240653353</v>
      </c>
      <c r="G11" s="322">
        <v>244035081</v>
      </c>
      <c r="H11" s="322">
        <v>240111859</v>
      </c>
      <c r="I11" s="323">
        <f>IF(SUM(D11:H11)=0,0,AVERAGE(D11:H11))</f>
        <v>240177547.40000001</v>
      </c>
    </row>
    <row r="12" spans="2:9" ht="38.25" x14ac:dyDescent="0.2">
      <c r="B12" s="118" t="s">
        <v>170</v>
      </c>
      <c r="C12" s="119" t="s">
        <v>171</v>
      </c>
      <c r="D12" s="322"/>
      <c r="E12" s="322"/>
      <c r="F12" s="322"/>
      <c r="G12" s="322"/>
      <c r="H12" s="322"/>
      <c r="I12" s="323">
        <f>IF(SUM(D12:H12)=0,0,AVERAGE(D12:H12))</f>
        <v>0</v>
      </c>
    </row>
    <row r="13" spans="2:9" ht="25.5" x14ac:dyDescent="0.2">
      <c r="B13" s="118" t="s">
        <v>172</v>
      </c>
      <c r="C13" s="119" t="s">
        <v>173</v>
      </c>
      <c r="D13" s="324">
        <f t="shared" ref="D13:I13" si="0">D11-D12</f>
        <v>235121981</v>
      </c>
      <c r="E13" s="324">
        <f t="shared" si="0"/>
        <v>240965463</v>
      </c>
      <c r="F13" s="324">
        <f t="shared" si="0"/>
        <v>240653353</v>
      </c>
      <c r="G13" s="324">
        <f t="shared" si="0"/>
        <v>244035081</v>
      </c>
      <c r="H13" s="324">
        <f t="shared" si="0"/>
        <v>240111859</v>
      </c>
      <c r="I13" s="325">
        <f t="shared" si="0"/>
        <v>240177547.40000001</v>
      </c>
    </row>
    <row r="14" spans="2:9" ht="14.25" customHeight="1" x14ac:dyDescent="0.2">
      <c r="B14" s="118" t="s">
        <v>174</v>
      </c>
      <c r="C14" s="119" t="s">
        <v>175</v>
      </c>
      <c r="D14" s="321">
        <f>Summary!G8</f>
        <v>219752747.40000001</v>
      </c>
      <c r="E14" s="321">
        <f>Summary!H8</f>
        <v>226836185.95000002</v>
      </c>
      <c r="F14" s="321">
        <f>Summary!I8</f>
        <v>229135055.51199999</v>
      </c>
      <c r="G14" s="321">
        <f>Summary!J8</f>
        <v>231850248.90999997</v>
      </c>
      <c r="H14" s="321">
        <f>Summary!K8</f>
        <v>233577129.06799996</v>
      </c>
      <c r="I14" s="321">
        <f>IF(SUM(D14:H14)=0,0,AVERAGE(D14:H14))</f>
        <v>228230273.36799997</v>
      </c>
    </row>
    <row r="15" spans="2:9" ht="38.25" x14ac:dyDescent="0.2">
      <c r="B15" s="118" t="s">
        <v>176</v>
      </c>
      <c r="C15" s="119" t="s">
        <v>177</v>
      </c>
      <c r="D15" s="322"/>
      <c r="E15" s="322"/>
      <c r="F15" s="322"/>
      <c r="G15" s="322"/>
      <c r="H15" s="322"/>
      <c r="I15" s="323">
        <f>IF(SUM(D15:H15)=0,0,AVERAGE(D15:H15))</f>
        <v>0</v>
      </c>
    </row>
    <row r="16" spans="2:9" ht="25.5" x14ac:dyDescent="0.2">
      <c r="B16" s="118" t="s">
        <v>34</v>
      </c>
      <c r="C16" s="119" t="s">
        <v>178</v>
      </c>
      <c r="D16" s="321">
        <f t="shared" ref="D16:I16" si="1">D14-D15</f>
        <v>219752747.40000001</v>
      </c>
      <c r="E16" s="321">
        <f t="shared" si="1"/>
        <v>226836185.95000002</v>
      </c>
      <c r="F16" s="321">
        <f t="shared" si="1"/>
        <v>229135055.51199999</v>
      </c>
      <c r="G16" s="321">
        <f t="shared" si="1"/>
        <v>231850248.90999997</v>
      </c>
      <c r="H16" s="321">
        <f t="shared" si="1"/>
        <v>233577129.06799996</v>
      </c>
      <c r="I16" s="321">
        <f t="shared" si="1"/>
        <v>228230273.36799997</v>
      </c>
    </row>
    <row r="17" spans="2:9" ht="25.5" x14ac:dyDescent="0.2">
      <c r="B17" s="118" t="s">
        <v>179</v>
      </c>
      <c r="C17" s="119" t="s">
        <v>180</v>
      </c>
      <c r="D17" s="326">
        <f t="shared" ref="D17:I17" si="2">IF(D16=0,"",D13/D16)</f>
        <v>1.0699387551775381</v>
      </c>
      <c r="E17" s="326">
        <f t="shared" si="2"/>
        <v>1.0622884615645689</v>
      </c>
      <c r="F17" s="326">
        <f t="shared" si="2"/>
        <v>1.0502685957950104</v>
      </c>
      <c r="G17" s="326">
        <f t="shared" si="2"/>
        <v>1.0525547509536208</v>
      </c>
      <c r="H17" s="326">
        <f t="shared" si="2"/>
        <v>1.0279767542227887</v>
      </c>
      <c r="I17" s="327">
        <f t="shared" si="2"/>
        <v>1.0523474552945751</v>
      </c>
    </row>
    <row r="18" spans="2:9" ht="13.5" customHeight="1" x14ac:dyDescent="0.2">
      <c r="B18" s="122"/>
      <c r="C18" s="510" t="s">
        <v>181</v>
      </c>
      <c r="D18" s="511"/>
      <c r="E18" s="511"/>
      <c r="F18" s="511"/>
      <c r="G18" s="511"/>
      <c r="H18" s="511"/>
      <c r="I18" s="512"/>
    </row>
    <row r="19" spans="2:9" x14ac:dyDescent="0.2">
      <c r="B19" s="118" t="s">
        <v>182</v>
      </c>
      <c r="C19" s="119" t="s">
        <v>183</v>
      </c>
      <c r="D19" s="120">
        <v>1.026</v>
      </c>
      <c r="E19" s="120">
        <v>1.0189999999999999</v>
      </c>
      <c r="F19" s="120">
        <v>1.0269999999999999</v>
      </c>
      <c r="G19" s="120">
        <v>1.0249999999999999</v>
      </c>
      <c r="H19" s="120">
        <v>1.028</v>
      </c>
      <c r="I19" s="121">
        <f>IF(SUM(D19:H19)=0,0,AVERAGE(D19:H19))</f>
        <v>1.0249999999999999</v>
      </c>
    </row>
    <row r="20" spans="2:9" x14ac:dyDescent="0.2">
      <c r="B20" s="122"/>
      <c r="C20" s="510" t="s">
        <v>184</v>
      </c>
      <c r="D20" s="511"/>
      <c r="E20" s="511"/>
      <c r="F20" s="511"/>
      <c r="G20" s="511"/>
      <c r="H20" s="511"/>
      <c r="I20" s="512"/>
    </row>
    <row r="21" spans="2:9" ht="13.5" thickBot="1" x14ac:dyDescent="0.25">
      <c r="B21" s="123" t="s">
        <v>185</v>
      </c>
      <c r="C21" s="124" t="s">
        <v>186</v>
      </c>
      <c r="D21" s="125">
        <f t="shared" ref="D21:I21" si="3">IF(D17="","",D17*D19)</f>
        <v>1.0977571628121541</v>
      </c>
      <c r="E21" s="125">
        <f t="shared" si="3"/>
        <v>1.0824719423342957</v>
      </c>
      <c r="F21" s="125">
        <f t="shared" si="3"/>
        <v>1.0786258478814756</v>
      </c>
      <c r="G21" s="125">
        <f t="shared" si="3"/>
        <v>1.0788686197274613</v>
      </c>
      <c r="H21" s="125">
        <f t="shared" si="3"/>
        <v>1.0567601033410268</v>
      </c>
      <c r="I21" s="328">
        <f t="shared" si="3"/>
        <v>1.0786561416769394</v>
      </c>
    </row>
    <row r="22" spans="2:9" x14ac:dyDescent="0.2">
      <c r="C22" s="313" t="s">
        <v>330</v>
      </c>
      <c r="D22" s="314"/>
      <c r="E22" s="314"/>
      <c r="F22" s="314"/>
      <c r="G22" s="314"/>
      <c r="H22" s="314"/>
      <c r="I22" s="315">
        <f>AVERAGE(F21:H21)</f>
        <v>1.0714181903166546</v>
      </c>
    </row>
    <row r="23" spans="2:9" x14ac:dyDescent="0.2">
      <c r="C23" s="316" t="s">
        <v>331</v>
      </c>
      <c r="D23" s="317"/>
      <c r="E23" s="317"/>
      <c r="F23" s="317"/>
      <c r="G23" s="317"/>
      <c r="H23" s="317"/>
      <c r="I23" s="318">
        <v>1.0746</v>
      </c>
    </row>
    <row r="24" spans="2:9" ht="13.5" thickBot="1" x14ac:dyDescent="0.25">
      <c r="C24" s="319" t="s">
        <v>332</v>
      </c>
      <c r="I24" s="320">
        <f>I22-I23</f>
        <v>-3.1818096833453602E-3</v>
      </c>
    </row>
    <row r="25" spans="2:9" ht="13.5" thickTop="1" x14ac:dyDescent="0.2"/>
    <row r="27" spans="2:9" x14ac:dyDescent="0.2">
      <c r="B27" s="126" t="s">
        <v>187</v>
      </c>
    </row>
    <row r="28" spans="2:9" ht="7.5" customHeight="1" x14ac:dyDescent="0.2"/>
    <row r="30" spans="2:9" x14ac:dyDescent="0.2">
      <c r="B30" s="103" t="s">
        <v>166</v>
      </c>
      <c r="C30" s="513" t="s">
        <v>188</v>
      </c>
      <c r="D30" s="513"/>
      <c r="E30" s="513"/>
      <c r="F30" s="513"/>
      <c r="G30" s="513"/>
      <c r="H30" s="513"/>
      <c r="I30" s="513"/>
    </row>
    <row r="31" spans="2:9" x14ac:dyDescent="0.2">
      <c r="B31" s="127"/>
      <c r="C31" s="513"/>
      <c r="D31" s="513"/>
      <c r="E31" s="513"/>
      <c r="F31" s="513"/>
      <c r="G31" s="513"/>
      <c r="H31" s="513"/>
      <c r="I31" s="513"/>
    </row>
    <row r="32" spans="2:9" x14ac:dyDescent="0.2">
      <c r="B32" s="127"/>
      <c r="C32" s="513"/>
      <c r="D32" s="513"/>
      <c r="E32" s="513"/>
      <c r="F32" s="513"/>
      <c r="G32" s="513"/>
      <c r="H32" s="513"/>
      <c r="I32" s="513"/>
    </row>
    <row r="33" spans="2:9" ht="7.5" customHeight="1" x14ac:dyDescent="0.2">
      <c r="B33" s="127"/>
      <c r="C33" s="16"/>
      <c r="D33" s="16"/>
      <c r="E33" s="16"/>
      <c r="F33" s="16"/>
      <c r="G33" s="16"/>
      <c r="H33" s="16"/>
      <c r="I33" s="16"/>
    </row>
    <row r="34" spans="2:9" x14ac:dyDescent="0.2">
      <c r="B34" s="127"/>
      <c r="C34" s="513" t="s">
        <v>189</v>
      </c>
      <c r="D34" s="513"/>
      <c r="E34" s="513"/>
      <c r="F34" s="513"/>
      <c r="G34" s="513"/>
      <c r="H34" s="513"/>
      <c r="I34" s="513"/>
    </row>
    <row r="35" spans="2:9" x14ac:dyDescent="0.2">
      <c r="B35" s="127"/>
      <c r="C35" s="513"/>
      <c r="D35" s="513"/>
      <c r="E35" s="513"/>
      <c r="F35" s="513"/>
      <c r="G35" s="513"/>
      <c r="H35" s="513"/>
      <c r="I35" s="513"/>
    </row>
    <row r="36" spans="2:9" x14ac:dyDescent="0.2">
      <c r="B36" s="127"/>
      <c r="C36" s="513"/>
      <c r="D36" s="513"/>
      <c r="E36" s="513"/>
      <c r="F36" s="513"/>
      <c r="G36" s="513"/>
      <c r="H36" s="513"/>
      <c r="I36" s="513"/>
    </row>
    <row r="37" spans="2:9" x14ac:dyDescent="0.2">
      <c r="B37" s="127"/>
      <c r="C37" s="513"/>
      <c r="D37" s="513"/>
      <c r="E37" s="513"/>
      <c r="F37" s="513"/>
      <c r="G37" s="513"/>
      <c r="H37" s="513"/>
      <c r="I37" s="513"/>
    </row>
    <row r="38" spans="2:9" ht="7.5" customHeight="1" x14ac:dyDescent="0.2">
      <c r="B38" s="127"/>
      <c r="C38" s="16"/>
      <c r="D38" s="16"/>
      <c r="E38" s="16"/>
      <c r="F38" s="16"/>
      <c r="G38" s="16"/>
      <c r="H38" s="16"/>
      <c r="I38" s="16"/>
    </row>
    <row r="39" spans="2:9" x14ac:dyDescent="0.2">
      <c r="B39" s="127"/>
      <c r="C39" s="16" t="s">
        <v>190</v>
      </c>
      <c r="D39" s="16"/>
      <c r="E39" s="16"/>
      <c r="F39" s="16"/>
      <c r="G39" s="16"/>
      <c r="H39" s="16"/>
      <c r="I39" s="16"/>
    </row>
    <row r="40" spans="2:9" ht="7.5" customHeight="1" x14ac:dyDescent="0.2">
      <c r="B40" s="127"/>
      <c r="C40" s="16"/>
      <c r="D40" s="16"/>
      <c r="E40" s="16"/>
      <c r="F40" s="16"/>
      <c r="G40" s="16"/>
      <c r="H40" s="16"/>
      <c r="I40" s="16"/>
    </row>
    <row r="41" spans="2:9" x14ac:dyDescent="0.2">
      <c r="B41" s="103" t="s">
        <v>168</v>
      </c>
      <c r="C41" s="513" t="s">
        <v>191</v>
      </c>
      <c r="D41" s="513"/>
      <c r="E41" s="513"/>
      <c r="F41" s="513"/>
      <c r="G41" s="513"/>
      <c r="H41" s="513"/>
      <c r="I41" s="513"/>
    </row>
    <row r="42" spans="2:9" x14ac:dyDescent="0.2">
      <c r="B42" s="127"/>
      <c r="C42" s="513"/>
      <c r="D42" s="513"/>
      <c r="E42" s="513"/>
      <c r="F42" s="513"/>
      <c r="G42" s="513"/>
      <c r="H42" s="513"/>
      <c r="I42" s="513"/>
    </row>
    <row r="43" spans="2:9" x14ac:dyDescent="0.2">
      <c r="B43" s="127"/>
      <c r="C43" s="513"/>
      <c r="D43" s="513"/>
      <c r="E43" s="513"/>
      <c r="F43" s="513"/>
      <c r="G43" s="513"/>
      <c r="H43" s="513"/>
      <c r="I43" s="513"/>
    </row>
    <row r="44" spans="2:9" ht="7.5" customHeight="1" x14ac:dyDescent="0.2">
      <c r="B44" s="127"/>
      <c r="C44" s="16"/>
      <c r="D44" s="16"/>
      <c r="E44" s="16"/>
      <c r="F44" s="16"/>
      <c r="G44" s="16"/>
      <c r="H44" s="16"/>
      <c r="I44" s="16"/>
    </row>
    <row r="45" spans="2:9" x14ac:dyDescent="0.2">
      <c r="B45" s="127"/>
      <c r="C45" s="513" t="s">
        <v>192</v>
      </c>
      <c r="D45" s="513"/>
      <c r="E45" s="513"/>
      <c r="F45" s="513"/>
      <c r="G45" s="513"/>
      <c r="H45" s="513"/>
      <c r="I45" s="513"/>
    </row>
    <row r="46" spans="2:9" x14ac:dyDescent="0.2">
      <c r="B46" s="127"/>
      <c r="C46" s="513"/>
      <c r="D46" s="513"/>
      <c r="E46" s="513"/>
      <c r="F46" s="513"/>
      <c r="G46" s="513"/>
      <c r="H46" s="513"/>
      <c r="I46" s="513"/>
    </row>
    <row r="47" spans="2:9" x14ac:dyDescent="0.2">
      <c r="B47" s="127"/>
      <c r="C47" s="513"/>
      <c r="D47" s="513"/>
      <c r="E47" s="513"/>
      <c r="F47" s="513"/>
      <c r="G47" s="513"/>
      <c r="H47" s="513"/>
      <c r="I47" s="513"/>
    </row>
    <row r="48" spans="2:9" x14ac:dyDescent="0.2">
      <c r="B48" s="127"/>
      <c r="C48" s="513"/>
      <c r="D48" s="513"/>
      <c r="E48" s="513"/>
      <c r="F48" s="513"/>
      <c r="G48" s="513"/>
      <c r="H48" s="513"/>
      <c r="I48" s="513"/>
    </row>
    <row r="49" spans="2:9" ht="7.5" customHeight="1" x14ac:dyDescent="0.2">
      <c r="B49" s="127"/>
      <c r="C49" s="16"/>
      <c r="D49" s="16"/>
      <c r="E49" s="16"/>
      <c r="F49" s="16"/>
      <c r="G49" s="16"/>
      <c r="H49" s="16"/>
      <c r="I49" s="16"/>
    </row>
    <row r="50" spans="2:9" x14ac:dyDescent="0.2">
      <c r="B50" s="127"/>
      <c r="C50" s="514" t="s">
        <v>190</v>
      </c>
      <c r="D50" s="514"/>
      <c r="E50" s="514"/>
      <c r="F50" s="514"/>
      <c r="G50" s="514"/>
      <c r="H50" s="514"/>
      <c r="I50" s="514"/>
    </row>
    <row r="51" spans="2:9" ht="7.5" customHeight="1" x14ac:dyDescent="0.2">
      <c r="B51" s="127"/>
      <c r="C51" s="16"/>
      <c r="D51" s="16"/>
      <c r="E51" s="16"/>
      <c r="F51" s="16"/>
      <c r="G51" s="16"/>
      <c r="H51" s="16"/>
      <c r="I51" s="16"/>
    </row>
    <row r="52" spans="2:9" x14ac:dyDescent="0.2">
      <c r="B52" s="127"/>
      <c r="C52" s="513" t="s">
        <v>198</v>
      </c>
      <c r="D52" s="513"/>
      <c r="E52" s="513"/>
      <c r="F52" s="513"/>
      <c r="G52" s="513"/>
      <c r="H52" s="513"/>
      <c r="I52" s="513"/>
    </row>
    <row r="53" spans="2:9" x14ac:dyDescent="0.2">
      <c r="B53" s="127"/>
      <c r="C53" s="513"/>
      <c r="D53" s="513"/>
      <c r="E53" s="513"/>
      <c r="F53" s="513"/>
      <c r="G53" s="513"/>
      <c r="H53" s="513"/>
      <c r="I53" s="513"/>
    </row>
    <row r="54" spans="2:9" ht="7.5" customHeight="1" x14ac:dyDescent="0.2">
      <c r="B54" s="127"/>
      <c r="C54" s="16"/>
      <c r="D54" s="16"/>
      <c r="E54" s="16"/>
      <c r="F54" s="16"/>
      <c r="G54" s="16"/>
      <c r="H54" s="16"/>
      <c r="I54" s="16"/>
    </row>
    <row r="55" spans="2:9" x14ac:dyDescent="0.2">
      <c r="B55" s="103" t="s">
        <v>170</v>
      </c>
      <c r="C55" s="513" t="s">
        <v>199</v>
      </c>
      <c r="D55" s="513"/>
      <c r="E55" s="513"/>
      <c r="F55" s="513"/>
      <c r="G55" s="513"/>
      <c r="H55" s="513"/>
      <c r="I55" s="513"/>
    </row>
    <row r="56" spans="2:9" x14ac:dyDescent="0.2">
      <c r="B56" s="127"/>
      <c r="C56" s="513"/>
      <c r="D56" s="513"/>
      <c r="E56" s="513"/>
      <c r="F56" s="513"/>
      <c r="G56" s="513"/>
      <c r="H56" s="513"/>
      <c r="I56" s="513"/>
    </row>
    <row r="57" spans="2:9" ht="7.5" customHeight="1" x14ac:dyDescent="0.2">
      <c r="B57" s="127"/>
      <c r="C57" s="16"/>
      <c r="D57" s="16"/>
      <c r="E57" s="16"/>
      <c r="F57" s="16"/>
      <c r="G57" s="16"/>
      <c r="H57" s="16"/>
      <c r="I57" s="16"/>
    </row>
    <row r="58" spans="2:9" x14ac:dyDescent="0.2">
      <c r="B58" s="103" t="s">
        <v>174</v>
      </c>
      <c r="C58" s="513" t="s">
        <v>200</v>
      </c>
      <c r="D58" s="513"/>
      <c r="E58" s="513"/>
      <c r="F58" s="513"/>
      <c r="G58" s="513"/>
      <c r="H58" s="513"/>
      <c r="I58" s="513"/>
    </row>
    <row r="59" spans="2:9" x14ac:dyDescent="0.2">
      <c r="B59" s="127"/>
      <c r="C59" s="513"/>
      <c r="D59" s="513"/>
      <c r="E59" s="513"/>
      <c r="F59" s="513"/>
      <c r="G59" s="513"/>
      <c r="H59" s="513"/>
      <c r="I59" s="513"/>
    </row>
    <row r="60" spans="2:9" x14ac:dyDescent="0.2">
      <c r="B60" s="127"/>
      <c r="C60" s="16"/>
      <c r="D60" s="16"/>
      <c r="E60" s="16"/>
      <c r="F60" s="16"/>
      <c r="G60" s="16"/>
      <c r="H60" s="16"/>
      <c r="I60" s="16"/>
    </row>
    <row r="61" spans="2:9" x14ac:dyDescent="0.2">
      <c r="B61" s="103" t="s">
        <v>201</v>
      </c>
      <c r="C61" s="514" t="s">
        <v>193</v>
      </c>
      <c r="D61" s="514"/>
      <c r="E61" s="514"/>
      <c r="F61" s="514"/>
      <c r="G61" s="514"/>
      <c r="H61" s="514"/>
      <c r="I61" s="514"/>
    </row>
    <row r="62" spans="2:9" x14ac:dyDescent="0.2">
      <c r="B62" s="127"/>
      <c r="C62" s="16"/>
      <c r="D62" s="16"/>
      <c r="E62" s="16"/>
      <c r="F62" s="16"/>
      <c r="G62" s="16"/>
      <c r="H62" s="16"/>
      <c r="I62" s="16"/>
    </row>
    <row r="63" spans="2:9" x14ac:dyDescent="0.2">
      <c r="B63" s="103" t="s">
        <v>182</v>
      </c>
      <c r="C63" s="514" t="s">
        <v>194</v>
      </c>
      <c r="D63" s="514"/>
      <c r="E63" s="514"/>
      <c r="F63" s="514"/>
      <c r="G63" s="514"/>
      <c r="H63" s="514"/>
      <c r="I63" s="514"/>
    </row>
    <row r="64" spans="2:9" x14ac:dyDescent="0.2">
      <c r="B64" s="16"/>
      <c r="C64" s="16"/>
      <c r="D64" s="16"/>
      <c r="E64" s="16"/>
      <c r="F64" s="16"/>
      <c r="G64" s="16"/>
      <c r="H64" s="16"/>
      <c r="I64" s="16"/>
    </row>
    <row r="65" spans="2:9" x14ac:dyDescent="0.2">
      <c r="B65" s="16"/>
      <c r="C65" s="513" t="s">
        <v>195</v>
      </c>
      <c r="D65" s="513"/>
      <c r="E65" s="513"/>
      <c r="F65" s="513"/>
      <c r="G65" s="513"/>
      <c r="H65" s="513"/>
      <c r="I65" s="16"/>
    </row>
    <row r="66" spans="2:9" x14ac:dyDescent="0.2">
      <c r="B66" s="16"/>
      <c r="C66" s="513"/>
      <c r="D66" s="513"/>
      <c r="E66" s="513"/>
      <c r="F66" s="513"/>
      <c r="G66" s="513"/>
      <c r="H66" s="513"/>
      <c r="I66" s="16"/>
    </row>
    <row r="67" spans="2:9" x14ac:dyDescent="0.2">
      <c r="B67" s="16"/>
      <c r="C67" s="513"/>
      <c r="D67" s="513"/>
      <c r="E67" s="513"/>
      <c r="F67" s="513"/>
      <c r="G67" s="513"/>
      <c r="H67" s="513"/>
      <c r="I67" s="16"/>
    </row>
    <row r="68" spans="2:9" x14ac:dyDescent="0.2">
      <c r="B68" s="16"/>
      <c r="C68" s="16"/>
      <c r="D68" s="16"/>
      <c r="E68" s="16"/>
      <c r="F68" s="16"/>
      <c r="G68" s="16"/>
      <c r="H68" s="16"/>
      <c r="I68" s="16"/>
    </row>
    <row r="69" spans="2:9" x14ac:dyDescent="0.2">
      <c r="C69" s="514" t="s">
        <v>196</v>
      </c>
      <c r="D69" s="515"/>
      <c r="E69" s="515"/>
      <c r="F69" s="515"/>
      <c r="G69" s="515"/>
      <c r="H69" s="515"/>
      <c r="I69" s="515"/>
    </row>
    <row r="70" spans="2:9" x14ac:dyDescent="0.2">
      <c r="C70" t="s">
        <v>197</v>
      </c>
    </row>
  </sheetData>
  <mergeCells count="21">
    <mergeCell ref="C55:I56"/>
    <mergeCell ref="C58:I59"/>
    <mergeCell ref="C30:I32"/>
    <mergeCell ref="C69:I69"/>
    <mergeCell ref="C61:I61"/>
    <mergeCell ref="C63:I63"/>
    <mergeCell ref="C65:H67"/>
    <mergeCell ref="C50:I50"/>
    <mergeCell ref="C9:I9"/>
    <mergeCell ref="C18:I18"/>
    <mergeCell ref="C20:I20"/>
    <mergeCell ref="C52:I53"/>
    <mergeCell ref="C34:I37"/>
    <mergeCell ref="C41:I43"/>
    <mergeCell ref="C45:I48"/>
    <mergeCell ref="B2:I2"/>
    <mergeCell ref="B3:I3"/>
    <mergeCell ref="B5:I5"/>
    <mergeCell ref="B7:C8"/>
    <mergeCell ref="D7:H7"/>
    <mergeCell ref="I7:I8"/>
  </mergeCells>
  <phoneticPr fontId="9" type="noConversion"/>
  <pageMargins left="0.75" right="0.75" top="1" bottom="1" header="0.5" footer="0.5"/>
  <pageSetup scale="64"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zoomScaleNormal="100" workbookViewId="0">
      <pane xSplit="1" ySplit="3" topLeftCell="H25" activePane="bottomRight" state="frozen"/>
      <selection pane="topRight" activeCell="B1" sqref="B1"/>
      <selection pane="bottomLeft" activeCell="A4" sqref="A4"/>
      <selection pane="bottomRight" activeCell="N13" sqref="N13"/>
    </sheetView>
  </sheetViews>
  <sheetFormatPr defaultRowHeight="12.75" x14ac:dyDescent="0.2"/>
  <cols>
    <col min="1" max="1" width="32.7109375" customWidth="1"/>
    <col min="2" max="2" width="13" style="1" customWidth="1"/>
    <col min="3" max="3" width="12.5703125" style="1" customWidth="1"/>
    <col min="4" max="4" width="12.7109375" style="1" bestFit="1" customWidth="1"/>
    <col min="5" max="5" width="13.5703125" style="1" customWidth="1"/>
    <col min="6" max="6" width="12.7109375" style="1" customWidth="1"/>
    <col min="7" max="7" width="13" style="1" customWidth="1"/>
    <col min="8" max="8" width="12.7109375" style="1" bestFit="1" customWidth="1"/>
    <col min="9" max="11" width="12.85546875" style="1" customWidth="1"/>
    <col min="12" max="12" width="12.7109375" style="25" bestFit="1" customWidth="1"/>
    <col min="13" max="14" width="13.140625" style="1" customWidth="1"/>
  </cols>
  <sheetData>
    <row r="1" spans="1:15" ht="15.75" x14ac:dyDescent="0.25">
      <c r="A1" s="48" t="s">
        <v>202</v>
      </c>
    </row>
    <row r="3" spans="1:15" ht="76.5" x14ac:dyDescent="0.2">
      <c r="B3" s="50" t="s">
        <v>51</v>
      </c>
      <c r="C3" s="50" t="s">
        <v>52</v>
      </c>
      <c r="D3" s="50" t="s">
        <v>53</v>
      </c>
      <c r="E3" s="50" t="s">
        <v>54</v>
      </c>
      <c r="F3" s="50" t="s">
        <v>55</v>
      </c>
      <c r="G3" s="50" t="s">
        <v>56</v>
      </c>
      <c r="H3" s="50" t="s">
        <v>66</v>
      </c>
      <c r="I3" s="50" t="s">
        <v>74</v>
      </c>
      <c r="J3" s="50" t="s">
        <v>80</v>
      </c>
      <c r="K3" s="50" t="s">
        <v>85</v>
      </c>
      <c r="L3" s="66" t="s">
        <v>81</v>
      </c>
      <c r="M3" s="50" t="s">
        <v>86</v>
      </c>
      <c r="N3" s="50" t="s">
        <v>216</v>
      </c>
    </row>
    <row r="4" spans="1:15" x14ac:dyDescent="0.2">
      <c r="A4" s="21" t="s">
        <v>59</v>
      </c>
      <c r="B4" s="6">
        <f>'Purchased Power Model '!B150</f>
        <v>229952804.31</v>
      </c>
      <c r="C4" s="31">
        <f>'Purchased Power Model '!B151</f>
        <v>234480796</v>
      </c>
      <c r="D4" s="31">
        <f>'Purchased Power Model '!B152</f>
        <v>234412600</v>
      </c>
      <c r="E4" s="31">
        <f>'Purchased Power Model '!B153</f>
        <v>242687327.83019999</v>
      </c>
      <c r="F4" s="31">
        <f>'Purchased Power Model '!B154</f>
        <v>234398898.69999999</v>
      </c>
      <c r="G4" s="31">
        <f>'Purchased Power Model '!B155</f>
        <v>241154636.09999999</v>
      </c>
      <c r="H4" s="31">
        <f>'Purchased Power Model '!B156</f>
        <v>245623027.80000001</v>
      </c>
      <c r="I4" s="31">
        <f>'Purchased Power Model '!B157</f>
        <v>247239189.20000002</v>
      </c>
      <c r="J4" s="31">
        <f>'Purchased Power Model '!B158</f>
        <v>250239378.79999998</v>
      </c>
      <c r="K4" s="31">
        <f>'Purchased Power Model '!B159</f>
        <v>246758167.20000002</v>
      </c>
      <c r="L4" s="67"/>
    </row>
    <row r="5" spans="1:15" x14ac:dyDescent="0.2">
      <c r="A5" s="21" t="s">
        <v>60</v>
      </c>
      <c r="B5" s="31">
        <f>'Purchased Power Model '!J150</f>
        <v>231401930.83504969</v>
      </c>
      <c r="C5" s="31">
        <f>'Purchased Power Model '!J151</f>
        <v>234082855.78034854</v>
      </c>
      <c r="D5" s="31">
        <f>'Purchased Power Model '!J152</f>
        <v>232672948.22083217</v>
      </c>
      <c r="E5" s="31">
        <f>'Purchased Power Model '!J153</f>
        <v>243391567.27342251</v>
      </c>
      <c r="F5" s="31">
        <f>'Purchased Power Model '!J154</f>
        <v>234083312.83045462</v>
      </c>
      <c r="G5" s="31">
        <f>'Purchased Power Model '!J155</f>
        <v>241953147.35085589</v>
      </c>
      <c r="H5" s="31">
        <f>'Purchased Power Model '!J156</f>
        <v>243425788.29814762</v>
      </c>
      <c r="I5" s="31">
        <f>'Purchased Power Model '!J157</f>
        <v>246672819.60490677</v>
      </c>
      <c r="J5" s="31">
        <f>'Purchased Power Model '!J158</f>
        <v>247841894.28260642</v>
      </c>
      <c r="K5" s="31">
        <f>'Purchased Power Model '!J159</f>
        <v>251420561.46357667</v>
      </c>
      <c r="L5" s="68">
        <f>'Purchased Power Model '!J160</f>
        <v>254027867.83937243</v>
      </c>
      <c r="M5" s="31">
        <f>'Purchased Power Model '!J161</f>
        <v>256194557.73854184</v>
      </c>
      <c r="N5" s="31"/>
    </row>
    <row r="6" spans="1:15" x14ac:dyDescent="0.2">
      <c r="A6" s="21" t="s">
        <v>9</v>
      </c>
      <c r="B6" s="49">
        <f t="shared" ref="B6:K6" si="0">(B5-B4)/B4</f>
        <v>6.3018432386504628E-3</v>
      </c>
      <c r="C6" s="49">
        <f t="shared" si="0"/>
        <v>-1.697112200401523E-3</v>
      </c>
      <c r="D6" s="49">
        <f t="shared" si="0"/>
        <v>-7.4213236795625786E-3</v>
      </c>
      <c r="E6" s="49">
        <f t="shared" si="0"/>
        <v>2.9018385488807021E-3</v>
      </c>
      <c r="F6" s="49">
        <f t="shared" si="0"/>
        <v>-1.3463624244637732E-3</v>
      </c>
      <c r="G6" s="49">
        <f t="shared" si="0"/>
        <v>3.3112000821115166E-3</v>
      </c>
      <c r="H6" s="49">
        <f t="shared" si="0"/>
        <v>-8.9455761600720444E-3</v>
      </c>
      <c r="I6" s="49">
        <f t="shared" si="0"/>
        <v>-2.2907759765993046E-3</v>
      </c>
      <c r="J6" s="49">
        <f t="shared" si="0"/>
        <v>-9.5807643420890692E-3</v>
      </c>
      <c r="K6" s="49">
        <f t="shared" si="0"/>
        <v>1.889458945364E-2</v>
      </c>
      <c r="L6" s="69"/>
      <c r="M6" s="57"/>
      <c r="N6" s="57"/>
      <c r="O6" s="36"/>
    </row>
    <row r="7" spans="1:15" x14ac:dyDescent="0.2">
      <c r="A7" s="21"/>
      <c r="B7" s="46"/>
      <c r="C7" s="46"/>
      <c r="D7" s="46"/>
      <c r="E7" s="46"/>
      <c r="F7" s="46"/>
      <c r="G7" s="46"/>
      <c r="H7" s="46"/>
      <c r="I7" s="46"/>
      <c r="J7" s="46"/>
      <c r="K7" s="46"/>
      <c r="L7" s="67"/>
    </row>
    <row r="8" spans="1:15" x14ac:dyDescent="0.2">
      <c r="A8" s="21" t="s">
        <v>62</v>
      </c>
      <c r="B8" s="31">
        <f>'Rate Class Energy Model'!G7</f>
        <v>202227694.79999998</v>
      </c>
      <c r="C8" s="31">
        <f>'Rate Class Energy Model'!G8</f>
        <v>213841537.40000001</v>
      </c>
      <c r="D8" s="31">
        <f>'Rate Class Energy Model'!G9</f>
        <v>214637890.80000001</v>
      </c>
      <c r="E8" s="31">
        <f>'Rate Class Energy Model'!G10</f>
        <v>225998743</v>
      </c>
      <c r="F8" s="31">
        <f>'Rate Class Energy Model'!G11</f>
        <v>219381471.09999999</v>
      </c>
      <c r="G8" s="31">
        <f>'Rate Class Energy Model'!G12</f>
        <v>219752747.40000001</v>
      </c>
      <c r="H8" s="31">
        <f>'Rate Class Energy Model'!G13</f>
        <v>226836185.95000002</v>
      </c>
      <c r="I8" s="31">
        <f>'Rate Class Energy Model'!G14</f>
        <v>229135055.51199999</v>
      </c>
      <c r="J8" s="31">
        <f>'Rate Class Energy Model'!G15</f>
        <v>231850248.90999997</v>
      </c>
      <c r="K8" s="31">
        <f>'Rate Class Energy Model'!G16</f>
        <v>233577129.06799996</v>
      </c>
      <c r="L8" s="68">
        <f ca="1">'Rate Class Energy Model'!O62</f>
        <v>231946281.4998188</v>
      </c>
      <c r="M8" s="31">
        <f ca="1">'Rate Class Energy Model'!O63</f>
        <v>231119408.58641618</v>
      </c>
      <c r="N8" s="31">
        <f ca="1">'Rate Class Energy Model'!O80</f>
        <v>229513316.31073761</v>
      </c>
    </row>
    <row r="9" spans="1:15" x14ac:dyDescent="0.2">
      <c r="A9" s="21"/>
      <c r="B9" s="46"/>
      <c r="C9" s="46"/>
      <c r="D9" s="46"/>
      <c r="E9" s="46"/>
      <c r="F9" s="46"/>
      <c r="G9" s="46"/>
      <c r="I9" s="25"/>
      <c r="J9" s="25"/>
      <c r="K9" s="25"/>
    </row>
    <row r="10" spans="1:15" ht="15.75" x14ac:dyDescent="0.25">
      <c r="A10" s="48" t="s">
        <v>61</v>
      </c>
    </row>
    <row r="11" spans="1:15" x14ac:dyDescent="0.2">
      <c r="A11" s="47" t="str">
        <f>'Rate Class Energy Model'!H2</f>
        <v>Residential</v>
      </c>
    </row>
    <row r="12" spans="1:15" x14ac:dyDescent="0.2">
      <c r="A12" t="s">
        <v>48</v>
      </c>
      <c r="B12" s="6">
        <f>'Rate Class Customer Model'!B3</f>
        <v>12075</v>
      </c>
      <c r="C12" s="6">
        <f>'Rate Class Customer Model'!B4</f>
        <v>12299</v>
      </c>
      <c r="D12" s="6">
        <f>'Rate Class Customer Model'!B5</f>
        <v>12539</v>
      </c>
      <c r="E12" s="6">
        <f>'Rate Class Customer Model'!B6</f>
        <v>12748</v>
      </c>
      <c r="F12" s="6">
        <f>'Rate Class Customer Model'!B7</f>
        <v>12867</v>
      </c>
      <c r="G12" s="6">
        <f>'Rate Class Customer Model'!B8</f>
        <v>12991</v>
      </c>
      <c r="H12" s="6">
        <f>'Rate Class Customer Model'!B9</f>
        <v>13277</v>
      </c>
      <c r="I12" s="6">
        <f>'Rate Class Customer Model'!B10</f>
        <v>13533</v>
      </c>
      <c r="J12" s="6">
        <f>'Rate Class Customer Model'!B11</f>
        <v>13651</v>
      </c>
      <c r="K12" s="6">
        <f>'Rate Class Customer Model'!B12</f>
        <v>13779</v>
      </c>
      <c r="L12" s="29">
        <f>'Rate Class Customer Model'!B13</f>
        <v>13982.594477207709</v>
      </c>
      <c r="M12" s="6">
        <f>'Rate Class Customer Model'!B14</f>
        <v>14189.197206911933</v>
      </c>
      <c r="N12" s="6">
        <f>M12</f>
        <v>14189.197206911933</v>
      </c>
    </row>
    <row r="13" spans="1:15" x14ac:dyDescent="0.2">
      <c r="A13" t="s">
        <v>49</v>
      </c>
      <c r="B13" s="6">
        <f>'Rate Class Energy Model'!H7</f>
        <v>138681514</v>
      </c>
      <c r="C13" s="6">
        <f>'Rate Class Energy Model'!H8</f>
        <v>147383455</v>
      </c>
      <c r="D13" s="6">
        <f>'Rate Class Energy Model'!H9</f>
        <v>148790001</v>
      </c>
      <c r="E13" s="6">
        <f>'Rate Class Energy Model'!H10</f>
        <v>154818065</v>
      </c>
      <c r="F13" s="6">
        <f>'Rate Class Energy Model'!H11</f>
        <v>149103951</v>
      </c>
      <c r="G13" s="6">
        <f>'Rate Class Energy Model'!H12</f>
        <v>148690902</v>
      </c>
      <c r="H13" s="6">
        <f>'Rate Class Energy Model'!H13</f>
        <v>149960621</v>
      </c>
      <c r="I13" s="6">
        <f>'Rate Class Energy Model'!H14</f>
        <v>150373777</v>
      </c>
      <c r="J13" s="6">
        <f>'Rate Class Energy Model'!H15</f>
        <v>148340356.22999996</v>
      </c>
      <c r="K13" s="6">
        <f>'Rate Class Energy Model'!H16</f>
        <v>150098109.56999999</v>
      </c>
      <c r="L13" s="29">
        <f ca="1">'Rate Class Energy Model'!H62</f>
        <v>147749853.41291058</v>
      </c>
      <c r="M13" s="6">
        <f ca="1">'Rate Class Energy Model'!H63</f>
        <v>146562898.02754521</v>
      </c>
      <c r="N13" s="6">
        <f ca="1">'Rate Class Energy Model'!H80</f>
        <v>146329876.52980721</v>
      </c>
    </row>
    <row r="14" spans="1:15" x14ac:dyDescent="0.2">
      <c r="H14" s="58"/>
      <c r="I14" s="25"/>
      <c r="J14" s="25"/>
      <c r="K14" s="25"/>
      <c r="M14" s="57"/>
      <c r="N14" s="57"/>
    </row>
    <row r="15" spans="1:15" x14ac:dyDescent="0.2">
      <c r="A15" s="47" t="str">
        <f>'Rate Class Energy Model'!I2</f>
        <v>GS&lt;50</v>
      </c>
    </row>
    <row r="16" spans="1:15" x14ac:dyDescent="0.2">
      <c r="A16" t="s">
        <v>48</v>
      </c>
      <c r="B16" s="6">
        <f>'Rate Class Customer Model'!C3</f>
        <v>837</v>
      </c>
      <c r="C16" s="6">
        <f>'Rate Class Customer Model'!C4</f>
        <v>852</v>
      </c>
      <c r="D16" s="6">
        <f>'Rate Class Customer Model'!C5</f>
        <v>886</v>
      </c>
      <c r="E16" s="6">
        <f>'Rate Class Customer Model'!C6</f>
        <v>907</v>
      </c>
      <c r="F16" s="6">
        <f>'Rate Class Customer Model'!C7</f>
        <v>797</v>
      </c>
      <c r="G16" s="6">
        <f>'Rate Class Customer Model'!C8</f>
        <v>819</v>
      </c>
      <c r="H16" s="6">
        <f>'Rate Class Customer Model'!C9</f>
        <v>836</v>
      </c>
      <c r="I16" s="6">
        <f>'Rate Class Customer Model'!C10</f>
        <v>855</v>
      </c>
      <c r="J16" s="6">
        <f>'Rate Class Customer Model'!C11</f>
        <v>865</v>
      </c>
      <c r="K16" s="6">
        <f>'Rate Class Customer Model'!C12</f>
        <v>896</v>
      </c>
      <c r="L16" s="6">
        <f>'Rate Class Customer Model'!C13</f>
        <v>902.80708748624443</v>
      </c>
      <c r="M16" s="6">
        <f>'Rate Class Customer Model'!C14</f>
        <v>909.66588974932517</v>
      </c>
      <c r="N16" s="6">
        <f>M16</f>
        <v>909.66588974932517</v>
      </c>
    </row>
    <row r="17" spans="1:14" x14ac:dyDescent="0.2">
      <c r="A17" t="s">
        <v>49</v>
      </c>
      <c r="B17" s="6">
        <f>'Rate Class Energy Model'!I7</f>
        <v>22284840</v>
      </c>
      <c r="C17" s="6">
        <f>'Rate Class Energy Model'!I8</f>
        <v>24957359</v>
      </c>
      <c r="D17" s="6">
        <f>'Rate Class Energy Model'!I9</f>
        <v>26929694</v>
      </c>
      <c r="E17" s="6">
        <f>'Rate Class Energy Model'!I10</f>
        <v>28301933</v>
      </c>
      <c r="F17" s="6">
        <f>'Rate Class Energy Model'!I11</f>
        <v>27191374</v>
      </c>
      <c r="G17" s="6">
        <f>'Rate Class Energy Model'!I12</f>
        <v>28463422</v>
      </c>
      <c r="H17" s="6">
        <f>'Rate Class Energy Model'!I13</f>
        <v>28399681</v>
      </c>
      <c r="I17" s="6">
        <f>'Rate Class Energy Model'!I14</f>
        <v>28113433</v>
      </c>
      <c r="J17" s="6">
        <f>'Rate Class Energy Model'!I15</f>
        <v>29188874</v>
      </c>
      <c r="K17" s="6">
        <f>'Rate Class Energy Model'!I16</f>
        <v>30548695.32</v>
      </c>
      <c r="L17" s="6">
        <f ca="1">'Rate Class Energy Model'!I62</f>
        <v>30870768.962180968</v>
      </c>
      <c r="M17" s="6">
        <f ca="1">'Rate Class Energy Model'!I63</f>
        <v>31437454.722956143</v>
      </c>
      <c r="N17" s="6">
        <f ca="1">'Rate Class Energy Model'!I80</f>
        <v>29061346.334190171</v>
      </c>
    </row>
    <row r="18" spans="1:14" x14ac:dyDescent="0.2">
      <c r="H18" s="58"/>
      <c r="I18" s="25"/>
      <c r="J18" s="25"/>
      <c r="K18" s="25"/>
      <c r="M18" s="57"/>
      <c r="N18" s="57"/>
    </row>
    <row r="19" spans="1:14" x14ac:dyDescent="0.2">
      <c r="A19" s="47" t="str">
        <f>'Rate Class Energy Model'!J2</f>
        <v>GS&gt;50</v>
      </c>
      <c r="M19" s="6"/>
      <c r="N19" s="6"/>
    </row>
    <row r="20" spans="1:14" x14ac:dyDescent="0.2">
      <c r="A20" t="s">
        <v>48</v>
      </c>
      <c r="B20" s="6">
        <f>'Rate Class Customer Model'!D3</f>
        <v>71</v>
      </c>
      <c r="C20" s="6">
        <f>'Rate Class Customer Model'!D4</f>
        <v>72</v>
      </c>
      <c r="D20" s="6">
        <f>'Rate Class Customer Model'!D5</f>
        <v>73</v>
      </c>
      <c r="E20" s="6">
        <f>'Rate Class Customer Model'!D6</f>
        <v>72</v>
      </c>
      <c r="F20" s="6">
        <f>'Rate Class Customer Model'!D7</f>
        <v>80</v>
      </c>
      <c r="G20" s="6">
        <f>'Rate Class Customer Model'!D8</f>
        <v>71</v>
      </c>
      <c r="H20" s="6">
        <f>'Rate Class Customer Model'!D9</f>
        <v>73</v>
      </c>
      <c r="I20" s="6">
        <f>'Rate Class Customer Model'!D10</f>
        <v>72</v>
      </c>
      <c r="J20" s="6">
        <f>'Rate Class Customer Model'!D11</f>
        <v>68</v>
      </c>
      <c r="K20" s="29">
        <f>'Rate Class Customer Model'!D12</f>
        <v>67</v>
      </c>
      <c r="L20" s="6">
        <f>'Rate Class Customer Model'!D13</f>
        <v>66.569704772725899</v>
      </c>
      <c r="M20" s="6">
        <f>'Rate Class Customer Model'!D14</f>
        <v>66.142173037729634</v>
      </c>
      <c r="N20" s="6">
        <f>M20</f>
        <v>66.142173037729634</v>
      </c>
    </row>
    <row r="21" spans="1:14" x14ac:dyDescent="0.2">
      <c r="A21" t="s">
        <v>49</v>
      </c>
      <c r="B21" s="6">
        <f>'Rate Class Energy Model'!J7</f>
        <v>38854281</v>
      </c>
      <c r="C21" s="6">
        <f>'Rate Class Energy Model'!J8</f>
        <v>38763996</v>
      </c>
      <c r="D21" s="6">
        <f>'Rate Class Energy Model'!J9</f>
        <v>36303637</v>
      </c>
      <c r="E21" s="6">
        <f>'Rate Class Energy Model'!J10</f>
        <v>39824875</v>
      </c>
      <c r="F21" s="6">
        <f>'Rate Class Energy Model'!J11</f>
        <v>39830915</v>
      </c>
      <c r="G21" s="6">
        <f>'Rate Class Energy Model'!J12</f>
        <v>39320570</v>
      </c>
      <c r="H21" s="6">
        <f>'Rate Class Energy Model'!J13</f>
        <v>45269405.57</v>
      </c>
      <c r="I21" s="6">
        <f>'Rate Class Energy Model'!J14</f>
        <v>47473258.210000001</v>
      </c>
      <c r="J21" s="6">
        <f>'Rate Class Energy Model'!J15</f>
        <v>51128771.11999999</v>
      </c>
      <c r="K21" s="6">
        <f>'Rate Class Energy Model'!J16</f>
        <v>49921685.450000003</v>
      </c>
      <c r="L21" s="6">
        <f ca="1">'Rate Class Energy Model'!J62</f>
        <v>50262876.287525296</v>
      </c>
      <c r="M21" s="6">
        <f ca="1">'Rate Class Energy Model'!J63</f>
        <v>50917130.196279928</v>
      </c>
      <c r="N21" s="6">
        <f ca="1">'Rate Class Energy Model'!J80</f>
        <v>51921263.42043931</v>
      </c>
    </row>
    <row r="22" spans="1:14" x14ac:dyDescent="0.2">
      <c r="A22" t="s">
        <v>50</v>
      </c>
      <c r="B22" s="6">
        <f>'Rate Class Load Model'!B2</f>
        <v>88877.811111111107</v>
      </c>
      <c r="C22" s="6">
        <f>'Rate Class Load Model'!B3</f>
        <v>118748</v>
      </c>
      <c r="D22" s="6">
        <f>'Rate Class Load Model'!B4</f>
        <v>112828</v>
      </c>
      <c r="E22" s="6">
        <f>'Rate Class Load Model'!B5</f>
        <v>115611</v>
      </c>
      <c r="F22" s="6">
        <f>'Rate Class Load Model'!B6</f>
        <v>118310</v>
      </c>
      <c r="G22" s="6">
        <f>'Rate Class Load Model'!B7</f>
        <v>116956</v>
      </c>
      <c r="H22" s="6">
        <f>'Rate Class Load Model'!B8</f>
        <v>134692.85</v>
      </c>
      <c r="I22" s="6">
        <f>'Rate Class Load Model'!B9</f>
        <v>136122.29</v>
      </c>
      <c r="J22" s="29">
        <f>'Rate Class Load Model'!B10</f>
        <v>144502.21</v>
      </c>
      <c r="K22" s="29">
        <f>'Rate Class Load Model'!B11</f>
        <v>139425.35999999999</v>
      </c>
      <c r="L22" s="6">
        <f ca="1">'Rate Class Load Model'!B12</f>
        <v>144597.57436396333</v>
      </c>
      <c r="M22" s="6">
        <f ca="1">'Rate Class Load Model'!B13</f>
        <v>146479.74934501474</v>
      </c>
      <c r="N22" s="6">
        <f ca="1">N21*'Rate Class Load Model'!B27</f>
        <v>149368.46641168505</v>
      </c>
    </row>
    <row r="23" spans="1:14" x14ac:dyDescent="0.2">
      <c r="H23" s="58"/>
      <c r="I23" s="25"/>
      <c r="J23" s="25"/>
      <c r="K23" s="25"/>
      <c r="M23" s="57"/>
      <c r="N23" s="170"/>
    </row>
    <row r="24" spans="1:14" x14ac:dyDescent="0.2">
      <c r="A24" s="47" t="str">
        <f>'Rate Class Energy Model'!K2</f>
        <v>Sentinels</v>
      </c>
      <c r="M24" s="6"/>
      <c r="N24" s="6"/>
    </row>
    <row r="25" spans="1:14" x14ac:dyDescent="0.2">
      <c r="A25" t="s">
        <v>75</v>
      </c>
      <c r="B25" s="6">
        <f>'Rate Class Customer Model'!E3</f>
        <v>177</v>
      </c>
      <c r="C25" s="6">
        <f>'Rate Class Customer Model'!E4</f>
        <v>181</v>
      </c>
      <c r="D25" s="6">
        <f>'Rate Class Customer Model'!E5</f>
        <v>183</v>
      </c>
      <c r="E25" s="6">
        <f>'Rate Class Customer Model'!E6</f>
        <v>189</v>
      </c>
      <c r="F25" s="6">
        <f>'Rate Class Customer Model'!E7</f>
        <v>189</v>
      </c>
      <c r="G25" s="6">
        <f>'Rate Class Customer Model'!E8</f>
        <v>186</v>
      </c>
      <c r="H25" s="6">
        <f>'Rate Class Customer Model'!E9</f>
        <v>186</v>
      </c>
      <c r="I25" s="6">
        <f>'Rate Class Customer Model'!E10</f>
        <v>193</v>
      </c>
      <c r="J25" s="29">
        <f>'Rate Class Customer Model'!E11</f>
        <v>201</v>
      </c>
      <c r="K25" s="29">
        <f>'Rate Class Customer Model'!E12</f>
        <v>225</v>
      </c>
      <c r="L25" s="6">
        <f>'Rate Class Customer Model'!E13</f>
        <v>231.07944929215557</v>
      </c>
      <c r="M25" s="6">
        <f>'Rate Class Customer Model'!E14</f>
        <v>237.32316393407066</v>
      </c>
      <c r="N25" s="6">
        <f>M25</f>
        <v>237.32316393407066</v>
      </c>
    </row>
    <row r="26" spans="1:14" x14ac:dyDescent="0.2">
      <c r="A26" t="s">
        <v>49</v>
      </c>
      <c r="B26" s="6">
        <f>'Rate Class Energy Model'!K7</f>
        <v>132459.20000000001</v>
      </c>
      <c r="C26" s="6">
        <f>'Rate Class Energy Model'!K8</f>
        <v>136024</v>
      </c>
      <c r="D26" s="6">
        <f>'Rate Class Energy Model'!K9</f>
        <v>135298</v>
      </c>
      <c r="E26" s="6">
        <f>'Rate Class Energy Model'!K10</f>
        <v>131643</v>
      </c>
      <c r="F26" s="6">
        <f>'Rate Class Energy Model'!K11</f>
        <v>131869</v>
      </c>
      <c r="G26" s="6">
        <f>'Rate Class Energy Model'!K12</f>
        <v>126371</v>
      </c>
      <c r="H26" s="6">
        <f>'Rate Class Energy Model'!K13</f>
        <v>124211.62</v>
      </c>
      <c r="I26" s="6">
        <f>'Rate Class Energy Model'!K14</f>
        <v>122021.1</v>
      </c>
      <c r="J26" s="6">
        <f>'Rate Class Energy Model'!K15</f>
        <v>116702.72</v>
      </c>
      <c r="K26" s="6">
        <f>'Rate Class Energy Model'!K16</f>
        <v>110240.82</v>
      </c>
      <c r="L26" s="6">
        <f ca="1">'Rate Class Energy Model'!K62</f>
        <v>107146.80439613332</v>
      </c>
      <c r="M26" s="6">
        <f ca="1">'Rate Class Energy Model'!K63</f>
        <v>104161.13219668079</v>
      </c>
      <c r="N26" s="6">
        <f ca="1">'Rate Class Energy Model'!K80</f>
        <v>104109.30469167662</v>
      </c>
    </row>
    <row r="27" spans="1:14" x14ac:dyDescent="0.2">
      <c r="A27" t="s">
        <v>50</v>
      </c>
      <c r="B27" s="6">
        <f>'Rate Class Load Model'!C2</f>
        <v>367.84500000000003</v>
      </c>
      <c r="C27" s="6">
        <f>'Rate Class Load Model'!C3</f>
        <v>378</v>
      </c>
      <c r="D27" s="6">
        <f>'Rate Class Load Model'!C4</f>
        <v>375.82499999999999</v>
      </c>
      <c r="E27" s="6">
        <f>'Rate Class Load Model'!C5</f>
        <v>365.22500000000002</v>
      </c>
      <c r="F27" s="6">
        <f>'Rate Class Load Model'!C6</f>
        <v>367</v>
      </c>
      <c r="G27" s="6">
        <f>'Rate Class Load Model'!C7</f>
        <v>351</v>
      </c>
      <c r="H27" s="6">
        <f>'Rate Class Load Model'!C8</f>
        <v>345.03227777777778</v>
      </c>
      <c r="I27" s="6">
        <f>'Rate Class Load Model'!C9</f>
        <v>338.94749999999999</v>
      </c>
      <c r="J27" s="29">
        <f>'Rate Class Load Model'!C10</f>
        <v>324.17422222222223</v>
      </c>
      <c r="K27" s="29">
        <f>'Rate Class Load Model'!C11</f>
        <v>306.31894444444447</v>
      </c>
      <c r="L27" s="6">
        <f ca="1">'Rate Class Load Model'!C12</f>
        <v>297.66079436522585</v>
      </c>
      <c r="M27" s="6">
        <f ca="1">'Rate Class Load Model'!C13</f>
        <v>289.36640272553188</v>
      </c>
      <c r="N27" s="6">
        <f ca="1">N26*'Rate Class Load Model'!C27</f>
        <v>289.22242254435474</v>
      </c>
    </row>
    <row r="28" spans="1:14" x14ac:dyDescent="0.2">
      <c r="B28" s="6"/>
      <c r="C28" s="6"/>
      <c r="D28" s="6"/>
      <c r="E28" s="6"/>
      <c r="F28" s="6"/>
      <c r="G28" s="6"/>
      <c r="H28" s="6"/>
      <c r="I28" s="6"/>
      <c r="J28" s="6"/>
      <c r="K28" s="6"/>
      <c r="L28" s="29"/>
      <c r="M28" s="6"/>
      <c r="N28" s="6"/>
    </row>
    <row r="29" spans="1:14" x14ac:dyDescent="0.2">
      <c r="A29" s="47" t="str">
        <f>'Rate Class Energy Model'!L2</f>
        <v>Streetlights</v>
      </c>
      <c r="M29" s="6"/>
      <c r="N29" s="6"/>
    </row>
    <row r="30" spans="1:14" x14ac:dyDescent="0.2">
      <c r="A30" t="s">
        <v>75</v>
      </c>
      <c r="B30" s="6">
        <f>'Rate Class Customer Model'!F3</f>
        <v>2107</v>
      </c>
      <c r="C30" s="6">
        <f>'Rate Class Customer Model'!F4</f>
        <v>2196</v>
      </c>
      <c r="D30" s="6">
        <f>'Rate Class Customer Model'!F5</f>
        <v>2309</v>
      </c>
      <c r="E30" s="6">
        <f>'Rate Class Customer Model'!F6</f>
        <v>2371</v>
      </c>
      <c r="F30" s="6">
        <f>'Rate Class Customer Model'!F7</f>
        <v>2371</v>
      </c>
      <c r="G30" s="6">
        <f>'Rate Class Customer Model'!F8</f>
        <v>2489</v>
      </c>
      <c r="H30" s="6">
        <f>'Rate Class Customer Model'!F9</f>
        <v>2588</v>
      </c>
      <c r="I30" s="6">
        <f>'Rate Class Customer Model'!F10</f>
        <v>2625</v>
      </c>
      <c r="J30" s="29">
        <f>'Rate Class Customer Model'!F11</f>
        <v>2685</v>
      </c>
      <c r="K30" s="29">
        <f>'Rate Class Customer Model'!F12</f>
        <v>2728</v>
      </c>
      <c r="L30" s="6">
        <f>'Rate Class Customer Model'!F13</f>
        <v>2807.4290635802972</v>
      </c>
      <c r="M30" s="6">
        <f>'Rate Class Customer Model'!F14</f>
        <v>2889.1708016991734</v>
      </c>
      <c r="N30" s="6">
        <f>M30</f>
        <v>2889.1708016991734</v>
      </c>
    </row>
    <row r="31" spans="1:14" x14ac:dyDescent="0.2">
      <c r="A31" t="s">
        <v>49</v>
      </c>
      <c r="B31" s="6">
        <f>'Rate Class Energy Model'!L7</f>
        <v>1171887</v>
      </c>
      <c r="C31" s="6">
        <f>'Rate Class Energy Model'!L8</f>
        <v>946633</v>
      </c>
      <c r="D31" s="6">
        <f>'Rate Class Energy Model'!L9</f>
        <v>1238708</v>
      </c>
      <c r="E31" s="6">
        <f>'Rate Class Energy Model'!L10</f>
        <v>1463209</v>
      </c>
      <c r="F31" s="6">
        <f>'Rate Class Energy Model'!L11</f>
        <v>1445518</v>
      </c>
      <c r="G31" s="6">
        <f>'Rate Class Energy Model'!L12</f>
        <v>1495947</v>
      </c>
      <c r="H31" s="6">
        <f>'Rate Class Energy Model'!L13</f>
        <v>1533898.8</v>
      </c>
      <c r="I31" s="6">
        <f>'Rate Class Energy Model'!L14</f>
        <v>1576911.6</v>
      </c>
      <c r="J31" s="6">
        <f>'Rate Class Energy Model'!L15</f>
        <v>1580058</v>
      </c>
      <c r="K31" s="6">
        <f>'Rate Class Energy Model'!L16</f>
        <v>1457369.41</v>
      </c>
      <c r="L31" s="6">
        <f ca="1">'Rate Class Energy Model'!L62</f>
        <v>1481108.3764185775</v>
      </c>
      <c r="M31" s="76">
        <f ca="1">'Rate Class Energy Model'!L63</f>
        <v>1505544.8848815258</v>
      </c>
      <c r="N31" s="6">
        <f ca="1">'Rate Class Energy Model'!L80</f>
        <v>1504795.7701838489</v>
      </c>
    </row>
    <row r="32" spans="1:14" x14ac:dyDescent="0.2">
      <c r="A32" t="s">
        <v>50</v>
      </c>
      <c r="B32" s="6">
        <f>'Rate Class Load Model'!D2</f>
        <v>3254.6027777777781</v>
      </c>
      <c r="C32" s="6">
        <f>'Rate Class Load Model'!D3</f>
        <v>3639</v>
      </c>
      <c r="D32" s="6">
        <f>'Rate Class Load Model'!D4</f>
        <v>3745</v>
      </c>
      <c r="E32" s="6">
        <f>'Rate Class Load Model'!D5</f>
        <v>3909</v>
      </c>
      <c r="F32" s="6">
        <f>'Rate Class Load Model'!D6</f>
        <v>4014</v>
      </c>
      <c r="G32" s="6">
        <f>'Rate Class Load Model'!D7</f>
        <v>4153</v>
      </c>
      <c r="H32" s="6">
        <f>'Rate Class Load Model'!D8</f>
        <v>4260.83</v>
      </c>
      <c r="I32" s="6">
        <f>'Rate Class Load Model'!D9</f>
        <v>4370.32</v>
      </c>
      <c r="J32" s="29">
        <f>'Rate Class Load Model'!D10</f>
        <v>4389.05</v>
      </c>
      <c r="K32" s="29">
        <f>'Rate Class Load Model'!D11</f>
        <v>4416</v>
      </c>
      <c r="L32" s="6">
        <f ca="1">'Rate Class Load Model'!D12</f>
        <v>4328.7410401192428</v>
      </c>
      <c r="M32" s="6">
        <f ca="1">'Rate Class Load Model'!D13</f>
        <v>4400.1600657253011</v>
      </c>
      <c r="N32" s="6">
        <f ca="1">N31*'Rate Class Load Model'!D27</f>
        <v>4397.9706759499004</v>
      </c>
    </row>
    <row r="34" spans="1:14" x14ac:dyDescent="0.2">
      <c r="A34" s="47" t="str">
        <f>'Rate Class Energy Model'!M2</f>
        <v>USL</v>
      </c>
    </row>
    <row r="35" spans="1:14" x14ac:dyDescent="0.2">
      <c r="A35" t="s">
        <v>75</v>
      </c>
      <c r="B35" s="6">
        <f>'Rate Class Customer Model'!G3</f>
        <v>0</v>
      </c>
      <c r="C35" s="6">
        <f>'Rate Class Customer Model'!G4</f>
        <v>0</v>
      </c>
      <c r="D35" s="6">
        <f>'Rate Class Customer Model'!G5</f>
        <v>0</v>
      </c>
      <c r="E35" s="6">
        <f>'Rate Class Customer Model'!G6</f>
        <v>0</v>
      </c>
      <c r="F35" s="6">
        <f>'Rate Class Customer Model'!G7</f>
        <v>90</v>
      </c>
      <c r="G35" s="6">
        <f>'Rate Class Customer Model'!G8</f>
        <v>89</v>
      </c>
      <c r="H35" s="6">
        <f>'Rate Class Customer Model'!G9</f>
        <v>84</v>
      </c>
      <c r="I35" s="6">
        <f>'Rate Class Customer Model'!G10</f>
        <v>83</v>
      </c>
      <c r="J35" s="29">
        <f>'Rate Class Customer Model'!G11</f>
        <v>82</v>
      </c>
      <c r="K35" s="29">
        <f>'Rate Class Customer Model'!G12</f>
        <v>81</v>
      </c>
      <c r="L35" s="6">
        <f>'Rate Class Customer Model'!G13</f>
        <v>79.311017351239116</v>
      </c>
      <c r="M35" s="6">
        <f>'Rate Class Customer Model'!G14</f>
        <v>77.657252756648802</v>
      </c>
      <c r="N35" s="6">
        <f>M35</f>
        <v>77.657252756648802</v>
      </c>
    </row>
    <row r="36" spans="1:14" x14ac:dyDescent="0.2">
      <c r="A36" t="s">
        <v>49</v>
      </c>
      <c r="B36" s="6">
        <f>'Rate Class Energy Model'!M7</f>
        <v>0</v>
      </c>
      <c r="C36" s="6">
        <f>'Rate Class Energy Model'!M8</f>
        <v>0</v>
      </c>
      <c r="D36" s="6">
        <f>'Rate Class Energy Model'!M9</f>
        <v>0</v>
      </c>
      <c r="E36" s="6">
        <f>'Rate Class Energy Model'!M10</f>
        <v>0</v>
      </c>
      <c r="F36" s="6">
        <f>'Rate Class Energy Model'!M11</f>
        <v>291777</v>
      </c>
      <c r="G36" s="6">
        <f>'Rate Class Energy Model'!M12</f>
        <v>519694</v>
      </c>
      <c r="H36" s="6">
        <f>'Rate Class Energy Model'!M13</f>
        <v>508215</v>
      </c>
      <c r="I36" s="6">
        <f>'Rate Class Energy Model'!M14</f>
        <v>493680</v>
      </c>
      <c r="J36" s="6">
        <f>'Rate Class Energy Model'!M15</f>
        <v>493680</v>
      </c>
      <c r="K36" s="6">
        <f>'Rate Class Energy Model'!M16</f>
        <v>489312</v>
      </c>
      <c r="L36" s="6">
        <f ca="1">'Rate Class Energy Model'!M62</f>
        <v>538256.87154252804</v>
      </c>
      <c r="M36" s="6">
        <f ca="1">'Rate Class Energy Model'!M63</f>
        <v>592219.87742047897</v>
      </c>
      <c r="N36" s="6">
        <f ca="1">'Rate Class Energy Model'!M80</f>
        <v>591925.20628919161</v>
      </c>
    </row>
    <row r="37" spans="1:14" x14ac:dyDescent="0.2">
      <c r="B37" s="6"/>
      <c r="C37" s="6"/>
      <c r="D37" s="6"/>
      <c r="E37" s="6"/>
      <c r="F37" s="6"/>
      <c r="G37" s="6"/>
      <c r="H37" s="6"/>
      <c r="I37" s="6"/>
      <c r="J37" s="6"/>
      <c r="K37" s="6"/>
      <c r="L37" s="6"/>
      <c r="M37" s="6"/>
      <c r="N37" s="6"/>
    </row>
    <row r="38" spans="1:14" x14ac:dyDescent="0.2">
      <c r="A38" s="47" t="str">
        <f>'Rate Class Energy Model'!N2</f>
        <v>Hydro One Load Transfers</v>
      </c>
      <c r="B38" s="6"/>
      <c r="C38" s="6"/>
      <c r="D38" s="6"/>
      <c r="E38" s="6"/>
      <c r="F38" s="6"/>
      <c r="G38" s="6"/>
      <c r="H38" s="6"/>
      <c r="I38" s="6"/>
      <c r="J38" s="6"/>
      <c r="K38" s="6"/>
      <c r="L38" s="6"/>
      <c r="M38" s="6"/>
    </row>
    <row r="39" spans="1:14" x14ac:dyDescent="0.2">
      <c r="A39" t="s">
        <v>49</v>
      </c>
      <c r="B39" s="6">
        <f>'Rate Class Energy Model'!N26</f>
        <v>1102713.6000000001</v>
      </c>
      <c r="C39" s="6">
        <f>'Rate Class Energy Model'!N27</f>
        <v>1654070.4000000001</v>
      </c>
      <c r="D39" s="6">
        <f>'Rate Class Energy Model'!N28</f>
        <v>1240552.8</v>
      </c>
      <c r="E39" s="6">
        <f>'Rate Class Energy Model'!N29</f>
        <v>1459018</v>
      </c>
      <c r="F39" s="6">
        <f>'Rate Class Energy Model'!N30</f>
        <v>1386067.1</v>
      </c>
      <c r="G39" s="6">
        <f>'Rate Class Energy Model'!N31</f>
        <v>1135841.3999999999</v>
      </c>
      <c r="H39" s="6">
        <f>'Rate Class Energy Model'!N32</f>
        <v>1040152.96</v>
      </c>
      <c r="I39" s="6">
        <f>'Rate Class Energy Model'!N33</f>
        <v>981974.60200000007</v>
      </c>
      <c r="J39" s="6">
        <f>'Rate Class Energy Model'!N34</f>
        <v>1001806.8400000001</v>
      </c>
      <c r="K39" s="6">
        <f>'Rate Class Energy Model'!N35</f>
        <v>951716.49800000002</v>
      </c>
      <c r="L39" s="6">
        <f>'Rate Class Energy Model'!N62</f>
        <v>936270.78484472295</v>
      </c>
      <c r="M39" s="6">
        <f>'Rate Class Energy Model'!N63</f>
        <v>-0.25486381188966334</v>
      </c>
      <c r="N39" s="6">
        <f>'Rate Class Energy Model'!N63</f>
        <v>-0.25486381188966334</v>
      </c>
    </row>
    <row r="40" spans="1:14" x14ac:dyDescent="0.2">
      <c r="B40" s="6"/>
      <c r="C40" s="6"/>
      <c r="D40" s="6"/>
      <c r="E40" s="6"/>
      <c r="F40" s="6"/>
      <c r="G40" s="6"/>
      <c r="H40" s="6"/>
      <c r="I40" s="6"/>
      <c r="J40" s="6"/>
      <c r="K40" s="6"/>
      <c r="L40" s="6"/>
      <c r="M40" s="6"/>
      <c r="N40" s="6"/>
    </row>
    <row r="41" spans="1:14" x14ac:dyDescent="0.2">
      <c r="M41" s="6"/>
      <c r="N41" s="6"/>
    </row>
    <row r="42" spans="1:14" x14ac:dyDescent="0.2">
      <c r="A42" s="47" t="s">
        <v>76</v>
      </c>
      <c r="B42" s="6"/>
      <c r="C42" s="6"/>
      <c r="D42" s="6"/>
      <c r="E42" s="6"/>
      <c r="F42" s="6"/>
      <c r="H42" s="6"/>
      <c r="I42" s="6"/>
      <c r="J42" s="6"/>
      <c r="K42" s="6"/>
      <c r="L42" s="29"/>
    </row>
    <row r="43" spans="1:14" x14ac:dyDescent="0.2">
      <c r="A43" t="s">
        <v>58</v>
      </c>
      <c r="B43" s="6">
        <f>B35+B30+B12+B16+B20+B25</f>
        <v>15267</v>
      </c>
      <c r="C43" s="6">
        <f t="shared" ref="C43:K43" si="1">C35+C30+C12+C16+C20+C25</f>
        <v>15600</v>
      </c>
      <c r="D43" s="6">
        <f t="shared" si="1"/>
        <v>15990</v>
      </c>
      <c r="E43" s="6">
        <f t="shared" si="1"/>
        <v>16287</v>
      </c>
      <c r="F43" s="6">
        <f t="shared" si="1"/>
        <v>16394</v>
      </c>
      <c r="G43" s="6">
        <f t="shared" si="1"/>
        <v>16645</v>
      </c>
      <c r="H43" s="6">
        <f t="shared" si="1"/>
        <v>17044</v>
      </c>
      <c r="I43" s="6">
        <f t="shared" si="1"/>
        <v>17361</v>
      </c>
      <c r="J43" s="6">
        <f t="shared" si="1"/>
        <v>17552</v>
      </c>
      <c r="K43" s="6">
        <f t="shared" si="1"/>
        <v>17776</v>
      </c>
      <c r="L43" s="6">
        <f>L35+L30+L12+L16+L20+L25</f>
        <v>18069.790799690374</v>
      </c>
      <c r="M43" s="6">
        <f>M35+M30+M12+M16+M20+M25</f>
        <v>18369.15648808888</v>
      </c>
      <c r="N43" s="6">
        <f>N35+N30+N12+N16+N20+N25</f>
        <v>18369.15648808888</v>
      </c>
    </row>
    <row r="44" spans="1:14" x14ac:dyDescent="0.2">
      <c r="A44" t="s">
        <v>49</v>
      </c>
      <c r="B44" s="6">
        <f>B13+B17+B21+B26+B31+B36+B39</f>
        <v>202227694.79999998</v>
      </c>
      <c r="C44" s="6">
        <f t="shared" ref="C44:M44" si="2">C13+C17+C21+C26+C31+C36+C39</f>
        <v>213841537.40000001</v>
      </c>
      <c r="D44" s="6">
        <f t="shared" si="2"/>
        <v>214637890.80000001</v>
      </c>
      <c r="E44" s="6">
        <f t="shared" si="2"/>
        <v>225998743</v>
      </c>
      <c r="F44" s="6">
        <f t="shared" si="2"/>
        <v>219381471.09999999</v>
      </c>
      <c r="G44" s="6">
        <f t="shared" si="2"/>
        <v>219752747.40000001</v>
      </c>
      <c r="H44" s="6">
        <f t="shared" si="2"/>
        <v>226836185.95000002</v>
      </c>
      <c r="I44" s="6">
        <f t="shared" si="2"/>
        <v>229135055.51199999</v>
      </c>
      <c r="J44" s="6">
        <f t="shared" si="2"/>
        <v>231850248.90999997</v>
      </c>
      <c r="K44" s="6">
        <f t="shared" si="2"/>
        <v>233577129.06799996</v>
      </c>
      <c r="L44" s="6">
        <f t="shared" ca="1" si="2"/>
        <v>231946281.4998188</v>
      </c>
      <c r="M44" s="6">
        <f t="shared" ca="1" si="2"/>
        <v>231119408.58641618</v>
      </c>
      <c r="N44" s="6">
        <f ca="1">N13+N17+N21+N26+N31+N36+N39</f>
        <v>229513316.31073761</v>
      </c>
    </row>
    <row r="45" spans="1:14" x14ac:dyDescent="0.2">
      <c r="A45" t="s">
        <v>57</v>
      </c>
      <c r="B45" s="6">
        <f>B32+B27+B22</f>
        <v>92500.258888888886</v>
      </c>
      <c r="C45" s="6">
        <f t="shared" ref="C45:K45" si="3">C32+C27+C22</f>
        <v>122765</v>
      </c>
      <c r="D45" s="6">
        <f t="shared" si="3"/>
        <v>116948.825</v>
      </c>
      <c r="E45" s="6">
        <f t="shared" si="3"/>
        <v>119885.22500000001</v>
      </c>
      <c r="F45" s="6">
        <f t="shared" si="3"/>
        <v>122691</v>
      </c>
      <c r="G45" s="6">
        <f t="shared" si="3"/>
        <v>121460</v>
      </c>
      <c r="H45" s="6">
        <f t="shared" si="3"/>
        <v>139298.71227777778</v>
      </c>
      <c r="I45" s="6">
        <f t="shared" si="3"/>
        <v>140831.5575</v>
      </c>
      <c r="J45" s="6">
        <f t="shared" si="3"/>
        <v>149215.43422222222</v>
      </c>
      <c r="K45" s="6">
        <f t="shared" si="3"/>
        <v>144147.67894444443</v>
      </c>
      <c r="L45" s="6">
        <f ca="1">L32+L27+L22</f>
        <v>149223.97619844781</v>
      </c>
      <c r="M45" s="6">
        <f ca="1">M32+M27+M22</f>
        <v>151169.27581346559</v>
      </c>
      <c r="N45" s="6">
        <f ca="1">N32+N27+N22</f>
        <v>154055.65951017931</v>
      </c>
    </row>
    <row r="46" spans="1:14" x14ac:dyDescent="0.2">
      <c r="N46" s="6"/>
    </row>
    <row r="47" spans="1:14" x14ac:dyDescent="0.2">
      <c r="A47" s="47" t="s">
        <v>77</v>
      </c>
      <c r="M47" s="6"/>
    </row>
    <row r="48" spans="1:14" x14ac:dyDescent="0.2">
      <c r="A48" t="s">
        <v>58</v>
      </c>
      <c r="B48" s="6">
        <f>'Rate Class Customer Model'!H3</f>
        <v>15267</v>
      </c>
      <c r="C48" s="6">
        <f>'Rate Class Customer Model'!H4</f>
        <v>15600</v>
      </c>
      <c r="D48" s="6">
        <f>'Rate Class Customer Model'!H5</f>
        <v>15990</v>
      </c>
      <c r="E48" s="6">
        <f>'Rate Class Customer Model'!H6</f>
        <v>16287</v>
      </c>
      <c r="F48" s="6">
        <f>'Rate Class Customer Model'!H7</f>
        <v>16394</v>
      </c>
      <c r="G48" s="6">
        <f>'Rate Class Customer Model'!H8</f>
        <v>16645</v>
      </c>
      <c r="H48" s="6">
        <f>'Rate Class Customer Model'!H9</f>
        <v>17044</v>
      </c>
      <c r="I48" s="6">
        <f>'Rate Class Customer Model'!H10</f>
        <v>17361</v>
      </c>
      <c r="J48" s="6">
        <f>'Rate Class Customer Model'!H11</f>
        <v>17552</v>
      </c>
      <c r="K48" s="6">
        <f>'Rate Class Customer Model'!H12</f>
        <v>17776</v>
      </c>
      <c r="L48" s="6">
        <f>'Rate Class Customer Model'!H13</f>
        <v>18069.790799690374</v>
      </c>
      <c r="M48" s="6">
        <f>'Rate Class Customer Model'!H14</f>
        <v>18369.15648808888</v>
      </c>
      <c r="N48" s="6">
        <f>M48</f>
        <v>18369.15648808888</v>
      </c>
    </row>
    <row r="49" spans="1:14" x14ac:dyDescent="0.2">
      <c r="A49" t="s">
        <v>49</v>
      </c>
      <c r="B49" s="6">
        <f>'Rate Class Energy Model'!G7</f>
        <v>202227694.79999998</v>
      </c>
      <c r="C49" s="6">
        <f>'Rate Class Energy Model'!G8</f>
        <v>213841537.40000001</v>
      </c>
      <c r="D49" s="6">
        <f>'Rate Class Energy Model'!G9</f>
        <v>214637890.80000001</v>
      </c>
      <c r="E49" s="6">
        <f>'Rate Class Energy Model'!G10</f>
        <v>225998743</v>
      </c>
      <c r="F49" s="6">
        <f>'Rate Class Energy Model'!G11</f>
        <v>219381471.09999999</v>
      </c>
      <c r="G49" s="6">
        <f>'Rate Class Energy Model'!G12</f>
        <v>219752747.40000001</v>
      </c>
      <c r="H49" s="6">
        <f>'Rate Class Energy Model'!G13</f>
        <v>226836185.95000002</v>
      </c>
      <c r="I49" s="6">
        <f>'Rate Class Energy Model'!G14</f>
        <v>229135055.51199999</v>
      </c>
      <c r="J49" s="6">
        <f>'Rate Class Energy Model'!G15</f>
        <v>231850248.90999997</v>
      </c>
      <c r="K49" s="6">
        <f>'Rate Class Energy Model'!G16</f>
        <v>233577129.06799996</v>
      </c>
      <c r="L49" s="29">
        <f ca="1">'Rate Class Energy Model'!O62</f>
        <v>231946281.4998188</v>
      </c>
      <c r="M49" s="6">
        <f ca="1">'Rate Class Energy Model'!O63</f>
        <v>231119408.58641618</v>
      </c>
      <c r="N49" s="6">
        <f ca="1">'Rate Class Energy Model'!O80</f>
        <v>229513316.31073761</v>
      </c>
    </row>
    <row r="50" spans="1:14" x14ac:dyDescent="0.2">
      <c r="A50" t="s">
        <v>57</v>
      </c>
      <c r="B50" s="6">
        <f>'Rate Class Load Model'!E2</f>
        <v>92500.258888888886</v>
      </c>
      <c r="C50" s="6">
        <f>'Rate Class Load Model'!E3</f>
        <v>122765</v>
      </c>
      <c r="D50" s="6">
        <f>'Rate Class Load Model'!E4</f>
        <v>116948.825</v>
      </c>
      <c r="E50" s="6">
        <f>'Rate Class Load Model'!E5</f>
        <v>119885.22500000001</v>
      </c>
      <c r="F50" s="6">
        <f>'Rate Class Load Model'!E6</f>
        <v>122691</v>
      </c>
      <c r="G50" s="6">
        <f>'Rate Class Load Model'!E7</f>
        <v>121460</v>
      </c>
      <c r="H50" s="6">
        <f>'Rate Class Load Model'!E8</f>
        <v>139298.71227777778</v>
      </c>
      <c r="I50" s="6">
        <f>'Rate Class Load Model'!E9</f>
        <v>140831.55750000002</v>
      </c>
      <c r="J50" s="29">
        <f>'Rate Class Load Model'!E10</f>
        <v>149215.43422222219</v>
      </c>
      <c r="K50" s="29">
        <f>'Rate Class Load Model'!E11</f>
        <v>144147.67894444443</v>
      </c>
      <c r="L50" s="6">
        <f ca="1">'Rate Class Load Model'!E12</f>
        <v>149223.97619844778</v>
      </c>
      <c r="M50" s="6">
        <f ca="1">'Rate Class Load Model'!E13</f>
        <v>151169.27581346559</v>
      </c>
      <c r="N50" s="6">
        <f ca="1">N45</f>
        <v>154055.65951017931</v>
      </c>
    </row>
    <row r="51" spans="1:14" x14ac:dyDescent="0.2">
      <c r="L51" s="29">
        <f ca="1">L49-L39</f>
        <v>231010010.71497408</v>
      </c>
      <c r="N51" s="6"/>
    </row>
    <row r="52" spans="1:14" x14ac:dyDescent="0.2">
      <c r="A52" s="47" t="s">
        <v>78</v>
      </c>
      <c r="C52" s="6"/>
      <c r="D52" s="6"/>
      <c r="E52" s="6"/>
      <c r="F52" s="6"/>
      <c r="G52" s="6"/>
      <c r="H52" s="6"/>
      <c r="I52" s="6"/>
      <c r="J52" s="6"/>
      <c r="K52" s="6"/>
      <c r="L52" s="6"/>
      <c r="M52" s="6"/>
    </row>
    <row r="53" spans="1:14" x14ac:dyDescent="0.2">
      <c r="A53" t="s">
        <v>58</v>
      </c>
      <c r="B53" s="6">
        <f>B43-B48</f>
        <v>0</v>
      </c>
      <c r="C53" s="6">
        <f>C43-C48</f>
        <v>0</v>
      </c>
      <c r="D53" s="6">
        <f t="shared" ref="D53:J53" si="4">D43-D48</f>
        <v>0</v>
      </c>
      <c r="E53" s="6">
        <f t="shared" si="4"/>
        <v>0</v>
      </c>
      <c r="F53" s="6">
        <f t="shared" si="4"/>
        <v>0</v>
      </c>
      <c r="G53" s="6">
        <f t="shared" si="4"/>
        <v>0</v>
      </c>
      <c r="H53" s="6">
        <f t="shared" si="4"/>
        <v>0</v>
      </c>
      <c r="I53" s="6">
        <f t="shared" si="4"/>
        <v>0</v>
      </c>
      <c r="J53" s="6">
        <f t="shared" si="4"/>
        <v>0</v>
      </c>
      <c r="K53" s="6">
        <f t="shared" ref="K53:M55" si="5">K43-K48</f>
        <v>0</v>
      </c>
      <c r="L53" s="6">
        <f t="shared" si="5"/>
        <v>0</v>
      </c>
      <c r="M53" s="6">
        <f t="shared" si="5"/>
        <v>0</v>
      </c>
      <c r="N53" s="6">
        <f>N43-N48</f>
        <v>0</v>
      </c>
    </row>
    <row r="54" spans="1:14" x14ac:dyDescent="0.2">
      <c r="A54" t="s">
        <v>49</v>
      </c>
      <c r="B54" s="6">
        <f>B44-B49</f>
        <v>0</v>
      </c>
      <c r="C54" s="6">
        <f t="shared" ref="C54:J55" si="6">C44-C49</f>
        <v>0</v>
      </c>
      <c r="D54" s="6">
        <f t="shared" si="6"/>
        <v>0</v>
      </c>
      <c r="E54" s="6">
        <f t="shared" si="6"/>
        <v>0</v>
      </c>
      <c r="F54" s="6">
        <f t="shared" si="6"/>
        <v>0</v>
      </c>
      <c r="G54" s="6">
        <f t="shared" si="6"/>
        <v>0</v>
      </c>
      <c r="H54" s="6">
        <f t="shared" si="6"/>
        <v>0</v>
      </c>
      <c r="I54" s="6">
        <f t="shared" si="6"/>
        <v>0</v>
      </c>
      <c r="J54" s="6">
        <f t="shared" si="6"/>
        <v>0</v>
      </c>
      <c r="K54" s="6">
        <f t="shared" si="5"/>
        <v>0</v>
      </c>
      <c r="L54" s="6">
        <f t="shared" ca="1" si="5"/>
        <v>0</v>
      </c>
      <c r="M54" s="6">
        <f t="shared" ca="1" si="5"/>
        <v>0</v>
      </c>
      <c r="N54" s="6">
        <f ca="1">N44-N49</f>
        <v>0</v>
      </c>
    </row>
    <row r="55" spans="1:14" x14ac:dyDescent="0.2">
      <c r="A55" t="s">
        <v>57</v>
      </c>
      <c r="B55" s="6">
        <f>B45-B50</f>
        <v>0</v>
      </c>
      <c r="C55" s="6">
        <f t="shared" si="6"/>
        <v>0</v>
      </c>
      <c r="D55" s="6">
        <f t="shared" si="6"/>
        <v>0</v>
      </c>
      <c r="E55" s="6">
        <f t="shared" si="6"/>
        <v>0</v>
      </c>
      <c r="F55" s="6">
        <f t="shared" si="6"/>
        <v>0</v>
      </c>
      <c r="G55" s="6">
        <f t="shared" si="6"/>
        <v>0</v>
      </c>
      <c r="H55" s="6">
        <f t="shared" si="6"/>
        <v>0</v>
      </c>
      <c r="I55" s="6">
        <f t="shared" si="6"/>
        <v>0</v>
      </c>
      <c r="J55" s="6">
        <f t="shared" si="6"/>
        <v>0</v>
      </c>
      <c r="K55" s="6">
        <f t="shared" si="5"/>
        <v>0</v>
      </c>
      <c r="L55" s="6">
        <f t="shared" ca="1" si="5"/>
        <v>0</v>
      </c>
      <c r="M55" s="6">
        <f t="shared" ca="1" si="5"/>
        <v>0</v>
      </c>
      <c r="N55" s="6">
        <f ca="1">N45-N50</f>
        <v>0</v>
      </c>
    </row>
    <row r="59" spans="1:14" x14ac:dyDescent="0.2">
      <c r="B59" s="297">
        <v>2002</v>
      </c>
      <c r="C59" s="297">
        <v>2003</v>
      </c>
      <c r="D59" s="297">
        <v>2004</v>
      </c>
      <c r="E59" s="297">
        <v>2005</v>
      </c>
      <c r="F59" s="297">
        <v>2006</v>
      </c>
      <c r="G59" s="297">
        <v>2007</v>
      </c>
      <c r="H59" s="297">
        <v>2008</v>
      </c>
      <c r="I59" s="297">
        <v>2009</v>
      </c>
      <c r="J59" s="297">
        <v>2010</v>
      </c>
      <c r="K59" s="297">
        <v>2011</v>
      </c>
    </row>
    <row r="60" spans="1:14" x14ac:dyDescent="0.2">
      <c r="A60" t="s">
        <v>302</v>
      </c>
      <c r="B60" s="8">
        <f t="shared" ref="B60:J61" si="7">B4/1000</f>
        <v>229952.80431000001</v>
      </c>
      <c r="C60" s="8">
        <f t="shared" si="7"/>
        <v>234480.796</v>
      </c>
      <c r="D60" s="8">
        <f t="shared" si="7"/>
        <v>234412.6</v>
      </c>
      <c r="E60" s="8">
        <f t="shared" si="7"/>
        <v>242687.3278302</v>
      </c>
      <c r="F60" s="8">
        <f t="shared" si="7"/>
        <v>234398.89869999999</v>
      </c>
      <c r="G60" s="8">
        <f t="shared" si="7"/>
        <v>241154.6361</v>
      </c>
      <c r="H60" s="8">
        <f t="shared" si="7"/>
        <v>245623.02780000001</v>
      </c>
      <c r="I60" s="8">
        <f t="shared" si="7"/>
        <v>247239.18920000002</v>
      </c>
      <c r="J60" s="8">
        <f t="shared" si="7"/>
        <v>250239.37879999998</v>
      </c>
      <c r="K60" s="8">
        <f>K4/1000</f>
        <v>246758.16720000003</v>
      </c>
    </row>
    <row r="61" spans="1:14" x14ac:dyDescent="0.2">
      <c r="A61" t="s">
        <v>303</v>
      </c>
      <c r="B61" s="8">
        <f t="shared" si="7"/>
        <v>231401.93083504969</v>
      </c>
      <c r="C61" s="8">
        <f t="shared" si="7"/>
        <v>234082.85578034853</v>
      </c>
      <c r="D61" s="8">
        <f t="shared" si="7"/>
        <v>232672.94822083216</v>
      </c>
      <c r="E61" s="8">
        <f t="shared" si="7"/>
        <v>243391.56727342252</v>
      </c>
      <c r="F61" s="8">
        <f t="shared" si="7"/>
        <v>234083.31283045461</v>
      </c>
      <c r="G61" s="8">
        <f t="shared" si="7"/>
        <v>241953.1473508559</v>
      </c>
      <c r="H61" s="8">
        <f t="shared" si="7"/>
        <v>243425.78829814761</v>
      </c>
      <c r="I61" s="8">
        <f t="shared" si="7"/>
        <v>246672.81960490678</v>
      </c>
      <c r="J61" s="8">
        <f t="shared" si="7"/>
        <v>247841.89428260643</v>
      </c>
      <c r="K61" s="8">
        <f>K5/1000</f>
        <v>251420.56146357668</v>
      </c>
    </row>
    <row r="64" spans="1:14" x14ac:dyDescent="0.2">
      <c r="A64" s="332" t="s">
        <v>334</v>
      </c>
      <c r="B64" s="6">
        <f t="shared" ref="B64:N64" si="8">B12+B16+B20</f>
        <v>12983</v>
      </c>
      <c r="C64" s="6">
        <f t="shared" si="8"/>
        <v>13223</v>
      </c>
      <c r="D64" s="6">
        <f t="shared" si="8"/>
        <v>13498</v>
      </c>
      <c r="E64" s="6">
        <f t="shared" si="8"/>
        <v>13727</v>
      </c>
      <c r="F64" s="6">
        <f t="shared" si="8"/>
        <v>13744</v>
      </c>
      <c r="G64" s="6">
        <f t="shared" si="8"/>
        <v>13881</v>
      </c>
      <c r="H64" s="6">
        <f t="shared" si="8"/>
        <v>14186</v>
      </c>
      <c r="I64" s="6">
        <f t="shared" si="8"/>
        <v>14460</v>
      </c>
      <c r="J64" s="6">
        <f t="shared" si="8"/>
        <v>14584</v>
      </c>
      <c r="K64" s="6">
        <f t="shared" si="8"/>
        <v>14742</v>
      </c>
      <c r="L64" s="6">
        <f t="shared" si="8"/>
        <v>14951.97126946668</v>
      </c>
      <c r="M64" s="6">
        <f t="shared" si="8"/>
        <v>15165.005269698988</v>
      </c>
      <c r="N64" s="6">
        <f t="shared" si="8"/>
        <v>15165.005269698988</v>
      </c>
    </row>
  </sheetData>
  <phoneticPr fontId="0" type="noConversion"/>
  <pageMargins left="0.12" right="0.17" top="0.73" bottom="0.74" header="0.5" footer="0.5"/>
  <pageSetup scale="73"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heetViews>
  <sheetFormatPr defaultRowHeight="12.75" x14ac:dyDescent="0.2"/>
  <cols>
    <col min="1" max="1" width="23.28515625" customWidth="1"/>
    <col min="2" max="2" width="18.85546875" customWidth="1"/>
    <col min="4" max="4" width="2.42578125" customWidth="1"/>
    <col min="5" max="5" width="22.42578125" bestFit="1" customWidth="1"/>
    <col min="6" max="6" width="13.28515625" customWidth="1"/>
  </cols>
  <sheetData>
    <row r="1" spans="1:7" ht="15.75" x14ac:dyDescent="0.25">
      <c r="A1" s="48" t="str">
        <f>Summary!A1</f>
        <v>Innisfil Hydro Forecast for 2013 Rate Application</v>
      </c>
    </row>
    <row r="3" spans="1:7" x14ac:dyDescent="0.2">
      <c r="B3" s="103" t="s">
        <v>217</v>
      </c>
      <c r="E3" s="103" t="s">
        <v>68</v>
      </c>
    </row>
    <row r="4" spans="1:7" x14ac:dyDescent="0.2">
      <c r="A4" s="40" t="s">
        <v>23</v>
      </c>
      <c r="B4" s="171">
        <f>'Purchased Power Model '!N6</f>
        <v>0.97573295156331596</v>
      </c>
      <c r="E4" s="171">
        <f>Residential!M6</f>
        <v>0.97353610587924744</v>
      </c>
    </row>
    <row r="5" spans="1:7" ht="13.5" thickBot="1" x14ac:dyDescent="0.25">
      <c r="A5" s="40" t="s">
        <v>24</v>
      </c>
      <c r="B5" s="171">
        <f>'Purchased Power Model '!N7</f>
        <v>0.97466860733363681</v>
      </c>
      <c r="E5" s="171">
        <f>Residential!M7</f>
        <v>0.97195617190188899</v>
      </c>
    </row>
    <row r="6" spans="1:7" x14ac:dyDescent="0.2">
      <c r="A6" s="62"/>
      <c r="B6" s="62" t="s">
        <v>36</v>
      </c>
      <c r="C6" s="62" t="s">
        <v>37</v>
      </c>
      <c r="E6" s="62"/>
      <c r="F6" s="62" t="s">
        <v>36</v>
      </c>
      <c r="G6" s="62" t="s">
        <v>37</v>
      </c>
    </row>
    <row r="7" spans="1:7" x14ac:dyDescent="0.2">
      <c r="A7" s="40" t="s">
        <v>30</v>
      </c>
      <c r="B7" s="73">
        <f>'Purchased Power Model '!N18</f>
        <v>-17443142.757165227</v>
      </c>
      <c r="C7" s="71">
        <f>'Purchased Power Model '!P18</f>
        <v>-8.7394602394767791</v>
      </c>
      <c r="E7" s="40" t="s">
        <v>30</v>
      </c>
      <c r="F7" s="73">
        <f>Residential!M18</f>
        <v>-2622940.2976740226</v>
      </c>
      <c r="G7" s="71">
        <f>Residential!O18</f>
        <v>-1.5237610733476477</v>
      </c>
    </row>
    <row r="8" spans="1:7" x14ac:dyDescent="0.2">
      <c r="A8" s="40" t="s">
        <v>3</v>
      </c>
      <c r="B8" s="73">
        <f>'Purchased Power Model '!N19</f>
        <v>13944.843341634423</v>
      </c>
      <c r="C8" s="71">
        <f>'Purchased Power Model '!P19</f>
        <v>46.976992615799304</v>
      </c>
      <c r="E8" s="40" t="s">
        <v>3</v>
      </c>
      <c r="F8" s="73">
        <f>Residential!M19</f>
        <v>10248.079837789513</v>
      </c>
      <c r="G8" s="71">
        <f>Residential!O19</f>
        <v>33.885088424707142</v>
      </c>
    </row>
    <row r="9" spans="1:7" x14ac:dyDescent="0.2">
      <c r="A9" s="40" t="s">
        <v>4</v>
      </c>
      <c r="B9" s="73">
        <f>'Purchased Power Model '!N20</f>
        <v>27827.60669297976</v>
      </c>
      <c r="C9" s="71">
        <f>'Purchased Power Model '!P20</f>
        <v>16.354083154708889</v>
      </c>
      <c r="E9" s="40" t="s">
        <v>4</v>
      </c>
      <c r="F9" s="73">
        <f>Residential!M20</f>
        <v>19541.745700434472</v>
      </c>
      <c r="G9" s="71">
        <f>Residential!O20</f>
        <v>10.771801392410984</v>
      </c>
    </row>
    <row r="10" spans="1:7" x14ac:dyDescent="0.2">
      <c r="A10" s="40" t="s">
        <v>5</v>
      </c>
      <c r="B10" s="73">
        <f>'Purchased Power Model '!N21</f>
        <v>593130.79709132528</v>
      </c>
      <c r="C10" s="71">
        <f>'Purchased Power Model '!P21</f>
        <v>10.389426791840032</v>
      </c>
      <c r="E10" s="40" t="s">
        <v>19</v>
      </c>
      <c r="F10" s="73">
        <f>Residential!M21</f>
        <v>-850720.09780468454</v>
      </c>
      <c r="G10" s="71">
        <f>Residential!O21</f>
        <v>-6.6320079821572353</v>
      </c>
    </row>
    <row r="11" spans="1:7" ht="13.5" thickBot="1" x14ac:dyDescent="0.25">
      <c r="A11" s="40" t="s">
        <v>19</v>
      </c>
      <c r="B11" s="73">
        <f>'Purchased Power Model '!N22</f>
        <v>-1023894.4289827403</v>
      </c>
      <c r="C11" s="71">
        <f>'Purchased Power Model '!P22</f>
        <v>-8.1437849295841058</v>
      </c>
      <c r="E11" s="61" t="s">
        <v>5</v>
      </c>
      <c r="F11" s="74">
        <f>Residential!M22</f>
        <v>385923.90464245353</v>
      </c>
      <c r="G11" s="72">
        <f>Residential!O22</f>
        <v>6.7375446871866496</v>
      </c>
    </row>
    <row r="12" spans="1:7" ht="26.25" thickBot="1" x14ac:dyDescent="0.25">
      <c r="A12" s="172" t="s">
        <v>87</v>
      </c>
      <c r="B12" s="74">
        <f>'Purchased Power Model '!N23</f>
        <v>1059.4143666430364</v>
      </c>
      <c r="C12" s="72">
        <f>'Purchased Power Model '!P23</f>
        <v>13.7778210249996</v>
      </c>
    </row>
    <row r="15" spans="1:7" x14ac:dyDescent="0.2">
      <c r="B15" s="103" t="s">
        <v>218</v>
      </c>
      <c r="E15" s="103" t="s">
        <v>219</v>
      </c>
    </row>
    <row r="16" spans="1:7" x14ac:dyDescent="0.2">
      <c r="A16" s="40" t="s">
        <v>23</v>
      </c>
      <c r="B16" s="171">
        <f>'GS &lt; 50 kW'!M6</f>
        <v>0.78467735685496476</v>
      </c>
      <c r="E16" s="171">
        <f>'GS &gt; 50 kW'!L6</f>
        <v>8.1264468314554639E-2</v>
      </c>
    </row>
    <row r="17" spans="1:7" ht="13.5" thickBot="1" x14ac:dyDescent="0.25">
      <c r="A17" s="40" t="s">
        <v>24</v>
      </c>
      <c r="B17" s="171">
        <f>'GS &lt; 50 kW'!M7</f>
        <v>0.76836503540458334</v>
      </c>
      <c r="E17" s="171">
        <f>'GS &gt; 50 kW'!L7</f>
        <v>2.6414585825871334E-2</v>
      </c>
    </row>
    <row r="18" spans="1:7" x14ac:dyDescent="0.2">
      <c r="A18" s="62"/>
      <c r="B18" s="62" t="s">
        <v>36</v>
      </c>
      <c r="C18" s="62" t="s">
        <v>37</v>
      </c>
      <c r="E18" s="62"/>
      <c r="F18" s="62" t="s">
        <v>36</v>
      </c>
      <c r="G18" s="62" t="s">
        <v>37</v>
      </c>
    </row>
    <row r="19" spans="1:7" x14ac:dyDescent="0.2">
      <c r="A19" s="40" t="s">
        <v>30</v>
      </c>
      <c r="B19" s="73">
        <f>'GS &lt; 50 kW'!M18</f>
        <v>-946949.861080945</v>
      </c>
      <c r="C19" s="71">
        <f>'GS &lt; 50 kW'!O18</f>
        <v>-1.764470906382015</v>
      </c>
      <c r="E19" s="40" t="s">
        <v>30</v>
      </c>
      <c r="F19" s="73">
        <f>'GS &gt; 50 kW'!L18</f>
        <v>497646.65040558204</v>
      </c>
      <c r="G19" s="71">
        <f>'GS &gt; 50 kW'!N18</f>
        <v>0.26982607683111581</v>
      </c>
    </row>
    <row r="20" spans="1:7" x14ac:dyDescent="0.2">
      <c r="A20" s="40" t="s">
        <v>3</v>
      </c>
      <c r="B20" s="73">
        <f>'GS &lt; 50 kW'!M19</f>
        <v>790.98352166472625</v>
      </c>
      <c r="C20" s="71">
        <f>'GS &lt; 50 kW'!O19</f>
        <v>10.416142903284278</v>
      </c>
      <c r="E20" s="40" t="s">
        <v>3</v>
      </c>
      <c r="F20" s="73">
        <f>'GS &gt; 50 kW'!L19</f>
        <v>481.33670345006618</v>
      </c>
      <c r="G20" s="71">
        <f>'GS &gt; 50 kW'!N19</f>
        <v>1.5611203844127663</v>
      </c>
    </row>
    <row r="21" spans="1:7" x14ac:dyDescent="0.2">
      <c r="A21" s="40" t="s">
        <v>4</v>
      </c>
      <c r="B21" s="73">
        <f>'GS &lt; 50 kW'!M20</f>
        <v>2794.161941708679</v>
      </c>
      <c r="C21" s="71">
        <f>'GS &lt; 50 kW'!O20</f>
        <v>6.1409860258939277</v>
      </c>
      <c r="E21" s="40" t="s">
        <v>4</v>
      </c>
      <c r="F21" s="73">
        <f>'GS &gt; 50 kW'!L20</f>
        <v>909.07925724744155</v>
      </c>
      <c r="G21" s="71">
        <f>'GS &gt; 50 kW'!N20</f>
        <v>0.49912011132784712</v>
      </c>
    </row>
    <row r="22" spans="1:7" x14ac:dyDescent="0.2">
      <c r="A22" s="40" t="s">
        <v>19</v>
      </c>
      <c r="B22" s="73">
        <f>'GS &lt; 50 kW'!M21</f>
        <v>-64003.320319614228</v>
      </c>
      <c r="C22" s="71">
        <f>'GS &lt; 50 kW'!O21</f>
        <v>-1.9856878735232384</v>
      </c>
      <c r="E22" s="40" t="s">
        <v>5</v>
      </c>
      <c r="F22" s="73">
        <f>'GS &gt; 50 kW'!L21</f>
        <v>102362.10962799109</v>
      </c>
      <c r="G22" s="71">
        <f>'GS &gt; 50 kW'!N21</f>
        <v>1.6734231408402458</v>
      </c>
    </row>
    <row r="23" spans="1:7" ht="13.5" thickBot="1" x14ac:dyDescent="0.25">
      <c r="A23" s="40" t="s">
        <v>5</v>
      </c>
      <c r="B23" s="73">
        <f>'GS &lt; 50 kW'!M22</f>
        <v>65145.355220085708</v>
      </c>
      <c r="C23" s="71">
        <f>'GS &lt; 50 kW'!O22</f>
        <v>4.5354036843148409</v>
      </c>
      <c r="E23" s="61" t="s">
        <v>19</v>
      </c>
      <c r="F23" s="74">
        <f>'GS &gt; 50 kW'!L22</f>
        <v>35740.857298935756</v>
      </c>
      <c r="G23" s="72">
        <f>'GS &gt; 50 kW'!N22</f>
        <v>0.26839361531765693</v>
      </c>
    </row>
    <row r="24" spans="1:7" ht="13.5" thickBot="1" x14ac:dyDescent="0.25">
      <c r="A24" s="61" t="s">
        <v>67</v>
      </c>
      <c r="B24" s="74">
        <f>'GS &lt; 50 kW'!M23</f>
        <v>1247.0192642464101</v>
      </c>
      <c r="C24" s="72">
        <f>'GS &lt; 50 kW'!O23</f>
        <v>3.3132766020045894</v>
      </c>
    </row>
  </sheetData>
  <phoneticPr fontId="9" type="noConversion"/>
  <pageMargins left="0.75" right="0.75" top="1"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81"/>
  <sheetViews>
    <sheetView workbookViewId="0">
      <selection activeCell="A51" sqref="A51:IV51"/>
    </sheetView>
  </sheetViews>
  <sheetFormatPr defaultRowHeight="12.75" x14ac:dyDescent="0.2"/>
  <cols>
    <col min="1" max="1" width="11.85546875" customWidth="1"/>
    <col min="2" max="2" width="18" style="29" customWidth="1"/>
    <col min="3" max="3" width="11.7109375" style="136" customWidth="1"/>
    <col min="4" max="4" width="13.42578125" style="136" customWidth="1"/>
    <col min="5" max="5" width="10.140625" style="1" customWidth="1"/>
    <col min="6" max="6" width="12.42578125" style="1" customWidth="1"/>
    <col min="7" max="7" width="14.42578125" style="25" customWidth="1"/>
    <col min="8" max="8" width="12.42578125" style="25" hidden="1" customWidth="1"/>
    <col min="9" max="9" width="14.42578125" style="39" hidden="1" customWidth="1"/>
    <col min="10" max="10" width="15.42578125" style="1" bestFit="1" customWidth="1"/>
    <col min="11" max="11" width="17" style="1" customWidth="1"/>
    <col min="12" max="12" width="12.42578125" style="1" customWidth="1"/>
    <col min="13" max="13" width="25.85546875" bestFit="1" customWidth="1"/>
    <col min="14" max="16" width="18" customWidth="1"/>
    <col min="17" max="17" width="17.140625" customWidth="1"/>
    <col min="18" max="20" width="15.7109375" customWidth="1"/>
    <col min="21" max="22" width="19.28515625" bestFit="1" customWidth="1"/>
    <col min="23" max="23" width="19.140625" bestFit="1" customWidth="1"/>
    <col min="24" max="24" width="23" bestFit="1" customWidth="1"/>
    <col min="25" max="25" width="14.7109375" bestFit="1" customWidth="1"/>
    <col min="26" max="26" width="35.140625" bestFit="1" customWidth="1"/>
    <col min="27" max="27" width="9.28515625" customWidth="1"/>
    <col min="29" max="29" width="11.7109375" bestFit="1" customWidth="1"/>
    <col min="30" max="30" width="10.7109375" bestFit="1" customWidth="1"/>
  </cols>
  <sheetData>
    <row r="1" spans="1:38" ht="15.75" x14ac:dyDescent="0.25">
      <c r="A1" s="48" t="str">
        <f>Summary!A1</f>
        <v>Innisfil Hydro Forecast for 2013 Rate Application</v>
      </c>
      <c r="G1" s="1"/>
      <c r="H1" s="465" t="s">
        <v>107</v>
      </c>
      <c r="I1" s="465"/>
    </row>
    <row r="2" spans="1:38" ht="42" customHeight="1" x14ac:dyDescent="0.2">
      <c r="B2" s="91" t="s">
        <v>0</v>
      </c>
      <c r="C2" s="137" t="s">
        <v>3</v>
      </c>
      <c r="D2" s="137" t="s">
        <v>4</v>
      </c>
      <c r="E2" s="12" t="s">
        <v>5</v>
      </c>
      <c r="F2" s="12" t="s">
        <v>19</v>
      </c>
      <c r="G2" s="92" t="s">
        <v>87</v>
      </c>
      <c r="H2" s="92" t="s">
        <v>83</v>
      </c>
      <c r="I2" s="95" t="s">
        <v>6</v>
      </c>
      <c r="J2" s="12" t="s">
        <v>11</v>
      </c>
      <c r="K2" s="12" t="s">
        <v>12</v>
      </c>
      <c r="L2" s="12" t="s">
        <v>13</v>
      </c>
      <c r="M2" t="s">
        <v>20</v>
      </c>
    </row>
    <row r="3" spans="1:38" s="16" customFormat="1" ht="13.5" thickBot="1" x14ac:dyDescent="0.25">
      <c r="A3" s="14">
        <v>37275</v>
      </c>
      <c r="B3" s="29">
        <f>'[5]Consumption Data '!B6</f>
        <v>22119629</v>
      </c>
      <c r="C3" s="136">
        <v>572.20000000000005</v>
      </c>
      <c r="D3" s="136">
        <v>0</v>
      </c>
      <c r="E3" s="10">
        <v>31</v>
      </c>
      <c r="F3" s="10">
        <v>0</v>
      </c>
      <c r="G3" s="19">
        <f>'[5]Consumption Data '!AG6</f>
        <v>12928</v>
      </c>
      <c r="H3" s="19">
        <v>0</v>
      </c>
      <c r="I3" s="39">
        <v>121.50450639216388</v>
      </c>
      <c r="J3" s="10">
        <f>$N$18+C3*$N$19+D3*$N$20+E3*$N$21+F3*$N$22+G3*$N$23</f>
        <v>22619260.244710252</v>
      </c>
      <c r="K3" s="10"/>
      <c r="L3" s="15"/>
      <c r="M3"/>
      <c r="N3"/>
      <c r="O3"/>
      <c r="P3"/>
      <c r="Q3"/>
      <c r="R3"/>
      <c r="S3"/>
      <c r="T3"/>
      <c r="U3"/>
      <c r="V3"/>
      <c r="W3"/>
      <c r="X3"/>
      <c r="Y3"/>
      <c r="Z3"/>
      <c r="AA3"/>
      <c r="AB3"/>
      <c r="AC3"/>
      <c r="AD3"/>
      <c r="AE3"/>
      <c r="AF3"/>
      <c r="AG3"/>
      <c r="AH3"/>
      <c r="AI3"/>
      <c r="AJ3"/>
      <c r="AK3"/>
      <c r="AL3"/>
    </row>
    <row r="4" spans="1:38" x14ac:dyDescent="0.2">
      <c r="A4" s="3">
        <v>37308</v>
      </c>
      <c r="B4" s="29">
        <f>'[5]Consumption Data '!B7</f>
        <v>20006640</v>
      </c>
      <c r="C4" s="136">
        <v>540.20000000000005</v>
      </c>
      <c r="D4" s="136">
        <v>0</v>
      </c>
      <c r="E4" s="10">
        <v>28</v>
      </c>
      <c r="F4" s="10">
        <v>0</v>
      </c>
      <c r="G4" s="19">
        <f>'[5]Consumption Data '!AG7</f>
        <v>12847</v>
      </c>
      <c r="H4" s="19">
        <v>0</v>
      </c>
      <c r="I4" s="39">
        <v>121.86371656989111</v>
      </c>
      <c r="J4" s="10">
        <f t="shared" ref="J4:J67" si="0">$N$18+C4*$N$19+D4*$N$20+E4*$N$21+F4*$N$22+G4*$N$23</f>
        <v>20307820.302805886</v>
      </c>
      <c r="K4" s="10"/>
      <c r="L4" s="15"/>
      <c r="M4" s="63" t="s">
        <v>21</v>
      </c>
      <c r="N4" s="63"/>
    </row>
    <row r="5" spans="1:38" x14ac:dyDescent="0.2">
      <c r="A5" s="3">
        <v>37341</v>
      </c>
      <c r="B5" s="29">
        <f>'[5]Consumption Data '!B8</f>
        <v>20650604</v>
      </c>
      <c r="C5" s="136">
        <v>545.6</v>
      </c>
      <c r="D5" s="136">
        <v>0</v>
      </c>
      <c r="E5" s="10">
        <v>31</v>
      </c>
      <c r="F5" s="10">
        <v>1</v>
      </c>
      <c r="G5" s="19">
        <f>'[5]Consumption Data '!AG8</f>
        <v>12951</v>
      </c>
      <c r="H5" s="19">
        <v>0</v>
      </c>
      <c r="I5" s="39">
        <v>122.22398869960362</v>
      </c>
      <c r="J5" s="10">
        <f t="shared" si="0"/>
        <v>21248799.513272822</v>
      </c>
      <c r="K5" s="10"/>
      <c r="L5" s="15"/>
      <c r="M5" s="40" t="s">
        <v>22</v>
      </c>
      <c r="N5" s="75">
        <v>0.98779195763243388</v>
      </c>
    </row>
    <row r="6" spans="1:38" x14ac:dyDescent="0.2">
      <c r="A6" s="3">
        <v>37374</v>
      </c>
      <c r="B6" s="29">
        <f>'[5]Consumption Data '!B9</f>
        <v>17267599</v>
      </c>
      <c r="C6" s="136">
        <v>329.5</v>
      </c>
      <c r="D6" s="136">
        <v>8.3000000000000007</v>
      </c>
      <c r="E6" s="10">
        <v>30</v>
      </c>
      <c r="F6" s="10">
        <v>1</v>
      </c>
      <c r="G6" s="19">
        <f>'[5]Consumption Data '!AG9</f>
        <v>12956</v>
      </c>
      <c r="H6" s="19">
        <v>0</v>
      </c>
      <c r="I6" s="39">
        <v>122.58532592080604</v>
      </c>
      <c r="J6" s="10">
        <f t="shared" si="0"/>
        <v>17878454.277439244</v>
      </c>
      <c r="K6" s="10"/>
      <c r="L6" s="15"/>
      <c r="M6" s="40" t="s">
        <v>23</v>
      </c>
      <c r="N6" s="75">
        <v>0.97573295156331596</v>
      </c>
    </row>
    <row r="7" spans="1:38" x14ac:dyDescent="0.2">
      <c r="A7" s="3">
        <v>37407</v>
      </c>
      <c r="B7" s="29">
        <f>'[5]Consumption Data '!B10</f>
        <v>17046489</v>
      </c>
      <c r="C7" s="136">
        <v>227.5</v>
      </c>
      <c r="D7" s="136">
        <v>7.8</v>
      </c>
      <c r="E7" s="10">
        <v>31</v>
      </c>
      <c r="F7" s="10">
        <v>1</v>
      </c>
      <c r="G7" s="19">
        <f>'[5]Consumption Data '!AG10</f>
        <v>12956</v>
      </c>
      <c r="H7" s="19">
        <v>0</v>
      </c>
      <c r="I7" s="39">
        <v>122.9477313822845</v>
      </c>
      <c r="J7" s="10">
        <f t="shared" si="0"/>
        <v>17035297.25033737</v>
      </c>
      <c r="K7" s="10"/>
      <c r="L7" s="15"/>
      <c r="M7" s="40" t="s">
        <v>24</v>
      </c>
      <c r="N7" s="75">
        <v>0.97466860733363681</v>
      </c>
    </row>
    <row r="8" spans="1:38" x14ac:dyDescent="0.2">
      <c r="A8" s="3">
        <v>37408</v>
      </c>
      <c r="B8" s="29">
        <f>'[5]Consumption Data '!B11</f>
        <v>16519857</v>
      </c>
      <c r="C8" s="136">
        <v>36.200000000000003</v>
      </c>
      <c r="D8" s="136">
        <v>70</v>
      </c>
      <c r="E8" s="10">
        <v>30</v>
      </c>
      <c r="F8" s="10">
        <v>0</v>
      </c>
      <c r="G8" s="19">
        <f>'[5]Consumption Data '!AG11</f>
        <v>12983</v>
      </c>
      <c r="H8" s="19">
        <v>0</v>
      </c>
      <c r="I8" s="39">
        <v>123.31120824213403</v>
      </c>
      <c r="J8" s="10">
        <f t="shared" si="0"/>
        <v>16557893.67517682</v>
      </c>
      <c r="K8" s="10"/>
      <c r="L8" s="15"/>
      <c r="M8" s="40" t="s">
        <v>25</v>
      </c>
      <c r="N8" s="40">
        <v>492854.14530575479</v>
      </c>
    </row>
    <row r="9" spans="1:38" ht="13.5" thickBot="1" x14ac:dyDescent="0.25">
      <c r="A9" s="3">
        <v>37440</v>
      </c>
      <c r="B9" s="29">
        <f>'[5]Consumption Data '!B12</f>
        <v>19592994</v>
      </c>
      <c r="C9" s="136">
        <v>0</v>
      </c>
      <c r="D9" s="136">
        <v>192.4</v>
      </c>
      <c r="E9" s="10">
        <v>31</v>
      </c>
      <c r="F9" s="10">
        <v>0</v>
      </c>
      <c r="G9" s="19">
        <f>'[5]Consumption Data '!AG12</f>
        <v>13015</v>
      </c>
      <c r="H9" s="19">
        <v>0</v>
      </c>
      <c r="I9" s="39">
        <v>123.67575966778612</v>
      </c>
      <c r="J9" s="10">
        <f t="shared" si="0"/>
        <v>20086221.462254282</v>
      </c>
      <c r="K9" s="10"/>
      <c r="L9" s="15"/>
      <c r="M9" s="61" t="s">
        <v>26</v>
      </c>
      <c r="N9" s="61">
        <v>120</v>
      </c>
    </row>
    <row r="10" spans="1:38" x14ac:dyDescent="0.2">
      <c r="A10" s="3">
        <v>37473</v>
      </c>
      <c r="B10" s="29">
        <f>'[5]Consumption Data '!B13</f>
        <v>18262722</v>
      </c>
      <c r="C10" s="136">
        <v>0.2</v>
      </c>
      <c r="D10" s="136">
        <v>142.69999999999999</v>
      </c>
      <c r="E10" s="10">
        <v>31</v>
      </c>
      <c r="F10" s="10">
        <v>0</v>
      </c>
      <c r="G10" s="19">
        <f>'[5]Consumption Data '!AG13</f>
        <v>13031</v>
      </c>
      <c r="H10" s="19">
        <v>0</v>
      </c>
      <c r="I10" s="39">
        <v>124.04138883603632</v>
      </c>
      <c r="J10" s="10">
        <f t="shared" si="0"/>
        <v>18722929.008147802</v>
      </c>
      <c r="K10" s="10"/>
      <c r="L10" s="15"/>
    </row>
    <row r="11" spans="1:38" ht="13.5" thickBot="1" x14ac:dyDescent="0.25">
      <c r="A11" s="3">
        <v>37506</v>
      </c>
      <c r="B11" s="29">
        <f>'[5]Consumption Data '!B14</f>
        <v>16184889</v>
      </c>
      <c r="C11" s="136">
        <v>21.8</v>
      </c>
      <c r="D11" s="136">
        <v>87.6</v>
      </c>
      <c r="E11" s="10">
        <v>30</v>
      </c>
      <c r="F11" s="10">
        <v>1</v>
      </c>
      <c r="G11" s="19">
        <f>'[5]Consumption Data '!AG14</f>
        <v>13047</v>
      </c>
      <c r="H11" s="19">
        <v>0</v>
      </c>
      <c r="I11" s="39">
        <v>124.40809893307186</v>
      </c>
      <c r="J11" s="10">
        <f t="shared" si="0"/>
        <v>15890761.899336142</v>
      </c>
      <c r="K11" s="10"/>
      <c r="L11" s="15"/>
      <c r="M11" t="s">
        <v>27</v>
      </c>
    </row>
    <row r="12" spans="1:38" x14ac:dyDescent="0.2">
      <c r="A12" s="3">
        <v>37539</v>
      </c>
      <c r="B12" s="29">
        <f>'[5]Consumption Data '!B15</f>
        <v>18054189</v>
      </c>
      <c r="C12" s="136">
        <v>292.2</v>
      </c>
      <c r="D12" s="136">
        <v>10</v>
      </c>
      <c r="E12" s="10">
        <v>31</v>
      </c>
      <c r="F12" s="10">
        <v>1</v>
      </c>
      <c r="G12" s="19">
        <f>'[5]Consumption Data '!AG15</f>
        <v>13084</v>
      </c>
      <c r="H12" s="19">
        <v>0</v>
      </c>
      <c r="I12" s="39">
        <v>124.7758931544995</v>
      </c>
      <c r="J12" s="10">
        <f t="shared" si="0"/>
        <v>18134354.38819598</v>
      </c>
      <c r="K12" s="10"/>
      <c r="L12" s="15"/>
      <c r="M12" s="62"/>
      <c r="N12" s="62" t="s">
        <v>31</v>
      </c>
      <c r="O12" s="62" t="s">
        <v>32</v>
      </c>
      <c r="P12" s="62" t="s">
        <v>33</v>
      </c>
      <c r="Q12" s="62" t="s">
        <v>34</v>
      </c>
      <c r="R12" s="62" t="s">
        <v>35</v>
      </c>
    </row>
    <row r="13" spans="1:38" x14ac:dyDescent="0.2">
      <c r="A13" s="3">
        <v>37572</v>
      </c>
      <c r="B13" s="29">
        <f>'[5]Consumption Data '!B16</f>
        <v>20152102.310000002</v>
      </c>
      <c r="C13" s="136">
        <v>445</v>
      </c>
      <c r="D13" s="136">
        <v>0</v>
      </c>
      <c r="E13" s="10">
        <v>30</v>
      </c>
      <c r="F13" s="10">
        <v>1</v>
      </c>
      <c r="G13" s="19">
        <f>'[5]Consumption Data '!AG16</f>
        <v>13106</v>
      </c>
      <c r="H13" s="19">
        <v>0</v>
      </c>
      <c r="I13" s="39">
        <v>125.14477470537335</v>
      </c>
      <c r="J13" s="10">
        <f t="shared" si="0"/>
        <v>19417026.702842742</v>
      </c>
      <c r="K13" s="10"/>
      <c r="L13" s="15"/>
      <c r="M13" s="40" t="s">
        <v>28</v>
      </c>
      <c r="N13" s="40">
        <v>5</v>
      </c>
      <c r="O13" s="40">
        <v>1113411476638686.2</v>
      </c>
      <c r="P13" s="40">
        <v>222682295327737.25</v>
      </c>
      <c r="Q13" s="40">
        <v>916.74565836418913</v>
      </c>
      <c r="R13" s="40">
        <v>2.8480001663642998E-90</v>
      </c>
    </row>
    <row r="14" spans="1:38" s="36" customFormat="1" x14ac:dyDescent="0.2">
      <c r="A14" s="35">
        <v>37605</v>
      </c>
      <c r="B14" s="29">
        <f>'[5]Consumption Data '!B17</f>
        <v>24095090</v>
      </c>
      <c r="C14" s="136">
        <v>619.4</v>
      </c>
      <c r="D14" s="136">
        <v>0</v>
      </c>
      <c r="E14" s="19">
        <v>31</v>
      </c>
      <c r="F14" s="19">
        <v>0</v>
      </c>
      <c r="G14" s="19">
        <f>'[5]Consumption Data '!AG17</f>
        <v>13141</v>
      </c>
      <c r="H14" s="19">
        <v>0</v>
      </c>
      <c r="I14" s="39">
        <v>125.51474680022261</v>
      </c>
      <c r="J14" s="10">
        <f t="shared" si="0"/>
        <v>23503112.110530362</v>
      </c>
      <c r="K14" s="19"/>
      <c r="L14" s="34"/>
      <c r="M14" s="40" t="s">
        <v>29</v>
      </c>
      <c r="N14" s="40">
        <v>114</v>
      </c>
      <c r="O14" s="40">
        <v>27691193774137.531</v>
      </c>
      <c r="P14" s="40">
        <v>242905208545.06607</v>
      </c>
      <c r="Q14" s="40"/>
      <c r="R14" s="40"/>
      <c r="S14"/>
      <c r="T14"/>
      <c r="U14"/>
      <c r="V14"/>
      <c r="W14"/>
      <c r="X14"/>
      <c r="Y14"/>
      <c r="Z14"/>
      <c r="AA14"/>
      <c r="AB14"/>
      <c r="AC14"/>
      <c r="AD14"/>
      <c r="AE14"/>
      <c r="AF14"/>
      <c r="AG14"/>
      <c r="AH14"/>
      <c r="AI14"/>
      <c r="AJ14"/>
      <c r="AK14"/>
      <c r="AL14"/>
    </row>
    <row r="15" spans="1:38" ht="13.5" thickBot="1" x14ac:dyDescent="0.25">
      <c r="A15" s="3">
        <v>37622</v>
      </c>
      <c r="B15" s="29">
        <f>'[5]Consumption Data '!B18</f>
        <v>26337081</v>
      </c>
      <c r="C15" s="136">
        <v>814.5</v>
      </c>
      <c r="D15" s="136">
        <v>0</v>
      </c>
      <c r="E15" s="10">
        <v>31</v>
      </c>
      <c r="F15" s="10">
        <v>0</v>
      </c>
      <c r="G15" s="19">
        <f>'[5]Consumption Data '!AG18</f>
        <v>13161</v>
      </c>
      <c r="H15" s="19">
        <v>0</v>
      </c>
      <c r="I15" s="39">
        <v>125.66024937363977</v>
      </c>
      <c r="J15" s="10">
        <f t="shared" si="0"/>
        <v>26244939.333816096</v>
      </c>
      <c r="K15" s="10"/>
      <c r="L15" s="15"/>
      <c r="M15" s="61" t="s">
        <v>10</v>
      </c>
      <c r="N15" s="61">
        <v>119</v>
      </c>
      <c r="O15" s="61">
        <v>1141102670412823.7</v>
      </c>
      <c r="P15" s="61"/>
      <c r="Q15" s="61"/>
      <c r="R15" s="61"/>
    </row>
    <row r="16" spans="1:38" ht="13.5" thickBot="1" x14ac:dyDescent="0.25">
      <c r="A16" s="3">
        <v>37653</v>
      </c>
      <c r="B16" s="29">
        <f>'[5]Consumption Data '!B19</f>
        <v>23542374</v>
      </c>
      <c r="C16" s="136">
        <v>699</v>
      </c>
      <c r="D16" s="136">
        <v>0</v>
      </c>
      <c r="E16" s="10">
        <v>28</v>
      </c>
      <c r="F16" s="10">
        <v>0</v>
      </c>
      <c r="G16" s="19">
        <f>'[5]Consumption Data '!AG19</f>
        <v>13181</v>
      </c>
      <c r="H16" s="19">
        <v>0</v>
      </c>
      <c r="I16" s="39">
        <v>125.80592062045517</v>
      </c>
      <c r="J16" s="10">
        <f t="shared" si="0"/>
        <v>22876105.823916204</v>
      </c>
      <c r="K16" s="10"/>
      <c r="L16" s="15"/>
    </row>
    <row r="17" spans="1:26" ht="13.5" thickBot="1" x14ac:dyDescent="0.25">
      <c r="A17" s="3">
        <v>37681</v>
      </c>
      <c r="B17" s="29">
        <f>'[5]Consumption Data '!B20</f>
        <v>22443297</v>
      </c>
      <c r="C17" s="136">
        <v>581.1</v>
      </c>
      <c r="D17" s="136">
        <v>0</v>
      </c>
      <c r="E17" s="10">
        <v>31</v>
      </c>
      <c r="F17" s="10">
        <v>1</v>
      </c>
      <c r="G17" s="19">
        <f>'[5]Consumption Data '!AG20</f>
        <v>13194</v>
      </c>
      <c r="H17" s="19">
        <v>0</v>
      </c>
      <c r="I17" s="39">
        <v>125.9517607362029</v>
      </c>
      <c r="J17" s="10">
        <f t="shared" si="0"/>
        <v>22001279.142995104</v>
      </c>
      <c r="K17" s="10"/>
      <c r="L17" s="15"/>
      <c r="M17" s="62"/>
      <c r="N17" s="62" t="s">
        <v>36</v>
      </c>
      <c r="O17" s="62" t="s">
        <v>25</v>
      </c>
      <c r="P17" s="62" t="s">
        <v>37</v>
      </c>
      <c r="Q17" s="62" t="s">
        <v>38</v>
      </c>
      <c r="R17" s="62" t="s">
        <v>39</v>
      </c>
      <c r="S17" s="62" t="s">
        <v>40</v>
      </c>
    </row>
    <row r="18" spans="1:26" x14ac:dyDescent="0.2">
      <c r="A18" s="3">
        <v>37712</v>
      </c>
      <c r="B18" s="29">
        <f>'[5]Consumption Data '!B21</f>
        <v>18675852</v>
      </c>
      <c r="C18" s="136">
        <v>372.5</v>
      </c>
      <c r="D18" s="136">
        <v>2.4</v>
      </c>
      <c r="E18" s="10">
        <v>30</v>
      </c>
      <c r="F18" s="10">
        <v>1</v>
      </c>
      <c r="G18" s="19">
        <f>'[5]Consumption Data '!AG21</f>
        <v>13214</v>
      </c>
      <c r="H18" s="19">
        <v>0</v>
      </c>
      <c r="I18" s="39">
        <v>126.09776991664374</v>
      </c>
      <c r="J18" s="10">
        <f t="shared" si="0"/>
        <v>18587228.568234846</v>
      </c>
      <c r="K18" s="10"/>
      <c r="L18" s="15"/>
      <c r="M18" s="40" t="s">
        <v>30</v>
      </c>
      <c r="N18" s="73">
        <v>-17443142.757165227</v>
      </c>
      <c r="O18" s="40">
        <v>1995906.186330968</v>
      </c>
      <c r="P18" s="71">
        <v>-8.7394602394767791</v>
      </c>
      <c r="Q18" s="40">
        <v>2.3487512502583411E-14</v>
      </c>
      <c r="R18" s="40">
        <v>-21397017.411857989</v>
      </c>
      <c r="S18" s="40">
        <v>-13489268.102472465</v>
      </c>
      <c r="V18" s="62" t="s">
        <v>3</v>
      </c>
      <c r="W18" s="62" t="s">
        <v>4</v>
      </c>
      <c r="X18" s="62" t="s">
        <v>5</v>
      </c>
      <c r="Y18" s="62" t="s">
        <v>19</v>
      </c>
      <c r="Z18" s="62" t="s">
        <v>87</v>
      </c>
    </row>
    <row r="19" spans="1:26" x14ac:dyDescent="0.2">
      <c r="A19" s="3">
        <v>37742</v>
      </c>
      <c r="B19" s="29">
        <f>'[5]Consumption Data '!B22</f>
        <v>16161438</v>
      </c>
      <c r="C19" s="136">
        <v>177.9</v>
      </c>
      <c r="D19" s="136">
        <v>0</v>
      </c>
      <c r="E19" s="10">
        <v>31</v>
      </c>
      <c r="F19" s="10">
        <v>1</v>
      </c>
      <c r="G19" s="19">
        <f>'[5]Consumption Data '!AG22</f>
        <v>13225</v>
      </c>
      <c r="H19" s="19">
        <v>0</v>
      </c>
      <c r="I19" s="39">
        <v>126.2439483577654</v>
      </c>
      <c r="J19" s="10">
        <f t="shared" si="0"/>
        <v>16411560.153014038</v>
      </c>
      <c r="K19" s="10"/>
      <c r="L19" s="15"/>
      <c r="M19" s="40" t="s">
        <v>3</v>
      </c>
      <c r="N19" s="73">
        <v>13944.843341634423</v>
      </c>
      <c r="O19" s="40">
        <v>296.84410527685617</v>
      </c>
      <c r="P19" s="71">
        <v>46.976992615799304</v>
      </c>
      <c r="Q19" s="40">
        <v>1.92797946540359E-76</v>
      </c>
      <c r="R19" s="40">
        <v>13356.797474405226</v>
      </c>
      <c r="S19" s="40">
        <v>14532.88920886362</v>
      </c>
      <c r="V19" s="75">
        <v>1</v>
      </c>
      <c r="W19" s="75"/>
      <c r="X19" s="75"/>
      <c r="Y19" s="75"/>
      <c r="Z19" s="75"/>
    </row>
    <row r="20" spans="1:26" x14ac:dyDescent="0.2">
      <c r="A20" s="3">
        <v>37773</v>
      </c>
      <c r="B20" s="29">
        <f>'[5]Consumption Data '!B23</f>
        <v>16030617</v>
      </c>
      <c r="C20" s="136">
        <v>43.4</v>
      </c>
      <c r="D20" s="136">
        <v>52.9</v>
      </c>
      <c r="E20" s="10">
        <v>30</v>
      </c>
      <c r="F20" s="10">
        <v>0</v>
      </c>
      <c r="G20" s="19">
        <f>'[5]Consumption Data '!AG23</f>
        <v>13223</v>
      </c>
      <c r="H20" s="19">
        <v>0</v>
      </c>
      <c r="I20" s="39">
        <v>126.3902962557828</v>
      </c>
      <c r="J20" s="10">
        <f t="shared" si="0"/>
        <v>16436703.920780966</v>
      </c>
      <c r="K20" s="10"/>
      <c r="L20" s="15"/>
      <c r="M20" s="40" t="s">
        <v>4</v>
      </c>
      <c r="N20" s="73">
        <v>27827.60669297976</v>
      </c>
      <c r="O20" s="40">
        <v>1701.5693530314024</v>
      </c>
      <c r="P20" s="71">
        <v>16.354083154708889</v>
      </c>
      <c r="Q20" s="40">
        <v>1.1201859871232026E-31</v>
      </c>
      <c r="R20" s="40">
        <v>24456.811019200934</v>
      </c>
      <c r="S20" s="40">
        <v>31198.402366758586</v>
      </c>
      <c r="V20" s="75">
        <v>-0.68176837848263971</v>
      </c>
      <c r="W20" s="75">
        <v>1</v>
      </c>
      <c r="X20" s="75"/>
      <c r="Y20" s="75"/>
      <c r="Z20" s="75"/>
    </row>
    <row r="21" spans="1:26" x14ac:dyDescent="0.2">
      <c r="A21" s="3">
        <v>37803</v>
      </c>
      <c r="B21" s="29">
        <f>'[5]Consumption Data '!B24</f>
        <v>17815329</v>
      </c>
      <c r="C21" s="136">
        <v>0.2</v>
      </c>
      <c r="D21" s="136">
        <v>118.3</v>
      </c>
      <c r="E21" s="10">
        <v>31</v>
      </c>
      <c r="F21" s="10">
        <v>0</v>
      </c>
      <c r="G21" s="19">
        <f>'[5]Consumption Data '!AG24</f>
        <v>13244</v>
      </c>
      <c r="H21" s="19">
        <v>0</v>
      </c>
      <c r="I21" s="39">
        <v>126.5368138071383</v>
      </c>
      <c r="J21" s="10">
        <f t="shared" si="0"/>
        <v>18269590.664934061</v>
      </c>
      <c r="K21" s="10"/>
      <c r="L21" s="15"/>
      <c r="M21" s="40" t="s">
        <v>5</v>
      </c>
      <c r="N21" s="73">
        <v>593130.79709132528</v>
      </c>
      <c r="O21" s="40">
        <v>57089.848071038592</v>
      </c>
      <c r="P21" s="71">
        <v>10.389426791840032</v>
      </c>
      <c r="Q21" s="40">
        <v>3.4144392494659541E-18</v>
      </c>
      <c r="R21" s="40">
        <v>480036.25142869196</v>
      </c>
      <c r="S21" s="40">
        <v>706225.34275395866</v>
      </c>
      <c r="V21" s="75">
        <v>-0.18364418632184007</v>
      </c>
      <c r="W21" s="75">
        <v>0.20394317921365387</v>
      </c>
      <c r="X21" s="75">
        <v>1</v>
      </c>
      <c r="Y21" s="75"/>
      <c r="Z21" s="75"/>
    </row>
    <row r="22" spans="1:26" x14ac:dyDescent="0.2">
      <c r="A22" s="3">
        <v>37834</v>
      </c>
      <c r="B22" s="29">
        <f>'[5]Consumption Data '!B25</f>
        <v>17334894</v>
      </c>
      <c r="C22" s="136">
        <v>2</v>
      </c>
      <c r="D22" s="136">
        <v>128</v>
      </c>
      <c r="E22" s="10">
        <v>31</v>
      </c>
      <c r="F22" s="10">
        <v>0</v>
      </c>
      <c r="G22" s="19">
        <f>'[5]Consumption Data '!AG25</f>
        <v>13264</v>
      </c>
      <c r="H22" s="19">
        <v>0</v>
      </c>
      <c r="I22" s="39">
        <v>126.68350120850199</v>
      </c>
      <c r="J22" s="10">
        <f t="shared" si="0"/>
        <v>18585807.455203768</v>
      </c>
      <c r="K22" s="10"/>
      <c r="L22" s="15"/>
      <c r="M22" s="40" t="s">
        <v>19</v>
      </c>
      <c r="N22" s="73">
        <v>-1023894.4289827403</v>
      </c>
      <c r="O22" s="40">
        <v>125727.09591865775</v>
      </c>
      <c r="P22" s="71">
        <v>-8.1437849295841058</v>
      </c>
      <c r="Q22" s="40">
        <v>5.4003331643312453E-13</v>
      </c>
      <c r="R22" s="40">
        <v>-1272958.8295870251</v>
      </c>
      <c r="S22" s="40">
        <v>-774830.02837845543</v>
      </c>
      <c r="V22" s="75">
        <v>-8.3599004371742641E-2</v>
      </c>
      <c r="W22" s="75">
        <v>-0.42882272977210012</v>
      </c>
      <c r="X22" s="75">
        <v>8.0911339406273541E-2</v>
      </c>
      <c r="Y22" s="75">
        <v>1</v>
      </c>
      <c r="Z22" s="75"/>
    </row>
    <row r="23" spans="1:26" ht="13.5" thickBot="1" x14ac:dyDescent="0.25">
      <c r="A23" s="3">
        <v>37865</v>
      </c>
      <c r="B23" s="29">
        <f>'[5]Consumption Data '!B26</f>
        <v>15290001</v>
      </c>
      <c r="C23" s="136">
        <v>54.9</v>
      </c>
      <c r="D23" s="136">
        <v>24</v>
      </c>
      <c r="E23" s="10">
        <v>30</v>
      </c>
      <c r="F23" s="10">
        <v>1</v>
      </c>
      <c r="G23" s="19">
        <f>'[5]Consumption Data '!AG26</f>
        <v>13286</v>
      </c>
      <c r="H23" s="19">
        <v>0</v>
      </c>
      <c r="I23" s="39">
        <v>126.83035865677196</v>
      </c>
      <c r="J23" s="10">
        <f t="shared" si="0"/>
        <v>14835700.461898414</v>
      </c>
      <c r="K23" s="10"/>
      <c r="L23" s="15"/>
      <c r="M23" s="61" t="s">
        <v>87</v>
      </c>
      <c r="N23" s="74">
        <v>1059.4143666430364</v>
      </c>
      <c r="O23" s="61">
        <v>76.892736864613696</v>
      </c>
      <c r="P23" s="72">
        <v>13.7778210249996</v>
      </c>
      <c r="Q23" s="61">
        <v>5.0840736365754652E-26</v>
      </c>
      <c r="R23" s="61">
        <v>907.09045207176223</v>
      </c>
      <c r="S23" s="61">
        <v>1211.7382812143105</v>
      </c>
      <c r="V23" s="102">
        <v>-4.6726153512047647E-2</v>
      </c>
      <c r="W23" s="102">
        <v>-2.8458743038127305E-2</v>
      </c>
      <c r="X23" s="102">
        <v>2.8744438241366892E-2</v>
      </c>
      <c r="Y23" s="102">
        <v>2.6653934456023282E-2</v>
      </c>
      <c r="Z23" s="102">
        <v>1</v>
      </c>
    </row>
    <row r="24" spans="1:26" x14ac:dyDescent="0.2">
      <c r="A24" s="3">
        <v>37895</v>
      </c>
      <c r="B24" s="29">
        <f>'[5]Consumption Data '!B27</f>
        <v>17925927</v>
      </c>
      <c r="C24" s="136">
        <v>276</v>
      </c>
      <c r="D24" s="136">
        <v>0</v>
      </c>
      <c r="E24" s="10">
        <v>31</v>
      </c>
      <c r="F24" s="10">
        <v>1</v>
      </c>
      <c r="G24" s="19">
        <f>'[5]Consumption Data '!AG27</f>
        <v>13327</v>
      </c>
      <c r="H24" s="19">
        <v>0</v>
      </c>
      <c r="I24" s="39">
        <v>126.97738634907456</v>
      </c>
      <c r="J24" s="10">
        <f t="shared" si="0"/>
        <v>17887609.550225966</v>
      </c>
      <c r="K24" s="10"/>
      <c r="L24" s="15"/>
    </row>
    <row r="25" spans="1:26" x14ac:dyDescent="0.2">
      <c r="A25" s="3">
        <v>37926</v>
      </c>
      <c r="B25" s="29">
        <f>'[5]Consumption Data '!B28</f>
        <v>19568559</v>
      </c>
      <c r="C25" s="136">
        <v>398.5</v>
      </c>
      <c r="D25" s="136">
        <v>0</v>
      </c>
      <c r="E25" s="10">
        <v>30</v>
      </c>
      <c r="F25" s="10">
        <v>1</v>
      </c>
      <c r="G25" s="19">
        <f>'[5]Consumption Data '!AG28</f>
        <v>13340</v>
      </c>
      <c r="H25" s="19">
        <v>0</v>
      </c>
      <c r="I25" s="39">
        <v>127.12458448276465</v>
      </c>
      <c r="J25" s="10">
        <f t="shared" si="0"/>
        <v>19016494.449251212</v>
      </c>
      <c r="K25" s="10"/>
      <c r="L25" s="15"/>
    </row>
    <row r="26" spans="1:26" x14ac:dyDescent="0.2">
      <c r="A26" s="3">
        <v>37956</v>
      </c>
      <c r="B26" s="29">
        <f>'[5]Consumption Data '!B29</f>
        <v>23355427</v>
      </c>
      <c r="C26" s="136">
        <v>561.5</v>
      </c>
      <c r="D26" s="136">
        <v>0</v>
      </c>
      <c r="E26" s="10">
        <v>31</v>
      </c>
      <c r="F26" s="10">
        <v>0</v>
      </c>
      <c r="G26" s="19">
        <f>'[5]Consumption Data '!AG29</f>
        <v>13362</v>
      </c>
      <c r="H26" s="19">
        <v>0</v>
      </c>
      <c r="I26" s="39">
        <v>127.27195325542573</v>
      </c>
      <c r="J26" s="10">
        <f t="shared" si="0"/>
        <v>22929836.256077841</v>
      </c>
      <c r="K26" s="10"/>
      <c r="L26" s="15"/>
    </row>
    <row r="27" spans="1:26" x14ac:dyDescent="0.2">
      <c r="A27" s="3">
        <v>37987</v>
      </c>
      <c r="B27" s="29">
        <f>'[5]Consumption Data '!B30</f>
        <v>27645690</v>
      </c>
      <c r="C27" s="136">
        <v>849.1</v>
      </c>
      <c r="D27" s="136">
        <v>0</v>
      </c>
      <c r="E27" s="10">
        <v>31</v>
      </c>
      <c r="F27" s="10">
        <v>0</v>
      </c>
      <c r="G27" s="19">
        <f>'[5]Consumption Data '!AG30</f>
        <v>13405</v>
      </c>
      <c r="H27" s="19">
        <v>0</v>
      </c>
      <c r="I27" s="39">
        <v>127.53411264087498</v>
      </c>
      <c r="J27" s="10">
        <f t="shared" si="0"/>
        <v>26985928.018897548</v>
      </c>
      <c r="K27" s="10"/>
      <c r="L27" s="15"/>
    </row>
    <row r="28" spans="1:26" x14ac:dyDescent="0.2">
      <c r="A28" s="3">
        <v>38018</v>
      </c>
      <c r="B28" s="29">
        <f>'[5]Consumption Data '!B31</f>
        <v>22842144</v>
      </c>
      <c r="C28" s="136">
        <v>631.70000000000005</v>
      </c>
      <c r="D28" s="136">
        <v>0</v>
      </c>
      <c r="E28" s="10">
        <v>29</v>
      </c>
      <c r="F28" s="10">
        <v>0</v>
      </c>
      <c r="G28" s="19">
        <f>'[5]Consumption Data '!AG31</f>
        <v>13415</v>
      </c>
      <c r="H28" s="19">
        <v>0</v>
      </c>
      <c r="I28" s="39">
        <v>127.79681203173486</v>
      </c>
      <c r="J28" s="10">
        <f t="shared" si="0"/>
        <v>22778651.625910006</v>
      </c>
      <c r="K28" s="10"/>
      <c r="L28" s="15"/>
    </row>
    <row r="29" spans="1:26" x14ac:dyDescent="0.2">
      <c r="A29" s="3">
        <v>38047</v>
      </c>
      <c r="B29" s="29">
        <f>'[5]Consumption Data '!B32</f>
        <v>21475552</v>
      </c>
      <c r="C29" s="136">
        <v>487.3</v>
      </c>
      <c r="D29" s="136">
        <v>0</v>
      </c>
      <c r="E29" s="10">
        <v>31</v>
      </c>
      <c r="F29" s="10">
        <v>1</v>
      </c>
      <c r="G29" s="19">
        <f>'[5]Consumption Data '!AG32</f>
        <v>13436</v>
      </c>
      <c r="H29" s="19">
        <v>0</v>
      </c>
      <c r="I29" s="39">
        <v>128.06005254032812</v>
      </c>
      <c r="J29" s="10">
        <f t="shared" si="0"/>
        <v>20949631.114277408</v>
      </c>
      <c r="K29" s="10"/>
      <c r="L29" s="15"/>
      <c r="M29" s="40" t="s">
        <v>22</v>
      </c>
      <c r="N29" s="75">
        <v>0.98781578769724032</v>
      </c>
    </row>
    <row r="30" spans="1:26" x14ac:dyDescent="0.2">
      <c r="A30" s="3">
        <v>38078</v>
      </c>
      <c r="B30" s="29">
        <f>'[5]Consumption Data '!B33</f>
        <v>17912215</v>
      </c>
      <c r="C30" s="136">
        <v>331.5</v>
      </c>
      <c r="D30" s="136">
        <v>0</v>
      </c>
      <c r="E30" s="10">
        <v>30</v>
      </c>
      <c r="F30" s="10">
        <v>1</v>
      </c>
      <c r="G30" s="19">
        <f>'[5]Consumption Data '!AG33</f>
        <v>13455</v>
      </c>
      <c r="H30" s="19">
        <v>0</v>
      </c>
      <c r="I30" s="39">
        <v>128.32383528126866</v>
      </c>
      <c r="J30" s="10">
        <f t="shared" si="0"/>
        <v>18204022.597525656</v>
      </c>
      <c r="K30" s="10"/>
      <c r="L30" s="15"/>
      <c r="M30" s="40" t="s">
        <v>23</v>
      </c>
      <c r="N30" s="75">
        <v>0.97578003042391936</v>
      </c>
    </row>
    <row r="31" spans="1:26" x14ac:dyDescent="0.2">
      <c r="A31" s="3">
        <v>38108</v>
      </c>
      <c r="B31" s="29">
        <f>'[5]Consumption Data '!B34</f>
        <v>16456491.999999998</v>
      </c>
      <c r="C31" s="136">
        <v>158.9</v>
      </c>
      <c r="D31" s="136">
        <v>8.6</v>
      </c>
      <c r="E31" s="10">
        <v>31</v>
      </c>
      <c r="F31" s="10">
        <v>1</v>
      </c>
      <c r="G31" s="19">
        <f>'[5]Consumption Data '!AG34</f>
        <v>13471</v>
      </c>
      <c r="H31" s="19">
        <v>0</v>
      </c>
      <c r="I31" s="39">
        <v>128.58816137146633</v>
      </c>
      <c r="J31" s="10">
        <f t="shared" si="0"/>
        <v>16646541.481276797</v>
      </c>
      <c r="K31" s="10"/>
      <c r="L31" s="15"/>
      <c r="M31" s="40" t="s">
        <v>24</v>
      </c>
      <c r="N31" s="75">
        <v>0.97449401434023364</v>
      </c>
    </row>
    <row r="32" spans="1:26" x14ac:dyDescent="0.2">
      <c r="A32" s="3">
        <v>38139</v>
      </c>
      <c r="B32" s="29">
        <f>'[5]Consumption Data '!B35</f>
        <v>15766963</v>
      </c>
      <c r="C32" s="136">
        <v>44.2</v>
      </c>
      <c r="D32" s="136">
        <v>31.6</v>
      </c>
      <c r="E32" s="10">
        <v>30</v>
      </c>
      <c r="F32" s="10">
        <v>0</v>
      </c>
      <c r="G32" s="19">
        <f>'[5]Consumption Data '!AG35</f>
        <v>13498</v>
      </c>
      <c r="H32" s="19">
        <v>0</v>
      </c>
      <c r="I32" s="39">
        <v>128.85303193013166</v>
      </c>
      <c r="J32" s="10">
        <f t="shared" si="0"/>
        <v>16146470.723720638</v>
      </c>
      <c r="K32" s="10"/>
      <c r="L32" s="15"/>
      <c r="M32" s="40" t="s">
        <v>25</v>
      </c>
      <c r="N32" s="73">
        <v>494549.69202423462</v>
      </c>
    </row>
    <row r="33" spans="1:19" ht="13.5" thickBot="1" x14ac:dyDescent="0.25">
      <c r="A33" s="3">
        <v>38169</v>
      </c>
      <c r="B33" s="29">
        <f>'[5]Consumption Data '!B36</f>
        <v>17509022</v>
      </c>
      <c r="C33" s="136">
        <v>3.6</v>
      </c>
      <c r="D33" s="136">
        <v>86.4</v>
      </c>
      <c r="E33" s="10">
        <v>31</v>
      </c>
      <c r="F33" s="10">
        <v>0</v>
      </c>
      <c r="G33" s="19">
        <f>'[5]Consumption Data '!AG36</f>
        <v>13510</v>
      </c>
      <c r="H33" s="19">
        <v>0</v>
      </c>
      <c r="I33" s="39">
        <v>129.11844807878055</v>
      </c>
      <c r="J33" s="10">
        <f t="shared" si="0"/>
        <v>17711106.700316615</v>
      </c>
      <c r="K33" s="10"/>
      <c r="L33" s="15"/>
      <c r="M33" s="61" t="s">
        <v>26</v>
      </c>
      <c r="N33" s="61">
        <v>120</v>
      </c>
    </row>
    <row r="34" spans="1:19" x14ac:dyDescent="0.2">
      <c r="A34" s="3">
        <v>38200</v>
      </c>
      <c r="B34" s="29">
        <f>'[5]Consumption Data '!B37</f>
        <v>17156978</v>
      </c>
      <c r="C34" s="136">
        <v>12.8</v>
      </c>
      <c r="D34" s="136">
        <v>59.6</v>
      </c>
      <c r="E34" s="10">
        <v>31</v>
      </c>
      <c r="F34" s="10">
        <v>0</v>
      </c>
      <c r="G34" s="19">
        <f>'[5]Consumption Data '!AG37</f>
        <v>13525</v>
      </c>
      <c r="H34" s="19">
        <v>0</v>
      </c>
      <c r="I34" s="39">
        <v>129.38441094123903</v>
      </c>
      <c r="J34" s="10">
        <f t="shared" si="0"/>
        <v>17109510.615187444</v>
      </c>
      <c r="K34" s="10"/>
      <c r="L34" s="15"/>
    </row>
    <row r="35" spans="1:19" ht="13.5" thickBot="1" x14ac:dyDescent="0.25">
      <c r="A35" s="3">
        <v>38231</v>
      </c>
      <c r="B35" s="29">
        <f>'[5]Consumption Data '!B38</f>
        <v>16118218</v>
      </c>
      <c r="C35" s="136">
        <v>30</v>
      </c>
      <c r="D35" s="136">
        <v>41.2</v>
      </c>
      <c r="E35" s="10">
        <v>30</v>
      </c>
      <c r="F35" s="10">
        <v>1</v>
      </c>
      <c r="G35" s="19">
        <f>'[5]Consumption Data '!AG38</f>
        <v>13556</v>
      </c>
      <c r="H35" s="19">
        <v>0</v>
      </c>
      <c r="I35" s="39">
        <v>129.65092164364802</v>
      </c>
      <c r="J35" s="10">
        <f t="shared" si="0"/>
        <v>15253150.576804591</v>
      </c>
      <c r="K35" s="10"/>
      <c r="L35" s="15"/>
      <c r="M35" t="s">
        <v>27</v>
      </c>
    </row>
    <row r="36" spans="1:19" x14ac:dyDescent="0.2">
      <c r="A36" s="3">
        <v>38261</v>
      </c>
      <c r="B36" s="29">
        <f>'[5]Consumption Data '!B39</f>
        <v>17179546.000000004</v>
      </c>
      <c r="C36" s="136">
        <v>226.3</v>
      </c>
      <c r="D36" s="136">
        <v>1.5</v>
      </c>
      <c r="E36" s="10">
        <v>31</v>
      </c>
      <c r="F36" s="10">
        <v>1</v>
      </c>
      <c r="G36" s="19">
        <f>'[5]Consumption Data '!AG39</f>
        <v>13575</v>
      </c>
      <c r="H36" s="19">
        <v>0</v>
      </c>
      <c r="I36" s="39">
        <v>129.91798131446814</v>
      </c>
      <c r="J36" s="10">
        <f t="shared" si="0"/>
        <v>17499027.009113677</v>
      </c>
      <c r="K36" s="10"/>
      <c r="L36" s="15"/>
      <c r="M36" s="62"/>
      <c r="N36" s="62" t="s">
        <v>31</v>
      </c>
      <c r="O36" s="62" t="s">
        <v>32</v>
      </c>
      <c r="P36" s="62" t="s">
        <v>33</v>
      </c>
      <c r="Q36" s="62" t="s">
        <v>34</v>
      </c>
      <c r="R36" s="62" t="s">
        <v>35</v>
      </c>
    </row>
    <row r="37" spans="1:19" x14ac:dyDescent="0.2">
      <c r="A37" s="3">
        <v>38292</v>
      </c>
      <c r="B37" s="29">
        <f>'[5]Consumption Data '!B40</f>
        <v>19264875</v>
      </c>
      <c r="C37" s="136">
        <v>379.1</v>
      </c>
      <c r="D37" s="136">
        <v>0</v>
      </c>
      <c r="E37" s="10">
        <v>30</v>
      </c>
      <c r="F37" s="10">
        <v>1</v>
      </c>
      <c r="G37" s="19">
        <f>'[5]Consumption Data '!AG40</f>
        <v>13609</v>
      </c>
      <c r="H37" s="19">
        <v>0</v>
      </c>
      <c r="I37" s="39">
        <v>130.18559108448443</v>
      </c>
      <c r="J37" s="10">
        <f t="shared" si="0"/>
        <v>19030946.953050483</v>
      </c>
      <c r="K37" s="10"/>
      <c r="L37" s="15"/>
      <c r="M37" s="40" t="s">
        <v>28</v>
      </c>
      <c r="N37" s="40">
        <v>6</v>
      </c>
      <c r="O37" s="40">
        <v>1113465198452240.7</v>
      </c>
      <c r="P37" s="40">
        <v>185577533075373.47</v>
      </c>
      <c r="Q37" s="73">
        <v>758.7619181459628</v>
      </c>
      <c r="R37" s="40">
        <v>8.1410520110362714E-89</v>
      </c>
    </row>
    <row r="38" spans="1:19" x14ac:dyDescent="0.2">
      <c r="A38" s="3">
        <v>38322</v>
      </c>
      <c r="B38" s="29">
        <f>'[5]Consumption Data '!B41</f>
        <v>25084905</v>
      </c>
      <c r="C38" s="136">
        <v>643.4</v>
      </c>
      <c r="D38" s="136">
        <v>0</v>
      </c>
      <c r="E38" s="10">
        <v>31</v>
      </c>
      <c r="F38" s="10">
        <v>0</v>
      </c>
      <c r="G38" s="19">
        <f>'[5]Consumption Data '!AG41</f>
        <v>13632</v>
      </c>
      <c r="H38" s="19">
        <v>0</v>
      </c>
      <c r="I38" s="39">
        <v>130.45375208681136</v>
      </c>
      <c r="J38" s="10">
        <f t="shared" si="0"/>
        <v>24357960.804751314</v>
      </c>
      <c r="K38" s="10"/>
      <c r="L38" s="15"/>
      <c r="M38" s="40" t="s">
        <v>29</v>
      </c>
      <c r="N38" s="40">
        <v>113</v>
      </c>
      <c r="O38" s="40">
        <v>27637471960582.977</v>
      </c>
      <c r="P38" s="40">
        <v>244579397881.26529</v>
      </c>
      <c r="Q38" s="40"/>
      <c r="R38" s="40"/>
    </row>
    <row r="39" spans="1:19" ht="13.5" thickBot="1" x14ac:dyDescent="0.25">
      <c r="A39" s="3">
        <v>38353</v>
      </c>
      <c r="B39" s="29">
        <f>'[5]Consumption Data '!B42</f>
        <v>27046364.470400002</v>
      </c>
      <c r="C39" s="136">
        <v>770</v>
      </c>
      <c r="D39" s="136">
        <v>0</v>
      </c>
      <c r="E39" s="10">
        <v>31</v>
      </c>
      <c r="F39" s="10">
        <v>0</v>
      </c>
      <c r="G39" s="19">
        <f>'[5]Consumption Data '!AG42</f>
        <v>13643</v>
      </c>
      <c r="H39" s="19">
        <v>0</v>
      </c>
      <c r="I39" s="39">
        <v>130.74370215685079</v>
      </c>
      <c r="J39" s="10">
        <f t="shared" si="0"/>
        <v>26135031.529835306</v>
      </c>
      <c r="K39" s="10"/>
      <c r="L39" s="15"/>
      <c r="M39" s="61" t="s">
        <v>10</v>
      </c>
      <c r="N39" s="61">
        <v>119</v>
      </c>
      <c r="O39" s="61">
        <v>1141102670412823.7</v>
      </c>
      <c r="P39" s="61"/>
      <c r="Q39" s="61"/>
      <c r="R39" s="61"/>
    </row>
    <row r="40" spans="1:19" ht="13.5" thickBot="1" x14ac:dyDescent="0.25">
      <c r="A40" s="3">
        <v>38384</v>
      </c>
      <c r="B40" s="29">
        <f>'[5]Consumption Data '!B43</f>
        <v>22591240.223199997</v>
      </c>
      <c r="C40" s="136">
        <v>616.4</v>
      </c>
      <c r="D40" s="136">
        <v>0</v>
      </c>
      <c r="E40" s="10">
        <v>28</v>
      </c>
      <c r="F40" s="10">
        <v>0</v>
      </c>
      <c r="G40" s="19">
        <f>'[5]Consumption Data '!AG43</f>
        <v>13652</v>
      </c>
      <c r="H40" s="19">
        <v>0</v>
      </c>
      <c r="I40" s="39">
        <v>131.0342966778299</v>
      </c>
      <c r="J40" s="10">
        <f t="shared" si="0"/>
        <v>22223245.93058607</v>
      </c>
      <c r="K40" s="10"/>
      <c r="L40" s="15"/>
    </row>
    <row r="41" spans="1:19" x14ac:dyDescent="0.2">
      <c r="A41" s="3">
        <v>38412</v>
      </c>
      <c r="B41" s="29">
        <f>'[5]Consumption Data '!B44</f>
        <v>22726877.137800001</v>
      </c>
      <c r="C41" s="136">
        <v>608.6</v>
      </c>
      <c r="D41" s="136">
        <v>0</v>
      </c>
      <c r="E41" s="10">
        <v>31</v>
      </c>
      <c r="F41" s="10">
        <v>1</v>
      </c>
      <c r="G41" s="19">
        <f>'[5]Consumption Data '!AG44</f>
        <v>13665</v>
      </c>
      <c r="H41" s="19">
        <v>0</v>
      </c>
      <c r="I41" s="39">
        <v>131.32553708212293</v>
      </c>
      <c r="J41" s="10">
        <f t="shared" si="0"/>
        <v>22883746.50157892</v>
      </c>
      <c r="K41" s="10"/>
      <c r="L41" s="15"/>
      <c r="M41" s="62"/>
      <c r="N41" s="62" t="s">
        <v>36</v>
      </c>
      <c r="O41" s="62" t="s">
        <v>25</v>
      </c>
      <c r="P41" s="62" t="s">
        <v>37</v>
      </c>
      <c r="Q41" s="62" t="s">
        <v>38</v>
      </c>
      <c r="R41" s="62" t="s">
        <v>39</v>
      </c>
      <c r="S41" s="62" t="s">
        <v>40</v>
      </c>
    </row>
    <row r="42" spans="1:19" x14ac:dyDescent="0.2">
      <c r="A42" s="3">
        <v>38443</v>
      </c>
      <c r="B42" s="29">
        <f>'[5]Consumption Data '!B45</f>
        <v>17649090.601999998</v>
      </c>
      <c r="C42" s="136">
        <v>306.8</v>
      </c>
      <c r="D42" s="136">
        <v>0</v>
      </c>
      <c r="E42" s="10">
        <v>30</v>
      </c>
      <c r="F42" s="10">
        <v>1</v>
      </c>
      <c r="G42" s="19">
        <f>'[5]Consumption Data '!AG45</f>
        <v>13678</v>
      </c>
      <c r="H42" s="19">
        <v>0</v>
      </c>
      <c r="I42" s="39">
        <v>131.61742480528775</v>
      </c>
      <c r="J42" s="10">
        <f t="shared" si="0"/>
        <v>18095834.370748684</v>
      </c>
      <c r="K42" s="10"/>
      <c r="L42" s="15"/>
      <c r="M42" s="40" t="s">
        <v>30</v>
      </c>
      <c r="N42" s="73">
        <v>-18464357.588604026</v>
      </c>
      <c r="O42" s="73">
        <v>3040161.0907691862</v>
      </c>
      <c r="P42" s="71">
        <v>-6.0734800023154003</v>
      </c>
      <c r="Q42" s="40">
        <v>1.7227841732868192E-8</v>
      </c>
      <c r="R42" s="73">
        <v>-24487464.838771529</v>
      </c>
      <c r="S42" s="73">
        <v>-12441250.338436522</v>
      </c>
    </row>
    <row r="43" spans="1:19" x14ac:dyDescent="0.2">
      <c r="A43" s="3">
        <v>38473</v>
      </c>
      <c r="B43" s="29">
        <f>'[5]Consumption Data '!B46</f>
        <v>16489823.156400001</v>
      </c>
      <c r="C43" s="136">
        <v>189.4</v>
      </c>
      <c r="D43" s="136">
        <v>0.8</v>
      </c>
      <c r="E43" s="10">
        <v>31</v>
      </c>
      <c r="F43" s="10">
        <v>1</v>
      </c>
      <c r="G43" s="19">
        <f>'[5]Consumption Data '!AG46</f>
        <v>13691</v>
      </c>
      <c r="H43" s="19">
        <v>0</v>
      </c>
      <c r="I43" s="39">
        <v>131.90996128607298</v>
      </c>
      <c r="J43" s="10">
        <f t="shared" si="0"/>
        <v>17087875.031652875</v>
      </c>
      <c r="K43" s="10"/>
      <c r="L43" s="15"/>
      <c r="M43" s="40" t="s">
        <v>3</v>
      </c>
      <c r="N43" s="73">
        <v>13938.978006487407</v>
      </c>
      <c r="O43" s="73">
        <v>298.20641949828456</v>
      </c>
      <c r="P43" s="71">
        <v>46.74271610228562</v>
      </c>
      <c r="Q43" s="40">
        <v>9.3135604331998816E-76</v>
      </c>
      <c r="R43" s="73">
        <v>13348.17732399062</v>
      </c>
      <c r="S43" s="73">
        <v>14529.778688984194</v>
      </c>
    </row>
    <row r="44" spans="1:19" x14ac:dyDescent="0.2">
      <c r="A44" s="3">
        <v>38504</v>
      </c>
      <c r="B44" s="29">
        <f>'[5]Consumption Data '!B47</f>
        <v>18724231.911000002</v>
      </c>
      <c r="C44" s="136">
        <v>8.9</v>
      </c>
      <c r="D44" s="136">
        <v>146.30000000000001</v>
      </c>
      <c r="E44" s="10">
        <v>30</v>
      </c>
      <c r="F44" s="10">
        <v>0</v>
      </c>
      <c r="G44" s="19">
        <f>'[5]Consumption Data '!AG47</f>
        <v>13727</v>
      </c>
      <c r="H44" s="19">
        <v>0</v>
      </c>
      <c r="I44" s="39">
        <v>132.20314796642501</v>
      </c>
      <c r="J44" s="10">
        <f t="shared" si="0"/>
        <v>19088650.131406978</v>
      </c>
      <c r="K44" s="10"/>
      <c r="L44" s="15"/>
      <c r="M44" s="40" t="s">
        <v>4</v>
      </c>
      <c r="N44" s="73">
        <v>27788.564379241248</v>
      </c>
      <c r="O44" s="73">
        <v>1709.9108306442968</v>
      </c>
      <c r="P44" s="71">
        <v>16.251469890257656</v>
      </c>
      <c r="Q44" s="40">
        <v>2.3913863370228695E-31</v>
      </c>
      <c r="R44" s="73">
        <v>24400.922733387582</v>
      </c>
      <c r="S44" s="73">
        <v>31176.206025094914</v>
      </c>
    </row>
    <row r="45" spans="1:19" x14ac:dyDescent="0.2">
      <c r="A45" s="3">
        <v>38534</v>
      </c>
      <c r="B45" s="29">
        <f>'[5]Consumption Data '!B48</f>
        <v>20388287.713199999</v>
      </c>
      <c r="C45" s="136">
        <v>0</v>
      </c>
      <c r="D45" s="136">
        <v>188.7</v>
      </c>
      <c r="E45" s="10">
        <v>31</v>
      </c>
      <c r="F45" s="10">
        <v>0</v>
      </c>
      <c r="G45" s="19">
        <f>'[5]Consumption Data '!AG48</f>
        <v>13742</v>
      </c>
      <c r="H45" s="19">
        <v>0</v>
      </c>
      <c r="I45" s="39">
        <v>132.49698629149512</v>
      </c>
      <c r="J45" s="10">
        <f t="shared" si="0"/>
        <v>20753453.562039748</v>
      </c>
      <c r="K45" s="10"/>
      <c r="L45" s="15"/>
      <c r="M45" s="40" t="s">
        <v>5</v>
      </c>
      <c r="N45" s="73">
        <v>592738.91469965945</v>
      </c>
      <c r="O45" s="73">
        <v>57288.955046838695</v>
      </c>
      <c r="P45" s="71">
        <v>10.346478029055408</v>
      </c>
      <c r="Q45" s="40">
        <v>4.7154761878873238E-18</v>
      </c>
      <c r="R45" s="73">
        <v>479239.16577358131</v>
      </c>
      <c r="S45" s="73">
        <v>706238.66362573754</v>
      </c>
    </row>
    <row r="46" spans="1:19" x14ac:dyDescent="0.2">
      <c r="A46" s="3">
        <v>38565</v>
      </c>
      <c r="B46" s="29">
        <f>'[5]Consumption Data '!B49</f>
        <v>18991999.549600001</v>
      </c>
      <c r="C46" s="136">
        <v>0.2</v>
      </c>
      <c r="D46" s="136">
        <v>140.69999999999999</v>
      </c>
      <c r="E46" s="10">
        <v>31</v>
      </c>
      <c r="F46" s="10">
        <v>0</v>
      </c>
      <c r="G46" s="19">
        <f>'[5]Consumption Data '!AG49</f>
        <v>13774</v>
      </c>
      <c r="H46" s="19">
        <v>0</v>
      </c>
      <c r="I46" s="39">
        <v>132.79147770964664</v>
      </c>
      <c r="J46" s="10">
        <f t="shared" si="0"/>
        <v>19454418.669177622</v>
      </c>
      <c r="K46" s="10"/>
      <c r="L46" s="15"/>
      <c r="M46" s="40" t="s">
        <v>19</v>
      </c>
      <c r="N46" s="73">
        <v>-1026530.8279321169</v>
      </c>
      <c r="O46" s="73">
        <v>126363.11276100943</v>
      </c>
      <c r="P46" s="71">
        <v>-8.1236589183553498</v>
      </c>
      <c r="Q46" s="40">
        <v>6.2869877541904224E-13</v>
      </c>
      <c r="R46" s="73">
        <v>-1276878.937094979</v>
      </c>
      <c r="S46" s="73">
        <v>-776182.71876925498</v>
      </c>
    </row>
    <row r="47" spans="1:19" x14ac:dyDescent="0.2">
      <c r="A47" s="3">
        <v>38596</v>
      </c>
      <c r="B47" s="29">
        <f>'[5]Consumption Data '!B50</f>
        <v>16294844.981800001</v>
      </c>
      <c r="C47" s="136">
        <v>22.6</v>
      </c>
      <c r="D47" s="136">
        <v>52.1</v>
      </c>
      <c r="E47" s="10">
        <v>30</v>
      </c>
      <c r="F47" s="10">
        <v>1</v>
      </c>
      <c r="G47" s="19">
        <f>'[5]Consumption Data '!AG50</f>
        <v>13777</v>
      </c>
      <c r="H47" s="19">
        <v>0</v>
      </c>
      <c r="I47" s="39">
        <v>133.08662367246211</v>
      </c>
      <c r="J47" s="10">
        <f t="shared" si="0"/>
        <v>15687410.224058088</v>
      </c>
      <c r="K47" s="10"/>
      <c r="L47" s="15"/>
      <c r="M47" s="40" t="s">
        <v>87</v>
      </c>
      <c r="N47" s="73">
        <v>1137.5875650112262</v>
      </c>
      <c r="O47" s="73">
        <v>190.62624649918092</v>
      </c>
      <c r="P47" s="71">
        <v>5.9676334497627224</v>
      </c>
      <c r="Q47" s="40">
        <v>2.8260724643025454E-8</v>
      </c>
      <c r="R47" s="73">
        <v>759.92260151715686</v>
      </c>
      <c r="S47" s="73">
        <v>1515.2525285052955</v>
      </c>
    </row>
    <row r="48" spans="1:19" ht="13.5" thickBot="1" x14ac:dyDescent="0.25">
      <c r="A48" s="3">
        <v>38626</v>
      </c>
      <c r="B48" s="29">
        <f>'[5]Consumption Data '!B51</f>
        <v>17508332.9058</v>
      </c>
      <c r="C48" s="136">
        <v>220.2</v>
      </c>
      <c r="D48" s="136">
        <v>7.6</v>
      </c>
      <c r="E48" s="10">
        <v>31</v>
      </c>
      <c r="F48" s="10">
        <v>1</v>
      </c>
      <c r="G48" s="19">
        <f>'[5]Consumption Data '!AG51</f>
        <v>13783</v>
      </c>
      <c r="H48" s="19">
        <v>0</v>
      </c>
      <c r="I48" s="39">
        <v>133.38242563475035</v>
      </c>
      <c r="J48" s="10">
        <f t="shared" si="0"/>
        <v>17804070.053818636</v>
      </c>
      <c r="K48" s="10"/>
      <c r="L48" s="15"/>
      <c r="M48" s="61" t="s">
        <v>83</v>
      </c>
      <c r="N48" s="156">
        <v>-0.30732407374363235</v>
      </c>
      <c r="O48" s="74">
        <v>0.68737603632723332</v>
      </c>
      <c r="P48" s="72">
        <v>-0.44709745103381399</v>
      </c>
      <c r="Q48" s="61">
        <v>0.65566049056822884</v>
      </c>
      <c r="R48" s="61">
        <v>-1.6691399329639316</v>
      </c>
      <c r="S48" s="61">
        <v>1.0544917854766669</v>
      </c>
    </row>
    <row r="49" spans="1:12" x14ac:dyDescent="0.2">
      <c r="A49" s="3">
        <v>38657</v>
      </c>
      <c r="B49" s="29">
        <f>'[5]Consumption Data '!B52</f>
        <v>19503982.891800001</v>
      </c>
      <c r="C49" s="136">
        <v>388.4</v>
      </c>
      <c r="D49" s="136">
        <v>0</v>
      </c>
      <c r="E49" s="10">
        <v>30</v>
      </c>
      <c r="F49" s="10">
        <v>1</v>
      </c>
      <c r="G49" s="19">
        <f>'[5]Consumption Data '!AG52</f>
        <v>13782</v>
      </c>
      <c r="H49" s="19">
        <v>0</v>
      </c>
      <c r="I49" s="39">
        <v>133.67888505455369</v>
      </c>
      <c r="J49" s="10">
        <f t="shared" si="0"/>
        <v>19343912.681556929</v>
      </c>
      <c r="K49" s="10"/>
      <c r="L49" s="15"/>
    </row>
    <row r="50" spans="1:12" x14ac:dyDescent="0.2">
      <c r="A50" s="3">
        <v>38687</v>
      </c>
      <c r="B50" s="29">
        <f>'[5]Consumption Data '!B53</f>
        <v>24772252.2872</v>
      </c>
      <c r="C50" s="136">
        <v>665.3</v>
      </c>
      <c r="D50" s="136">
        <v>0</v>
      </c>
      <c r="E50" s="10">
        <v>31</v>
      </c>
      <c r="F50" s="10">
        <v>0</v>
      </c>
      <c r="G50" s="19">
        <f>'[5]Consumption Data '!AG53</f>
        <v>13793</v>
      </c>
      <c r="H50" s="19">
        <v>0</v>
      </c>
      <c r="I50" s="39">
        <v>133.97600339315525</v>
      </c>
      <c r="J50" s="10">
        <f t="shared" si="0"/>
        <v>24833918.58696264</v>
      </c>
      <c r="K50" s="10"/>
      <c r="L50" s="15"/>
    </row>
    <row r="51" spans="1:12" x14ac:dyDescent="0.2">
      <c r="A51" s="3">
        <v>38718</v>
      </c>
      <c r="B51" s="29">
        <f>'[5]Consumption Data '!B54</f>
        <v>23275097</v>
      </c>
      <c r="C51" s="136">
        <v>551.79999999999995</v>
      </c>
      <c r="D51" s="136">
        <v>0</v>
      </c>
      <c r="E51" s="10">
        <v>31</v>
      </c>
      <c r="F51" s="10">
        <v>0</v>
      </c>
      <c r="G51" s="19">
        <f>'[5]Consumption Data '!AG54</f>
        <v>13803</v>
      </c>
      <c r="H51" s="19">
        <f>'CDM Activity'!F16</f>
        <v>18879.348483180471</v>
      </c>
      <c r="I51" s="39">
        <v>134.25197202423305</v>
      </c>
      <c r="J51" s="10">
        <f t="shared" si="0"/>
        <v>23261773.01135356</v>
      </c>
      <c r="K51" s="10"/>
      <c r="L51" s="15"/>
    </row>
    <row r="52" spans="1:12" x14ac:dyDescent="0.2">
      <c r="A52" s="3">
        <v>38749</v>
      </c>
      <c r="B52" s="29">
        <f>'[5]Consumption Data '!B55</f>
        <v>21949172.799999997</v>
      </c>
      <c r="C52" s="136">
        <v>604.29999999999995</v>
      </c>
      <c r="D52" s="136">
        <v>0</v>
      </c>
      <c r="E52" s="10">
        <v>28</v>
      </c>
      <c r="F52" s="10">
        <v>0</v>
      </c>
      <c r="G52" s="19">
        <f>'[5]Consumption Data '!AG55</f>
        <v>13808</v>
      </c>
      <c r="H52" s="19">
        <f>'CDM Activity'!F17</f>
        <v>37758.696966360942</v>
      </c>
      <c r="I52" s="39">
        <v>134.52850910550649</v>
      </c>
      <c r="J52" s="10">
        <f t="shared" si="0"/>
        <v>22219781.967348609</v>
      </c>
      <c r="K52" s="10"/>
      <c r="L52" s="15"/>
    </row>
    <row r="53" spans="1:12" x14ac:dyDescent="0.2">
      <c r="A53" s="3">
        <v>38777</v>
      </c>
      <c r="B53" s="29">
        <f>'[5]Consumption Data '!B56</f>
        <v>22008625.099999998</v>
      </c>
      <c r="C53" s="136">
        <v>516.6</v>
      </c>
      <c r="D53" s="136">
        <v>0</v>
      </c>
      <c r="E53" s="10">
        <v>31</v>
      </c>
      <c r="F53" s="10">
        <v>1</v>
      </c>
      <c r="G53" s="19">
        <f>'[5]Consumption Data '!AG56</f>
        <v>13817</v>
      </c>
      <c r="H53" s="19">
        <f>'CDM Activity'!F18</f>
        <v>56638.045449541416</v>
      </c>
      <c r="I53" s="39">
        <v>134.80561580788986</v>
      </c>
      <c r="J53" s="10">
        <f t="shared" si="0"/>
        <v>21761851.897878297</v>
      </c>
      <c r="K53" s="10"/>
      <c r="L53" s="15"/>
    </row>
    <row r="54" spans="1:12" x14ac:dyDescent="0.2">
      <c r="A54" s="3">
        <v>38808</v>
      </c>
      <c r="B54" s="29">
        <f>'[5]Consumption Data '!B57</f>
        <v>17506649</v>
      </c>
      <c r="C54" s="136">
        <v>293.3</v>
      </c>
      <c r="D54" s="136">
        <v>0</v>
      </c>
      <c r="E54" s="10">
        <v>30</v>
      </c>
      <c r="F54" s="10">
        <v>1</v>
      </c>
      <c r="G54" s="19">
        <f>'[5]Consumption Data '!AG57</f>
        <v>13833</v>
      </c>
      <c r="H54" s="19">
        <f>'CDM Activity'!F19</f>
        <v>75517.393932721883</v>
      </c>
      <c r="I54" s="39">
        <v>135.08329330470943</v>
      </c>
      <c r="J54" s="10">
        <f t="shared" si="0"/>
        <v>18071788.212466292</v>
      </c>
      <c r="K54" s="10"/>
      <c r="L54" s="15"/>
    </row>
    <row r="55" spans="1:12" x14ac:dyDescent="0.2">
      <c r="A55" s="3">
        <v>38838</v>
      </c>
      <c r="B55" s="29">
        <f>'[5]Consumption Data '!B58</f>
        <v>16720482.399999999</v>
      </c>
      <c r="C55" s="136">
        <v>136.9</v>
      </c>
      <c r="D55" s="136">
        <v>26</v>
      </c>
      <c r="E55" s="10">
        <v>31</v>
      </c>
      <c r="F55" s="10">
        <v>1</v>
      </c>
      <c r="G55" s="19">
        <f>'[5]Consumption Data '!AG58</f>
        <v>13832</v>
      </c>
      <c r="H55" s="19">
        <f>'CDM Activity'!F20</f>
        <v>94396.74241590235</v>
      </c>
      <c r="I55" s="39">
        <v>135.36154277170829</v>
      </c>
      <c r="J55" s="10">
        <f t="shared" si="0"/>
        <v>17206403.870576821</v>
      </c>
      <c r="K55" s="10"/>
      <c r="L55" s="15"/>
    </row>
    <row r="56" spans="1:12" x14ac:dyDescent="0.2">
      <c r="A56" s="3">
        <v>38869</v>
      </c>
      <c r="B56" s="29">
        <f>'[5]Consumption Data '!B59</f>
        <v>17643644.800000001</v>
      </c>
      <c r="C56" s="136">
        <v>19.5</v>
      </c>
      <c r="D56" s="136">
        <v>73.599999999999994</v>
      </c>
      <c r="E56" s="10">
        <v>30</v>
      </c>
      <c r="F56" s="10">
        <v>0</v>
      </c>
      <c r="G56" s="19">
        <f>'[5]Consumption Data '!AG59</f>
        <v>13744</v>
      </c>
      <c r="H56" s="19">
        <f>'CDM Activity'!F21</f>
        <v>113276.09089908282</v>
      </c>
      <c r="I56" s="39">
        <v>135.64036538705133</v>
      </c>
      <c r="J56" s="10">
        <f t="shared" si="0"/>
        <v>17231408.508481607</v>
      </c>
      <c r="K56" s="10"/>
      <c r="L56" s="15"/>
    </row>
    <row r="57" spans="1:12" x14ac:dyDescent="0.2">
      <c r="A57" s="3">
        <v>38899</v>
      </c>
      <c r="B57" s="29">
        <f>'[5]Consumption Data '!B60</f>
        <v>20377984.800000001</v>
      </c>
      <c r="C57" s="136">
        <v>0</v>
      </c>
      <c r="D57" s="136">
        <v>167.3</v>
      </c>
      <c r="E57" s="10">
        <v>31</v>
      </c>
      <c r="F57" s="10">
        <v>0</v>
      </c>
      <c r="G57" s="19">
        <f>'[5]Consumption Data '!AG60</f>
        <v>13764</v>
      </c>
      <c r="H57" s="19">
        <f>'CDM Activity'!F22</f>
        <v>132155.43938226328</v>
      </c>
      <c r="I57" s="39">
        <v>135.9197623313303</v>
      </c>
      <c r="J57" s="10">
        <f t="shared" si="0"/>
        <v>20181249.894876122</v>
      </c>
      <c r="K57" s="10"/>
      <c r="L57" s="15"/>
    </row>
    <row r="58" spans="1:12" x14ac:dyDescent="0.2">
      <c r="A58" s="3">
        <v>38930</v>
      </c>
      <c r="B58" s="29">
        <f>'[5]Consumption Data '!B61</f>
        <v>18444800.600000001</v>
      </c>
      <c r="C58" s="136">
        <v>4.2</v>
      </c>
      <c r="D58" s="136">
        <v>101.6</v>
      </c>
      <c r="E58" s="10">
        <v>31</v>
      </c>
      <c r="F58" s="10">
        <v>0</v>
      </c>
      <c r="G58" s="19">
        <f>'[5]Consumption Data '!AG61</f>
        <v>13786</v>
      </c>
      <c r="H58" s="19">
        <f>'CDM Activity'!F23</f>
        <v>151034.78786544377</v>
      </c>
      <c r="I58" s="39">
        <v>136.19973478756879</v>
      </c>
      <c r="J58" s="10">
        <f t="shared" si="0"/>
        <v>18434851.593248367</v>
      </c>
      <c r="K58" s="10"/>
      <c r="L58" s="15"/>
    </row>
    <row r="59" spans="1:12" x14ac:dyDescent="0.2">
      <c r="A59" s="3">
        <v>38961</v>
      </c>
      <c r="B59" s="29">
        <f>'[5]Consumption Data '!B62</f>
        <v>15835529.300000001</v>
      </c>
      <c r="C59" s="136">
        <v>80.900000000000006</v>
      </c>
      <c r="D59" s="136">
        <v>12.9</v>
      </c>
      <c r="E59" s="10">
        <v>30</v>
      </c>
      <c r="F59" s="10">
        <v>1</v>
      </c>
      <c r="G59" s="19">
        <f>'[5]Consumption Data '!AG62</f>
        <v>13796</v>
      </c>
      <c r="H59" s="19">
        <f>'CDM Activity'!F24</f>
        <v>169914.13634862425</v>
      </c>
      <c r="I59" s="39">
        <v>136.48028394122719</v>
      </c>
      <c r="J59" s="10">
        <f t="shared" si="0"/>
        <v>15429681.281476783</v>
      </c>
      <c r="K59" s="10"/>
      <c r="L59" s="15"/>
    </row>
    <row r="60" spans="1:12" x14ac:dyDescent="0.2">
      <c r="A60" s="3">
        <v>38991</v>
      </c>
      <c r="B60" s="29">
        <f>'[5]Consumption Data '!B63</f>
        <v>18304413.900000002</v>
      </c>
      <c r="C60" s="136">
        <v>288.3</v>
      </c>
      <c r="D60" s="136">
        <v>1.1000000000000001</v>
      </c>
      <c r="E60" s="10">
        <v>31</v>
      </c>
      <c r="F60" s="10">
        <v>1</v>
      </c>
      <c r="G60" s="19">
        <f>'[5]Consumption Data '!AG63</f>
        <v>13814</v>
      </c>
      <c r="H60" s="19">
        <f>'CDM Activity'!F25</f>
        <v>188793.48483180473</v>
      </c>
      <c r="I60" s="39">
        <v>136.76141098020776</v>
      </c>
      <c r="J60" s="10">
        <f t="shared" si="0"/>
        <v>18605676.287245505</v>
      </c>
      <c r="K60" s="10"/>
      <c r="L60" s="15"/>
    </row>
    <row r="61" spans="1:12" x14ac:dyDescent="0.2">
      <c r="A61" s="3">
        <v>39022</v>
      </c>
      <c r="B61" s="29">
        <f>'[5]Consumption Data '!B64</f>
        <v>19538670.800000001</v>
      </c>
      <c r="C61" s="136">
        <v>382.2</v>
      </c>
      <c r="D61" s="136">
        <v>0</v>
      </c>
      <c r="E61" s="10">
        <v>30</v>
      </c>
      <c r="F61" s="10">
        <v>1</v>
      </c>
      <c r="G61" s="19">
        <f>'[5]Consumption Data '!AG64</f>
        <v>13635</v>
      </c>
      <c r="H61" s="19">
        <f>'CDM Activity'!F26</f>
        <v>207672.83331498521</v>
      </c>
      <c r="I61" s="39">
        <v>137.04311709485967</v>
      </c>
      <c r="J61" s="10">
        <f t="shared" si="0"/>
        <v>19101720.74094227</v>
      </c>
      <c r="K61" s="10"/>
      <c r="L61" s="15"/>
    </row>
    <row r="62" spans="1:12" x14ac:dyDescent="0.2">
      <c r="A62" s="3">
        <v>39052</v>
      </c>
      <c r="B62" s="29">
        <f>'[5]Consumption Data '!B65</f>
        <v>22793828.200000003</v>
      </c>
      <c r="C62" s="136">
        <v>500.5</v>
      </c>
      <c r="D62" s="136">
        <v>0</v>
      </c>
      <c r="E62" s="10">
        <v>31</v>
      </c>
      <c r="F62" s="10">
        <v>0</v>
      </c>
      <c r="G62" s="19">
        <f>'[5]Consumption Data '!AG65</f>
        <v>13832</v>
      </c>
      <c r="H62" s="19">
        <f>'CDM Activity'!F27</f>
        <v>226552.18179816569</v>
      </c>
      <c r="I62" s="39">
        <v>137.32540347798411</v>
      </c>
      <c r="J62" s="10">
        <f t="shared" si="0"/>
        <v>22577125.564560365</v>
      </c>
      <c r="K62" s="10"/>
      <c r="L62" s="15"/>
    </row>
    <row r="63" spans="1:12" x14ac:dyDescent="0.2">
      <c r="A63" s="3">
        <v>39083</v>
      </c>
      <c r="B63" s="29">
        <f>'[5]Consumption Data '!B66</f>
        <v>24279309.5</v>
      </c>
      <c r="C63" s="136">
        <v>647.1</v>
      </c>
      <c r="D63" s="136">
        <v>0</v>
      </c>
      <c r="E63" s="10">
        <v>31</v>
      </c>
      <c r="F63" s="10">
        <v>0</v>
      </c>
      <c r="G63" s="19">
        <f>'[5]Consumption Data '!AG66</f>
        <v>13849</v>
      </c>
      <c r="H63" s="19">
        <f>'CDM Activity'!F28</f>
        <v>223176.57467799078</v>
      </c>
      <c r="I63" s="39">
        <v>137.58587596073079</v>
      </c>
      <c r="J63" s="10">
        <f t="shared" si="0"/>
        <v>24639449.642676905</v>
      </c>
      <c r="K63" s="10"/>
      <c r="L63" s="15"/>
    </row>
    <row r="64" spans="1:12" x14ac:dyDescent="0.2">
      <c r="A64" s="3">
        <v>39114</v>
      </c>
      <c r="B64" s="29">
        <f>'[5]Consumption Data '!B67</f>
        <v>23881688.099999998</v>
      </c>
      <c r="C64" s="136">
        <v>740.1</v>
      </c>
      <c r="D64" s="136">
        <v>0</v>
      </c>
      <c r="E64" s="10">
        <v>28</v>
      </c>
      <c r="F64" s="10">
        <v>0</v>
      </c>
      <c r="G64" s="19">
        <f>'[5]Consumption Data '!AG67</f>
        <v>13861</v>
      </c>
      <c r="H64" s="19">
        <f>'CDM Activity'!F29</f>
        <v>219800.96755781586</v>
      </c>
      <c r="I64" s="39">
        <v>137.84684249565245</v>
      </c>
      <c r="J64" s="10">
        <f t="shared" si="0"/>
        <v>24169640.654574644</v>
      </c>
      <c r="K64" s="10"/>
      <c r="L64" s="15"/>
    </row>
    <row r="65" spans="1:12" x14ac:dyDescent="0.2">
      <c r="A65" s="3">
        <v>39142</v>
      </c>
      <c r="B65" s="29">
        <f>'[5]Consumption Data '!B68</f>
        <v>22297189.800000001</v>
      </c>
      <c r="C65" s="136">
        <v>546.70000000000005</v>
      </c>
      <c r="D65" s="136">
        <v>0</v>
      </c>
      <c r="E65" s="10">
        <v>31</v>
      </c>
      <c r="F65" s="10">
        <v>1</v>
      </c>
      <c r="G65" s="19">
        <f>'[5]Consumption Data '!AG68</f>
        <v>13865</v>
      </c>
      <c r="H65" s="19">
        <f>'CDM Activity'!F30</f>
        <v>216425.36043764095</v>
      </c>
      <c r="I65" s="39">
        <v>138.10830401984444</v>
      </c>
      <c r="J65" s="10">
        <f t="shared" si="0"/>
        <v>22232443.572060354</v>
      </c>
      <c r="K65" s="10"/>
      <c r="L65" s="15"/>
    </row>
    <row r="66" spans="1:12" x14ac:dyDescent="0.2">
      <c r="A66" s="3">
        <v>39173</v>
      </c>
      <c r="B66" s="29">
        <f>'[5]Consumption Data '!B69</f>
        <v>18569417.100000001</v>
      </c>
      <c r="C66" s="136">
        <v>356.4</v>
      </c>
      <c r="D66" s="136">
        <v>0</v>
      </c>
      <c r="E66" s="10">
        <v>30</v>
      </c>
      <c r="F66" s="10">
        <v>1</v>
      </c>
      <c r="G66" s="19">
        <f>'[5]Consumption Data '!AG69</f>
        <v>13869</v>
      </c>
      <c r="H66" s="19">
        <f>'CDM Activity'!F31</f>
        <v>213049.75331746603</v>
      </c>
      <c r="I66" s="39">
        <v>138.37026147217955</v>
      </c>
      <c r="J66" s="10">
        <f t="shared" si="0"/>
        <v>18989846.744522568</v>
      </c>
      <c r="K66" s="10"/>
      <c r="L66" s="15"/>
    </row>
    <row r="67" spans="1:12" x14ac:dyDescent="0.2">
      <c r="A67" s="3">
        <v>39203</v>
      </c>
      <c r="B67" s="29">
        <f>'[5]Consumption Data '!B70</f>
        <v>16382762.399999999</v>
      </c>
      <c r="C67" s="136">
        <v>136.4</v>
      </c>
      <c r="D67" s="136">
        <v>22.4</v>
      </c>
      <c r="E67" s="10">
        <v>31</v>
      </c>
      <c r="F67" s="10">
        <v>1</v>
      </c>
      <c r="G67" s="19">
        <f>'[5]Consumption Data '!AG70</f>
        <v>13873</v>
      </c>
      <c r="H67" s="19">
        <f>'CDM Activity'!F32</f>
        <v>209674.14619729112</v>
      </c>
      <c r="I67" s="39">
        <v>138.63271579331135</v>
      </c>
      <c r="J67" s="10">
        <f t="shared" si="0"/>
        <v>17142688.053843647</v>
      </c>
      <c r="K67" s="10"/>
      <c r="L67" s="15"/>
    </row>
    <row r="68" spans="1:12" x14ac:dyDescent="0.2">
      <c r="A68" s="3">
        <v>39234</v>
      </c>
      <c r="B68" s="29">
        <f>'[5]Consumption Data '!B71</f>
        <v>17880105.399999999</v>
      </c>
      <c r="C68" s="136">
        <v>16.5</v>
      </c>
      <c r="D68" s="136">
        <v>99.2</v>
      </c>
      <c r="E68" s="10">
        <v>30</v>
      </c>
      <c r="F68" s="10">
        <v>0</v>
      </c>
      <c r="G68" s="19">
        <f>'[5]Consumption Data '!AG71</f>
        <v>13881</v>
      </c>
      <c r="H68" s="19">
        <f>'CDM Activity'!F33</f>
        <v>206298.53907711621</v>
      </c>
      <c r="I68" s="39">
        <v>138.89566792567766</v>
      </c>
      <c r="J68" s="10">
        <f t="shared" ref="J68:J131" si="1">$N$18+C68*$N$19+D68*$N$20+E68*$N$21+F68*$N$22+G68*$N$23</f>
        <v>18047100.478027076</v>
      </c>
      <c r="K68" s="10"/>
      <c r="L68" s="15"/>
    </row>
    <row r="69" spans="1:12" x14ac:dyDescent="0.2">
      <c r="A69" s="3">
        <v>39264</v>
      </c>
      <c r="B69" s="29">
        <f>'[5]Consumption Data '!B72</f>
        <v>18476519.899999999</v>
      </c>
      <c r="C69" s="136">
        <v>3.2</v>
      </c>
      <c r="D69" s="136">
        <v>106.1</v>
      </c>
      <c r="E69" s="10">
        <v>31</v>
      </c>
      <c r="F69" s="10">
        <v>0</v>
      </c>
      <c r="G69" s="19">
        <f>'[5]Consumption Data '!AG72</f>
        <v>13905</v>
      </c>
      <c r="H69" s="19">
        <f>'CDM Activity'!F34</f>
        <v>202922.93195694129</v>
      </c>
      <c r="I69" s="39">
        <v>139.1591188135038</v>
      </c>
      <c r="J69" s="10">
        <f t="shared" si="1"/>
        <v>18672201.289655663</v>
      </c>
      <c r="K69" s="10"/>
      <c r="L69" s="15"/>
    </row>
    <row r="70" spans="1:12" x14ac:dyDescent="0.2">
      <c r="A70" s="3">
        <v>39295</v>
      </c>
      <c r="B70" s="29">
        <f>'[5]Consumption Data '!B73</f>
        <v>19239333.699999999</v>
      </c>
      <c r="C70" s="136">
        <v>5.2</v>
      </c>
      <c r="D70" s="136">
        <v>141</v>
      </c>
      <c r="E70" s="10">
        <v>31</v>
      </c>
      <c r="F70" s="10">
        <v>0</v>
      </c>
      <c r="G70" s="19">
        <f>'[5]Consumption Data '!AG73</f>
        <v>13925</v>
      </c>
      <c r="H70" s="19">
        <f>'CDM Activity'!F35</f>
        <v>199547.32483676638</v>
      </c>
      <c r="I70" s="39">
        <v>139.42306940280611</v>
      </c>
      <c r="J70" s="10">
        <f t="shared" si="1"/>
        <v>19692462.737256784</v>
      </c>
      <c r="K70" s="10"/>
      <c r="L70" s="15"/>
    </row>
    <row r="71" spans="1:12" x14ac:dyDescent="0.2">
      <c r="A71" s="3">
        <v>39326</v>
      </c>
      <c r="B71" s="29">
        <f>'[5]Consumption Data '!B74</f>
        <v>16489843.199999999</v>
      </c>
      <c r="C71" s="136">
        <v>36.9</v>
      </c>
      <c r="D71" s="136">
        <v>47.5</v>
      </c>
      <c r="E71" s="10">
        <v>30</v>
      </c>
      <c r="F71" s="10">
        <v>1</v>
      </c>
      <c r="G71" s="19">
        <f>'[5]Consumption Data '!AG74</f>
        <v>13949</v>
      </c>
      <c r="H71" s="19">
        <f>'CDM Activity'!F36</f>
        <v>196171.71771659146</v>
      </c>
      <c r="I71" s="39">
        <v>139.68752064139528</v>
      </c>
      <c r="J71" s="10">
        <f t="shared" si="1"/>
        <v>15941033.764118351</v>
      </c>
      <c r="K71" s="10"/>
      <c r="L71" s="15"/>
    </row>
    <row r="72" spans="1:12" x14ac:dyDescent="0.2">
      <c r="A72" s="3">
        <v>39356</v>
      </c>
      <c r="B72" s="29">
        <f>'[5]Consumption Data '!B75</f>
        <v>17241374.899999999</v>
      </c>
      <c r="C72" s="136">
        <v>137.69999999999999</v>
      </c>
      <c r="D72" s="136">
        <v>19.8</v>
      </c>
      <c r="E72" s="10">
        <v>31</v>
      </c>
      <c r="F72" s="10">
        <v>1</v>
      </c>
      <c r="G72" s="19">
        <f>'[5]Consumption Data '!AG75</f>
        <v>13987</v>
      </c>
      <c r="H72" s="19">
        <f>'CDM Activity'!F37</f>
        <v>192796.11059641655</v>
      </c>
      <c r="I72" s="39">
        <v>139.95247347887977</v>
      </c>
      <c r="J72" s="10">
        <f t="shared" si="1"/>
        <v>17209237.810583323</v>
      </c>
      <c r="K72" s="10"/>
      <c r="L72" s="15"/>
    </row>
    <row r="73" spans="1:12" x14ac:dyDescent="0.2">
      <c r="A73" s="3">
        <v>39387</v>
      </c>
      <c r="B73" s="29">
        <f>'[5]Consumption Data '!B76</f>
        <v>20822608.399999999</v>
      </c>
      <c r="C73" s="136">
        <v>462.5</v>
      </c>
      <c r="D73" s="136">
        <v>0</v>
      </c>
      <c r="E73" s="10">
        <v>30</v>
      </c>
      <c r="F73" s="10">
        <v>1</v>
      </c>
      <c r="G73" s="19">
        <f>'[5]Consumption Data '!AG76</f>
        <v>14001</v>
      </c>
      <c r="H73" s="19">
        <f>'CDM Activity'!F38</f>
        <v>189420.50347624163</v>
      </c>
      <c r="I73" s="39">
        <v>140.21792886666915</v>
      </c>
      <c r="J73" s="10">
        <f t="shared" si="1"/>
        <v>20609237.319466863</v>
      </c>
      <c r="K73" s="10"/>
      <c r="L73" s="15"/>
    </row>
    <row r="74" spans="1:12" x14ac:dyDescent="0.2">
      <c r="A74" s="3">
        <v>39417</v>
      </c>
      <c r="B74" s="29">
        <f>'[5]Consumption Data '!B77</f>
        <v>25594483.699999999</v>
      </c>
      <c r="C74" s="136">
        <v>630.70000000000005</v>
      </c>
      <c r="D74" s="136">
        <v>0</v>
      </c>
      <c r="E74" s="10">
        <v>31</v>
      </c>
      <c r="F74" s="10">
        <v>0</v>
      </c>
      <c r="G74" s="19">
        <f>'[5]Consumption Data '!AG77</f>
        <v>14035</v>
      </c>
      <c r="H74" s="19">
        <f>'CDM Activity'!F39</f>
        <v>186044.89635606672</v>
      </c>
      <c r="I74" s="39">
        <v>140.48388775797773</v>
      </c>
      <c r="J74" s="10">
        <f t="shared" si="1"/>
        <v>24607805.284069706</v>
      </c>
      <c r="K74" s="10"/>
      <c r="L74" s="15"/>
    </row>
    <row r="75" spans="1:12" x14ac:dyDescent="0.2">
      <c r="A75" s="3">
        <v>39448</v>
      </c>
      <c r="B75" s="29">
        <f>'[5]Consumption Data '!B78</f>
        <v>25337707.800000001</v>
      </c>
      <c r="C75" s="136">
        <f>'Weather Analysis'!R8</f>
        <v>623.5</v>
      </c>
      <c r="D75" s="136">
        <f>'Weather Analysis'!R28</f>
        <v>0</v>
      </c>
      <c r="E75" s="10">
        <v>31</v>
      </c>
      <c r="F75" s="10">
        <v>0</v>
      </c>
      <c r="G75" s="19">
        <f>'[5]Consumption Data '!AG78</f>
        <v>14052</v>
      </c>
      <c r="H75" s="19">
        <f>'CDM Activity'!F40</f>
        <v>197728.54137604786</v>
      </c>
      <c r="I75" s="37">
        <v>140.42521823206457</v>
      </c>
      <c r="J75" s="10">
        <f t="shared" si="1"/>
        <v>24525412.456242867</v>
      </c>
    </row>
    <row r="76" spans="1:12" x14ac:dyDescent="0.2">
      <c r="A76" s="3">
        <v>39479</v>
      </c>
      <c r="B76" s="29">
        <f>'[5]Consumption Data '!B79</f>
        <v>23919251.399999999</v>
      </c>
      <c r="C76" s="136">
        <f>'Weather Analysis'!R9</f>
        <v>674.7</v>
      </c>
      <c r="D76" s="136">
        <f>'Weather Analysis'!R29</f>
        <v>0</v>
      </c>
      <c r="E76" s="10">
        <v>29</v>
      </c>
      <c r="F76" s="10">
        <v>0</v>
      </c>
      <c r="G76" s="19">
        <f>'[5]Consumption Data '!AG79</f>
        <v>14069</v>
      </c>
      <c r="H76" s="19">
        <f>'CDM Activity'!F41</f>
        <v>209412.18639602899</v>
      </c>
      <c r="I76" s="37">
        <v>140.36657320798807</v>
      </c>
      <c r="J76" s="10">
        <f t="shared" si="1"/>
        <v>24071136.885384828</v>
      </c>
    </row>
    <row r="77" spans="1:12" x14ac:dyDescent="0.2">
      <c r="A77" s="3">
        <v>39508</v>
      </c>
      <c r="B77" s="29">
        <f>'[5]Consumption Data '!B80</f>
        <v>23324392.199999999</v>
      </c>
      <c r="C77" s="136">
        <f>'Weather Analysis'!R10</f>
        <v>610.20000000000005</v>
      </c>
      <c r="D77" s="136">
        <f>'Weather Analysis'!R30</f>
        <v>0</v>
      </c>
      <c r="E77" s="10">
        <v>31</v>
      </c>
      <c r="F77" s="10">
        <v>1</v>
      </c>
      <c r="G77" s="19">
        <f>'[5]Consumption Data '!AG80</f>
        <v>14091</v>
      </c>
      <c r="H77" s="19">
        <f>'CDM Activity'!F42</f>
        <v>221095.83141601013</v>
      </c>
      <c r="I77" s="37">
        <v>140.30795267551565</v>
      </c>
      <c r="J77" s="10">
        <f t="shared" si="1"/>
        <v>23357368.771115467</v>
      </c>
    </row>
    <row r="78" spans="1:12" x14ac:dyDescent="0.2">
      <c r="A78" s="3">
        <v>39539</v>
      </c>
      <c r="B78" s="29">
        <f>'[5]Consumption Data '!B81</f>
        <v>17845472.600000001</v>
      </c>
      <c r="C78" s="136">
        <f>'Weather Analysis'!R11</f>
        <v>253.9</v>
      </c>
      <c r="D78" s="136">
        <f>'Weather Analysis'!R31</f>
        <v>0</v>
      </c>
      <c r="E78" s="10">
        <v>30</v>
      </c>
      <c r="F78" s="10">
        <v>1</v>
      </c>
      <c r="G78" s="19">
        <f>'[5]Consumption Data '!AG81</f>
        <v>14109</v>
      </c>
      <c r="H78" s="19">
        <f>'CDM Activity'!F43</f>
        <v>232779.47643599127</v>
      </c>
      <c r="I78" s="37">
        <v>140.24935662441902</v>
      </c>
      <c r="J78" s="10">
        <f t="shared" si="1"/>
        <v>17814759.74999937</v>
      </c>
    </row>
    <row r="79" spans="1:12" x14ac:dyDescent="0.2">
      <c r="A79" s="3">
        <v>39569</v>
      </c>
      <c r="B79" s="29">
        <f>'[5]Consumption Data '!B82</f>
        <v>17203594.699999999</v>
      </c>
      <c r="C79" s="136">
        <f>'Weather Analysis'!R12</f>
        <v>193.5</v>
      </c>
      <c r="D79" s="136">
        <f>'Weather Analysis'!R32</f>
        <v>2.5</v>
      </c>
      <c r="E79" s="10">
        <v>31</v>
      </c>
      <c r="F79" s="10">
        <v>1</v>
      </c>
      <c r="G79" s="19">
        <f>'[5]Consumption Data '!AG82</f>
        <v>14151</v>
      </c>
      <c r="H79" s="19">
        <f>'CDM Activity'!F44</f>
        <v>244463.1214559724</v>
      </c>
      <c r="I79" s="37">
        <v>140.19078504447415</v>
      </c>
      <c r="J79" s="10">
        <f t="shared" si="1"/>
        <v>17679686.429387435</v>
      </c>
    </row>
    <row r="80" spans="1:12" x14ac:dyDescent="0.2">
      <c r="A80" s="3">
        <v>39600</v>
      </c>
      <c r="B80" s="29">
        <f>'[5]Consumption Data '!B83</f>
        <v>17657148.199999999</v>
      </c>
      <c r="C80" s="136">
        <f>'Weather Analysis'!R13</f>
        <v>22.7</v>
      </c>
      <c r="D80" s="136">
        <f>'Weather Analysis'!R33</f>
        <v>71.5</v>
      </c>
      <c r="E80" s="10">
        <v>30</v>
      </c>
      <c r="F80" s="10">
        <v>0</v>
      </c>
      <c r="G80" s="19">
        <f>'[5]Consumption Data '!AG83</f>
        <v>14186</v>
      </c>
      <c r="H80" s="19">
        <f>'CDM Activity'!F45</f>
        <v>256146.76647595354</v>
      </c>
      <c r="I80" s="37">
        <v>140.13223792546131</v>
      </c>
      <c r="J80" s="10">
        <f t="shared" si="1"/>
        <v>17685855.183175802</v>
      </c>
    </row>
    <row r="81" spans="1:12" x14ac:dyDescent="0.2">
      <c r="A81" s="3">
        <v>39630</v>
      </c>
      <c r="B81" s="29">
        <f>'[5]Consumption Data '!B84</f>
        <v>19399005.699999999</v>
      </c>
      <c r="C81" s="136">
        <f>'Weather Analysis'!R14</f>
        <v>1</v>
      </c>
      <c r="D81" s="136">
        <f>'Weather Analysis'!R34</f>
        <v>111</v>
      </c>
      <c r="E81" s="10">
        <v>31</v>
      </c>
      <c r="F81" s="10">
        <v>0</v>
      </c>
      <c r="G81" s="19">
        <f>'[5]Consumption Data '!AG84</f>
        <v>14218</v>
      </c>
      <c r="H81" s="19">
        <f>'CDM Activity'!F46</f>
        <v>267830.41149593471</v>
      </c>
      <c r="I81" s="37">
        <v>140.07371525716499</v>
      </c>
      <c r="J81" s="10">
        <f t="shared" si="1"/>
        <v>19109474.603858937</v>
      </c>
    </row>
    <row r="82" spans="1:12" x14ac:dyDescent="0.2">
      <c r="A82" s="3">
        <v>39661</v>
      </c>
      <c r="B82" s="29">
        <f>'[5]Consumption Data '!B85</f>
        <v>18496934.800000001</v>
      </c>
      <c r="C82" s="136">
        <f>'Weather Analysis'!R15</f>
        <v>12.7</v>
      </c>
      <c r="D82" s="136">
        <f>'Weather Analysis'!R35</f>
        <v>64</v>
      </c>
      <c r="E82" s="10">
        <v>31</v>
      </c>
      <c r="F82" s="10">
        <v>0</v>
      </c>
      <c r="G82" s="19">
        <f>'[5]Consumption Data '!AG85</f>
        <v>14260</v>
      </c>
      <c r="H82" s="19">
        <f>'CDM Activity'!F47</f>
        <v>279514.05651591584</v>
      </c>
      <c r="I82" s="37">
        <v>140.01521702937399</v>
      </c>
      <c r="J82" s="10">
        <f t="shared" si="1"/>
        <v>18009227.159785017</v>
      </c>
    </row>
    <row r="83" spans="1:12" x14ac:dyDescent="0.2">
      <c r="A83" s="3">
        <v>39692</v>
      </c>
      <c r="B83" s="29">
        <f>'[5]Consumption Data '!B86</f>
        <v>16944225</v>
      </c>
      <c r="C83" s="136">
        <f>'Weather Analysis'!R16</f>
        <v>59</v>
      </c>
      <c r="D83" s="136">
        <f>'Weather Analysis'!R36</f>
        <v>26.7</v>
      </c>
      <c r="E83" s="10">
        <v>30</v>
      </c>
      <c r="F83" s="10">
        <v>1</v>
      </c>
      <c r="G83" s="19">
        <f>'[5]Consumption Data '!AG86</f>
        <v>14297</v>
      </c>
      <c r="H83" s="19">
        <f>'CDM Activity'!F48</f>
        <v>291197.70153589698</v>
      </c>
      <c r="I83" s="37">
        <v>139.95674323188132</v>
      </c>
      <c r="J83" s="10">
        <f t="shared" si="1"/>
        <v>16039076.782346273</v>
      </c>
    </row>
    <row r="84" spans="1:12" x14ac:dyDescent="0.2">
      <c r="A84" s="3">
        <v>39722</v>
      </c>
      <c r="B84" s="29">
        <f>'[5]Consumption Data '!B87</f>
        <v>18736114.300000001</v>
      </c>
      <c r="C84" s="136">
        <f>'Weather Analysis'!R17</f>
        <v>278.60000000000002</v>
      </c>
      <c r="D84" s="136">
        <f>'Weather Analysis'!R37</f>
        <v>0</v>
      </c>
      <c r="E84" s="10">
        <v>31</v>
      </c>
      <c r="F84" s="10">
        <v>1</v>
      </c>
      <c r="G84" s="19">
        <f>'[5]Consumption Data '!AG87</f>
        <v>14337</v>
      </c>
      <c r="H84" s="19">
        <f>'CDM Activity'!F49</f>
        <v>302881.34655587812</v>
      </c>
      <c r="I84" s="37">
        <v>139.89829385448431</v>
      </c>
      <c r="J84" s="10">
        <f t="shared" si="1"/>
        <v>18993874.653223682</v>
      </c>
    </row>
    <row r="85" spans="1:12" x14ac:dyDescent="0.2">
      <c r="A85" s="3">
        <v>39753</v>
      </c>
      <c r="B85" s="29">
        <f>'[5]Consumption Data '!B88</f>
        <v>20914295.899999999</v>
      </c>
      <c r="C85" s="136">
        <f>'Weather Analysis'!R18</f>
        <v>451.6</v>
      </c>
      <c r="D85" s="136">
        <f>'Weather Analysis'!R38</f>
        <v>0</v>
      </c>
      <c r="E85" s="10">
        <v>30</v>
      </c>
      <c r="F85" s="10">
        <v>1</v>
      </c>
      <c r="G85" s="19">
        <f>'[5]Consumption Data '!AG88</f>
        <v>14348</v>
      </c>
      <c r="H85" s="19">
        <f>'CDM Activity'!F50</f>
        <v>314564.99157585925</v>
      </c>
      <c r="I85" s="37">
        <v>139.83986888698453</v>
      </c>
      <c r="J85" s="10">
        <f t="shared" si="1"/>
        <v>20824855.312268183</v>
      </c>
    </row>
    <row r="86" spans="1:12" x14ac:dyDescent="0.2">
      <c r="A86" s="3">
        <v>39783</v>
      </c>
      <c r="B86" s="29">
        <f>'[5]Consumption Data '!B89</f>
        <v>25844885.199999999</v>
      </c>
      <c r="C86" s="136">
        <f>'Weather Analysis'!R19</f>
        <v>654.6</v>
      </c>
      <c r="D86" s="136">
        <f>'Weather Analysis'!R39</f>
        <v>0</v>
      </c>
      <c r="E86" s="10">
        <v>31</v>
      </c>
      <c r="F86" s="10">
        <v>0</v>
      </c>
      <c r="G86" s="19">
        <f>'[5]Consumption Data '!AG89</f>
        <v>14388</v>
      </c>
      <c r="H86" s="19">
        <f>'CDM Activity'!F51</f>
        <v>326248.63659584039</v>
      </c>
      <c r="I86" s="37">
        <v>139.78146831918784</v>
      </c>
      <c r="J86" s="10">
        <f t="shared" si="1"/>
        <v>25315060.311359759</v>
      </c>
      <c r="K86" s="58"/>
      <c r="L86" s="25"/>
    </row>
    <row r="87" spans="1:12" x14ac:dyDescent="0.2">
      <c r="A87" s="3">
        <v>39814</v>
      </c>
      <c r="B87" s="29">
        <f>'[5]Consumption Data '!B90</f>
        <v>27698757.900000002</v>
      </c>
      <c r="C87" s="136">
        <f>'Weather Analysis'!S8</f>
        <v>830.2</v>
      </c>
      <c r="D87" s="136">
        <f>'Weather Analysis'!S28</f>
        <v>0</v>
      </c>
      <c r="E87" s="10">
        <v>31</v>
      </c>
      <c r="F87" s="10">
        <v>0</v>
      </c>
      <c r="G87" s="19">
        <f>'[5]Consumption Data '!AG90</f>
        <v>14411</v>
      </c>
      <c r="H87" s="19">
        <f>'CDM Activity'!F52</f>
        <v>334892.3612999671</v>
      </c>
      <c r="I87" s="37">
        <v>139.37911160687111</v>
      </c>
      <c r="J87" s="10">
        <f t="shared" si="1"/>
        <v>27788141.332583554</v>
      </c>
      <c r="K87" s="56"/>
    </row>
    <row r="88" spans="1:12" x14ac:dyDescent="0.2">
      <c r="A88" s="3">
        <v>39845</v>
      </c>
      <c r="B88" s="29">
        <f>'[5]Consumption Data '!B91</f>
        <v>22854686.900000002</v>
      </c>
      <c r="C88" s="136">
        <f>'Weather Analysis'!S9</f>
        <v>606.4</v>
      </c>
      <c r="D88" s="136">
        <f>'Weather Analysis'!S29</f>
        <v>0</v>
      </c>
      <c r="E88" s="10">
        <v>28</v>
      </c>
      <c r="F88" s="10">
        <v>0</v>
      </c>
      <c r="G88" s="19">
        <f>'[5]Consumption Data '!AG91</f>
        <v>14426</v>
      </c>
      <c r="H88" s="19">
        <f>'CDM Activity'!F53</f>
        <v>343536.08600409381</v>
      </c>
      <c r="I88" s="37">
        <v>138.97791306613385</v>
      </c>
      <c r="J88" s="10">
        <f t="shared" si="1"/>
        <v>22903784.216951437</v>
      </c>
      <c r="K88" s="56"/>
    </row>
    <row r="89" spans="1:12" x14ac:dyDescent="0.2">
      <c r="A89" s="3">
        <v>39873</v>
      </c>
      <c r="B89" s="29">
        <f>'[5]Consumption Data '!B92</f>
        <v>22750703.800000001</v>
      </c>
      <c r="C89" s="136">
        <f>'Weather Analysis'!S10</f>
        <v>533.79999999999995</v>
      </c>
      <c r="D89" s="136">
        <f>'Weather Analysis'!S30</f>
        <v>0</v>
      </c>
      <c r="E89" s="10">
        <v>31</v>
      </c>
      <c r="F89" s="10">
        <v>1</v>
      </c>
      <c r="G89" s="19">
        <f>'[5]Consumption Data '!AG92</f>
        <v>14438</v>
      </c>
      <c r="H89" s="19">
        <f>'CDM Activity'!F54</f>
        <v>352179.81070822052</v>
      </c>
      <c r="I89" s="37">
        <v>138.57786936321438</v>
      </c>
      <c r="J89" s="10">
        <f t="shared" si="1"/>
        <v>22659599.525039732</v>
      </c>
      <c r="K89" s="56"/>
    </row>
    <row r="90" spans="1:12" x14ac:dyDescent="0.2">
      <c r="A90" s="3">
        <v>39904</v>
      </c>
      <c r="B90" s="29">
        <f>'[5]Consumption Data '!B93</f>
        <v>18949041.899999999</v>
      </c>
      <c r="C90" s="136">
        <f>'Weather Analysis'!S11</f>
        <v>305.8</v>
      </c>
      <c r="D90" s="136">
        <f>'Weather Analysis'!S31</f>
        <v>1.2</v>
      </c>
      <c r="E90" s="10">
        <v>30</v>
      </c>
      <c r="F90" s="10">
        <v>1</v>
      </c>
      <c r="G90" s="19">
        <f>'[5]Consumption Data '!AG93</f>
        <v>14448</v>
      </c>
      <c r="H90" s="19">
        <f>'CDM Activity'!F55</f>
        <v>360823.53541234724</v>
      </c>
      <c r="I90" s="37">
        <v>138.17897717394706</v>
      </c>
      <c r="J90" s="10">
        <f t="shared" si="1"/>
        <v>18931031.717753761</v>
      </c>
      <c r="K90" s="56"/>
      <c r="L90" s="56"/>
    </row>
    <row r="91" spans="1:12" x14ac:dyDescent="0.2">
      <c r="A91" s="3">
        <v>39934</v>
      </c>
      <c r="B91" s="29">
        <f>'[5]Consumption Data '!B94</f>
        <v>17348781.300000001</v>
      </c>
      <c r="C91" s="136">
        <f>'Weather Analysis'!S12</f>
        <v>158.80000000000001</v>
      </c>
      <c r="D91" s="136">
        <f>'Weather Analysis'!S32</f>
        <v>6.9</v>
      </c>
      <c r="E91" s="10">
        <v>31</v>
      </c>
      <c r="F91" s="10">
        <v>1</v>
      </c>
      <c r="G91" s="19">
        <f>'[5]Consumption Data '!AG94</f>
        <v>14455</v>
      </c>
      <c r="H91" s="19">
        <f>'CDM Activity'!F56</f>
        <v>369467.26011647395</v>
      </c>
      <c r="I91" s="37">
        <v>137.78123318373483</v>
      </c>
      <c r="J91" s="10">
        <f t="shared" si="1"/>
        <v>17640303.802341316</v>
      </c>
      <c r="K91" s="56"/>
    </row>
    <row r="92" spans="1:12" x14ac:dyDescent="0.2">
      <c r="A92" s="3">
        <v>39965</v>
      </c>
      <c r="B92" s="29">
        <f>'[5]Consumption Data '!B95</f>
        <v>17392957.300000001</v>
      </c>
      <c r="C92" s="136">
        <f>'Weather Analysis'!S13</f>
        <v>49.3</v>
      </c>
      <c r="D92" s="136">
        <f>'Weather Analysis'!S33</f>
        <v>34.200000000000003</v>
      </c>
      <c r="E92" s="10">
        <v>30</v>
      </c>
      <c r="F92" s="10">
        <v>0</v>
      </c>
      <c r="G92" s="19">
        <f>'[5]Consumption Data '!AG95</f>
        <v>14460</v>
      </c>
      <c r="H92" s="19">
        <f>'CDM Activity'!F57</f>
        <v>378110.98482060066</v>
      </c>
      <c r="I92" s="37">
        <v>137.38463408752156</v>
      </c>
      <c r="J92" s="10">
        <f t="shared" si="1"/>
        <v>17309097.822875321</v>
      </c>
      <c r="K92" s="56"/>
    </row>
    <row r="93" spans="1:12" x14ac:dyDescent="0.2">
      <c r="A93" s="3">
        <v>39995</v>
      </c>
      <c r="B93" s="29">
        <f>'[5]Consumption Data '!B96</f>
        <v>18006297.300000001</v>
      </c>
      <c r="C93" s="136">
        <f>'Weather Analysis'!S14</f>
        <v>6.2</v>
      </c>
      <c r="D93" s="136">
        <f>'Weather Analysis'!S34</f>
        <v>43.7</v>
      </c>
      <c r="E93" s="10">
        <v>31</v>
      </c>
      <c r="F93" s="10">
        <v>0</v>
      </c>
      <c r="G93" s="19">
        <f>'[5]Consumption Data '!AG96</f>
        <v>14710</v>
      </c>
      <c r="H93" s="19">
        <f>'CDM Activity'!F58</f>
        <v>386754.70952472737</v>
      </c>
      <c r="I93" s="37">
        <v>136.98917658976464</v>
      </c>
      <c r="J93" s="10">
        <f t="shared" si="1"/>
        <v>17830421.72718627</v>
      </c>
      <c r="K93" s="56"/>
    </row>
    <row r="94" spans="1:12" x14ac:dyDescent="0.2">
      <c r="A94" s="3">
        <v>40026</v>
      </c>
      <c r="B94" s="29">
        <f>'[5]Consumption Data '!B97</f>
        <v>20135392.300000001</v>
      </c>
      <c r="C94" s="136">
        <f>'Weather Analysis'!S15</f>
        <v>9.8000000000000007</v>
      </c>
      <c r="D94" s="136">
        <f>'Weather Analysis'!S35</f>
        <v>91</v>
      </c>
      <c r="E94" s="10">
        <v>31</v>
      </c>
      <c r="F94" s="10">
        <v>0</v>
      </c>
      <c r="G94" s="19">
        <f>'[5]Consumption Data '!AG97</f>
        <v>14976</v>
      </c>
      <c r="H94" s="19">
        <f>'CDM Activity'!F59</f>
        <v>395398.43422885408</v>
      </c>
      <c r="I94" s="37">
        <v>136.59485740440758</v>
      </c>
      <c r="J94" s="10">
        <f t="shared" si="1"/>
        <v>19478673.181321148</v>
      </c>
      <c r="K94" s="56"/>
    </row>
    <row r="95" spans="1:12" x14ac:dyDescent="0.2">
      <c r="A95" s="3">
        <v>40057</v>
      </c>
      <c r="B95" s="29">
        <f>'[5]Consumption Data '!B98</f>
        <v>17368091.399999999</v>
      </c>
      <c r="C95" s="136">
        <f>'Weather Analysis'!S16</f>
        <v>55.2</v>
      </c>
      <c r="D95" s="136">
        <f>'Weather Analysis'!S36</f>
        <v>20.9</v>
      </c>
      <c r="E95" s="10">
        <v>30</v>
      </c>
      <c r="F95" s="10">
        <v>1</v>
      </c>
      <c r="G95" s="19">
        <f>'[5]Consumption Data '!AG98</f>
        <v>15073</v>
      </c>
      <c r="H95" s="19">
        <f>'CDM Activity'!F60</f>
        <v>404042.15893298079</v>
      </c>
      <c r="I95" s="37">
        <v>136.20167325485272</v>
      </c>
      <c r="J95" s="10">
        <f t="shared" si="1"/>
        <v>16646791.807343775</v>
      </c>
      <c r="K95" s="56"/>
    </row>
    <row r="96" spans="1:12" x14ac:dyDescent="0.2">
      <c r="A96" s="3">
        <v>40087</v>
      </c>
      <c r="B96" s="29">
        <f>'[5]Consumption Data '!B99</f>
        <v>19458169</v>
      </c>
      <c r="C96" s="136">
        <f>'Weather Analysis'!S17</f>
        <v>287.8</v>
      </c>
      <c r="D96" s="136">
        <f>'Weather Analysis'!S37</f>
        <v>0</v>
      </c>
      <c r="E96" s="10">
        <v>31</v>
      </c>
      <c r="F96" s="10">
        <v>1</v>
      </c>
      <c r="G96" s="19">
        <f>'[5]Consumption Data '!AG99</f>
        <v>15110</v>
      </c>
      <c r="H96" s="19">
        <f>'CDM Activity'!F61</f>
        <v>412685.8836371075</v>
      </c>
      <c r="I96" s="37">
        <v>135.80962087393394</v>
      </c>
      <c r="J96" s="10">
        <f t="shared" si="1"/>
        <v>19941094.517381784</v>
      </c>
      <c r="K96" s="56"/>
    </row>
    <row r="97" spans="1:11" x14ac:dyDescent="0.2">
      <c r="A97" s="3">
        <v>40118</v>
      </c>
      <c r="B97" s="29">
        <f>'[5]Consumption Data '!B100</f>
        <v>19998429.5</v>
      </c>
      <c r="C97" s="136">
        <f>'Weather Analysis'!S18</f>
        <v>361.2</v>
      </c>
      <c r="D97" s="136">
        <f>'Weather Analysis'!S38</f>
        <v>0</v>
      </c>
      <c r="E97" s="10">
        <v>30</v>
      </c>
      <c r="F97" s="10">
        <v>1</v>
      </c>
      <c r="G97" s="19">
        <f>'[5]Consumption Data '!AG100</f>
        <v>15107</v>
      </c>
      <c r="H97" s="19">
        <f>'CDM Activity'!F62</f>
        <v>421329.60834123421</v>
      </c>
      <c r="I97" s="37">
        <v>135.41869700388958</v>
      </c>
      <c r="J97" s="10">
        <f t="shared" si="1"/>
        <v>20368336.978466496</v>
      </c>
      <c r="K97" s="56"/>
    </row>
    <row r="98" spans="1:11" x14ac:dyDescent="0.2">
      <c r="A98" s="3">
        <v>40148</v>
      </c>
      <c r="B98" s="29">
        <f>'[5]Consumption Data '!B101</f>
        <v>25277880.599999998</v>
      </c>
      <c r="C98" s="136">
        <f>'Weather Analysis'!S19</f>
        <v>631.29999999999995</v>
      </c>
      <c r="D98" s="136">
        <f>'Weather Analysis'!S39</f>
        <v>0</v>
      </c>
      <c r="E98" s="10">
        <v>31</v>
      </c>
      <c r="F98" s="10">
        <v>0</v>
      </c>
      <c r="G98" s="19">
        <f>'[5]Consumption Data '!AG101</f>
        <v>14563</v>
      </c>
      <c r="H98" s="19">
        <f>'CDM Activity'!F63</f>
        <v>429973.33304536092</v>
      </c>
      <c r="I98" s="37">
        <v>135.02889839633545</v>
      </c>
      <c r="J98" s="10">
        <f t="shared" si="1"/>
        <v>25175542.975662209</v>
      </c>
      <c r="K98" s="56"/>
    </row>
    <row r="99" spans="1:11" x14ac:dyDescent="0.2">
      <c r="A99" s="3">
        <v>40179</v>
      </c>
      <c r="B99" s="29">
        <f>'[5]Consumption Data '!B102</f>
        <v>26451955.599999998</v>
      </c>
      <c r="C99" s="136">
        <f>'Weather Analysis'!T8</f>
        <v>720</v>
      </c>
      <c r="D99" s="136">
        <f>'Weather Analysis'!T28</f>
        <v>0</v>
      </c>
      <c r="E99" s="10">
        <v>31</v>
      </c>
      <c r="F99" s="10">
        <v>0</v>
      </c>
      <c r="G99" s="19">
        <f>'[5]Consumption Data '!AG102</f>
        <v>14554</v>
      </c>
      <c r="H99" s="19">
        <f>'CDM Activity'!F64</f>
        <v>415484.3536334121</v>
      </c>
      <c r="I99" s="37">
        <v>135.32901731143812</v>
      </c>
      <c r="J99" s="10">
        <f t="shared" si="1"/>
        <v>26402915.850765392</v>
      </c>
      <c r="K99" s="56"/>
    </row>
    <row r="100" spans="1:11" x14ac:dyDescent="0.2">
      <c r="A100" s="3">
        <v>40210</v>
      </c>
      <c r="B100" s="29">
        <f>'[5]Consumption Data '!B103</f>
        <v>22355017.900000002</v>
      </c>
      <c r="C100" s="136">
        <f>'Weather Analysis'!T9</f>
        <v>598.29999999999995</v>
      </c>
      <c r="D100" s="136">
        <f>'Weather Analysis'!T29</f>
        <v>0</v>
      </c>
      <c r="E100" s="10">
        <v>28</v>
      </c>
      <c r="F100" s="10">
        <v>0</v>
      </c>
      <c r="G100" s="19">
        <f>'[5]Consumption Data '!AG103</f>
        <v>14553</v>
      </c>
      <c r="H100" s="19">
        <f>'CDM Activity'!F65</f>
        <v>400995.37422146328</v>
      </c>
      <c r="I100" s="37">
        <v>135.62980327903304</v>
      </c>
      <c r="J100" s="10">
        <f t="shared" si="1"/>
        <v>22925376.610447861</v>
      </c>
      <c r="K100" s="56"/>
    </row>
    <row r="101" spans="1:11" x14ac:dyDescent="0.2">
      <c r="A101" s="3">
        <v>40238</v>
      </c>
      <c r="B101" s="29">
        <f>'[5]Consumption Data '!B104</f>
        <v>21335193</v>
      </c>
      <c r="C101" s="136">
        <f>'Weather Analysis'!T10</f>
        <v>422.8</v>
      </c>
      <c r="D101" s="136">
        <f>'Weather Analysis'!T30</f>
        <v>0</v>
      </c>
      <c r="E101" s="10">
        <v>31</v>
      </c>
      <c r="F101" s="10">
        <v>1</v>
      </c>
      <c r="G101" s="19">
        <f>'[5]Consumption Data '!AG104</f>
        <v>14566</v>
      </c>
      <c r="H101" s="19">
        <f>'CDM Activity'!F66</f>
        <v>386506.39480951446</v>
      </c>
      <c r="I101" s="37">
        <v>135.9312577817293</v>
      </c>
      <c r="J101" s="10">
        <f t="shared" si="1"/>
        <v>21247326.95304862</v>
      </c>
      <c r="K101" s="56"/>
    </row>
    <row r="102" spans="1:11" x14ac:dyDescent="0.2">
      <c r="A102" s="3">
        <v>40269</v>
      </c>
      <c r="B102" s="29">
        <f>'[5]Consumption Data '!B105</f>
        <v>17366211</v>
      </c>
      <c r="C102" s="136">
        <f>'Weather Analysis'!T11</f>
        <v>225.1</v>
      </c>
      <c r="D102" s="136">
        <f>'Weather Analysis'!T31</f>
        <v>0</v>
      </c>
      <c r="E102" s="10">
        <v>30</v>
      </c>
      <c r="F102" s="10">
        <v>1</v>
      </c>
      <c r="G102" s="19">
        <f>'[5]Consumption Data '!AG105</f>
        <v>14576</v>
      </c>
      <c r="H102" s="19">
        <f>'CDM Activity'!F67</f>
        <v>372017.41539756564</v>
      </c>
      <c r="I102" s="37">
        <v>136.23338230543126</v>
      </c>
      <c r="J102" s="10">
        <f t="shared" si="1"/>
        <v>17907894.770982597</v>
      </c>
      <c r="K102" s="56"/>
    </row>
    <row r="103" spans="1:11" x14ac:dyDescent="0.2">
      <c r="A103" s="3">
        <v>40299</v>
      </c>
      <c r="B103" s="29">
        <f>'[5]Consumption Data '!B106</f>
        <v>18594842.100000001</v>
      </c>
      <c r="C103" s="136">
        <f>'Weather Analysis'!T12</f>
        <v>107.9</v>
      </c>
      <c r="D103" s="136">
        <f>'Weather Analysis'!T32</f>
        <v>45.7</v>
      </c>
      <c r="E103" s="10">
        <v>31</v>
      </c>
      <c r="F103" s="10">
        <v>1</v>
      </c>
      <c r="G103" s="19">
        <f>'[5]Consumption Data '!AG106</f>
        <v>14570</v>
      </c>
      <c r="H103" s="19">
        <f>'CDM Activity'!F68</f>
        <v>357528.43598561682</v>
      </c>
      <c r="I103" s="37">
        <v>136.53617833934589</v>
      </c>
      <c r="J103" s="10">
        <f t="shared" si="1"/>
        <v>18132055.068103686</v>
      </c>
      <c r="K103" s="56"/>
    </row>
    <row r="104" spans="1:11" x14ac:dyDescent="0.2">
      <c r="A104" s="3">
        <v>40330</v>
      </c>
      <c r="B104" s="29">
        <f>'[5]Consumption Data '!B107</f>
        <v>18232281.300000001</v>
      </c>
      <c r="C104" s="136">
        <f>'Weather Analysis'!T13</f>
        <v>21.7</v>
      </c>
      <c r="D104" s="136">
        <f>'Weather Analysis'!T33</f>
        <v>58.7</v>
      </c>
      <c r="E104" s="10">
        <v>30</v>
      </c>
      <c r="F104" s="10">
        <v>0</v>
      </c>
      <c r="G104" s="19">
        <f>'[5]Consumption Data '!AG107</f>
        <v>14584</v>
      </c>
      <c r="H104" s="19">
        <f>'CDM Activity'!F69</f>
        <v>343039.45657366799</v>
      </c>
      <c r="I104" s="37">
        <v>136.83964737599013</v>
      </c>
      <c r="J104" s="10">
        <f t="shared" si="1"/>
        <v>17737363.892087951</v>
      </c>
      <c r="K104" s="56"/>
    </row>
    <row r="105" spans="1:11" x14ac:dyDescent="0.2">
      <c r="A105" s="3">
        <v>40360</v>
      </c>
      <c r="B105" s="29">
        <f>'[5]Consumption Data '!B108</f>
        <v>22225961.800000001</v>
      </c>
      <c r="C105" s="136">
        <f>'Weather Analysis'!T14</f>
        <v>1.8</v>
      </c>
      <c r="D105" s="136">
        <f>'Weather Analysis'!T34</f>
        <v>164.9</v>
      </c>
      <c r="E105" s="10">
        <v>31</v>
      </c>
      <c r="F105" s="10">
        <v>0</v>
      </c>
      <c r="G105" s="19">
        <f>'[5]Consumption Data '!AG108</f>
        <v>14599</v>
      </c>
      <c r="H105" s="19">
        <f>'CDM Activity'!F70</f>
        <v>328550.47716171917</v>
      </c>
      <c r="I105" s="37">
        <v>137.14379091119821</v>
      </c>
      <c r="J105" s="10">
        <f t="shared" si="1"/>
        <v>21024175.352974847</v>
      </c>
      <c r="K105" s="56"/>
    </row>
    <row r="106" spans="1:11" x14ac:dyDescent="0.2">
      <c r="A106" s="3">
        <v>40391</v>
      </c>
      <c r="B106" s="29">
        <f>'[5]Consumption Data '!B109</f>
        <v>21301864.899999999</v>
      </c>
      <c r="C106" s="136">
        <f>'Weather Analysis'!T15</f>
        <v>2.1</v>
      </c>
      <c r="D106" s="136">
        <f>'Weather Analysis'!T35</f>
        <v>138.80000000000001</v>
      </c>
      <c r="E106" s="10">
        <v>31</v>
      </c>
      <c r="F106" s="10">
        <v>0</v>
      </c>
      <c r="G106" s="19">
        <f>'[5]Consumption Data '!AG109</f>
        <v>14633</v>
      </c>
      <c r="H106" s="19">
        <f>'CDM Activity'!F71</f>
        <v>314061.49774977035</v>
      </c>
      <c r="I106" s="37">
        <v>137.44861044412903</v>
      </c>
      <c r="J106" s="10">
        <f t="shared" si="1"/>
        <v>20338078.359756432</v>
      </c>
      <c r="K106" s="56"/>
    </row>
    <row r="107" spans="1:11" x14ac:dyDescent="0.2">
      <c r="A107" s="3">
        <v>40422</v>
      </c>
      <c r="B107" s="29">
        <f>'[5]Consumption Data '!B110</f>
        <v>17785837.5</v>
      </c>
      <c r="C107" s="136">
        <f>'Weather Analysis'!T16</f>
        <v>78.099999999999994</v>
      </c>
      <c r="D107" s="136">
        <f>'Weather Analysis'!T36</f>
        <v>31.5</v>
      </c>
      <c r="E107" s="10">
        <v>30</v>
      </c>
      <c r="F107" s="10">
        <v>1</v>
      </c>
      <c r="G107" s="19">
        <f>'[5]Consumption Data '!AG110</f>
        <v>14646</v>
      </c>
      <c r="H107" s="19">
        <f>'CDM Activity'!F72</f>
        <v>299572.51833782153</v>
      </c>
      <c r="I107" s="37">
        <v>137.75410747727361</v>
      </c>
      <c r="J107" s="10">
        <f t="shared" si="1"/>
        <v>16808731.416256212</v>
      </c>
      <c r="K107" s="56"/>
    </row>
    <row r="108" spans="1:11" x14ac:dyDescent="0.2">
      <c r="A108" s="3">
        <v>40452</v>
      </c>
      <c r="B108" s="29">
        <f>'[5]Consumption Data '!B111</f>
        <v>18734173.199999999</v>
      </c>
      <c r="C108" s="136">
        <f>'Weather Analysis'!T17</f>
        <v>241.6</v>
      </c>
      <c r="D108" s="136">
        <f>'Weather Analysis'!T37</f>
        <v>0</v>
      </c>
      <c r="E108" s="10">
        <v>31</v>
      </c>
      <c r="F108" s="10">
        <v>1</v>
      </c>
      <c r="G108" s="19">
        <f>'[5]Consumption Data '!AG111</f>
        <v>14664</v>
      </c>
      <c r="H108" s="19">
        <f>'CDM Activity'!F73</f>
        <v>285083.53892587271</v>
      </c>
      <c r="I108" s="37">
        <v>138.06028351646239</v>
      </c>
      <c r="J108" s="10">
        <f t="shared" si="1"/>
        <v>18824343.947475478</v>
      </c>
      <c r="K108" s="56"/>
    </row>
    <row r="109" spans="1:11" x14ac:dyDescent="0.2">
      <c r="A109" s="3">
        <v>40483</v>
      </c>
      <c r="B109" s="29">
        <f>'[5]Consumption Data '!B112</f>
        <v>20451455.399999999</v>
      </c>
      <c r="C109" s="136">
        <f>'Weather Analysis'!T18</f>
        <v>405.3</v>
      </c>
      <c r="D109" s="136">
        <f>'Weather Analysis'!T38</f>
        <v>0</v>
      </c>
      <c r="E109" s="10">
        <v>30</v>
      </c>
      <c r="F109" s="10">
        <v>1</v>
      </c>
      <c r="G109" s="19">
        <f>'[5]Consumption Data '!AG112</f>
        <v>14688</v>
      </c>
      <c r="H109" s="19">
        <f>'CDM Activity'!F74</f>
        <v>270594.55951392389</v>
      </c>
      <c r="I109" s="37">
        <v>138.36714007087275</v>
      </c>
      <c r="J109" s="10">
        <f t="shared" si="1"/>
        <v>20539409.950209141</v>
      </c>
      <c r="K109" s="56"/>
    </row>
    <row r="110" spans="1:11" x14ac:dyDescent="0.2">
      <c r="A110" s="3">
        <v>40513</v>
      </c>
      <c r="B110" s="29">
        <f>'[5]Consumption Data '!B113</f>
        <v>25404585.100000001</v>
      </c>
      <c r="C110" s="136">
        <f>'Weather Analysis'!T19</f>
        <v>676.2</v>
      </c>
      <c r="D110" s="136">
        <f>'Weather Analysis'!T39</f>
        <v>0</v>
      </c>
      <c r="E110" s="10">
        <v>31</v>
      </c>
      <c r="F110" s="10">
        <v>0</v>
      </c>
      <c r="G110" s="19">
        <f>'[5]Consumption Data '!AG113</f>
        <v>14707</v>
      </c>
      <c r="H110" s="19">
        <f>'CDM Activity'!F75</f>
        <v>256105.58010197504</v>
      </c>
      <c r="I110" s="37">
        <v>138.67467865303649</v>
      </c>
      <c r="J110" s="10">
        <f t="shared" si="1"/>
        <v>25954222.11049819</v>
      </c>
      <c r="K110" s="56"/>
    </row>
    <row r="111" spans="1:11" x14ac:dyDescent="0.2">
      <c r="A111" s="3">
        <v>40544</v>
      </c>
      <c r="B111" s="29">
        <f>'[5]Consumption Data '!B114</f>
        <v>26274474</v>
      </c>
      <c r="C111" s="136">
        <f>'Weather Analysis'!U8</f>
        <v>775.3</v>
      </c>
      <c r="D111" s="136">
        <f>'Weather Analysis'!U28</f>
        <v>0</v>
      </c>
      <c r="E111" s="56">
        <v>31</v>
      </c>
      <c r="F111" s="10">
        <v>0</v>
      </c>
      <c r="G111" s="19">
        <f>'[5]Consumption Data '!AG114</f>
        <v>14713</v>
      </c>
      <c r="H111" s="19">
        <f ca="1">'CDM Activity'!F76</f>
        <v>273777.08121865243</v>
      </c>
      <c r="I111" s="37">
        <v>139.03916243618784</v>
      </c>
      <c r="J111" s="10">
        <f t="shared" si="1"/>
        <v>27342512.571854018</v>
      </c>
    </row>
    <row r="112" spans="1:11" x14ac:dyDescent="0.2">
      <c r="A112" s="3">
        <v>40575</v>
      </c>
      <c r="B112" s="29">
        <f>'[5]Consumption Data '!B115</f>
        <v>22971970.300000001</v>
      </c>
      <c r="C112" s="136">
        <f>'Weather Analysis'!U9</f>
        <v>654.20000000000005</v>
      </c>
      <c r="D112" s="136">
        <f>'Weather Analysis'!U29</f>
        <v>0</v>
      </c>
      <c r="E112" s="56">
        <v>28</v>
      </c>
      <c r="F112" s="10">
        <v>0</v>
      </c>
      <c r="G112" s="19">
        <f>'[5]Consumption Data '!AG115</f>
        <v>14716</v>
      </c>
      <c r="H112" s="19">
        <f ca="1">'CDM Activity'!F77</f>
        <v>291448.58233532979</v>
      </c>
      <c r="I112" s="37">
        <v>139.40460420553731</v>
      </c>
      <c r="J112" s="10">
        <f t="shared" si="1"/>
        <v>23877577.895008042</v>
      </c>
    </row>
    <row r="113" spans="1:10" x14ac:dyDescent="0.2">
      <c r="A113" s="3">
        <v>40603</v>
      </c>
      <c r="B113" s="29">
        <f>'[5]Consumption Data '!B116</f>
        <v>22951605.199999999</v>
      </c>
      <c r="C113" s="136">
        <f>'Weather Analysis'!U10</f>
        <v>572.79999999999995</v>
      </c>
      <c r="D113" s="136">
        <f>'Weather Analysis'!U30</f>
        <v>0</v>
      </c>
      <c r="E113" s="56">
        <v>31</v>
      </c>
      <c r="F113" s="10">
        <v>1</v>
      </c>
      <c r="G113" s="19">
        <f>'[5]Consumption Data '!AG116</f>
        <v>14728</v>
      </c>
      <c r="H113" s="19">
        <f ca="1">'CDM Activity'!F78</f>
        <v>309120.08345200715</v>
      </c>
      <c r="I113" s="37">
        <v>139.77100647899545</v>
      </c>
      <c r="J113" s="10">
        <f t="shared" si="1"/>
        <v>23510678.581689954</v>
      </c>
    </row>
    <row r="114" spans="1:10" x14ac:dyDescent="0.2">
      <c r="A114" s="3">
        <v>40634</v>
      </c>
      <c r="B114" s="29">
        <f>'[5]Consumption Data '!B117</f>
        <v>18914566.699999999</v>
      </c>
      <c r="C114" s="136">
        <f>'Weather Analysis'!U11</f>
        <v>332.3</v>
      </c>
      <c r="D114" s="136">
        <f>'Weather Analysis'!U31</f>
        <v>0</v>
      </c>
      <c r="E114" s="56">
        <v>30</v>
      </c>
      <c r="F114" s="10">
        <v>1</v>
      </c>
      <c r="G114" s="19">
        <f>'[5]Consumption Data '!AG117</f>
        <v>14729</v>
      </c>
      <c r="H114" s="19">
        <f ca="1">'CDM Activity'!F79</f>
        <v>326791.58456868451</v>
      </c>
      <c r="I114" s="37">
        <v>140.13837178109071</v>
      </c>
      <c r="J114" s="10">
        <f t="shared" si="1"/>
        <v>19564872.375302192</v>
      </c>
    </row>
    <row r="115" spans="1:10" x14ac:dyDescent="0.2">
      <c r="A115" s="3">
        <v>40664</v>
      </c>
      <c r="B115" s="29">
        <f>'[5]Consumption Data '!B118</f>
        <v>17615740</v>
      </c>
      <c r="C115" s="136">
        <f>'Weather Analysis'!U12</f>
        <v>134.1</v>
      </c>
      <c r="D115" s="136">
        <f>'Weather Analysis'!U32</f>
        <v>13</v>
      </c>
      <c r="E115" s="56">
        <v>31</v>
      </c>
      <c r="F115" s="10">
        <v>1</v>
      </c>
      <c r="G115" s="19">
        <f>'[5]Consumption Data '!AG118</f>
        <v>14733</v>
      </c>
      <c r="H115" s="19">
        <f ca="1">'CDM Activity'!F80</f>
        <v>344463.08568536188</v>
      </c>
      <c r="I115" s="37">
        <v>140.50670264298682</v>
      </c>
      <c r="J115" s="10">
        <f t="shared" si="1"/>
        <v>17760131.766556889</v>
      </c>
    </row>
    <row r="116" spans="1:10" x14ac:dyDescent="0.2">
      <c r="A116" s="3">
        <v>40695</v>
      </c>
      <c r="B116" s="29">
        <f>'[5]Consumption Data '!B119</f>
        <v>17571916.300000001</v>
      </c>
      <c r="C116" s="136">
        <f>'Weather Analysis'!U13</f>
        <v>19</v>
      </c>
      <c r="D116" s="136">
        <f>'Weather Analysis'!U33</f>
        <v>52.2</v>
      </c>
      <c r="E116" s="56">
        <v>30</v>
      </c>
      <c r="F116" s="10">
        <v>0</v>
      </c>
      <c r="G116" s="19">
        <f>'[5]Consumption Data '!AG119</f>
        <v>14742</v>
      </c>
      <c r="H116" s="19">
        <f ca="1">'CDM Activity'!F81</f>
        <v>362134.58680203924</v>
      </c>
      <c r="I116" s="37">
        <v>140.87600160250034</v>
      </c>
      <c r="J116" s="10">
        <f t="shared" si="1"/>
        <v>17686220.841490772</v>
      </c>
    </row>
    <row r="117" spans="1:10" x14ac:dyDescent="0.2">
      <c r="A117" s="3">
        <v>40725</v>
      </c>
      <c r="B117" s="29">
        <f>'[5]Consumption Data '!B120</f>
        <v>22292830.300000001</v>
      </c>
      <c r="C117" s="136">
        <f>'Weather Analysis'!U14</f>
        <v>0</v>
      </c>
      <c r="D117" s="136">
        <f>'Weather Analysis'!U34</f>
        <v>198.5</v>
      </c>
      <c r="E117" s="56">
        <v>31</v>
      </c>
      <c r="F117" s="10">
        <v>0</v>
      </c>
      <c r="G117" s="19">
        <f>'[5]Consumption Data '!AG120</f>
        <v>14759</v>
      </c>
      <c r="H117" s="19">
        <f ca="1">'CDM Activity'!F82</f>
        <v>379806.0879187166</v>
      </c>
      <c r="I117" s="37">
        <v>141.24627120411799</v>
      </c>
      <c r="J117" s="10">
        <f t="shared" si="1"/>
        <v>22103588.518506914</v>
      </c>
    </row>
    <row r="118" spans="1:10" x14ac:dyDescent="0.2">
      <c r="A118" s="3">
        <v>40756</v>
      </c>
      <c r="B118" s="29">
        <f>'[5]Consumption Data '!B121</f>
        <v>19354570.300000001</v>
      </c>
      <c r="C118" s="136">
        <f>'Weather Analysis'!U15</f>
        <v>0</v>
      </c>
      <c r="D118" s="136">
        <f>'Weather Analysis'!U35</f>
        <v>122.2</v>
      </c>
      <c r="E118" s="56">
        <v>31</v>
      </c>
      <c r="F118" s="10">
        <v>0</v>
      </c>
      <c r="G118" s="19">
        <f>'[5]Consumption Data '!AG121</f>
        <v>14772</v>
      </c>
      <c r="H118" s="19">
        <f ca="1">'CDM Activity'!F83</f>
        <v>397477.58903539396</v>
      </c>
      <c r="I118" s="37">
        <v>141.61751399901428</v>
      </c>
      <c r="J118" s="10">
        <f t="shared" si="1"/>
        <v>19994114.514598921</v>
      </c>
    </row>
    <row r="119" spans="1:10" x14ac:dyDescent="0.2">
      <c r="A119" s="3">
        <v>40787</v>
      </c>
      <c r="B119" s="29">
        <f>'[5]Consumption Data '!B122</f>
        <v>17323768.100000001</v>
      </c>
      <c r="C119" s="136">
        <f>'Weather Analysis'!U16</f>
        <v>48.2</v>
      </c>
      <c r="D119" s="136">
        <f>'Weather Analysis'!U36</f>
        <v>39.700000000000003</v>
      </c>
      <c r="E119" s="56">
        <v>30</v>
      </c>
      <c r="F119" s="10">
        <v>1</v>
      </c>
      <c r="G119" s="19">
        <f>'[5]Consumption Data '!AG122</f>
        <v>14772</v>
      </c>
      <c r="H119" s="19">
        <f ca="1">'CDM Activity'!F84</f>
        <v>415149.09015207132</v>
      </c>
      <c r="I119" s="37">
        <v>141.98973254506907</v>
      </c>
      <c r="J119" s="10">
        <f t="shared" si="1"/>
        <v>16753453.1854208</v>
      </c>
    </row>
    <row r="120" spans="1:10" x14ac:dyDescent="0.2">
      <c r="A120" s="3">
        <v>40817</v>
      </c>
      <c r="B120" s="29">
        <f>'[5]Consumption Data '!B123</f>
        <v>18576164</v>
      </c>
      <c r="C120" s="136">
        <f>'Weather Analysis'!U17</f>
        <v>235.5</v>
      </c>
      <c r="D120" s="136">
        <f>'Weather Analysis'!U37</f>
        <v>2.4</v>
      </c>
      <c r="E120" s="56">
        <v>31</v>
      </c>
      <c r="F120" s="10">
        <v>1</v>
      </c>
      <c r="G120" s="19">
        <f>'[5]Consumption Data '!AG123</f>
        <v>14794</v>
      </c>
      <c r="H120" s="19">
        <f ca="1">'CDM Activity'!F85</f>
        <v>432820.59126874869</v>
      </c>
      <c r="I120" s="37">
        <v>142.3629294068852</v>
      </c>
      <c r="J120" s="10">
        <f t="shared" si="1"/>
        <v>18943790.526818257</v>
      </c>
    </row>
    <row r="121" spans="1:10" x14ac:dyDescent="0.2">
      <c r="A121" s="3">
        <v>40848</v>
      </c>
      <c r="B121" s="29">
        <f>'[5]Consumption Data '!B124</f>
        <v>19598868</v>
      </c>
      <c r="C121" s="136">
        <f>'Weather Analysis'!U18</f>
        <v>342.1</v>
      </c>
      <c r="D121" s="136">
        <f>'Weather Analysis'!U38</f>
        <v>0</v>
      </c>
      <c r="E121" s="56">
        <v>30</v>
      </c>
      <c r="F121" s="10">
        <v>1</v>
      </c>
      <c r="G121" s="19">
        <f>'[5]Consumption Data '!AG124</f>
        <v>14809</v>
      </c>
      <c r="H121" s="19">
        <f ca="1">'CDM Activity'!F86</f>
        <v>450492.09238542605</v>
      </c>
      <c r="I121" s="37">
        <v>142.73710715580614</v>
      </c>
      <c r="J121" s="10">
        <f t="shared" si="1"/>
        <v>19786284.989381652</v>
      </c>
    </row>
    <row r="122" spans="1:10" x14ac:dyDescent="0.2">
      <c r="A122" s="3">
        <v>40878</v>
      </c>
      <c r="B122" s="29">
        <f>'[5]Consumption Data '!B125</f>
        <v>23311694</v>
      </c>
      <c r="C122" s="136">
        <f>'Weather Analysis'!U19</f>
        <v>534</v>
      </c>
      <c r="D122" s="136">
        <f>'Weather Analysis'!U39</f>
        <v>0</v>
      </c>
      <c r="E122" s="56">
        <v>31</v>
      </c>
      <c r="F122" s="10">
        <v>0</v>
      </c>
      <c r="G122" s="19">
        <f>'[5]Consumption Data '!AG125</f>
        <v>14826</v>
      </c>
      <c r="H122" s="19">
        <f ca="1">'CDM Activity'!F87</f>
        <v>468163.59350210341</v>
      </c>
      <c r="I122" s="37">
        <v>143.11226836993367</v>
      </c>
      <c r="J122" s="10">
        <f t="shared" si="1"/>
        <v>24097335.696948297</v>
      </c>
    </row>
    <row r="123" spans="1:10" x14ac:dyDescent="0.2">
      <c r="A123" s="3">
        <v>40909</v>
      </c>
      <c r="C123" s="304">
        <f t="shared" ref="C123:D134" si="2">(C3+C15+C27+C39+C51+C63+C75+C87+C99+C111)/10</f>
        <v>715.37000000000012</v>
      </c>
      <c r="D123" s="304">
        <f t="shared" si="2"/>
        <v>0</v>
      </c>
      <c r="E123" s="19">
        <v>31</v>
      </c>
      <c r="F123" s="19">
        <v>0</v>
      </c>
      <c r="G123" s="19">
        <f>($G$128-$G$122)/6+G122</f>
        <v>14846.99521157778</v>
      </c>
      <c r="H123" s="19">
        <f ca="1">'CDM Activity'!F88</f>
        <v>466312.70107880258</v>
      </c>
      <c r="I123" s="37">
        <v>143.48841563414587</v>
      </c>
      <c r="J123" s="10">
        <f t="shared" si="1"/>
        <v>26648754.562596746</v>
      </c>
    </row>
    <row r="124" spans="1:10" x14ac:dyDescent="0.2">
      <c r="A124" s="3">
        <v>40940</v>
      </c>
      <c r="C124" s="304">
        <f t="shared" si="2"/>
        <v>636.53</v>
      </c>
      <c r="D124" s="304">
        <f t="shared" si="2"/>
        <v>0</v>
      </c>
      <c r="E124" s="19">
        <v>29</v>
      </c>
      <c r="F124" s="19">
        <v>0</v>
      </c>
      <c r="G124" s="19">
        <f>($G$128-$G$122)/6+G123</f>
        <v>14867.990423155559</v>
      </c>
      <c r="H124" s="19">
        <f ca="1">'CDM Activity'!F89</f>
        <v>464461.80865550175</v>
      </c>
      <c r="I124" s="37">
        <v>143.86555154011452</v>
      </c>
      <c r="J124" s="10">
        <f t="shared" si="1"/>
        <v>24385324.148135841</v>
      </c>
    </row>
    <row r="125" spans="1:10" x14ac:dyDescent="0.2">
      <c r="A125" s="3">
        <v>40969</v>
      </c>
      <c r="C125" s="304">
        <f t="shared" si="2"/>
        <v>542.54999999999995</v>
      </c>
      <c r="D125" s="304">
        <f t="shared" si="2"/>
        <v>0</v>
      </c>
      <c r="E125" s="19">
        <v>31</v>
      </c>
      <c r="F125" s="19">
        <v>1</v>
      </c>
      <c r="G125" s="19">
        <f>($G$128-$G$122)/6+G124</f>
        <v>14888.985634733339</v>
      </c>
      <c r="H125" s="19">
        <f ca="1">'CDM Activity'!F90</f>
        <v>462610.91623220092</v>
      </c>
      <c r="I125" s="37">
        <v>144.24367868632334</v>
      </c>
      <c r="J125" s="10">
        <f t="shared" si="1"/>
        <v>23259397.564865161</v>
      </c>
    </row>
    <row r="126" spans="1:10" x14ac:dyDescent="0.2">
      <c r="A126" s="3">
        <v>41000</v>
      </c>
      <c r="C126" s="304">
        <f t="shared" si="2"/>
        <v>310.71000000000004</v>
      </c>
      <c r="D126" s="304">
        <f t="shared" si="2"/>
        <v>1.19</v>
      </c>
      <c r="E126" s="19">
        <v>30</v>
      </c>
      <c r="F126" s="19">
        <v>1</v>
      </c>
      <c r="G126" s="19">
        <f>($G$128-$G$122)/6+G125</f>
        <v>14909.980846311119</v>
      </c>
      <c r="H126" s="19">
        <f ca="1">'CDM Activity'!F91</f>
        <v>460760.02380890009</v>
      </c>
      <c r="I126" s="37">
        <v>144.62279967808564</v>
      </c>
      <c r="J126" s="10">
        <f t="shared" si="1"/>
        <v>19488651.768190164</v>
      </c>
    </row>
    <row r="127" spans="1:10" x14ac:dyDescent="0.2">
      <c r="A127" s="3">
        <v>41030</v>
      </c>
      <c r="C127" s="304">
        <f t="shared" si="2"/>
        <v>162.13</v>
      </c>
      <c r="D127" s="304">
        <f t="shared" si="2"/>
        <v>13.37</v>
      </c>
      <c r="E127" s="19">
        <v>31</v>
      </c>
      <c r="F127" s="19">
        <v>1</v>
      </c>
      <c r="G127" s="19">
        <f>($G$128-$G$122)/6+G126</f>
        <v>14930.976057888898</v>
      </c>
      <c r="H127" s="19">
        <f ca="1">'CDM Activity'!F92</f>
        <v>458909.13138559926</v>
      </c>
      <c r="I127" s="37">
        <v>145.00291712756245</v>
      </c>
      <c r="J127" s="10">
        <f t="shared" si="1"/>
        <v>18371040.619878151</v>
      </c>
    </row>
    <row r="128" spans="1:10" x14ac:dyDescent="0.2">
      <c r="A128" s="3">
        <v>41061</v>
      </c>
      <c r="C128" s="304">
        <f t="shared" si="2"/>
        <v>28.139999999999997</v>
      </c>
      <c r="D128" s="304">
        <f t="shared" si="2"/>
        <v>69.02000000000001</v>
      </c>
      <c r="E128" s="19">
        <v>30</v>
      </c>
      <c r="F128" s="19">
        <v>0</v>
      </c>
      <c r="G128" s="19">
        <f>'Rate Class Customer Model'!J13</f>
        <v>14951.97126946668</v>
      </c>
      <c r="H128" s="19">
        <f ca="1">'CDM Activity'!F93</f>
        <v>457058.23896229843</v>
      </c>
      <c r="I128" s="37">
        <v>145.38403365378039</v>
      </c>
      <c r="J128" s="10">
        <f t="shared" si="1"/>
        <v>18504183.633664504</v>
      </c>
    </row>
    <row r="129" spans="1:12" x14ac:dyDescent="0.2">
      <c r="A129" s="3">
        <v>41091</v>
      </c>
      <c r="C129" s="304">
        <f t="shared" si="2"/>
        <v>1.6</v>
      </c>
      <c r="D129" s="304">
        <f t="shared" si="2"/>
        <v>137.72999999999999</v>
      </c>
      <c r="E129" s="19">
        <v>31</v>
      </c>
      <c r="F129" s="19">
        <v>0</v>
      </c>
      <c r="G129" s="19">
        <f>($G$140-$G$128)/12+G128</f>
        <v>14969.724102819371</v>
      </c>
      <c r="H129" s="19">
        <f ca="1">'CDM Activity'!F94</f>
        <v>455207.3465389976</v>
      </c>
      <c r="I129" s="37">
        <v>145.76615188264978</v>
      </c>
      <c r="J129" s="10">
        <f t="shared" si="1"/>
        <v>20658060.751045953</v>
      </c>
    </row>
    <row r="130" spans="1:12" x14ac:dyDescent="0.2">
      <c r="A130" s="3">
        <v>41122</v>
      </c>
      <c r="C130" s="304">
        <f t="shared" si="2"/>
        <v>4.92</v>
      </c>
      <c r="D130" s="304">
        <f t="shared" si="2"/>
        <v>112.96000000000001</v>
      </c>
      <c r="E130" s="19">
        <v>31</v>
      </c>
      <c r="F130" s="19">
        <v>0</v>
      </c>
      <c r="G130" s="19">
        <f t="shared" ref="G130:G146" si="3">($G$140-$G$128)/12+G129</f>
        <v>14987.476936172063</v>
      </c>
      <c r="H130" s="19">
        <f ca="1">'CDM Activity'!F95</f>
        <v>453356.45411569678</v>
      </c>
      <c r="I130" s="37">
        <v>146.14927444698273</v>
      </c>
      <c r="J130" s="10">
        <f t="shared" si="1"/>
        <v>20033875.419857532</v>
      </c>
    </row>
    <row r="131" spans="1:12" x14ac:dyDescent="0.2">
      <c r="A131" s="3">
        <v>41153</v>
      </c>
      <c r="C131" s="304">
        <f t="shared" si="2"/>
        <v>48.76</v>
      </c>
      <c r="D131" s="304">
        <f t="shared" si="2"/>
        <v>38.409999999999997</v>
      </c>
      <c r="E131" s="19">
        <v>30</v>
      </c>
      <c r="F131" s="19">
        <v>1</v>
      </c>
      <c r="G131" s="19">
        <f t="shared" si="3"/>
        <v>15005.229769524754</v>
      </c>
      <c r="H131" s="19">
        <f ca="1">'CDM Activity'!F96</f>
        <v>451505.56169239595</v>
      </c>
      <c r="I131" s="37">
        <v>146.53340398651127</v>
      </c>
      <c r="J131" s="10">
        <f t="shared" si="1"/>
        <v>16972451.653621539</v>
      </c>
    </row>
    <row r="132" spans="1:12" x14ac:dyDescent="0.2">
      <c r="A132" s="3">
        <v>41183</v>
      </c>
      <c r="C132" s="304">
        <f t="shared" si="2"/>
        <v>248.42000000000002</v>
      </c>
      <c r="D132" s="304">
        <f t="shared" si="2"/>
        <v>4.24</v>
      </c>
      <c r="E132" s="19">
        <v>31</v>
      </c>
      <c r="F132" s="19">
        <v>1</v>
      </c>
      <c r="G132" s="19">
        <f t="shared" si="3"/>
        <v>15022.982602877446</v>
      </c>
      <c r="H132" s="19">
        <f ca="1">'CDM Activity'!F97</f>
        <v>449654.66926909512</v>
      </c>
      <c r="I132" s="37">
        <v>146.91854314790552</v>
      </c>
      <c r="J132" s="10">
        <f t="shared" ref="J132:J146" si="4">$N$18+C132*$N$19+D132*$N$20+E132*$N$21+F132*$N$22+G132*$N$23</f>
        <v>19417748.158306938</v>
      </c>
    </row>
    <row r="133" spans="1:12" x14ac:dyDescent="0.2">
      <c r="A133" s="3">
        <v>41214</v>
      </c>
      <c r="C133" s="304">
        <f t="shared" si="2"/>
        <v>401.59</v>
      </c>
      <c r="D133" s="304">
        <f t="shared" si="2"/>
        <v>0</v>
      </c>
      <c r="E133" s="19">
        <v>30</v>
      </c>
      <c r="F133" s="19">
        <v>1</v>
      </c>
      <c r="G133" s="19">
        <f t="shared" si="3"/>
        <v>15040.735436230138</v>
      </c>
      <c r="H133" s="19">
        <f ca="1">'CDM Activity'!F98</f>
        <v>447803.77684579429</v>
      </c>
      <c r="I133" s="37">
        <v>147.30469458479195</v>
      </c>
      <c r="J133" s="10">
        <f t="shared" si="4"/>
        <v>20861367.570177983</v>
      </c>
    </row>
    <row r="134" spans="1:12" x14ac:dyDescent="0.2">
      <c r="A134" s="3">
        <v>41244</v>
      </c>
      <c r="C134" s="304">
        <f t="shared" si="2"/>
        <v>611.69000000000005</v>
      </c>
      <c r="D134" s="304">
        <f t="shared" si="2"/>
        <v>0</v>
      </c>
      <c r="E134" s="19">
        <v>31</v>
      </c>
      <c r="F134" s="19">
        <v>0</v>
      </c>
      <c r="G134" s="19">
        <f t="shared" si="3"/>
        <v>15058.488269582829</v>
      </c>
      <c r="H134" s="19">
        <f ca="1">'CDM Activity'!F99</f>
        <v>445952.88442249346</v>
      </c>
      <c r="I134" s="37">
        <v>147.69186095777155</v>
      </c>
      <c r="J134" s="10">
        <f t="shared" si="4"/>
        <v>25427011.989031903</v>
      </c>
    </row>
    <row r="135" spans="1:12" x14ac:dyDescent="0.2">
      <c r="A135" s="3">
        <v>41275</v>
      </c>
      <c r="C135" s="304">
        <f>C123</f>
        <v>715.37000000000012</v>
      </c>
      <c r="D135" s="136">
        <f>D123</f>
        <v>0</v>
      </c>
      <c r="E135" s="19">
        <v>31</v>
      </c>
      <c r="F135" s="19">
        <v>0</v>
      </c>
      <c r="G135" s="19">
        <f t="shared" si="3"/>
        <v>15076.241102935521</v>
      </c>
      <c r="H135" s="19">
        <f ca="1">'CDM Activity'!F100</f>
        <v>461549.92705584702</v>
      </c>
      <c r="I135" s="37">
        <v>147.88420587795724</v>
      </c>
      <c r="J135" s="10">
        <f t="shared" si="4"/>
        <v>26891620.953395024</v>
      </c>
      <c r="K135" s="298"/>
      <c r="L135" s="299"/>
    </row>
    <row r="136" spans="1:12" x14ac:dyDescent="0.2">
      <c r="A136" s="3">
        <v>41306</v>
      </c>
      <c r="C136" s="304">
        <f t="shared" ref="C136:D146" si="5">C124</f>
        <v>636.53</v>
      </c>
      <c r="D136" s="136">
        <f t="shared" si="5"/>
        <v>0</v>
      </c>
      <c r="E136" s="19">
        <v>28</v>
      </c>
      <c r="F136" s="19">
        <v>0</v>
      </c>
      <c r="G136" s="19">
        <f t="shared" si="3"/>
        <v>15093.993936288212</v>
      </c>
      <c r="H136" s="19">
        <f ca="1">'CDM Activity'!F101</f>
        <v>477146.96968920057</v>
      </c>
      <c r="I136" s="37">
        <v>148.07655079814293</v>
      </c>
      <c r="J136" s="10">
        <f t="shared" si="4"/>
        <v>24031624.719769046</v>
      </c>
      <c r="K136" s="298"/>
      <c r="L136" s="299"/>
    </row>
    <row r="137" spans="1:12" x14ac:dyDescent="0.2">
      <c r="A137" s="3">
        <v>41334</v>
      </c>
      <c r="C137" s="304">
        <f t="shared" si="5"/>
        <v>542.54999999999995</v>
      </c>
      <c r="D137" s="136">
        <f t="shared" si="5"/>
        <v>0</v>
      </c>
      <c r="E137" s="19">
        <v>31</v>
      </c>
      <c r="F137" s="19">
        <v>1</v>
      </c>
      <c r="G137" s="19">
        <f t="shared" si="3"/>
        <v>15111.746769640904</v>
      </c>
      <c r="H137" s="19">
        <f ca="1">'CDM Activity'!F102</f>
        <v>492744.01232255413</v>
      </c>
      <c r="I137" s="37">
        <v>148.26889571832862</v>
      </c>
      <c r="J137" s="10">
        <f t="shared" si="4"/>
        <v>23495393.911515944</v>
      </c>
      <c r="K137" s="298"/>
      <c r="L137" s="299"/>
    </row>
    <row r="138" spans="1:12" x14ac:dyDescent="0.2">
      <c r="A138" s="3">
        <v>41365</v>
      </c>
      <c r="C138" s="304">
        <f t="shared" si="5"/>
        <v>310.71000000000004</v>
      </c>
      <c r="D138" s="136">
        <f t="shared" si="5"/>
        <v>1.19</v>
      </c>
      <c r="E138" s="19">
        <v>30</v>
      </c>
      <c r="F138" s="19">
        <v>1</v>
      </c>
      <c r="G138" s="19">
        <f t="shared" si="3"/>
        <v>15129.499602993596</v>
      </c>
      <c r="H138" s="19">
        <f ca="1">'CDM Activity'!F103</f>
        <v>508341.05495590769</v>
      </c>
      <c r="I138" s="37">
        <v>148.46124063851431</v>
      </c>
      <c r="J138" s="10">
        <f t="shared" si="4"/>
        <v>19721213.092767198</v>
      </c>
      <c r="K138" s="298"/>
      <c r="L138" s="299"/>
    </row>
    <row r="139" spans="1:12" x14ac:dyDescent="0.2">
      <c r="A139" s="3">
        <v>41395</v>
      </c>
      <c r="C139" s="304">
        <f t="shared" si="5"/>
        <v>162.13</v>
      </c>
      <c r="D139" s="136">
        <f t="shared" si="5"/>
        <v>13.37</v>
      </c>
      <c r="E139" s="19">
        <v>31</v>
      </c>
      <c r="F139" s="19">
        <v>1</v>
      </c>
      <c r="G139" s="19">
        <f t="shared" si="3"/>
        <v>15147.252436346287</v>
      </c>
      <c r="H139" s="19">
        <f ca="1">'CDM Activity'!F104</f>
        <v>523938.09758926125</v>
      </c>
      <c r="I139" s="37">
        <v>148.6535855587</v>
      </c>
      <c r="J139" s="10">
        <f t="shared" si="4"/>
        <v>18600166.922381438</v>
      </c>
      <c r="K139" s="298"/>
      <c r="L139" s="299"/>
    </row>
    <row r="140" spans="1:12" x14ac:dyDescent="0.2">
      <c r="A140" s="3">
        <v>41426</v>
      </c>
      <c r="C140" s="304">
        <f t="shared" si="5"/>
        <v>28.139999999999997</v>
      </c>
      <c r="D140" s="136">
        <f t="shared" si="5"/>
        <v>69.02000000000001</v>
      </c>
      <c r="E140" s="19">
        <v>30</v>
      </c>
      <c r="F140" s="19">
        <v>0</v>
      </c>
      <c r="G140" s="19">
        <f>'Rate Class Customer Model'!J14</f>
        <v>15165.005269698988</v>
      </c>
      <c r="H140" s="19">
        <f ca="1">'CDM Activity'!F105</f>
        <v>539535.14022261475</v>
      </c>
      <c r="I140" s="37">
        <v>148.84593047888569</v>
      </c>
      <c r="J140" s="10">
        <f t="shared" si="4"/>
        <v>18729874.914094049</v>
      </c>
      <c r="K140" s="298"/>
      <c r="L140" s="299"/>
    </row>
    <row r="141" spans="1:12" x14ac:dyDescent="0.2">
      <c r="A141" s="3">
        <v>41456</v>
      </c>
      <c r="C141" s="304">
        <f t="shared" si="5"/>
        <v>1.6</v>
      </c>
      <c r="D141" s="136">
        <f t="shared" si="5"/>
        <v>137.72999999999999</v>
      </c>
      <c r="E141" s="19">
        <v>31</v>
      </c>
      <c r="F141" s="19">
        <v>0</v>
      </c>
      <c r="G141" s="19">
        <f t="shared" si="3"/>
        <v>15182.758103051679</v>
      </c>
      <c r="H141" s="19">
        <f ca="1">'CDM Activity'!F106</f>
        <v>555132.18285596825</v>
      </c>
      <c r="I141" s="37">
        <v>149.03827539907138</v>
      </c>
      <c r="J141" s="10">
        <f t="shared" si="4"/>
        <v>20883752.031475499</v>
      </c>
      <c r="K141" s="298"/>
      <c r="L141" s="299"/>
    </row>
    <row r="142" spans="1:12" x14ac:dyDescent="0.2">
      <c r="A142" s="3">
        <v>41487</v>
      </c>
      <c r="C142" s="304">
        <f t="shared" si="5"/>
        <v>4.92</v>
      </c>
      <c r="D142" s="136">
        <f t="shared" si="5"/>
        <v>112.96000000000001</v>
      </c>
      <c r="E142" s="19">
        <v>31</v>
      </c>
      <c r="F142" s="19">
        <v>0</v>
      </c>
      <c r="G142" s="19">
        <f t="shared" si="3"/>
        <v>15200.510936404371</v>
      </c>
      <c r="H142" s="19">
        <f ca="1">'CDM Activity'!F107</f>
        <v>570729.22548932175</v>
      </c>
      <c r="I142" s="37">
        <v>149.23062031925707</v>
      </c>
      <c r="J142" s="10">
        <f t="shared" si="4"/>
        <v>20259566.700287078</v>
      </c>
      <c r="K142" s="298"/>
      <c r="L142" s="299"/>
    </row>
    <row r="143" spans="1:12" x14ac:dyDescent="0.2">
      <c r="A143" s="3">
        <v>41518</v>
      </c>
      <c r="C143" s="304">
        <f t="shared" si="5"/>
        <v>48.76</v>
      </c>
      <c r="D143" s="136">
        <f t="shared" si="5"/>
        <v>38.409999999999997</v>
      </c>
      <c r="E143" s="19">
        <v>30</v>
      </c>
      <c r="F143" s="19">
        <v>1</v>
      </c>
      <c r="G143" s="19">
        <f t="shared" si="3"/>
        <v>15218.263769757063</v>
      </c>
      <c r="H143" s="19">
        <f ca="1">'CDM Activity'!F108</f>
        <v>586326.26812267525</v>
      </c>
      <c r="I143" s="37">
        <v>149.42296523944276</v>
      </c>
      <c r="J143" s="10">
        <f t="shared" si="4"/>
        <v>17198142.934051082</v>
      </c>
      <c r="K143" s="298"/>
      <c r="L143" s="299"/>
    </row>
    <row r="144" spans="1:12" x14ac:dyDescent="0.2">
      <c r="A144" s="3">
        <v>41548</v>
      </c>
      <c r="C144" s="304">
        <f t="shared" si="5"/>
        <v>248.42000000000002</v>
      </c>
      <c r="D144" s="136">
        <f t="shared" si="5"/>
        <v>4.24</v>
      </c>
      <c r="E144" s="19">
        <v>31</v>
      </c>
      <c r="F144" s="19">
        <v>1</v>
      </c>
      <c r="G144" s="19">
        <f t="shared" si="3"/>
        <v>15236.016603109754</v>
      </c>
      <c r="H144" s="19">
        <f ca="1">'CDM Activity'!F109</f>
        <v>601923.31075602875</v>
      </c>
      <c r="I144" s="37">
        <v>149.61531015962845</v>
      </c>
      <c r="J144" s="10">
        <f t="shared" si="4"/>
        <v>19643439.438736483</v>
      </c>
      <c r="K144" s="298"/>
      <c r="L144" s="299"/>
    </row>
    <row r="145" spans="1:12" x14ac:dyDescent="0.2">
      <c r="A145" s="3">
        <v>41579</v>
      </c>
      <c r="C145" s="304">
        <f t="shared" si="5"/>
        <v>401.59</v>
      </c>
      <c r="D145" s="136">
        <f t="shared" si="5"/>
        <v>0</v>
      </c>
      <c r="E145" s="19">
        <v>30</v>
      </c>
      <c r="F145" s="19">
        <v>1</v>
      </c>
      <c r="G145" s="19">
        <f t="shared" si="3"/>
        <v>15253.769436462446</v>
      </c>
      <c r="H145" s="19">
        <f ca="1">'CDM Activity'!F110</f>
        <v>617520.35338938225</v>
      </c>
      <c r="I145" s="37">
        <v>149.80765507981414</v>
      </c>
      <c r="J145" s="10">
        <f t="shared" si="4"/>
        <v>21087058.850607529</v>
      </c>
      <c r="K145" s="298"/>
      <c r="L145" s="299"/>
    </row>
    <row r="146" spans="1:12" x14ac:dyDescent="0.2">
      <c r="A146" s="3">
        <v>41609</v>
      </c>
      <c r="C146" s="304">
        <f t="shared" si="5"/>
        <v>611.69000000000005</v>
      </c>
      <c r="D146" s="136">
        <f t="shared" si="5"/>
        <v>0</v>
      </c>
      <c r="E146" s="19">
        <v>31</v>
      </c>
      <c r="F146" s="19">
        <v>0</v>
      </c>
      <c r="G146" s="19">
        <f t="shared" si="3"/>
        <v>15271.522269815137</v>
      </c>
      <c r="H146" s="19">
        <f ca="1">'CDM Activity'!F111</f>
        <v>633117.39602273575</v>
      </c>
      <c r="I146" s="37">
        <v>150</v>
      </c>
      <c r="J146" s="10">
        <f t="shared" si="4"/>
        <v>25652703.269461446</v>
      </c>
      <c r="K146" s="298"/>
      <c r="L146" s="299"/>
    </row>
    <row r="147" spans="1:12" x14ac:dyDescent="0.2">
      <c r="A147" s="3"/>
      <c r="H147" s="19"/>
    </row>
    <row r="148" spans="1:12" x14ac:dyDescent="0.2">
      <c r="A148" s="3"/>
      <c r="D148" s="464" t="s">
        <v>72</v>
      </c>
      <c r="E148" s="464"/>
      <c r="J148" s="56">
        <f>SUM(J3:J146)</f>
        <v>2917169251.5181155</v>
      </c>
    </row>
    <row r="149" spans="1:12" x14ac:dyDescent="0.2">
      <c r="A149" s="3"/>
    </row>
    <row r="150" spans="1:12" x14ac:dyDescent="0.2">
      <c r="A150">
        <v>2002</v>
      </c>
      <c r="B150" s="29">
        <f>SUM(B3:B14)</f>
        <v>229952804.31</v>
      </c>
      <c r="J150" s="6">
        <f>SUM(J3:J14)</f>
        <v>231401930.83504969</v>
      </c>
      <c r="K150" s="41">
        <f t="shared" ref="K150:K159" si="6">J150-B150</f>
        <v>1449126.5250496864</v>
      </c>
      <c r="L150" s="5">
        <f t="shared" ref="L150:L159" si="7">K150/B150</f>
        <v>6.3018432386504628E-3</v>
      </c>
    </row>
    <row r="151" spans="1:12" x14ac:dyDescent="0.2">
      <c r="A151" s="18">
        <v>2003</v>
      </c>
      <c r="B151" s="29">
        <f>SUM(B15:B26)</f>
        <v>234480796</v>
      </c>
      <c r="J151" s="6">
        <f>SUM(J15:J26)</f>
        <v>234082855.78034854</v>
      </c>
      <c r="K151" s="41">
        <f t="shared" si="6"/>
        <v>-397940.21965146065</v>
      </c>
      <c r="L151" s="5">
        <f t="shared" si="7"/>
        <v>-1.697112200401523E-3</v>
      </c>
    </row>
    <row r="152" spans="1:12" x14ac:dyDescent="0.2">
      <c r="A152">
        <v>2004</v>
      </c>
      <c r="B152" s="29">
        <f>SUM(B27:B38)</f>
        <v>234412600</v>
      </c>
      <c r="J152" s="6">
        <f>SUM(J27:J38)</f>
        <v>232672948.22083217</v>
      </c>
      <c r="K152" s="41">
        <f t="shared" si="6"/>
        <v>-1739651.7791678309</v>
      </c>
      <c r="L152" s="5">
        <f t="shared" si="7"/>
        <v>-7.4213236795625786E-3</v>
      </c>
    </row>
    <row r="153" spans="1:12" x14ac:dyDescent="0.2">
      <c r="A153" s="18">
        <v>2005</v>
      </c>
      <c r="B153" s="29">
        <f>SUM(B39:B50)</f>
        <v>242687327.83019999</v>
      </c>
      <c r="J153" s="6">
        <f>SUM(J39:J50)</f>
        <v>243391567.27342251</v>
      </c>
      <c r="K153" s="41">
        <f t="shared" si="6"/>
        <v>704239.44322252274</v>
      </c>
      <c r="L153" s="5">
        <f t="shared" si="7"/>
        <v>2.9018385488807021E-3</v>
      </c>
    </row>
    <row r="154" spans="1:12" x14ac:dyDescent="0.2">
      <c r="A154">
        <v>2006</v>
      </c>
      <c r="B154" s="29">
        <f>SUM(B51:B62)</f>
        <v>234398898.69999999</v>
      </c>
      <c r="J154" s="6">
        <f>SUM(J51:J62)</f>
        <v>234083312.83045462</v>
      </c>
      <c r="K154" s="41">
        <f t="shared" si="6"/>
        <v>-315585.86954537034</v>
      </c>
      <c r="L154" s="5">
        <f t="shared" si="7"/>
        <v>-1.3463624244637732E-3</v>
      </c>
    </row>
    <row r="155" spans="1:12" x14ac:dyDescent="0.2">
      <c r="A155" s="18">
        <v>2007</v>
      </c>
      <c r="B155" s="29">
        <f>SUM(B63:B74)</f>
        <v>241154636.09999999</v>
      </c>
      <c r="J155" s="6">
        <f>SUM(J63:J74)</f>
        <v>241953147.35085589</v>
      </c>
      <c r="K155" s="41">
        <f t="shared" si="6"/>
        <v>798511.2508558929</v>
      </c>
      <c r="L155" s="5">
        <f t="shared" si="7"/>
        <v>3.3112000821115166E-3</v>
      </c>
    </row>
    <row r="156" spans="1:12" x14ac:dyDescent="0.2">
      <c r="A156">
        <v>2008</v>
      </c>
      <c r="B156" s="29">
        <f>SUM(B75:B86)</f>
        <v>245623027.80000001</v>
      </c>
      <c r="J156" s="6">
        <f>SUM(J75:J86)</f>
        <v>243425788.29814762</v>
      </c>
      <c r="K156" s="41">
        <f t="shared" si="6"/>
        <v>-2197239.5018523932</v>
      </c>
      <c r="L156" s="5">
        <f t="shared" si="7"/>
        <v>-8.9455761600720444E-3</v>
      </c>
    </row>
    <row r="157" spans="1:12" x14ac:dyDescent="0.2">
      <c r="A157" s="18">
        <v>2009</v>
      </c>
      <c r="B157" s="29">
        <f>SUM(B87:B98)</f>
        <v>247239189.20000002</v>
      </c>
      <c r="J157" s="6">
        <f>SUM(J87:J98)</f>
        <v>246672819.60490677</v>
      </c>
      <c r="K157" s="41">
        <f t="shared" si="6"/>
        <v>-566369.59509325027</v>
      </c>
      <c r="L157" s="5">
        <f t="shared" si="7"/>
        <v>-2.2907759765993046E-3</v>
      </c>
    </row>
    <row r="158" spans="1:12" x14ac:dyDescent="0.2">
      <c r="A158">
        <v>2010</v>
      </c>
      <c r="B158" s="29">
        <f>SUM(B99:B110)</f>
        <v>250239378.79999998</v>
      </c>
      <c r="J158" s="6">
        <f>SUM(J99:J110)</f>
        <v>247841894.28260642</v>
      </c>
      <c r="K158" s="41">
        <f t="shared" si="6"/>
        <v>-2397484.5173935592</v>
      </c>
      <c r="L158" s="5">
        <f t="shared" si="7"/>
        <v>-9.5807643420890692E-3</v>
      </c>
    </row>
    <row r="159" spans="1:12" x14ac:dyDescent="0.2">
      <c r="A159">
        <v>2011</v>
      </c>
      <c r="B159" s="29">
        <f>SUM(B111:B122)</f>
        <v>246758167.20000002</v>
      </c>
      <c r="J159" s="6">
        <f>SUM(J111:J122)</f>
        <v>251420561.46357667</v>
      </c>
      <c r="K159" s="41">
        <f t="shared" si="6"/>
        <v>4662394.2635766566</v>
      </c>
      <c r="L159" s="5">
        <f t="shared" si="7"/>
        <v>1.889458945364E-2</v>
      </c>
    </row>
    <row r="160" spans="1:12" x14ac:dyDescent="0.2">
      <c r="A160">
        <v>2012</v>
      </c>
      <c r="J160" s="6">
        <f>SUM(J123:J134)</f>
        <v>254027867.83937243</v>
      </c>
    </row>
    <row r="161" spans="1:12" x14ac:dyDescent="0.2">
      <c r="A161">
        <v>2013</v>
      </c>
      <c r="J161" s="6">
        <f>SUM(J135:J146)</f>
        <v>256194557.73854184</v>
      </c>
    </row>
    <row r="162" spans="1:12" x14ac:dyDescent="0.2">
      <c r="J162" s="6"/>
    </row>
    <row r="163" spans="1:12" x14ac:dyDescent="0.2">
      <c r="A163" t="s">
        <v>84</v>
      </c>
      <c r="B163" s="29">
        <f>SUM(B150:B159)</f>
        <v>2406946825.9401999</v>
      </c>
      <c r="J163" s="6">
        <f>SUM(J150:J159)</f>
        <v>2406946825.9402013</v>
      </c>
      <c r="K163" s="6">
        <f>J163-B163</f>
        <v>0</v>
      </c>
    </row>
    <row r="165" spans="1:12" x14ac:dyDescent="0.2">
      <c r="J165" s="6">
        <f>SUM(J150:J161)</f>
        <v>2917169251.518116</v>
      </c>
      <c r="K165" s="56">
        <f>J148-J165</f>
        <v>0</v>
      </c>
    </row>
    <row r="166" spans="1:12" x14ac:dyDescent="0.2">
      <c r="J166" s="20"/>
      <c r="K166" s="20" t="s">
        <v>65</v>
      </c>
      <c r="L166" s="20"/>
    </row>
    <row r="169" spans="1:12" x14ac:dyDescent="0.2">
      <c r="B169" s="29" t="s">
        <v>105</v>
      </c>
    </row>
    <row r="170" spans="1:12" x14ac:dyDescent="0.2">
      <c r="A170" s="3">
        <v>41275</v>
      </c>
      <c r="C170" s="138">
        <f>'Weather Analysis'!W8</f>
        <v>715.55</v>
      </c>
      <c r="D170" s="139">
        <f>'Weather Analysis'!W28</f>
        <v>0</v>
      </c>
      <c r="E170" s="101">
        <f t="shared" ref="E170:I179" si="8">E135</f>
        <v>31</v>
      </c>
      <c r="F170" s="101">
        <f t="shared" si="8"/>
        <v>0</v>
      </c>
      <c r="G170" s="101">
        <f t="shared" si="8"/>
        <v>15076.241102935521</v>
      </c>
      <c r="H170" s="101">
        <f t="shared" ca="1" si="8"/>
        <v>461549.92705584702</v>
      </c>
      <c r="I170" s="101">
        <f t="shared" si="8"/>
        <v>147.88420587795724</v>
      </c>
      <c r="J170" s="10">
        <f t="shared" ref="J170:J181" si="9">$N$18+C170*$N$19+D170*$N$20+E170*$N$21+F170*$N$22+G170*$N$23</f>
        <v>26894131.025196515</v>
      </c>
      <c r="K170" s="38"/>
    </row>
    <row r="171" spans="1:12" x14ac:dyDescent="0.2">
      <c r="A171" s="3">
        <v>41306</v>
      </c>
      <c r="C171" s="138">
        <f>'Weather Analysis'!W9</f>
        <v>620.59458646616531</v>
      </c>
      <c r="D171" s="139">
        <f>'Weather Analysis'!W29</f>
        <v>0</v>
      </c>
      <c r="E171" s="101">
        <f t="shared" si="8"/>
        <v>28</v>
      </c>
      <c r="F171" s="101">
        <f t="shared" si="8"/>
        <v>0</v>
      </c>
      <c r="G171" s="101">
        <f t="shared" si="8"/>
        <v>15093.993936288212</v>
      </c>
      <c r="H171" s="101">
        <f t="shared" ca="1" si="8"/>
        <v>477146.96968920057</v>
      </c>
      <c r="I171" s="101">
        <f t="shared" si="8"/>
        <v>148.07655079814293</v>
      </c>
      <c r="J171" s="10">
        <f t="shared" si="9"/>
        <v>23809407.874455564</v>
      </c>
      <c r="K171" s="38"/>
    </row>
    <row r="172" spans="1:12" x14ac:dyDescent="0.2">
      <c r="A172" s="3">
        <v>41334</v>
      </c>
      <c r="C172" s="138">
        <f>'Weather Analysis'!W10</f>
        <v>524.85759398496248</v>
      </c>
      <c r="D172" s="139">
        <f>'Weather Analysis'!W30</f>
        <v>0</v>
      </c>
      <c r="E172" s="101">
        <f t="shared" si="8"/>
        <v>31</v>
      </c>
      <c r="F172" s="101">
        <f t="shared" si="8"/>
        <v>1</v>
      </c>
      <c r="G172" s="101">
        <f t="shared" si="8"/>
        <v>15111.746769640904</v>
      </c>
      <c r="H172" s="101">
        <f t="shared" ca="1" si="8"/>
        <v>492744.01232255413</v>
      </c>
      <c r="I172" s="101">
        <f t="shared" si="8"/>
        <v>148.26889571832862</v>
      </c>
      <c r="J172" s="10">
        <f t="shared" si="9"/>
        <v>23248676.081299655</v>
      </c>
      <c r="K172" s="38"/>
    </row>
    <row r="173" spans="1:12" x14ac:dyDescent="0.2">
      <c r="A173" s="3">
        <v>41365</v>
      </c>
      <c r="C173" s="138">
        <f>'Weather Analysis'!W11</f>
        <v>282.73037593984918</v>
      </c>
      <c r="D173" s="139">
        <f>'Weather Analysis'!W31</f>
        <v>0.90270676691729079</v>
      </c>
      <c r="E173" s="101">
        <f t="shared" si="8"/>
        <v>30</v>
      </c>
      <c r="F173" s="101">
        <f t="shared" si="8"/>
        <v>1</v>
      </c>
      <c r="G173" s="101">
        <f t="shared" si="8"/>
        <v>15129.499602993596</v>
      </c>
      <c r="H173" s="101">
        <f t="shared" ca="1" si="8"/>
        <v>508341.05495590769</v>
      </c>
      <c r="I173" s="101">
        <f t="shared" si="8"/>
        <v>148.46124063851431</v>
      </c>
      <c r="J173" s="10">
        <f t="shared" si="9"/>
        <v>19323046.93539479</v>
      </c>
      <c r="K173" s="38"/>
    </row>
    <row r="174" spans="1:12" x14ac:dyDescent="0.2">
      <c r="A174" s="3">
        <v>41395</v>
      </c>
      <c r="C174" s="138">
        <f>'Weather Analysis'!W12</f>
        <v>137.94616541353389</v>
      </c>
      <c r="D174" s="139">
        <f>'Weather Analysis'!W32</f>
        <v>20.2065413533835</v>
      </c>
      <c r="E174" s="101">
        <f t="shared" si="8"/>
        <v>31</v>
      </c>
      <c r="F174" s="101">
        <f t="shared" si="8"/>
        <v>1</v>
      </c>
      <c r="G174" s="101">
        <f t="shared" si="8"/>
        <v>15147.252436346287</v>
      </c>
      <c r="H174" s="101">
        <f t="shared" ca="1" si="8"/>
        <v>523938.09758926125</v>
      </c>
      <c r="I174" s="101">
        <f t="shared" si="8"/>
        <v>148.6535855587</v>
      </c>
      <c r="J174" s="10">
        <f t="shared" si="9"/>
        <v>18453171.721595414</v>
      </c>
      <c r="K174" s="38"/>
    </row>
    <row r="175" spans="1:12" x14ac:dyDescent="0.2">
      <c r="A175" s="3">
        <v>41426</v>
      </c>
      <c r="C175" s="138">
        <f>'Weather Analysis'!W13</f>
        <v>20.177894736842291</v>
      </c>
      <c r="D175" s="139">
        <f>'Weather Analysis'!W33</f>
        <v>77.743533834586742</v>
      </c>
      <c r="E175" s="101">
        <f t="shared" si="8"/>
        <v>30</v>
      </c>
      <c r="F175" s="101">
        <f t="shared" si="8"/>
        <v>0</v>
      </c>
      <c r="G175" s="101">
        <f t="shared" si="8"/>
        <v>15165.005269698988</v>
      </c>
      <c r="H175" s="101">
        <f t="shared" ca="1" si="8"/>
        <v>539535.14022261475</v>
      </c>
      <c r="I175" s="101">
        <f t="shared" si="8"/>
        <v>148.84593047888569</v>
      </c>
      <c r="J175" s="10">
        <f t="shared" si="9"/>
        <v>18861599.672051497</v>
      </c>
      <c r="K175" s="38"/>
    </row>
    <row r="176" spans="1:12" x14ac:dyDescent="0.2">
      <c r="A176" s="3">
        <v>41456</v>
      </c>
      <c r="C176" s="138">
        <v>0</v>
      </c>
      <c r="D176" s="139">
        <f>'Weather Analysis'!W34</f>
        <v>157.18135338345837</v>
      </c>
      <c r="E176" s="101">
        <f t="shared" si="8"/>
        <v>31</v>
      </c>
      <c r="F176" s="101">
        <f t="shared" si="8"/>
        <v>0</v>
      </c>
      <c r="G176" s="101">
        <f t="shared" si="8"/>
        <v>15182.758103051679</v>
      </c>
      <c r="H176" s="101">
        <f t="shared" ca="1" si="8"/>
        <v>555132.18285596825</v>
      </c>
      <c r="I176" s="101">
        <f t="shared" si="8"/>
        <v>149.03827539907138</v>
      </c>
      <c r="J176" s="10">
        <f t="shared" si="9"/>
        <v>21402724.893729925</v>
      </c>
      <c r="K176" s="38"/>
    </row>
    <row r="177" spans="1:11" x14ac:dyDescent="0.2">
      <c r="A177" s="3">
        <v>41487</v>
      </c>
      <c r="C177" s="138">
        <v>0</v>
      </c>
      <c r="D177" s="139">
        <f>'Weather Analysis'!W35</f>
        <v>130.70556390977436</v>
      </c>
      <c r="E177" s="101">
        <f t="shared" si="8"/>
        <v>31</v>
      </c>
      <c r="F177" s="101">
        <f t="shared" si="8"/>
        <v>0</v>
      </c>
      <c r="G177" s="101">
        <f t="shared" si="8"/>
        <v>15200.510936404371</v>
      </c>
      <c r="H177" s="101">
        <f t="shared" ca="1" si="8"/>
        <v>570729.22548932175</v>
      </c>
      <c r="I177" s="101">
        <f t="shared" si="8"/>
        <v>149.23062031925707</v>
      </c>
      <c r="J177" s="10">
        <f t="shared" si="9"/>
        <v>20684774.644072574</v>
      </c>
      <c r="K177" s="38"/>
    </row>
    <row r="178" spans="1:11" x14ac:dyDescent="0.2">
      <c r="A178" s="3">
        <v>41518</v>
      </c>
      <c r="C178" s="138">
        <f>'Weather Analysis'!W16</f>
        <v>35.33406015037599</v>
      </c>
      <c r="D178" s="139">
        <f>'Weather Analysis'!W36</f>
        <v>42.468045112781965</v>
      </c>
      <c r="E178" s="101">
        <f t="shared" si="8"/>
        <v>30</v>
      </c>
      <c r="F178" s="101">
        <f t="shared" si="8"/>
        <v>1</v>
      </c>
      <c r="G178" s="101">
        <f t="shared" si="8"/>
        <v>15218.263769757063</v>
      </c>
      <c r="H178" s="101">
        <f t="shared" ca="1" si="8"/>
        <v>586326.26812267525</v>
      </c>
      <c r="I178" s="101">
        <f t="shared" si="8"/>
        <v>149.42296523944276</v>
      </c>
      <c r="J178" s="10">
        <f t="shared" si="9"/>
        <v>17123845.989474736</v>
      </c>
      <c r="K178" s="38"/>
    </row>
    <row r="179" spans="1:11" x14ac:dyDescent="0.2">
      <c r="A179" s="3">
        <v>41548</v>
      </c>
      <c r="C179" s="138">
        <f>'Weather Analysis'!W17</f>
        <v>239.25263157894756</v>
      </c>
      <c r="D179" s="139">
        <f>'Weather Analysis'!W37</f>
        <v>4.6859398496240487</v>
      </c>
      <c r="E179" s="101">
        <f t="shared" si="8"/>
        <v>31</v>
      </c>
      <c r="F179" s="101">
        <f t="shared" si="8"/>
        <v>1</v>
      </c>
      <c r="G179" s="101">
        <f t="shared" si="8"/>
        <v>15236.016603109754</v>
      </c>
      <c r="H179" s="101">
        <f t="shared" ca="1" si="8"/>
        <v>601923.31075602875</v>
      </c>
      <c r="I179" s="101">
        <f t="shared" si="8"/>
        <v>149.61531015962845</v>
      </c>
      <c r="J179" s="10">
        <f t="shared" si="9"/>
        <v>19528011.360993922</v>
      </c>
      <c r="K179" s="38"/>
    </row>
    <row r="180" spans="1:11" x14ac:dyDescent="0.2">
      <c r="A180" s="3">
        <v>41579</v>
      </c>
      <c r="C180" s="138">
        <f>'Weather Analysis'!W18</f>
        <v>383.57157894736883</v>
      </c>
      <c r="D180" s="139">
        <f>'Weather Analysis'!W38</f>
        <v>0</v>
      </c>
      <c r="E180" s="101">
        <f t="shared" ref="E180:I181" si="10">E145</f>
        <v>30</v>
      </c>
      <c r="F180" s="101">
        <f t="shared" si="10"/>
        <v>1</v>
      </c>
      <c r="G180" s="101">
        <f t="shared" si="10"/>
        <v>15253.769436462446</v>
      </c>
      <c r="H180" s="101">
        <f t="shared" ca="1" si="10"/>
        <v>617520.35338938225</v>
      </c>
      <c r="I180" s="101">
        <f t="shared" si="10"/>
        <v>149.80765507981414</v>
      </c>
      <c r="J180" s="10">
        <f t="shared" si="9"/>
        <v>20835794.791764975</v>
      </c>
      <c r="K180" s="38"/>
    </row>
    <row r="181" spans="1:11" x14ac:dyDescent="0.2">
      <c r="A181" s="3">
        <v>41609</v>
      </c>
      <c r="C181" s="138">
        <f>'Weather Analysis'!W19</f>
        <v>633.56804511278187</v>
      </c>
      <c r="D181" s="139">
        <f>'Weather Analysis'!W39</f>
        <v>0</v>
      </c>
      <c r="E181" s="101">
        <f t="shared" si="10"/>
        <v>31</v>
      </c>
      <c r="F181" s="101">
        <f t="shared" si="10"/>
        <v>0</v>
      </c>
      <c r="G181" s="101">
        <f t="shared" si="10"/>
        <v>15271.522269815137</v>
      </c>
      <c r="H181" s="101">
        <f t="shared" ca="1" si="10"/>
        <v>633117.39602273575</v>
      </c>
      <c r="I181" s="101">
        <f t="shared" si="10"/>
        <v>150</v>
      </c>
      <c r="J181" s="10">
        <f t="shared" si="9"/>
        <v>25957789.181180403</v>
      </c>
      <c r="K181" s="38">
        <f>SUM(J170:J181)</f>
        <v>256122974.17120993</v>
      </c>
    </row>
  </sheetData>
  <mergeCells count="2">
    <mergeCell ref="D148:E148"/>
    <mergeCell ref="H1:I1"/>
  </mergeCells>
  <phoneticPr fontId="0" type="noConversion"/>
  <pageMargins left="0.38" right="0.75" top="0.73" bottom="0.74" header="0.5" footer="0.5"/>
  <pageSetup fitToHeight="9"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4"/>
  <sheetViews>
    <sheetView workbookViewId="0"/>
  </sheetViews>
  <sheetFormatPr defaultRowHeight="12.75" x14ac:dyDescent="0.2"/>
  <cols>
    <col min="1" max="1" width="11.85546875" customWidth="1"/>
    <col min="2" max="2" width="18" style="29" customWidth="1"/>
    <col min="3" max="3" width="11.7109375" style="25" customWidth="1"/>
    <col min="4" max="4" width="13.42578125" style="25" customWidth="1"/>
    <col min="5" max="5" width="12.42578125" style="25" customWidth="1"/>
    <col min="6" max="6" width="10.140625" style="25" customWidth="1"/>
    <col min="7" max="8" width="12.42578125" style="25" customWidth="1"/>
    <col min="9" max="9" width="15.42578125" style="1" bestFit="1" customWidth="1"/>
    <col min="10" max="10" width="17" style="1" customWidth="1"/>
    <col min="11" max="11" width="12.42578125" style="1" customWidth="1"/>
    <col min="12" max="12" width="25.85546875" bestFit="1" customWidth="1"/>
    <col min="13" max="15" width="18" customWidth="1"/>
    <col min="16" max="16" width="17.140625" customWidth="1"/>
    <col min="17" max="18" width="15.7109375" customWidth="1"/>
    <col min="19" max="19" width="15" customWidth="1"/>
    <col min="20" max="21" width="14.140625" bestFit="1" customWidth="1"/>
    <col min="22" max="22" width="11.7109375" bestFit="1" customWidth="1"/>
    <col min="23" max="23" width="11.85546875" bestFit="1" customWidth="1"/>
    <col min="24" max="24" width="12.5703125" style="6" customWidth="1"/>
    <col min="25" max="25" width="11.28515625" style="6" customWidth="1"/>
    <col min="26" max="26" width="11.5703125" style="6" customWidth="1"/>
    <col min="27" max="27" width="9.28515625" style="6" customWidth="1"/>
    <col min="28" max="28" width="9.140625" style="6"/>
    <col min="29" max="29" width="11.7109375" style="6" bestFit="1" customWidth="1"/>
    <col min="30" max="30" width="10.7109375" style="6" bestFit="1" customWidth="1"/>
    <col min="31" max="32" width="9.140625" style="6"/>
  </cols>
  <sheetData>
    <row r="1" spans="1:26" x14ac:dyDescent="0.2">
      <c r="G1" s="466" t="s">
        <v>107</v>
      </c>
      <c r="H1" s="466"/>
    </row>
    <row r="2" spans="1:26" ht="42" customHeight="1" x14ac:dyDescent="0.2">
      <c r="B2" s="91" t="s">
        <v>82</v>
      </c>
      <c r="C2" s="92" t="s">
        <v>3</v>
      </c>
      <c r="D2" s="92" t="s">
        <v>4</v>
      </c>
      <c r="E2" s="92" t="s">
        <v>19</v>
      </c>
      <c r="F2" s="92" t="s">
        <v>5</v>
      </c>
      <c r="G2" s="92" t="s">
        <v>67</v>
      </c>
      <c r="H2" s="92" t="str">
        <f>'Purchased Power Model '!H2</f>
        <v>CDM Activity</v>
      </c>
      <c r="I2" s="12" t="s">
        <v>205</v>
      </c>
      <c r="J2" s="12" t="s">
        <v>12</v>
      </c>
      <c r="K2" s="12" t="s">
        <v>13</v>
      </c>
      <c r="L2" t="s">
        <v>20</v>
      </c>
      <c r="X2" s="9"/>
      <c r="Y2" s="9"/>
      <c r="Z2" s="9"/>
    </row>
    <row r="3" spans="1:26" ht="13.5" thickBot="1" x14ac:dyDescent="0.25">
      <c r="A3" s="3">
        <v>38718</v>
      </c>
      <c r="B3" s="29">
        <f>'[5]Consumption Data '!D54</f>
        <v>15656721</v>
      </c>
      <c r="C3" s="25">
        <f>'Purchased Power Model '!C51</f>
        <v>551.79999999999995</v>
      </c>
      <c r="D3" s="25">
        <f>'Purchased Power Model '!D51</f>
        <v>0</v>
      </c>
      <c r="E3" s="19">
        <v>0</v>
      </c>
      <c r="F3" s="19">
        <v>31</v>
      </c>
      <c r="G3" s="19">
        <v>12828</v>
      </c>
      <c r="H3" s="19">
        <f>'Purchased Power Model '!H51</f>
        <v>18879.348483180471</v>
      </c>
      <c r="I3" s="10">
        <f>$M$18+$M$19*C3+$M$20*D3+$M$21*E3+$M$22*F3</f>
        <v>14995591.200734291</v>
      </c>
      <c r="J3" s="10"/>
      <c r="K3" s="15"/>
    </row>
    <row r="4" spans="1:26" x14ac:dyDescent="0.2">
      <c r="A4" s="3">
        <v>38749</v>
      </c>
      <c r="B4" s="29">
        <f>'[5]Consumption Data '!D55</f>
        <v>14305197</v>
      </c>
      <c r="C4" s="25">
        <f>'Purchased Power Model '!C52</f>
        <v>604.29999999999995</v>
      </c>
      <c r="D4" s="25">
        <f>'Purchased Power Model '!D52</f>
        <v>0</v>
      </c>
      <c r="E4" s="19">
        <v>0</v>
      </c>
      <c r="F4" s="19">
        <v>28</v>
      </c>
      <c r="G4" s="19">
        <v>12835</v>
      </c>
      <c r="H4" s="19">
        <f>'Purchased Power Model '!H52</f>
        <v>37758.696966360942</v>
      </c>
      <c r="I4" s="10">
        <f t="shared" ref="I4:I67" si="0">$M$18+$M$19*C4+$M$20*D4+$M$21*E4+$M$22*F4</f>
        <v>14375843.678290879</v>
      </c>
      <c r="J4" s="10"/>
      <c r="K4" s="15"/>
      <c r="L4" s="63" t="s">
        <v>21</v>
      </c>
      <c r="M4" s="63"/>
    </row>
    <row r="5" spans="1:26" x14ac:dyDescent="0.2">
      <c r="A5" s="3">
        <v>38777</v>
      </c>
      <c r="B5" s="29">
        <f>'[5]Consumption Data '!D56</f>
        <v>14164560</v>
      </c>
      <c r="C5" s="25">
        <f>'Purchased Power Model '!C53</f>
        <v>516.6</v>
      </c>
      <c r="D5" s="25">
        <f>'Purchased Power Model '!D53</f>
        <v>0</v>
      </c>
      <c r="E5" s="19">
        <v>1</v>
      </c>
      <c r="F5" s="19">
        <v>31</v>
      </c>
      <c r="G5" s="19">
        <v>12843</v>
      </c>
      <c r="H5" s="19">
        <f>'Purchased Power Model '!H53</f>
        <v>56638.045449541416</v>
      </c>
      <c r="I5" s="10">
        <f t="shared" si="0"/>
        <v>13784138.692639416</v>
      </c>
      <c r="J5" s="10"/>
      <c r="K5" s="15"/>
      <c r="L5" s="40" t="s">
        <v>22</v>
      </c>
      <c r="M5" s="75">
        <v>0.98667933285300313</v>
      </c>
    </row>
    <row r="6" spans="1:26" x14ac:dyDescent="0.2">
      <c r="A6" s="3">
        <v>38808</v>
      </c>
      <c r="B6" s="29">
        <f>'[5]Consumption Data '!D57</f>
        <v>10773864</v>
      </c>
      <c r="C6" s="25">
        <f>'Purchased Power Model '!C54</f>
        <v>293.3</v>
      </c>
      <c r="D6" s="25">
        <f>'Purchased Power Model '!D54</f>
        <v>0</v>
      </c>
      <c r="E6" s="19">
        <v>1</v>
      </c>
      <c r="F6" s="19">
        <v>30</v>
      </c>
      <c r="G6" s="19">
        <v>12856</v>
      </c>
      <c r="H6" s="19">
        <f>'Purchased Power Model '!H54</f>
        <v>75517.393932721883</v>
      </c>
      <c r="I6" s="10">
        <f t="shared" si="0"/>
        <v>11109818.560218563</v>
      </c>
      <c r="J6" s="10"/>
      <c r="K6" s="15"/>
      <c r="L6" s="40" t="s">
        <v>23</v>
      </c>
      <c r="M6" s="75">
        <v>0.97353610587924744</v>
      </c>
    </row>
    <row r="7" spans="1:26" x14ac:dyDescent="0.2">
      <c r="A7" s="3">
        <v>38838</v>
      </c>
      <c r="B7" s="29">
        <f>'[5]Consumption Data '!D58</f>
        <v>9989674</v>
      </c>
      <c r="C7" s="25">
        <f>'Purchased Power Model '!C55</f>
        <v>136.9</v>
      </c>
      <c r="D7" s="25">
        <f>'Purchased Power Model '!D55</f>
        <v>26</v>
      </c>
      <c r="E7" s="19">
        <v>1</v>
      </c>
      <c r="F7" s="19">
        <v>31</v>
      </c>
      <c r="G7" s="19">
        <v>12861</v>
      </c>
      <c r="H7" s="19">
        <f>'Purchased Power Model '!H55</f>
        <v>94396.74241590235</v>
      </c>
      <c r="I7" s="10">
        <f t="shared" si="0"/>
        <v>10401028.166442033</v>
      </c>
      <c r="J7" s="10"/>
      <c r="K7" s="15"/>
      <c r="L7" s="40" t="s">
        <v>24</v>
      </c>
      <c r="M7" s="75">
        <v>0.97195617190188899</v>
      </c>
    </row>
    <row r="8" spans="1:26" x14ac:dyDescent="0.2">
      <c r="A8" s="3">
        <v>38869</v>
      </c>
      <c r="B8" s="29">
        <f>'[5]Consumption Data '!D59</f>
        <v>10480487</v>
      </c>
      <c r="C8" s="25">
        <f>'Purchased Power Model '!C56</f>
        <v>19.5</v>
      </c>
      <c r="D8" s="25">
        <f>'Purchased Power Model '!D56</f>
        <v>73.599999999999994</v>
      </c>
      <c r="E8" s="19">
        <v>0</v>
      </c>
      <c r="F8" s="19">
        <v>30</v>
      </c>
      <c r="G8" s="19">
        <v>12867</v>
      </c>
      <c r="H8" s="19">
        <f>'Purchased Power Model '!H56</f>
        <v>113276.09089908282</v>
      </c>
      <c r="I8" s="10">
        <f t="shared" si="0"/>
        <v>10592886.881988456</v>
      </c>
      <c r="J8" s="10"/>
      <c r="K8" s="15"/>
      <c r="L8" s="40" t="s">
        <v>25</v>
      </c>
      <c r="M8" s="40">
        <v>383516.34587617702</v>
      </c>
    </row>
    <row r="9" spans="1:26" ht="13.5" thickBot="1" x14ac:dyDescent="0.25">
      <c r="A9" s="3">
        <v>38899</v>
      </c>
      <c r="B9" s="29">
        <f>'[5]Consumption Data '!D60</f>
        <v>12380113</v>
      </c>
      <c r="C9" s="25">
        <f>'Purchased Power Model '!C57</f>
        <v>0</v>
      </c>
      <c r="D9" s="25">
        <f>'Purchased Power Model '!D57</f>
        <v>167.3</v>
      </c>
      <c r="E9" s="19">
        <v>0</v>
      </c>
      <c r="F9" s="19">
        <v>31</v>
      </c>
      <c r="G9" s="19">
        <v>12888</v>
      </c>
      <c r="H9" s="19">
        <f>'Purchased Power Model '!H57</f>
        <v>132155.43938226328</v>
      </c>
      <c r="I9" s="10">
        <f t="shared" si="0"/>
        <v>12610034.801924724</v>
      </c>
      <c r="J9" s="10"/>
      <c r="K9" s="15"/>
      <c r="L9" s="61" t="s">
        <v>26</v>
      </c>
      <c r="M9" s="61">
        <v>72</v>
      </c>
    </row>
    <row r="10" spans="1:26" x14ac:dyDescent="0.2">
      <c r="A10" s="3">
        <v>38930</v>
      </c>
      <c r="B10" s="29">
        <f>'[5]Consumption Data '!D61</f>
        <v>11213160</v>
      </c>
      <c r="C10" s="25">
        <f>'Purchased Power Model '!C58</f>
        <v>4.2</v>
      </c>
      <c r="D10" s="25">
        <f>'Purchased Power Model '!D58</f>
        <v>101.6</v>
      </c>
      <c r="E10" s="19">
        <v>0</v>
      </c>
      <c r="F10" s="19">
        <v>31</v>
      </c>
      <c r="G10" s="19">
        <v>12905</v>
      </c>
      <c r="H10" s="19">
        <f>'Purchased Power Model '!H58</f>
        <v>151034.78786544377</v>
      </c>
      <c r="I10" s="10">
        <f t="shared" si="0"/>
        <v>11369184.044724895</v>
      </c>
      <c r="J10" s="10"/>
      <c r="K10" s="15"/>
    </row>
    <row r="11" spans="1:26" ht="13.5" thickBot="1" x14ac:dyDescent="0.25">
      <c r="A11" s="3">
        <v>38961</v>
      </c>
      <c r="B11" s="29">
        <f>'[5]Consumption Data '!D62</f>
        <v>9420147</v>
      </c>
      <c r="C11" s="25">
        <f>'Purchased Power Model '!C59</f>
        <v>80.900000000000006</v>
      </c>
      <c r="D11" s="25">
        <f>'Purchased Power Model '!D59</f>
        <v>12.9</v>
      </c>
      <c r="E11" s="19">
        <v>1</v>
      </c>
      <c r="F11" s="19">
        <v>30</v>
      </c>
      <c r="G11" s="19">
        <v>12911</v>
      </c>
      <c r="H11" s="19">
        <f>'Purchased Power Model '!H59</f>
        <v>169914.13634862425</v>
      </c>
      <c r="I11" s="10">
        <f t="shared" si="0"/>
        <v>9185214.9222076759</v>
      </c>
      <c r="J11" s="10"/>
      <c r="K11" s="15"/>
      <c r="L11" t="s">
        <v>27</v>
      </c>
    </row>
    <row r="12" spans="1:26" x14ac:dyDescent="0.2">
      <c r="A12" s="3">
        <v>38991</v>
      </c>
      <c r="B12" s="29">
        <f>'[5]Consumption Data '!D63</f>
        <v>11103931</v>
      </c>
      <c r="C12" s="25">
        <f>'Purchased Power Model '!C60</f>
        <v>288.3</v>
      </c>
      <c r="D12" s="25">
        <f>'Purchased Power Model '!D60</f>
        <v>1.1000000000000001</v>
      </c>
      <c r="E12" s="19">
        <v>1</v>
      </c>
      <c r="F12" s="19">
        <v>31</v>
      </c>
      <c r="G12" s="19">
        <v>12926</v>
      </c>
      <c r="H12" s="19">
        <f>'Purchased Power Model '!H60</f>
        <v>188793.48483180473</v>
      </c>
      <c r="I12" s="10">
        <f t="shared" si="0"/>
        <v>11465997.985942548</v>
      </c>
      <c r="J12" s="10"/>
      <c r="K12" s="15"/>
      <c r="L12" s="62"/>
      <c r="M12" s="62" t="s">
        <v>31</v>
      </c>
      <c r="N12" s="62" t="s">
        <v>32</v>
      </c>
      <c r="O12" s="62" t="s">
        <v>33</v>
      </c>
      <c r="P12" s="62" t="s">
        <v>34</v>
      </c>
      <c r="Q12" s="62" t="s">
        <v>35</v>
      </c>
    </row>
    <row r="13" spans="1:26" x14ac:dyDescent="0.2">
      <c r="A13" s="3">
        <v>39022</v>
      </c>
      <c r="B13" s="29">
        <f>'[5]Consumption Data '!D64</f>
        <v>12426249</v>
      </c>
      <c r="C13" s="25">
        <f>'Purchased Power Model '!C61</f>
        <v>382.2</v>
      </c>
      <c r="D13" s="25">
        <f>'Purchased Power Model '!D61</f>
        <v>0</v>
      </c>
      <c r="E13" s="19">
        <v>1</v>
      </c>
      <c r="F13" s="19">
        <v>30</v>
      </c>
      <c r="G13" s="19">
        <v>12757</v>
      </c>
      <c r="H13" s="19">
        <f>'Purchased Power Model '!H61</f>
        <v>207672.83331498521</v>
      </c>
      <c r="I13" s="10">
        <f t="shared" si="0"/>
        <v>12020872.857798051</v>
      </c>
      <c r="J13" s="10"/>
      <c r="K13" s="15"/>
      <c r="L13" s="40" t="s">
        <v>28</v>
      </c>
      <c r="M13" s="40">
        <v>4</v>
      </c>
      <c r="N13" s="40">
        <v>362527430542442.37</v>
      </c>
      <c r="O13" s="40">
        <v>90631857635610.594</v>
      </c>
      <c r="P13" s="40">
        <v>616.18784065077898</v>
      </c>
      <c r="Q13" s="40">
        <v>4.8463396558463625E-52</v>
      </c>
    </row>
    <row r="14" spans="1:26" x14ac:dyDescent="0.2">
      <c r="A14" s="3">
        <v>39052</v>
      </c>
      <c r="B14" s="29">
        <f>'[5]Consumption Data '!D65</f>
        <v>14468915</v>
      </c>
      <c r="C14" s="25">
        <f>'Purchased Power Model '!C62</f>
        <v>500.5</v>
      </c>
      <c r="D14" s="25">
        <f>'Purchased Power Model '!D62</f>
        <v>0</v>
      </c>
      <c r="E14" s="19">
        <v>0</v>
      </c>
      <c r="F14" s="19">
        <v>31</v>
      </c>
      <c r="G14" s="19">
        <v>12949</v>
      </c>
      <c r="H14" s="19">
        <f>'Purchased Power Model '!H62</f>
        <v>226552.18179816569</v>
      </c>
      <c r="I14" s="10">
        <f t="shared" si="0"/>
        <v>14469864.705055688</v>
      </c>
      <c r="J14" s="10"/>
      <c r="K14" s="15"/>
      <c r="L14" s="40" t="s">
        <v>29</v>
      </c>
      <c r="M14" s="40">
        <v>67</v>
      </c>
      <c r="N14" s="40">
        <v>9854680766132.4355</v>
      </c>
      <c r="O14" s="40">
        <v>147084787554.21545</v>
      </c>
      <c r="P14" s="40"/>
      <c r="Q14" s="40"/>
    </row>
    <row r="15" spans="1:26" ht="13.5" thickBot="1" x14ac:dyDescent="0.25">
      <c r="A15" s="3">
        <v>39083</v>
      </c>
      <c r="B15" s="29">
        <f>'[5]Consumption Data '!D66</f>
        <v>16249963</v>
      </c>
      <c r="C15" s="25">
        <f>'Purchased Power Model '!C63</f>
        <v>647.1</v>
      </c>
      <c r="D15" s="25">
        <f>'Purchased Power Model '!D63</f>
        <v>0</v>
      </c>
      <c r="E15" s="19">
        <v>0</v>
      </c>
      <c r="F15" s="19">
        <v>31</v>
      </c>
      <c r="G15" s="19">
        <v>12963</v>
      </c>
      <c r="H15" s="19">
        <f>'Purchased Power Model '!H63</f>
        <v>223176.57467799078</v>
      </c>
      <c r="I15" s="10">
        <f t="shared" si="0"/>
        <v>15972233.209275631</v>
      </c>
      <c r="J15" s="10"/>
      <c r="K15" s="15"/>
      <c r="L15" s="61" t="s">
        <v>10</v>
      </c>
      <c r="M15" s="61">
        <v>71</v>
      </c>
      <c r="N15" s="61">
        <v>372382111308574.81</v>
      </c>
      <c r="O15" s="61"/>
      <c r="P15" s="61"/>
      <c r="Q15" s="61"/>
    </row>
    <row r="16" spans="1:26" ht="13.5" thickBot="1" x14ac:dyDescent="0.25">
      <c r="A16" s="3">
        <v>39114</v>
      </c>
      <c r="B16" s="29">
        <f>'[5]Consumption Data '!D67</f>
        <v>15687569</v>
      </c>
      <c r="C16" s="25">
        <f>'Purchased Power Model '!C64</f>
        <v>740.1</v>
      </c>
      <c r="D16" s="25">
        <f>'Purchased Power Model '!D64</f>
        <v>0</v>
      </c>
      <c r="E16" s="19">
        <v>0</v>
      </c>
      <c r="F16" s="19">
        <v>28</v>
      </c>
      <c r="G16" s="19">
        <v>12973</v>
      </c>
      <c r="H16" s="19">
        <f>'Purchased Power Model '!H64</f>
        <v>219800.96755781586</v>
      </c>
      <c r="I16" s="10">
        <f t="shared" si="0"/>
        <v>15767532.920262696</v>
      </c>
      <c r="J16" s="10"/>
      <c r="K16" s="15"/>
    </row>
    <row r="17" spans="1:20" x14ac:dyDescent="0.2">
      <c r="A17" s="3">
        <v>39142</v>
      </c>
      <c r="B17" s="29">
        <f>'[5]Consumption Data '!D68</f>
        <v>14688141</v>
      </c>
      <c r="C17" s="25">
        <f>'Purchased Power Model '!C65</f>
        <v>546.70000000000005</v>
      </c>
      <c r="D17" s="25">
        <f>'Purchased Power Model '!D65</f>
        <v>0</v>
      </c>
      <c r="E17" s="19">
        <v>1</v>
      </c>
      <c r="F17" s="19">
        <v>31</v>
      </c>
      <c r="G17" s="19">
        <v>12975</v>
      </c>
      <c r="H17" s="19">
        <f>'Purchased Power Model '!H65</f>
        <v>216425.36043764095</v>
      </c>
      <c r="I17" s="10">
        <f t="shared" si="0"/>
        <v>14092605.89575688</v>
      </c>
      <c r="J17" s="10"/>
      <c r="K17" s="15"/>
      <c r="L17" s="62"/>
      <c r="M17" s="62" t="s">
        <v>36</v>
      </c>
      <c r="N17" s="62" t="s">
        <v>25</v>
      </c>
      <c r="O17" s="62" t="s">
        <v>37</v>
      </c>
      <c r="P17" s="62" t="s">
        <v>38</v>
      </c>
      <c r="Q17" s="62" t="s">
        <v>39</v>
      </c>
      <c r="R17" s="62" t="s">
        <v>40</v>
      </c>
      <c r="S17" s="62" t="s">
        <v>203</v>
      </c>
      <c r="T17" s="62" t="s">
        <v>204</v>
      </c>
    </row>
    <row r="18" spans="1:20" x14ac:dyDescent="0.2">
      <c r="A18" s="3">
        <v>39173</v>
      </c>
      <c r="B18" s="29">
        <f>'[5]Consumption Data '!D69</f>
        <v>11526759</v>
      </c>
      <c r="C18" s="25">
        <f>'Purchased Power Model '!C66</f>
        <v>356.4</v>
      </c>
      <c r="D18" s="25">
        <f>'Purchased Power Model '!D66</f>
        <v>0</v>
      </c>
      <c r="E18" s="19">
        <v>1</v>
      </c>
      <c r="F18" s="19">
        <v>30</v>
      </c>
      <c r="G18" s="19">
        <v>12979</v>
      </c>
      <c r="H18" s="19">
        <f>'Purchased Power Model '!H66</f>
        <v>213049.75331746603</v>
      </c>
      <c r="I18" s="10">
        <f t="shared" si="0"/>
        <v>11756472.397983082</v>
      </c>
      <c r="J18" s="10"/>
      <c r="K18" s="15"/>
      <c r="L18" s="40" t="s">
        <v>30</v>
      </c>
      <c r="M18" s="73">
        <v>-2622940.2976740226</v>
      </c>
      <c r="N18" s="40">
        <v>1721359.3020272648</v>
      </c>
      <c r="O18" s="71">
        <v>-1.5237610733476477</v>
      </c>
      <c r="P18" s="40">
        <v>0.1322748699267583</v>
      </c>
      <c r="Q18" s="40">
        <v>-6058787.8045801688</v>
      </c>
      <c r="R18" s="40">
        <v>812907.2092321231</v>
      </c>
      <c r="S18" s="40">
        <v>-6058787.8045801688</v>
      </c>
      <c r="T18" s="40">
        <v>812907.2092321231</v>
      </c>
    </row>
    <row r="19" spans="1:20" x14ac:dyDescent="0.2">
      <c r="A19" s="3">
        <v>39203</v>
      </c>
      <c r="B19" s="29">
        <f>'[5]Consumption Data '!D70</f>
        <v>9949931</v>
      </c>
      <c r="C19" s="25">
        <f>'Purchased Power Model '!C67</f>
        <v>136.4</v>
      </c>
      <c r="D19" s="25">
        <f>'Purchased Power Model '!D67</f>
        <v>22.4</v>
      </c>
      <c r="E19" s="19">
        <v>1</v>
      </c>
      <c r="F19" s="19">
        <v>31</v>
      </c>
      <c r="G19" s="19">
        <v>12984</v>
      </c>
      <c r="H19" s="19">
        <f>'Purchased Power Model '!H67</f>
        <v>209674.14619729112</v>
      </c>
      <c r="I19" s="10">
        <f t="shared" si="0"/>
        <v>10325553.842001574</v>
      </c>
      <c r="J19" s="10"/>
      <c r="K19" s="15"/>
      <c r="L19" s="40" t="s">
        <v>3</v>
      </c>
      <c r="M19" s="73">
        <v>10248.079837789513</v>
      </c>
      <c r="N19" s="40">
        <v>302.4362725380164</v>
      </c>
      <c r="O19" s="71">
        <v>33.885088424707142</v>
      </c>
      <c r="P19" s="40">
        <v>6.8714133855381747E-44</v>
      </c>
      <c r="Q19" s="40">
        <v>9644.4145183097626</v>
      </c>
      <c r="R19" s="40">
        <v>10851.745157269264</v>
      </c>
      <c r="S19" s="40">
        <v>9644.4145183097626</v>
      </c>
      <c r="T19" s="40">
        <v>10851.745157269264</v>
      </c>
    </row>
    <row r="20" spans="1:20" x14ac:dyDescent="0.2">
      <c r="A20" s="3">
        <v>39234</v>
      </c>
      <c r="B20" s="29">
        <f>'[5]Consumption Data '!D71</f>
        <v>10346267</v>
      </c>
      <c r="C20" s="25">
        <f>'Purchased Power Model '!C68</f>
        <v>16.5</v>
      </c>
      <c r="D20" s="25">
        <f>'Purchased Power Model '!D68</f>
        <v>99.2</v>
      </c>
      <c r="E20" s="19">
        <v>0</v>
      </c>
      <c r="F20" s="19">
        <v>30</v>
      </c>
      <c r="G20" s="19">
        <v>12991</v>
      </c>
      <c r="H20" s="19">
        <f>'Purchased Power Model '!H68</f>
        <v>206298.53907711621</v>
      </c>
      <c r="I20" s="10">
        <f t="shared" si="0"/>
        <v>11062411.33240621</v>
      </c>
      <c r="J20" s="10"/>
      <c r="K20" s="15"/>
      <c r="L20" s="40" t="s">
        <v>4</v>
      </c>
      <c r="M20" s="73">
        <v>19541.745700434472</v>
      </c>
      <c r="N20" s="40">
        <v>1814.1576314433485</v>
      </c>
      <c r="O20" s="71">
        <v>10.771801392410984</v>
      </c>
      <c r="P20" s="40">
        <v>2.8944588168997208E-16</v>
      </c>
      <c r="Q20" s="40">
        <v>15920.671954942458</v>
      </c>
      <c r="R20" s="40">
        <v>23162.819445926485</v>
      </c>
      <c r="S20" s="40">
        <v>15920.671954942458</v>
      </c>
      <c r="T20" s="40">
        <v>23162.819445926485</v>
      </c>
    </row>
    <row r="21" spans="1:20" x14ac:dyDescent="0.2">
      <c r="A21" s="3">
        <v>39264</v>
      </c>
      <c r="B21" s="29">
        <f>'[5]Consumption Data '!D72</f>
        <v>11498005</v>
      </c>
      <c r="C21" s="25">
        <f>'Purchased Power Model '!C69</f>
        <v>3.2</v>
      </c>
      <c r="D21" s="25">
        <f>'Purchased Power Model '!D69</f>
        <v>106.1</v>
      </c>
      <c r="E21" s="19">
        <v>0</v>
      </c>
      <c r="F21" s="19">
        <v>31</v>
      </c>
      <c r="G21" s="19">
        <v>13011</v>
      </c>
      <c r="H21" s="19">
        <f>'Purchased Power Model '!H69</f>
        <v>202922.93195694129</v>
      </c>
      <c r="I21" s="10">
        <f t="shared" si="0"/>
        <v>11446873.820539061</v>
      </c>
      <c r="J21" s="10"/>
      <c r="K21" s="15"/>
      <c r="L21" s="40" t="s">
        <v>19</v>
      </c>
      <c r="M21" s="73">
        <v>-850720.09780468454</v>
      </c>
      <c r="N21" s="40">
        <v>128274.89051482797</v>
      </c>
      <c r="O21" s="71">
        <v>-6.6320079821572353</v>
      </c>
      <c r="P21" s="40">
        <v>6.8626054298165233E-9</v>
      </c>
      <c r="Q21" s="40">
        <v>-1106757.8478868285</v>
      </c>
      <c r="R21" s="40">
        <v>-594682.34772254061</v>
      </c>
      <c r="S21" s="40">
        <v>-1106757.8478868285</v>
      </c>
      <c r="T21" s="40">
        <v>-594682.34772254061</v>
      </c>
    </row>
    <row r="22" spans="1:20" ht="13.5" thickBot="1" x14ac:dyDescent="0.25">
      <c r="A22" s="3">
        <v>39295</v>
      </c>
      <c r="B22" s="29">
        <f>'[5]Consumption Data '!D73</f>
        <v>11423707</v>
      </c>
      <c r="C22" s="25">
        <f>'Purchased Power Model '!C70</f>
        <v>5.2</v>
      </c>
      <c r="D22" s="25">
        <f>'Purchased Power Model '!D70</f>
        <v>141</v>
      </c>
      <c r="E22" s="19">
        <v>0</v>
      </c>
      <c r="F22" s="19">
        <v>31</v>
      </c>
      <c r="G22" s="19">
        <v>13034</v>
      </c>
      <c r="H22" s="19">
        <f>'Purchased Power Model '!H70</f>
        <v>199547.32483676638</v>
      </c>
      <c r="I22" s="10">
        <f t="shared" si="0"/>
        <v>12149376.905159803</v>
      </c>
      <c r="J22" s="10"/>
      <c r="K22" s="15"/>
      <c r="L22" s="61" t="s">
        <v>5</v>
      </c>
      <c r="M22" s="74">
        <v>385923.90464245353</v>
      </c>
      <c r="N22" s="61">
        <v>57279.60593365669</v>
      </c>
      <c r="O22" s="72">
        <v>6.7375446871866496</v>
      </c>
      <c r="P22" s="61">
        <v>4.4549896073779134E-9</v>
      </c>
      <c r="Q22" s="61">
        <v>271593.33402193146</v>
      </c>
      <c r="R22" s="61">
        <v>500254.47526297561</v>
      </c>
      <c r="S22" s="61">
        <v>271593.33402193146</v>
      </c>
      <c r="T22" s="61">
        <v>500254.47526297561</v>
      </c>
    </row>
    <row r="23" spans="1:20" x14ac:dyDescent="0.2">
      <c r="A23" s="3">
        <v>39326</v>
      </c>
      <c r="B23" s="29">
        <f>'[5]Consumption Data '!D74</f>
        <v>9689281</v>
      </c>
      <c r="C23" s="25">
        <f>'Purchased Power Model '!C71</f>
        <v>36.9</v>
      </c>
      <c r="D23" s="25">
        <f>'Purchased Power Model '!D71</f>
        <v>47.5</v>
      </c>
      <c r="E23" s="19">
        <v>1</v>
      </c>
      <c r="F23" s="19">
        <v>30</v>
      </c>
      <c r="G23" s="19">
        <v>13055</v>
      </c>
      <c r="H23" s="19">
        <f>'Purchased Power Model '!H71</f>
        <v>196171.71771659146</v>
      </c>
      <c r="I23" s="10">
        <f t="shared" si="0"/>
        <v>9410443.8105799705</v>
      </c>
      <c r="J23" s="10"/>
      <c r="K23" s="15"/>
    </row>
    <row r="24" spans="1:20" x14ac:dyDescent="0.2">
      <c r="A24" s="3">
        <v>39356</v>
      </c>
      <c r="B24" s="29">
        <f>'[5]Consumption Data '!D75</f>
        <v>10253643</v>
      </c>
      <c r="C24" s="25">
        <f>'Purchased Power Model '!C72</f>
        <v>137.69999999999999</v>
      </c>
      <c r="D24" s="25">
        <f>'Purchased Power Model '!D72</f>
        <v>19.8</v>
      </c>
      <c r="E24" s="19">
        <v>1</v>
      </c>
      <c r="F24" s="19">
        <v>31</v>
      </c>
      <c r="G24" s="19">
        <v>13090</v>
      </c>
      <c r="H24" s="19">
        <f>'Purchased Power Model '!H72</f>
        <v>192796.11059641655</v>
      </c>
      <c r="I24" s="10">
        <f t="shared" si="0"/>
        <v>10288067.806969572</v>
      </c>
      <c r="J24" s="10"/>
      <c r="K24" s="15"/>
    </row>
    <row r="25" spans="1:20" x14ac:dyDescent="0.2">
      <c r="A25" s="3">
        <v>39387</v>
      </c>
      <c r="B25" s="29">
        <f>'[5]Consumption Data '!D76</f>
        <v>12917037</v>
      </c>
      <c r="C25" s="25">
        <f>'Purchased Power Model '!C73</f>
        <v>462.5</v>
      </c>
      <c r="D25" s="25">
        <f>'Purchased Power Model '!D73</f>
        <v>0</v>
      </c>
      <c r="E25" s="19">
        <v>1</v>
      </c>
      <c r="F25" s="19">
        <v>30</v>
      </c>
      <c r="G25" s="19">
        <v>13090</v>
      </c>
      <c r="H25" s="19">
        <f>'Purchased Power Model '!H73</f>
        <v>189420.50347624163</v>
      </c>
      <c r="I25" s="10">
        <f t="shared" si="0"/>
        <v>12843793.668772548</v>
      </c>
      <c r="J25" s="10"/>
      <c r="K25" s="15"/>
    </row>
    <row r="26" spans="1:20" x14ac:dyDescent="0.2">
      <c r="A26" s="3">
        <v>39417</v>
      </c>
      <c r="B26" s="29">
        <f>'[5]Consumption Data '!D77</f>
        <v>16029153</v>
      </c>
      <c r="C26" s="25">
        <f>'Purchased Power Model '!C74</f>
        <v>630.70000000000005</v>
      </c>
      <c r="D26" s="25">
        <f>'Purchased Power Model '!D74</f>
        <v>0</v>
      </c>
      <c r="E26" s="19">
        <v>0</v>
      </c>
      <c r="F26" s="19">
        <v>31</v>
      </c>
      <c r="G26" s="19">
        <v>13132</v>
      </c>
      <c r="H26" s="19">
        <f>'Purchased Power Model '!H74</f>
        <v>186044.89635606672</v>
      </c>
      <c r="I26" s="10">
        <f t="shared" si="0"/>
        <v>15804164.699935883</v>
      </c>
      <c r="J26" s="10"/>
      <c r="K26" s="15"/>
    </row>
    <row r="27" spans="1:20" x14ac:dyDescent="0.2">
      <c r="A27" s="3">
        <v>39448</v>
      </c>
      <c r="B27" s="29">
        <f>'[5]Consumption Data '!D78</f>
        <v>16108836</v>
      </c>
      <c r="C27" s="25">
        <f>'Purchased Power Model '!C75</f>
        <v>623.5</v>
      </c>
      <c r="D27" s="25">
        <f>'Purchased Power Model '!D75</f>
        <v>0</v>
      </c>
      <c r="E27" s="19">
        <v>0</v>
      </c>
      <c r="F27" s="19">
        <v>31</v>
      </c>
      <c r="G27" s="19">
        <v>13149</v>
      </c>
      <c r="H27" s="19">
        <f>'Purchased Power Model '!H75</f>
        <v>197728.54137604786</v>
      </c>
      <c r="I27" s="10">
        <f t="shared" si="0"/>
        <v>15730378.5251038</v>
      </c>
    </row>
    <row r="28" spans="1:20" x14ac:dyDescent="0.2">
      <c r="A28" s="3">
        <v>39479</v>
      </c>
      <c r="B28" s="29">
        <f>'[5]Consumption Data '!D79</f>
        <v>15111865</v>
      </c>
      <c r="C28" s="25">
        <f>'Purchased Power Model '!C76</f>
        <v>674.7</v>
      </c>
      <c r="D28" s="25">
        <f>'Purchased Power Model '!D76</f>
        <v>0</v>
      </c>
      <c r="E28" s="19">
        <v>0</v>
      </c>
      <c r="F28" s="19">
        <v>29</v>
      </c>
      <c r="G28" s="19">
        <v>13164</v>
      </c>
      <c r="H28" s="19">
        <f>'Purchased Power Model '!H76</f>
        <v>209412.18639602899</v>
      </c>
      <c r="I28" s="10">
        <f t="shared" si="0"/>
        <v>15483232.403513715</v>
      </c>
    </row>
    <row r="29" spans="1:20" x14ac:dyDescent="0.2">
      <c r="A29" s="3">
        <v>39508</v>
      </c>
      <c r="B29" s="29">
        <f>'[5]Consumption Data '!D80</f>
        <v>14824395</v>
      </c>
      <c r="C29" s="25">
        <f>'Purchased Power Model '!C77</f>
        <v>610.20000000000005</v>
      </c>
      <c r="D29" s="25">
        <f>'Purchased Power Model '!D77</f>
        <v>0</v>
      </c>
      <c r="E29" s="19">
        <v>1</v>
      </c>
      <c r="F29" s="19">
        <v>31</v>
      </c>
      <c r="G29" s="19">
        <v>13185</v>
      </c>
      <c r="H29" s="19">
        <f>'Purchased Power Model '!H77</f>
        <v>221095.83141601013</v>
      </c>
      <c r="I29" s="10">
        <f t="shared" si="0"/>
        <v>14743358.965456514</v>
      </c>
    </row>
    <row r="30" spans="1:20" x14ac:dyDescent="0.2">
      <c r="A30" s="3">
        <v>39539</v>
      </c>
      <c r="B30" s="29">
        <f>'[5]Consumption Data '!D81</f>
        <v>10995224</v>
      </c>
      <c r="C30" s="25">
        <f>'Purchased Power Model '!C78</f>
        <v>253.9</v>
      </c>
      <c r="D30" s="25">
        <f>'Purchased Power Model '!D78</f>
        <v>0</v>
      </c>
      <c r="E30" s="19">
        <v>1</v>
      </c>
      <c r="F30" s="19">
        <v>30</v>
      </c>
      <c r="G30" s="19">
        <v>13202</v>
      </c>
      <c r="H30" s="19">
        <f>'Purchased Power Model '!H78</f>
        <v>232779.47643599127</v>
      </c>
      <c r="I30" s="10">
        <f t="shared" si="0"/>
        <v>10706044.214609656</v>
      </c>
    </row>
    <row r="31" spans="1:20" x14ac:dyDescent="0.2">
      <c r="A31" s="3">
        <v>39569</v>
      </c>
      <c r="B31" s="29">
        <f>'[5]Consumption Data '!D82</f>
        <v>10238538</v>
      </c>
      <c r="C31" s="25">
        <f>'Purchased Power Model '!C79</f>
        <v>193.5</v>
      </c>
      <c r="D31" s="25">
        <f>'Purchased Power Model '!D79</f>
        <v>2.5</v>
      </c>
      <c r="E31" s="19">
        <v>1</v>
      </c>
      <c r="F31" s="19">
        <v>31</v>
      </c>
      <c r="G31" s="19">
        <v>13240</v>
      </c>
      <c r="H31" s="19">
        <f>'Purchased Power Model '!H79</f>
        <v>244463.1214559724</v>
      </c>
      <c r="I31" s="10">
        <f t="shared" si="0"/>
        <v>10521838.46130071</v>
      </c>
    </row>
    <row r="32" spans="1:20" x14ac:dyDescent="0.2">
      <c r="A32" s="3">
        <v>39600</v>
      </c>
      <c r="B32" s="29">
        <f>'[5]Consumption Data '!D83</f>
        <v>10371805</v>
      </c>
      <c r="C32" s="25">
        <f>'Purchased Power Model '!C80</f>
        <v>22.7</v>
      </c>
      <c r="D32" s="25">
        <f>'Purchased Power Model '!D80</f>
        <v>71.5</v>
      </c>
      <c r="E32" s="19">
        <v>0</v>
      </c>
      <c r="F32" s="19">
        <v>30</v>
      </c>
      <c r="G32" s="19">
        <v>13277</v>
      </c>
      <c r="H32" s="19">
        <f>'Purchased Power Model '!H80</f>
        <v>256146.76647595354</v>
      </c>
      <c r="I32" s="10">
        <f t="shared" si="0"/>
        <v>10584643.07149847</v>
      </c>
    </row>
    <row r="33" spans="1:32" x14ac:dyDescent="0.2">
      <c r="A33" s="3">
        <v>39630</v>
      </c>
      <c r="B33" s="29">
        <f>'[5]Consumption Data '!D84</f>
        <v>11432740</v>
      </c>
      <c r="C33" s="25">
        <f>'Purchased Power Model '!C81</f>
        <v>1</v>
      </c>
      <c r="D33" s="25">
        <f>'Purchased Power Model '!D81</f>
        <v>111</v>
      </c>
      <c r="E33" s="19">
        <v>0</v>
      </c>
      <c r="F33" s="19">
        <v>31</v>
      </c>
      <c r="G33" s="19">
        <v>13308</v>
      </c>
      <c r="H33" s="19">
        <f>'Purchased Power Model '!H81</f>
        <v>267830.41149593471</v>
      </c>
      <c r="I33" s="10">
        <f t="shared" si="0"/>
        <v>11520082.598828053</v>
      </c>
    </row>
    <row r="34" spans="1:32" x14ac:dyDescent="0.2">
      <c r="A34" s="3">
        <v>39661</v>
      </c>
      <c r="B34" s="29">
        <f>'[5]Consumption Data '!D85</f>
        <v>10970422</v>
      </c>
      <c r="C34" s="25">
        <f>'Purchased Power Model '!C82</f>
        <v>12.7</v>
      </c>
      <c r="D34" s="25">
        <f>'Purchased Power Model '!D82</f>
        <v>64</v>
      </c>
      <c r="E34" s="19">
        <v>0</v>
      </c>
      <c r="F34" s="19">
        <v>31</v>
      </c>
      <c r="G34" s="19">
        <v>13349</v>
      </c>
      <c r="H34" s="19">
        <f>'Purchased Power Model '!H82</f>
        <v>279514.05651591584</v>
      </c>
      <c r="I34" s="10">
        <f t="shared" si="0"/>
        <v>10721523.08500977</v>
      </c>
    </row>
    <row r="35" spans="1:32" x14ac:dyDescent="0.2">
      <c r="A35" s="3">
        <v>39692</v>
      </c>
      <c r="B35" s="29">
        <f>'[5]Consumption Data '!D86</f>
        <v>9784362</v>
      </c>
      <c r="C35" s="25">
        <f>'Purchased Power Model '!C83</f>
        <v>59</v>
      </c>
      <c r="D35" s="25">
        <f>'Purchased Power Model '!D83</f>
        <v>26.7</v>
      </c>
      <c r="E35" s="19">
        <v>1</v>
      </c>
      <c r="F35" s="19">
        <v>30</v>
      </c>
      <c r="G35" s="19">
        <v>13384</v>
      </c>
      <c r="H35" s="19">
        <f>'Purchased Power Model '!H83</f>
        <v>291197.70153589698</v>
      </c>
      <c r="I35" s="10">
        <f t="shared" si="0"/>
        <v>9230458.0644260813</v>
      </c>
    </row>
    <row r="36" spans="1:32" x14ac:dyDescent="0.2">
      <c r="A36" s="3">
        <v>39722</v>
      </c>
      <c r="B36" s="29">
        <f>'[5]Consumption Data '!D87</f>
        <v>10926030</v>
      </c>
      <c r="C36" s="25">
        <f>'Purchased Power Model '!C84</f>
        <v>278.60000000000002</v>
      </c>
      <c r="D36" s="25">
        <f>'Purchased Power Model '!D84</f>
        <v>0</v>
      </c>
      <c r="E36" s="19">
        <v>1</v>
      </c>
      <c r="F36" s="19">
        <v>31</v>
      </c>
      <c r="G36" s="19">
        <v>13423</v>
      </c>
      <c r="H36" s="19">
        <f>'Purchased Power Model '!H84</f>
        <v>302881.34655587812</v>
      </c>
      <c r="I36" s="10">
        <f t="shared" si="0"/>
        <v>11345095.691245511</v>
      </c>
    </row>
    <row r="37" spans="1:32" x14ac:dyDescent="0.2">
      <c r="A37" s="3">
        <v>39753</v>
      </c>
      <c r="B37" s="29">
        <f>'[5]Consumption Data '!D88</f>
        <v>13094794</v>
      </c>
      <c r="C37" s="25">
        <f>'Purchased Power Model '!C85</f>
        <v>451.6</v>
      </c>
      <c r="D37" s="25">
        <f>'Purchased Power Model '!D85</f>
        <v>0</v>
      </c>
      <c r="E37" s="19">
        <v>1</v>
      </c>
      <c r="F37" s="19">
        <v>30</v>
      </c>
      <c r="G37" s="19">
        <v>13431</v>
      </c>
      <c r="H37" s="19">
        <f>'Purchased Power Model '!H85</f>
        <v>314564.99157585925</v>
      </c>
      <c r="I37" s="10">
        <f t="shared" si="0"/>
        <v>12732089.598540643</v>
      </c>
    </row>
    <row r="38" spans="1:32" x14ac:dyDescent="0.2">
      <c r="A38" s="3">
        <v>39783</v>
      </c>
      <c r="B38" s="29">
        <f>'[5]Consumption Data '!D89</f>
        <v>16764512</v>
      </c>
      <c r="C38" s="25">
        <f>'Purchased Power Model '!C86</f>
        <v>654.6</v>
      </c>
      <c r="D38" s="25">
        <f>'Purchased Power Model '!D86</f>
        <v>0</v>
      </c>
      <c r="E38" s="19">
        <v>0</v>
      </c>
      <c r="F38" s="19">
        <v>31</v>
      </c>
      <c r="G38" s="19">
        <v>13472</v>
      </c>
      <c r="H38" s="19">
        <f>'Purchased Power Model '!H86</f>
        <v>326248.63659584039</v>
      </c>
      <c r="I38" s="10">
        <f t="shared" si="0"/>
        <v>16049093.808059052</v>
      </c>
    </row>
    <row r="39" spans="1:32" s="16" customFormat="1" x14ac:dyDescent="0.2">
      <c r="A39" s="3">
        <v>39814</v>
      </c>
      <c r="B39" s="29">
        <f>'[5]Consumption Data '!D90</f>
        <v>17810584</v>
      </c>
      <c r="C39" s="25">
        <f>'Purchased Power Model '!C87</f>
        <v>830.2</v>
      </c>
      <c r="D39" s="25">
        <f>'Purchased Power Model '!D87</f>
        <v>0</v>
      </c>
      <c r="E39" s="19">
        <v>0</v>
      </c>
      <c r="F39" s="19">
        <v>31</v>
      </c>
      <c r="G39" s="19">
        <v>13491</v>
      </c>
      <c r="H39" s="19">
        <f>'Purchased Power Model '!H87</f>
        <v>334892.3612999671</v>
      </c>
      <c r="I39" s="10">
        <f t="shared" si="0"/>
        <v>17848656.627574891</v>
      </c>
      <c r="J39" s="56"/>
      <c r="K39" s="1"/>
      <c r="L39"/>
      <c r="M39"/>
      <c r="N39"/>
      <c r="O39"/>
      <c r="P39"/>
      <c r="Q39"/>
      <c r="R39"/>
      <c r="S39"/>
      <c r="T39"/>
      <c r="U39"/>
      <c r="V39"/>
      <c r="W39"/>
      <c r="X39" s="11"/>
      <c r="Y39" s="11"/>
      <c r="Z39" s="11"/>
      <c r="AA39" s="11"/>
      <c r="AB39" s="11"/>
      <c r="AC39" s="11"/>
      <c r="AD39" s="11"/>
      <c r="AE39" s="11"/>
      <c r="AF39" s="11"/>
    </row>
    <row r="40" spans="1:32" x14ac:dyDescent="0.2">
      <c r="A40" s="3">
        <v>39845</v>
      </c>
      <c r="B40" s="29">
        <f>'[5]Consumption Data '!D91</f>
        <v>14875943</v>
      </c>
      <c r="C40" s="25">
        <f>'Purchased Power Model '!C88</f>
        <v>606.4</v>
      </c>
      <c r="D40" s="25">
        <f>'Purchased Power Model '!D88</f>
        <v>0</v>
      </c>
      <c r="E40" s="19">
        <v>0</v>
      </c>
      <c r="F40" s="19">
        <v>28</v>
      </c>
      <c r="G40" s="19">
        <v>13506</v>
      </c>
      <c r="H40" s="19">
        <f>'Purchased Power Model '!H88</f>
        <v>343536.08600409381</v>
      </c>
      <c r="I40" s="10">
        <f t="shared" si="0"/>
        <v>14397364.645950237</v>
      </c>
      <c r="J40" s="56"/>
    </row>
    <row r="41" spans="1:32" x14ac:dyDescent="0.2">
      <c r="A41" s="3">
        <v>39873</v>
      </c>
      <c r="B41" s="29">
        <f>'[5]Consumption Data '!D92</f>
        <v>14168411</v>
      </c>
      <c r="C41" s="25">
        <f>'Purchased Power Model '!C89</f>
        <v>533.79999999999995</v>
      </c>
      <c r="D41" s="25">
        <f>'Purchased Power Model '!D89</f>
        <v>0</v>
      </c>
      <c r="E41" s="19">
        <v>1</v>
      </c>
      <c r="F41" s="19">
        <v>31</v>
      </c>
      <c r="G41" s="19">
        <v>13518</v>
      </c>
      <c r="H41" s="19">
        <f>'Purchased Power Model '!H89</f>
        <v>352179.81070822052</v>
      </c>
      <c r="I41" s="10">
        <f t="shared" si="0"/>
        <v>13960405.665849395</v>
      </c>
      <c r="J41" s="56"/>
    </row>
    <row r="42" spans="1:32" x14ac:dyDescent="0.2">
      <c r="A42" s="3">
        <v>39904</v>
      </c>
      <c r="B42" s="29">
        <f>'[5]Consumption Data '!D93</f>
        <v>11457915</v>
      </c>
      <c r="C42" s="25">
        <f>'Purchased Power Model '!C90</f>
        <v>305.8</v>
      </c>
      <c r="D42" s="25">
        <f>'Purchased Power Model '!D90</f>
        <v>1.2</v>
      </c>
      <c r="E42" s="19">
        <v>1</v>
      </c>
      <c r="F42" s="19">
        <v>30</v>
      </c>
      <c r="G42" s="19">
        <v>13525</v>
      </c>
      <c r="H42" s="19">
        <f>'Purchased Power Model '!H90</f>
        <v>360823.53541234724</v>
      </c>
      <c r="I42" s="10">
        <f t="shared" si="0"/>
        <v>11261369.653031453</v>
      </c>
      <c r="J42" s="56"/>
    </row>
    <row r="43" spans="1:32" x14ac:dyDescent="0.2">
      <c r="A43" s="3">
        <v>39934</v>
      </c>
      <c r="B43" s="29">
        <f>'[5]Consumption Data '!D94</f>
        <v>10081810</v>
      </c>
      <c r="C43" s="25">
        <f>'Purchased Power Model '!C91</f>
        <v>158.80000000000001</v>
      </c>
      <c r="D43" s="25">
        <f>'Purchased Power Model '!D91</f>
        <v>6.9</v>
      </c>
      <c r="E43" s="19">
        <v>1</v>
      </c>
      <c r="F43" s="19">
        <v>31</v>
      </c>
      <c r="G43" s="19">
        <v>13530</v>
      </c>
      <c r="H43" s="19">
        <f>'Purchased Power Model '!H91</f>
        <v>369467.26011647395</v>
      </c>
      <c r="I43" s="10">
        <f t="shared" si="0"/>
        <v>10252213.772011325</v>
      </c>
      <c r="J43" s="56"/>
    </row>
    <row r="44" spans="1:32" x14ac:dyDescent="0.2">
      <c r="A44" s="3">
        <v>39965</v>
      </c>
      <c r="B44" s="29">
        <f>'[5]Consumption Data '!D95</f>
        <v>9854813</v>
      </c>
      <c r="C44" s="25">
        <f>'Purchased Power Model '!C92</f>
        <v>49.3</v>
      </c>
      <c r="D44" s="25">
        <f>'Purchased Power Model '!D92</f>
        <v>34.200000000000003</v>
      </c>
      <c r="E44" s="19">
        <v>0</v>
      </c>
      <c r="F44" s="19">
        <v>30</v>
      </c>
      <c r="G44" s="19">
        <v>13533</v>
      </c>
      <c r="H44" s="19">
        <f>'Purchased Power Model '!H92</f>
        <v>378110.98482060066</v>
      </c>
      <c r="I44" s="10">
        <f t="shared" si="0"/>
        <v>10128334.880557466</v>
      </c>
      <c r="J44" s="56"/>
    </row>
    <row r="45" spans="1:32" x14ac:dyDescent="0.2">
      <c r="A45" s="3">
        <v>39995</v>
      </c>
      <c r="B45" s="29">
        <f>'[5]Consumption Data '!D96</f>
        <v>10889246</v>
      </c>
      <c r="C45" s="25">
        <f>'Purchased Power Model '!C93</f>
        <v>6.2</v>
      </c>
      <c r="D45" s="25">
        <f>'Purchased Power Model '!D93</f>
        <v>43.7</v>
      </c>
      <c r="E45" s="19">
        <v>0</v>
      </c>
      <c r="F45" s="19">
        <v>31</v>
      </c>
      <c r="G45" s="19">
        <v>13781</v>
      </c>
      <c r="H45" s="19">
        <f>'Purchased Power Model '!H93</f>
        <v>386754.70952472737</v>
      </c>
      <c r="I45" s="10">
        <f t="shared" si="0"/>
        <v>10258213.128345318</v>
      </c>
      <c r="J45" s="56"/>
    </row>
    <row r="46" spans="1:32" x14ac:dyDescent="0.2">
      <c r="A46" s="3">
        <v>40026</v>
      </c>
      <c r="B46" s="29">
        <f>'[5]Consumption Data '!D97</f>
        <v>11628804</v>
      </c>
      <c r="C46" s="25">
        <f>'Purchased Power Model '!C94</f>
        <v>9.8000000000000007</v>
      </c>
      <c r="D46" s="25">
        <f>'Purchased Power Model '!D94</f>
        <v>91</v>
      </c>
      <c r="E46" s="19">
        <v>0</v>
      </c>
      <c r="F46" s="19">
        <v>31</v>
      </c>
      <c r="G46" s="19">
        <v>14047</v>
      </c>
      <c r="H46" s="19">
        <f>'Purchased Power Model '!H94</f>
        <v>395398.43422885408</v>
      </c>
      <c r="I46" s="10">
        <f t="shared" si="0"/>
        <v>11219430.78739191</v>
      </c>
      <c r="J46" s="56"/>
    </row>
    <row r="47" spans="1:32" x14ac:dyDescent="0.2">
      <c r="A47" s="3">
        <v>40057</v>
      </c>
      <c r="B47" s="29">
        <f>'[5]Consumption Data '!D98</f>
        <v>9993074</v>
      </c>
      <c r="C47" s="25">
        <f>'Purchased Power Model '!C95</f>
        <v>55.2</v>
      </c>
      <c r="D47" s="25">
        <f>'Purchased Power Model '!D95</f>
        <v>20.9</v>
      </c>
      <c r="E47" s="19">
        <v>1</v>
      </c>
      <c r="F47" s="19">
        <v>30</v>
      </c>
      <c r="G47" s="19">
        <v>14145</v>
      </c>
      <c r="H47" s="19">
        <f>'Purchased Power Model '!H95</f>
        <v>404042.15893298079</v>
      </c>
      <c r="I47" s="10">
        <f t="shared" si="0"/>
        <v>9078173.2359799594</v>
      </c>
      <c r="J47" s="56"/>
    </row>
    <row r="48" spans="1:32" x14ac:dyDescent="0.2">
      <c r="A48" s="3">
        <v>40087</v>
      </c>
      <c r="B48" s="29">
        <f>'[5]Consumption Data '!D99</f>
        <v>11313182</v>
      </c>
      <c r="C48" s="25">
        <f>'Purchased Power Model '!C96</f>
        <v>287.8</v>
      </c>
      <c r="D48" s="25">
        <f>'Purchased Power Model '!D96</f>
        <v>0</v>
      </c>
      <c r="E48" s="19">
        <v>1</v>
      </c>
      <c r="F48" s="19">
        <v>31</v>
      </c>
      <c r="G48" s="19">
        <v>14177</v>
      </c>
      <c r="H48" s="19">
        <f>'Purchased Power Model '!H96</f>
        <v>412685.8836371075</v>
      </c>
      <c r="I48" s="10">
        <f t="shared" si="0"/>
        <v>11439378.025753174</v>
      </c>
      <c r="J48" s="56"/>
    </row>
    <row r="49" spans="1:32" x14ac:dyDescent="0.2">
      <c r="A49" s="3">
        <v>40118</v>
      </c>
      <c r="B49" s="29">
        <f>'[5]Consumption Data '!D100</f>
        <v>12003176</v>
      </c>
      <c r="C49" s="25">
        <f>'Purchased Power Model '!C97</f>
        <v>361.2</v>
      </c>
      <c r="D49" s="25">
        <f>'Purchased Power Model '!D97</f>
        <v>0</v>
      </c>
      <c r="E49" s="19">
        <v>1</v>
      </c>
      <c r="F49" s="19">
        <v>30</v>
      </c>
      <c r="G49" s="19">
        <v>14179</v>
      </c>
      <c r="H49" s="19">
        <f>'Purchased Power Model '!H97</f>
        <v>421329.60834123421</v>
      </c>
      <c r="I49" s="10">
        <f t="shared" si="0"/>
        <v>11805663.181204472</v>
      </c>
      <c r="J49" s="56"/>
    </row>
    <row r="50" spans="1:32" s="36" customFormat="1" x14ac:dyDescent="0.2">
      <c r="A50" s="3">
        <v>40148</v>
      </c>
      <c r="B50" s="29">
        <f>'[5]Consumption Data '!D101</f>
        <v>15992024</v>
      </c>
      <c r="C50" s="25">
        <f>'Purchased Power Model '!C98</f>
        <v>631.29999999999995</v>
      </c>
      <c r="D50" s="25">
        <f>'Purchased Power Model '!D98</f>
        <v>0</v>
      </c>
      <c r="E50" s="19">
        <v>0</v>
      </c>
      <c r="F50" s="19">
        <v>31</v>
      </c>
      <c r="G50" s="19">
        <v>13636</v>
      </c>
      <c r="H50" s="19">
        <f>'Purchased Power Model '!H98</f>
        <v>429973.33304536092</v>
      </c>
      <c r="I50" s="10">
        <f t="shared" si="0"/>
        <v>15810313.547838558</v>
      </c>
      <c r="J50" s="56"/>
      <c r="K50" s="1"/>
      <c r="L50"/>
      <c r="M50"/>
      <c r="N50"/>
      <c r="O50"/>
      <c r="P50"/>
      <c r="Q50"/>
      <c r="R50"/>
      <c r="S50"/>
      <c r="T50"/>
      <c r="U50"/>
      <c r="V50"/>
      <c r="W50"/>
      <c r="X50" s="29"/>
      <c r="Y50" s="29"/>
      <c r="Z50" s="29"/>
      <c r="AA50" s="29"/>
      <c r="AB50" s="29"/>
      <c r="AC50" s="29"/>
      <c r="AD50" s="29"/>
      <c r="AE50" s="29"/>
      <c r="AF50" s="29"/>
    </row>
    <row r="51" spans="1:32" x14ac:dyDescent="0.2">
      <c r="A51" s="3">
        <v>40179</v>
      </c>
      <c r="B51" s="29">
        <f>'[5]Consumption Data '!D102</f>
        <v>16758847</v>
      </c>
      <c r="C51" s="25">
        <f>'Purchased Power Model '!C99</f>
        <v>720</v>
      </c>
      <c r="D51" s="25">
        <f>'Purchased Power Model '!D99</f>
        <v>0</v>
      </c>
      <c r="E51" s="19">
        <v>0</v>
      </c>
      <c r="F51" s="19">
        <v>31</v>
      </c>
      <c r="G51" s="19">
        <v>13627</v>
      </c>
      <c r="H51" s="19">
        <f>'Purchased Power Model '!H99</f>
        <v>415484.3536334121</v>
      </c>
      <c r="I51" s="10">
        <f t="shared" si="0"/>
        <v>16719318.229450487</v>
      </c>
      <c r="J51" s="56"/>
      <c r="X51" s="11"/>
      <c r="Y51" s="11"/>
      <c r="Z51" s="11"/>
    </row>
    <row r="52" spans="1:32" x14ac:dyDescent="0.2">
      <c r="A52" s="3">
        <v>40210</v>
      </c>
      <c r="B52" s="29">
        <f>'[5]Consumption Data '!D103</f>
        <v>14108588</v>
      </c>
      <c r="C52" s="25">
        <f>'Purchased Power Model '!C100</f>
        <v>598.29999999999995</v>
      </c>
      <c r="D52" s="25">
        <f>'Purchased Power Model '!D100</f>
        <v>0</v>
      </c>
      <c r="E52" s="19">
        <v>0</v>
      </c>
      <c r="F52" s="19">
        <v>28</v>
      </c>
      <c r="G52" s="19">
        <v>13628</v>
      </c>
      <c r="H52" s="19">
        <f>'Purchased Power Model '!H100</f>
        <v>400995.37422146328</v>
      </c>
      <c r="I52" s="10">
        <f t="shared" si="0"/>
        <v>14314355.199264143</v>
      </c>
      <c r="J52" s="56"/>
    </row>
    <row r="53" spans="1:32" x14ac:dyDescent="0.2">
      <c r="A53" s="3">
        <v>40238</v>
      </c>
      <c r="B53" s="29">
        <f>'[5]Consumption Data '!D104</f>
        <v>12565986</v>
      </c>
      <c r="C53" s="25">
        <f>'Purchased Power Model '!C101</f>
        <v>422.8</v>
      </c>
      <c r="D53" s="25">
        <f>'Purchased Power Model '!D101</f>
        <v>0</v>
      </c>
      <c r="E53" s="19">
        <v>1</v>
      </c>
      <c r="F53" s="19">
        <v>31</v>
      </c>
      <c r="G53" s="19">
        <v>13641</v>
      </c>
      <c r="H53" s="19">
        <f>'Purchased Power Model '!H101</f>
        <v>386506.39480951446</v>
      </c>
      <c r="I53" s="10">
        <f t="shared" si="0"/>
        <v>12822868.803854758</v>
      </c>
      <c r="J53" s="56"/>
    </row>
    <row r="54" spans="1:32" x14ac:dyDescent="0.2">
      <c r="A54" s="3">
        <v>40269</v>
      </c>
      <c r="B54" s="29">
        <f>'[5]Consumption Data '!D105</f>
        <v>10254608</v>
      </c>
      <c r="C54" s="25">
        <f>'Purchased Power Model '!C102</f>
        <v>225.1</v>
      </c>
      <c r="D54" s="25">
        <f>'Purchased Power Model '!D102</f>
        <v>0</v>
      </c>
      <c r="E54" s="19">
        <v>1</v>
      </c>
      <c r="F54" s="19">
        <v>30</v>
      </c>
      <c r="G54" s="19">
        <v>13641</v>
      </c>
      <c r="H54" s="19">
        <f>'Purchased Power Model '!H102</f>
        <v>372017.41539756564</v>
      </c>
      <c r="I54" s="10">
        <f t="shared" si="0"/>
        <v>10410899.515281318</v>
      </c>
      <c r="J54" s="56"/>
    </row>
    <row r="55" spans="1:32" x14ac:dyDescent="0.2">
      <c r="A55" s="3">
        <v>40299</v>
      </c>
      <c r="B55" s="29">
        <f>'[5]Consumption Data '!D106</f>
        <v>10319214</v>
      </c>
      <c r="C55" s="25">
        <f>'Purchased Power Model '!C103</f>
        <v>107.9</v>
      </c>
      <c r="D55" s="25">
        <f>'Purchased Power Model '!D103</f>
        <v>45.7</v>
      </c>
      <c r="E55" s="19">
        <v>1</v>
      </c>
      <c r="F55" s="19">
        <v>31</v>
      </c>
      <c r="G55" s="19">
        <v>13637</v>
      </c>
      <c r="H55" s="19">
        <f>'Purchased Power Model '!H103</f>
        <v>357528.43598561682</v>
      </c>
      <c r="I55" s="10">
        <f t="shared" si="0"/>
        <v>10488806.241444696</v>
      </c>
      <c r="J55" s="56"/>
    </row>
    <row r="56" spans="1:32" x14ac:dyDescent="0.2">
      <c r="A56" s="3">
        <v>40330</v>
      </c>
      <c r="B56" s="29">
        <f>'[5]Consumption Data '!D107</f>
        <v>10886710</v>
      </c>
      <c r="C56" s="25">
        <f>'Purchased Power Model '!C104</f>
        <v>21.7</v>
      </c>
      <c r="D56" s="25">
        <f>'Purchased Power Model '!D104</f>
        <v>58.7</v>
      </c>
      <c r="E56" s="19">
        <v>0</v>
      </c>
      <c r="F56" s="19">
        <v>30</v>
      </c>
      <c r="G56" s="19">
        <v>13651</v>
      </c>
      <c r="H56" s="19">
        <f>'Purchased Power Model '!H104</f>
        <v>343039.45657366799</v>
      </c>
      <c r="I56" s="10">
        <f t="shared" si="0"/>
        <v>10324260.64669512</v>
      </c>
      <c r="J56" s="56"/>
    </row>
    <row r="57" spans="1:32" x14ac:dyDescent="0.2">
      <c r="A57" s="3">
        <v>40360</v>
      </c>
      <c r="B57" s="29">
        <f>'[5]Consumption Data '!D108</f>
        <v>12945230</v>
      </c>
      <c r="C57" s="25">
        <f>'Purchased Power Model '!C105</f>
        <v>1.8</v>
      </c>
      <c r="D57" s="25">
        <f>'Purchased Power Model '!D105</f>
        <v>164.9</v>
      </c>
      <c r="E57" s="19">
        <v>0</v>
      </c>
      <c r="F57" s="19">
        <v>31</v>
      </c>
      <c r="G57" s="19">
        <v>13662</v>
      </c>
      <c r="H57" s="19">
        <f>'Purchased Power Model '!H105</f>
        <v>328550.47716171917</v>
      </c>
      <c r="I57" s="10">
        <f t="shared" si="0"/>
        <v>12581581.155951703</v>
      </c>
      <c r="J57" s="56"/>
    </row>
    <row r="58" spans="1:32" x14ac:dyDescent="0.2">
      <c r="A58" s="3">
        <v>40391</v>
      </c>
      <c r="B58" s="29">
        <f>'[5]Consumption Data '!D109</f>
        <v>12216023</v>
      </c>
      <c r="C58" s="25">
        <f>'Purchased Power Model '!C106</f>
        <v>2.1</v>
      </c>
      <c r="D58" s="25">
        <f>'Purchased Power Model '!D106</f>
        <v>138.80000000000001</v>
      </c>
      <c r="E58" s="19">
        <v>0</v>
      </c>
      <c r="F58" s="19">
        <v>31</v>
      </c>
      <c r="G58" s="19">
        <v>13688</v>
      </c>
      <c r="H58" s="19">
        <f>'Purchased Power Model '!H106</f>
        <v>314061.49774977035</v>
      </c>
      <c r="I58" s="10">
        <f t="shared" si="0"/>
        <v>12074616.017121701</v>
      </c>
      <c r="J58" s="56"/>
    </row>
    <row r="59" spans="1:32" x14ac:dyDescent="0.2">
      <c r="A59" s="3">
        <v>40422</v>
      </c>
      <c r="B59" s="29">
        <f>'[5]Consumption Data '!D110</f>
        <v>10068692</v>
      </c>
      <c r="C59" s="25">
        <f>'Purchased Power Model '!C107</f>
        <v>78.099999999999994</v>
      </c>
      <c r="D59" s="25">
        <f>'Purchased Power Model '!D107</f>
        <v>31.5</v>
      </c>
      <c r="E59" s="19">
        <v>1</v>
      </c>
      <c r="F59" s="19">
        <v>30</v>
      </c>
      <c r="G59" s="19">
        <v>13700</v>
      </c>
      <c r="H59" s="19">
        <f>'Purchased Power Model '!H107</f>
        <v>299572.51833782153</v>
      </c>
      <c r="I59" s="10">
        <f t="shared" si="0"/>
        <v>9519996.7686899453</v>
      </c>
      <c r="J59" s="56"/>
    </row>
    <row r="60" spans="1:32" x14ac:dyDescent="0.2">
      <c r="A60" s="3">
        <v>40452</v>
      </c>
      <c r="B60" s="29">
        <f>'[5]Consumption Data '!D111</f>
        <v>10537708</v>
      </c>
      <c r="C60" s="25">
        <f>'Purchased Power Model '!C108</f>
        <v>241.6</v>
      </c>
      <c r="D60" s="25">
        <f>'Purchased Power Model '!D108</f>
        <v>0</v>
      </c>
      <c r="E60" s="19">
        <v>1</v>
      </c>
      <c r="F60" s="19">
        <v>31</v>
      </c>
      <c r="G60" s="19">
        <v>13713</v>
      </c>
      <c r="H60" s="19">
        <f>'Purchased Power Model '!H108</f>
        <v>285083.53892587271</v>
      </c>
      <c r="I60" s="10">
        <f t="shared" si="0"/>
        <v>10965916.737247299</v>
      </c>
      <c r="J60" s="56"/>
    </row>
    <row r="61" spans="1:32" x14ac:dyDescent="0.2">
      <c r="A61" s="3">
        <v>40483</v>
      </c>
      <c r="B61" s="29">
        <f>'[5]Consumption Data '!D112</f>
        <v>12377930</v>
      </c>
      <c r="C61" s="25">
        <f>'Purchased Power Model '!C109</f>
        <v>405.3</v>
      </c>
      <c r="D61" s="25">
        <f>'Purchased Power Model '!D109</f>
        <v>0</v>
      </c>
      <c r="E61" s="19">
        <v>1</v>
      </c>
      <c r="F61" s="19">
        <v>30</v>
      </c>
      <c r="G61" s="19">
        <v>13730</v>
      </c>
      <c r="H61" s="19">
        <f>'Purchased Power Model '!H109</f>
        <v>270594.55951392389</v>
      </c>
      <c r="I61" s="10">
        <f t="shared" si="0"/>
        <v>12257603.502050988</v>
      </c>
      <c r="J61" s="56"/>
    </row>
    <row r="62" spans="1:32" x14ac:dyDescent="0.2">
      <c r="A62" s="3">
        <v>40513</v>
      </c>
      <c r="B62" s="29">
        <f>'[5]Consumption Data '!D113</f>
        <v>15852526</v>
      </c>
      <c r="C62" s="25">
        <f>'Purchased Power Model '!C110</f>
        <v>676.2</v>
      </c>
      <c r="D62" s="25">
        <f>'Purchased Power Model '!D110</f>
        <v>0</v>
      </c>
      <c r="E62" s="19">
        <v>0</v>
      </c>
      <c r="F62" s="19">
        <v>31</v>
      </c>
      <c r="G62" s="19">
        <v>13747</v>
      </c>
      <c r="H62" s="19">
        <f>'Purchased Power Model '!H110</f>
        <v>256105.58010197504</v>
      </c>
      <c r="I62" s="10">
        <f t="shared" si="0"/>
        <v>16270452.332555305</v>
      </c>
      <c r="J62" s="56"/>
    </row>
    <row r="63" spans="1:32" x14ac:dyDescent="0.2">
      <c r="A63" s="3">
        <v>40544</v>
      </c>
      <c r="B63" s="29">
        <f>'[5]Consumption Data '!D114</f>
        <v>16696145</v>
      </c>
      <c r="C63" s="25">
        <f>'Purchased Power Model '!C111</f>
        <v>775.3</v>
      </c>
      <c r="D63" s="25">
        <f>'Purchased Power Model '!D111</f>
        <v>0</v>
      </c>
      <c r="E63" s="19">
        <v>0</v>
      </c>
      <c r="F63" s="93">
        <v>31</v>
      </c>
      <c r="G63" s="19">
        <v>13752</v>
      </c>
      <c r="H63" s="19">
        <f ca="1">'Purchased Power Model '!H111</f>
        <v>273777.08121865243</v>
      </c>
      <c r="I63" s="10">
        <f t="shared" si="0"/>
        <v>17286037.044480246</v>
      </c>
      <c r="J63" s="56"/>
    </row>
    <row r="64" spans="1:32" x14ac:dyDescent="0.2">
      <c r="A64" s="3">
        <v>40575</v>
      </c>
      <c r="B64" s="29">
        <f>'[5]Consumption Data '!D115</f>
        <v>14407275</v>
      </c>
      <c r="C64" s="25">
        <f>'Purchased Power Model '!C112</f>
        <v>654.20000000000005</v>
      </c>
      <c r="D64" s="25">
        <f>'Purchased Power Model '!D112</f>
        <v>0</v>
      </c>
      <c r="E64" s="19">
        <v>0</v>
      </c>
      <c r="F64" s="93">
        <v>28</v>
      </c>
      <c r="G64" s="19">
        <v>13757</v>
      </c>
      <c r="H64" s="19">
        <f ca="1">'Purchased Power Model '!H112</f>
        <v>291448.58233532979</v>
      </c>
      <c r="I64" s="10">
        <f t="shared" si="0"/>
        <v>14887222.862196576</v>
      </c>
      <c r="J64" s="56"/>
    </row>
    <row r="65" spans="1:10" x14ac:dyDescent="0.2">
      <c r="A65" s="3">
        <v>40603</v>
      </c>
      <c r="B65" s="29">
        <f>'[5]Consumption Data '!D116</f>
        <v>14015514</v>
      </c>
      <c r="C65" s="25">
        <f>'Purchased Power Model '!C113</f>
        <v>572.79999999999995</v>
      </c>
      <c r="D65" s="25">
        <f>'Purchased Power Model '!D113</f>
        <v>0</v>
      </c>
      <c r="E65" s="19">
        <v>1</v>
      </c>
      <c r="F65" s="93">
        <v>31</v>
      </c>
      <c r="G65" s="19">
        <v>13766</v>
      </c>
      <c r="H65" s="19">
        <f ca="1">'Purchased Power Model '!H113</f>
        <v>309120.08345200715</v>
      </c>
      <c r="I65" s="10">
        <f t="shared" si="0"/>
        <v>14360080.779523185</v>
      </c>
      <c r="J65" s="56"/>
    </row>
    <row r="66" spans="1:10" x14ac:dyDescent="0.2">
      <c r="A66" s="3">
        <v>40634</v>
      </c>
      <c r="B66" s="29">
        <f>'[5]Consumption Data '!D117</f>
        <v>11306265</v>
      </c>
      <c r="C66" s="25">
        <f>'Purchased Power Model '!C114</f>
        <v>332.3</v>
      </c>
      <c r="D66" s="25">
        <f>'Purchased Power Model '!D114</f>
        <v>0</v>
      </c>
      <c r="E66" s="19">
        <v>1</v>
      </c>
      <c r="F66" s="93">
        <v>30</v>
      </c>
      <c r="G66" s="19">
        <v>13767</v>
      </c>
      <c r="H66" s="19">
        <f ca="1">'Purchased Power Model '!H114</f>
        <v>326791.58456868451</v>
      </c>
      <c r="I66" s="10">
        <f t="shared" si="0"/>
        <v>11509493.673892355</v>
      </c>
      <c r="J66" s="56"/>
    </row>
    <row r="67" spans="1:10" x14ac:dyDescent="0.2">
      <c r="A67" s="3">
        <v>40664</v>
      </c>
      <c r="B67" s="29">
        <f>'[5]Consumption Data '!D118</f>
        <v>9737594</v>
      </c>
      <c r="C67" s="25">
        <f>'Purchased Power Model '!C115</f>
        <v>134.1</v>
      </c>
      <c r="D67" s="25">
        <f>'Purchased Power Model '!D115</f>
        <v>13</v>
      </c>
      <c r="E67" s="19">
        <v>1</v>
      </c>
      <c r="F67" s="93">
        <v>31</v>
      </c>
      <c r="G67" s="19">
        <v>13771</v>
      </c>
      <c r="H67" s="19">
        <f ca="1">'Purchased Power Model '!H115</f>
        <v>344463.08568536188</v>
      </c>
      <c r="I67" s="10">
        <f t="shared" si="0"/>
        <v>10118290.848790575</v>
      </c>
      <c r="J67" s="56"/>
    </row>
    <row r="68" spans="1:10" x14ac:dyDescent="0.2">
      <c r="A68" s="3">
        <v>40695</v>
      </c>
      <c r="B68" s="29">
        <f>'[5]Consumption Data '!D119</f>
        <v>9716476</v>
      </c>
      <c r="C68" s="25">
        <f>'Purchased Power Model '!C116</f>
        <v>19</v>
      </c>
      <c r="D68" s="25">
        <f>'Purchased Power Model '!D116</f>
        <v>52.2</v>
      </c>
      <c r="E68" s="19">
        <v>0</v>
      </c>
      <c r="F68" s="93">
        <v>30</v>
      </c>
      <c r="G68" s="19">
        <v>13779</v>
      </c>
      <c r="H68" s="19">
        <f ca="1">'Purchased Power Model '!H116</f>
        <v>362134.58680203924</v>
      </c>
      <c r="I68" s="10">
        <f t="shared" ref="I68:I98" si="1">$M$18+$M$19*C68+$M$20*D68+$M$21*E68+$M$22*F68</f>
        <v>10169569.484080264</v>
      </c>
      <c r="J68" s="56"/>
    </row>
    <row r="69" spans="1:10" x14ac:dyDescent="0.2">
      <c r="A69" s="3">
        <v>40725</v>
      </c>
      <c r="B69" s="29">
        <f>'[5]Consumption Data '!D120</f>
        <v>13535935</v>
      </c>
      <c r="C69" s="25">
        <f>'Purchased Power Model '!C117</f>
        <v>0</v>
      </c>
      <c r="D69" s="25">
        <f>'Purchased Power Model '!D117</f>
        <v>198.5</v>
      </c>
      <c r="E69" s="19">
        <v>0</v>
      </c>
      <c r="F69" s="93">
        <v>31</v>
      </c>
      <c r="G69" s="19">
        <v>13793</v>
      </c>
      <c r="H69" s="19">
        <f ca="1">'Purchased Power Model '!H117</f>
        <v>379806.0879187166</v>
      </c>
      <c r="I69" s="10">
        <f t="shared" si="1"/>
        <v>13219737.267778279</v>
      </c>
      <c r="J69" s="56"/>
    </row>
    <row r="70" spans="1:10" x14ac:dyDescent="0.2">
      <c r="A70" s="3">
        <v>40756</v>
      </c>
      <c r="B70" s="29">
        <f>'[5]Consumption Data '!D121</f>
        <v>11675437</v>
      </c>
      <c r="C70" s="25">
        <f>'Purchased Power Model '!C118</f>
        <v>0</v>
      </c>
      <c r="D70" s="25">
        <f>'Purchased Power Model '!D118</f>
        <v>122.2</v>
      </c>
      <c r="E70" s="19">
        <v>0</v>
      </c>
      <c r="F70" s="93">
        <v>31</v>
      </c>
      <c r="G70" s="19">
        <v>13804</v>
      </c>
      <c r="H70" s="19">
        <f ca="1">'Purchased Power Model '!H118</f>
        <v>397477.58903539396</v>
      </c>
      <c r="I70" s="10">
        <f t="shared" si="1"/>
        <v>11728702.07083513</v>
      </c>
      <c r="J70" s="56"/>
    </row>
    <row r="71" spans="1:10" x14ac:dyDescent="0.2">
      <c r="A71" s="3">
        <v>40787</v>
      </c>
      <c r="B71" s="29">
        <f>'[5]Consumption Data '!D122</f>
        <v>9553832</v>
      </c>
      <c r="C71" s="25">
        <f>'Purchased Power Model '!C119</f>
        <v>48.2</v>
      </c>
      <c r="D71" s="25">
        <f>'Purchased Power Model '!D119</f>
        <v>39.700000000000003</v>
      </c>
      <c r="E71" s="19">
        <v>1</v>
      </c>
      <c r="F71" s="93">
        <v>30</v>
      </c>
      <c r="G71" s="19">
        <v>13800</v>
      </c>
      <c r="H71" s="19">
        <f ca="1">'Purchased Power Model '!H119</f>
        <v>415149.09015207132</v>
      </c>
      <c r="I71" s="10">
        <f t="shared" si="1"/>
        <v>9373821.496283602</v>
      </c>
      <c r="J71" s="56"/>
    </row>
    <row r="72" spans="1:10" x14ac:dyDescent="0.2">
      <c r="A72" s="3">
        <v>40817</v>
      </c>
      <c r="B72" s="29">
        <f>'[5]Consumption Data '!D123</f>
        <v>10426163</v>
      </c>
      <c r="C72" s="25">
        <f>'Purchased Power Model '!C120</f>
        <v>235.5</v>
      </c>
      <c r="D72" s="25">
        <f>'Purchased Power Model '!D120</f>
        <v>2.4</v>
      </c>
      <c r="E72" s="19">
        <v>1</v>
      </c>
      <c r="F72" s="93">
        <v>31</v>
      </c>
      <c r="G72" s="19">
        <v>13820</v>
      </c>
      <c r="H72" s="19">
        <f ca="1">'Purchased Power Model '!H120</f>
        <v>432820.59126874869</v>
      </c>
      <c r="I72" s="10">
        <f t="shared" si="1"/>
        <v>10950303.639917826</v>
      </c>
      <c r="J72" s="56"/>
    </row>
    <row r="73" spans="1:10" x14ac:dyDescent="0.2">
      <c r="A73" s="3">
        <v>40848</v>
      </c>
      <c r="B73" s="29">
        <f>'[5]Consumption Data '!D124</f>
        <v>11200470</v>
      </c>
      <c r="C73" s="25">
        <f>'Purchased Power Model '!C121</f>
        <v>342.1</v>
      </c>
      <c r="D73" s="25">
        <f>'Purchased Power Model '!D121</f>
        <v>0</v>
      </c>
      <c r="E73" s="19">
        <v>1</v>
      </c>
      <c r="F73" s="93">
        <v>30</v>
      </c>
      <c r="G73" s="19">
        <v>13839</v>
      </c>
      <c r="H73" s="19">
        <f ca="1">'Purchased Power Model '!H121</f>
        <v>450492.09238542605</v>
      </c>
      <c r="I73" s="10">
        <f t="shared" si="1"/>
        <v>11609924.856302692</v>
      </c>
      <c r="J73" s="56"/>
    </row>
    <row r="74" spans="1:10" x14ac:dyDescent="0.2">
      <c r="A74" s="3">
        <v>40878</v>
      </c>
      <c r="B74" s="29">
        <f>'[5]Consumption Data '!D125</f>
        <v>14406250</v>
      </c>
      <c r="C74" s="25">
        <f>'Purchased Power Model '!C122</f>
        <v>534</v>
      </c>
      <c r="D74" s="25">
        <f>'Purchased Power Model '!D122</f>
        <v>0</v>
      </c>
      <c r="E74" s="19">
        <v>0</v>
      </c>
      <c r="F74" s="93">
        <v>31</v>
      </c>
      <c r="G74" s="19">
        <v>13854</v>
      </c>
      <c r="H74" s="19">
        <f ca="1">'Purchased Power Model '!H122</f>
        <v>468163.59350210341</v>
      </c>
      <c r="I74" s="10">
        <f t="shared" si="1"/>
        <v>14813175.379621636</v>
      </c>
      <c r="J74" s="56"/>
    </row>
    <row r="75" spans="1:10" x14ac:dyDescent="0.2">
      <c r="A75" s="3">
        <v>40909</v>
      </c>
      <c r="C75" s="94">
        <f t="shared" ref="C75:D86" si="2">(C3+C15+C27+C39+C51+C63)/6</f>
        <v>691.31666666666672</v>
      </c>
      <c r="D75" s="94">
        <f t="shared" si="2"/>
        <v>0</v>
      </c>
      <c r="E75" s="19">
        <v>0</v>
      </c>
      <c r="F75" s="19">
        <v>31</v>
      </c>
      <c r="G75" s="19"/>
      <c r="H75" s="19">
        <f ca="1">'Purchased Power Model '!H123</f>
        <v>466312.70107880258</v>
      </c>
      <c r="I75" s="10">
        <f t="shared" si="1"/>
        <v>16425369.139436558</v>
      </c>
      <c r="J75" s="56"/>
    </row>
    <row r="76" spans="1:10" x14ac:dyDescent="0.2">
      <c r="A76" s="3">
        <v>40940</v>
      </c>
      <c r="C76" s="94">
        <f t="shared" si="2"/>
        <v>646.33333333333337</v>
      </c>
      <c r="D76" s="94">
        <f t="shared" si="2"/>
        <v>0</v>
      </c>
      <c r="E76" s="19">
        <v>0</v>
      </c>
      <c r="F76" s="19">
        <v>29</v>
      </c>
      <c r="G76" s="19"/>
      <c r="H76" s="19">
        <f ca="1">'Purchased Power Model '!H124</f>
        <v>464461.80865550175</v>
      </c>
      <c r="I76" s="10">
        <f t="shared" si="1"/>
        <v>15192528.538781753</v>
      </c>
      <c r="J76" s="56"/>
    </row>
    <row r="77" spans="1:10" x14ac:dyDescent="0.2">
      <c r="A77" s="3">
        <v>40969</v>
      </c>
      <c r="C77" s="94">
        <f t="shared" si="2"/>
        <v>533.81666666666672</v>
      </c>
      <c r="D77" s="94">
        <f t="shared" si="2"/>
        <v>0</v>
      </c>
      <c r="E77" s="19">
        <v>1</v>
      </c>
      <c r="F77" s="19">
        <v>31</v>
      </c>
      <c r="G77" s="19"/>
      <c r="H77" s="19">
        <f ca="1">'Purchased Power Model '!H125</f>
        <v>462610.91623220092</v>
      </c>
      <c r="I77" s="10">
        <f t="shared" si="1"/>
        <v>13960576.467180025</v>
      </c>
      <c r="J77" s="56"/>
    </row>
    <row r="78" spans="1:10" x14ac:dyDescent="0.2">
      <c r="A78" s="3">
        <v>41000</v>
      </c>
      <c r="C78" s="94">
        <f t="shared" si="2"/>
        <v>294.46666666666664</v>
      </c>
      <c r="D78" s="94">
        <f t="shared" si="2"/>
        <v>0.19999999999999998</v>
      </c>
      <c r="E78" s="19">
        <v>1</v>
      </c>
      <c r="F78" s="19">
        <v>30</v>
      </c>
      <c r="G78" s="19"/>
      <c r="H78" s="19">
        <f ca="1">'Purchased Power Model '!H126</f>
        <v>460760.02380890009</v>
      </c>
      <c r="I78" s="10">
        <f t="shared" si="1"/>
        <v>11125683.002502738</v>
      </c>
      <c r="J78" s="56"/>
    </row>
    <row r="79" spans="1:10" x14ac:dyDescent="0.2">
      <c r="A79" s="3">
        <v>41030</v>
      </c>
      <c r="C79" s="94">
        <f t="shared" si="2"/>
        <v>144.6</v>
      </c>
      <c r="D79" s="94">
        <f t="shared" si="2"/>
        <v>19.416666666666668</v>
      </c>
      <c r="E79" s="19">
        <v>1</v>
      </c>
      <c r="F79" s="19">
        <v>31</v>
      </c>
      <c r="G79" s="19"/>
      <c r="H79" s="19">
        <f ca="1">'Purchased Power Model '!H127</f>
        <v>458909.13138559926</v>
      </c>
      <c r="I79" s="10">
        <f t="shared" si="1"/>
        <v>10351288.555331819</v>
      </c>
      <c r="J79" s="56"/>
    </row>
    <row r="80" spans="1:10" x14ac:dyDescent="0.2">
      <c r="A80" s="3">
        <v>41061</v>
      </c>
      <c r="C80" s="94">
        <f t="shared" si="2"/>
        <v>24.783333333333331</v>
      </c>
      <c r="D80" s="94">
        <f t="shared" si="2"/>
        <v>64.899999999999991</v>
      </c>
      <c r="E80" s="19">
        <v>0</v>
      </c>
      <c r="F80" s="19">
        <v>30</v>
      </c>
      <c r="G80" s="19"/>
      <c r="H80" s="19">
        <f ca="1">'Purchased Power Model '!H128</f>
        <v>457058.23896229843</v>
      </c>
      <c r="I80" s="10">
        <f t="shared" si="1"/>
        <v>10477017.71620433</v>
      </c>
      <c r="J80" s="56"/>
    </row>
    <row r="81" spans="1:10" x14ac:dyDescent="0.2">
      <c r="A81" s="3">
        <v>41091</v>
      </c>
      <c r="C81" s="94">
        <f t="shared" si="2"/>
        <v>2.0333333333333337</v>
      </c>
      <c r="D81" s="94">
        <f t="shared" si="2"/>
        <v>131.91666666666666</v>
      </c>
      <c r="E81" s="19">
        <v>0</v>
      </c>
      <c r="F81" s="19">
        <v>31</v>
      </c>
      <c r="G81" s="19"/>
      <c r="H81" s="19">
        <f ca="1">'Purchased Power Model '!H129</f>
        <v>455207.3465389976</v>
      </c>
      <c r="I81" s="10">
        <f t="shared" si="1"/>
        <v>11939420.462227857</v>
      </c>
      <c r="J81" s="56"/>
    </row>
    <row r="82" spans="1:10" x14ac:dyDescent="0.2">
      <c r="A82" s="3">
        <v>41122</v>
      </c>
      <c r="C82" s="94">
        <f t="shared" si="2"/>
        <v>5.666666666666667</v>
      </c>
      <c r="D82" s="94">
        <f t="shared" si="2"/>
        <v>109.76666666666669</v>
      </c>
      <c r="E82" s="19">
        <v>0</v>
      </c>
      <c r="F82" s="19">
        <v>31</v>
      </c>
      <c r="G82" s="19"/>
      <c r="H82" s="19">
        <f ca="1">'Purchased Power Model '!H130</f>
        <v>453356.45411569678</v>
      </c>
      <c r="I82" s="10">
        <f t="shared" si="1"/>
        <v>11543805.485040534</v>
      </c>
      <c r="J82" s="56"/>
    </row>
    <row r="83" spans="1:10" x14ac:dyDescent="0.2">
      <c r="A83" s="3">
        <v>41153</v>
      </c>
      <c r="C83" s="94">
        <f t="shared" si="2"/>
        <v>59.716666666666669</v>
      </c>
      <c r="D83" s="94">
        <f t="shared" si="2"/>
        <v>29.866666666666664</v>
      </c>
      <c r="E83" s="19">
        <v>1</v>
      </c>
      <c r="F83" s="19">
        <v>30</v>
      </c>
      <c r="G83" s="19"/>
      <c r="H83" s="19">
        <f ca="1">'Purchased Power Model '!H131</f>
        <v>451505.56169239595</v>
      </c>
      <c r="I83" s="10">
        <f t="shared" si="1"/>
        <v>9299684.716361206</v>
      </c>
      <c r="J83" s="56"/>
    </row>
    <row r="84" spans="1:10" x14ac:dyDescent="0.2">
      <c r="A84" s="3">
        <v>41183</v>
      </c>
      <c r="C84" s="94">
        <f t="shared" si="2"/>
        <v>244.91666666666666</v>
      </c>
      <c r="D84" s="94">
        <f t="shared" si="2"/>
        <v>3.8833333333333333</v>
      </c>
      <c r="E84" s="19">
        <v>1</v>
      </c>
      <c r="F84" s="19">
        <v>31</v>
      </c>
      <c r="G84" s="19"/>
      <c r="H84" s="19">
        <f ca="1">'Purchased Power Model '!H132</f>
        <v>449654.66926909512</v>
      </c>
      <c r="I84" s="10">
        <f t="shared" si="1"/>
        <v>11075793.314512655</v>
      </c>
      <c r="J84" s="56"/>
    </row>
    <row r="85" spans="1:10" x14ac:dyDescent="0.2">
      <c r="A85" s="3">
        <v>41214</v>
      </c>
      <c r="C85" s="94">
        <f t="shared" si="2"/>
        <v>400.81666666666666</v>
      </c>
      <c r="D85" s="94">
        <f t="shared" si="2"/>
        <v>0</v>
      </c>
      <c r="E85" s="19">
        <v>1</v>
      </c>
      <c r="F85" s="19">
        <v>30</v>
      </c>
      <c r="G85" s="19"/>
      <c r="H85" s="19">
        <f ca="1">'Purchased Power Model '!H133</f>
        <v>447803.77684579429</v>
      </c>
      <c r="I85" s="10">
        <f t="shared" si="1"/>
        <v>12211657.944111565</v>
      </c>
      <c r="J85" s="56"/>
    </row>
    <row r="86" spans="1:10" x14ac:dyDescent="0.2">
      <c r="A86" s="3">
        <v>41244</v>
      </c>
      <c r="C86" s="94">
        <f t="shared" si="2"/>
        <v>604.55000000000007</v>
      </c>
      <c r="D86" s="94">
        <f t="shared" si="2"/>
        <v>0</v>
      </c>
      <c r="E86" s="19">
        <v>0</v>
      </c>
      <c r="F86" s="19">
        <v>31</v>
      </c>
      <c r="G86" s="19"/>
      <c r="H86" s="19">
        <f ca="1">'Purchased Power Model '!H134</f>
        <v>445952.88442249346</v>
      </c>
      <c r="I86" s="10">
        <f t="shared" si="1"/>
        <v>15536177.412177689</v>
      </c>
      <c r="J86" s="56"/>
    </row>
    <row r="87" spans="1:10" x14ac:dyDescent="0.2">
      <c r="A87" s="3">
        <v>41275</v>
      </c>
      <c r="C87" s="94">
        <f>C75</f>
        <v>691.31666666666672</v>
      </c>
      <c r="D87" s="94">
        <f>D75</f>
        <v>0</v>
      </c>
      <c r="E87" s="19">
        <v>0</v>
      </c>
      <c r="F87" s="19">
        <v>31</v>
      </c>
      <c r="G87" s="19"/>
      <c r="H87" s="19">
        <f ca="1">'Purchased Power Model '!H135</f>
        <v>461549.92705584702</v>
      </c>
      <c r="I87" s="10">
        <f t="shared" si="1"/>
        <v>16425369.139436558</v>
      </c>
      <c r="J87" s="56"/>
    </row>
    <row r="88" spans="1:10" x14ac:dyDescent="0.2">
      <c r="A88" s="3">
        <v>41306</v>
      </c>
      <c r="C88" s="94">
        <f t="shared" ref="C88:D98" si="3">C76</f>
        <v>646.33333333333337</v>
      </c>
      <c r="D88" s="94">
        <f t="shared" si="3"/>
        <v>0</v>
      </c>
      <c r="E88" s="19">
        <v>0</v>
      </c>
      <c r="F88" s="19">
        <v>28</v>
      </c>
      <c r="G88" s="19"/>
      <c r="H88" s="19">
        <f ca="1">'Purchased Power Model '!H136</f>
        <v>477146.96968920057</v>
      </c>
      <c r="I88" s="10">
        <f t="shared" si="1"/>
        <v>14806604.634139299</v>
      </c>
      <c r="J88" s="56"/>
    </row>
    <row r="89" spans="1:10" x14ac:dyDescent="0.2">
      <c r="A89" s="3">
        <v>41334</v>
      </c>
      <c r="C89" s="94">
        <f t="shared" si="3"/>
        <v>533.81666666666672</v>
      </c>
      <c r="D89" s="94">
        <f t="shared" si="3"/>
        <v>0</v>
      </c>
      <c r="E89" s="19">
        <v>1</v>
      </c>
      <c r="F89" s="19">
        <v>31</v>
      </c>
      <c r="G89" s="19"/>
      <c r="H89" s="19">
        <f ca="1">'Purchased Power Model '!H137</f>
        <v>492744.01232255413</v>
      </c>
      <c r="I89" s="10">
        <f t="shared" si="1"/>
        <v>13960576.467180025</v>
      </c>
      <c r="J89" s="56"/>
    </row>
    <row r="90" spans="1:10" x14ac:dyDescent="0.2">
      <c r="A90" s="3">
        <v>41365</v>
      </c>
      <c r="C90" s="94">
        <f t="shared" si="3"/>
        <v>294.46666666666664</v>
      </c>
      <c r="D90" s="94">
        <f t="shared" si="3"/>
        <v>0.19999999999999998</v>
      </c>
      <c r="E90" s="19">
        <v>1</v>
      </c>
      <c r="F90" s="19">
        <v>30</v>
      </c>
      <c r="G90" s="19"/>
      <c r="H90" s="19">
        <f ca="1">'Purchased Power Model '!H138</f>
        <v>508341.05495590769</v>
      </c>
      <c r="I90" s="10">
        <f t="shared" si="1"/>
        <v>11125683.002502738</v>
      </c>
      <c r="J90" s="56"/>
    </row>
    <row r="91" spans="1:10" x14ac:dyDescent="0.2">
      <c r="A91" s="3">
        <v>41395</v>
      </c>
      <c r="C91" s="94">
        <f t="shared" si="3"/>
        <v>144.6</v>
      </c>
      <c r="D91" s="94">
        <f t="shared" si="3"/>
        <v>19.416666666666668</v>
      </c>
      <c r="E91" s="19">
        <v>1</v>
      </c>
      <c r="F91" s="19">
        <v>31</v>
      </c>
      <c r="G91" s="19"/>
      <c r="H91" s="19">
        <f ca="1">'Purchased Power Model '!H139</f>
        <v>523938.09758926125</v>
      </c>
      <c r="I91" s="10">
        <f t="shared" si="1"/>
        <v>10351288.555331819</v>
      </c>
      <c r="J91" s="56"/>
    </row>
    <row r="92" spans="1:10" x14ac:dyDescent="0.2">
      <c r="A92" s="3">
        <v>41426</v>
      </c>
      <c r="C92" s="94">
        <f t="shared" si="3"/>
        <v>24.783333333333331</v>
      </c>
      <c r="D92" s="94">
        <f t="shared" si="3"/>
        <v>64.899999999999991</v>
      </c>
      <c r="E92" s="19">
        <v>0</v>
      </c>
      <c r="F92" s="19">
        <v>30</v>
      </c>
      <c r="G92" s="19"/>
      <c r="H92" s="19">
        <f ca="1">'Purchased Power Model '!H140</f>
        <v>539535.14022261475</v>
      </c>
      <c r="I92" s="10">
        <f t="shared" si="1"/>
        <v>10477017.71620433</v>
      </c>
      <c r="J92" s="56"/>
    </row>
    <row r="93" spans="1:10" x14ac:dyDescent="0.2">
      <c r="A93" s="3">
        <v>41456</v>
      </c>
      <c r="C93" s="94">
        <f t="shared" si="3"/>
        <v>2.0333333333333337</v>
      </c>
      <c r="D93" s="94">
        <f t="shared" si="3"/>
        <v>131.91666666666666</v>
      </c>
      <c r="E93" s="19">
        <v>0</v>
      </c>
      <c r="F93" s="19">
        <v>31</v>
      </c>
      <c r="G93" s="19"/>
      <c r="H93" s="19">
        <f ca="1">'Purchased Power Model '!H141</f>
        <v>555132.18285596825</v>
      </c>
      <c r="I93" s="10">
        <f t="shared" si="1"/>
        <v>11939420.462227857</v>
      </c>
      <c r="J93" s="56"/>
    </row>
    <row r="94" spans="1:10" x14ac:dyDescent="0.2">
      <c r="A94" s="3">
        <v>41487</v>
      </c>
      <c r="C94" s="94">
        <f t="shared" si="3"/>
        <v>5.666666666666667</v>
      </c>
      <c r="D94" s="94">
        <f t="shared" si="3"/>
        <v>109.76666666666669</v>
      </c>
      <c r="E94" s="19">
        <v>0</v>
      </c>
      <c r="F94" s="19">
        <v>31</v>
      </c>
      <c r="G94" s="19"/>
      <c r="H94" s="19">
        <f ca="1">'Purchased Power Model '!H142</f>
        <v>570729.22548932175</v>
      </c>
      <c r="I94" s="10">
        <f t="shared" si="1"/>
        <v>11543805.485040534</v>
      </c>
      <c r="J94" s="56"/>
    </row>
    <row r="95" spans="1:10" x14ac:dyDescent="0.2">
      <c r="A95" s="3">
        <v>41518</v>
      </c>
      <c r="C95" s="94">
        <f t="shared" si="3"/>
        <v>59.716666666666669</v>
      </c>
      <c r="D95" s="94">
        <f t="shared" si="3"/>
        <v>29.866666666666664</v>
      </c>
      <c r="E95" s="19">
        <v>1</v>
      </c>
      <c r="F95" s="19">
        <v>30</v>
      </c>
      <c r="G95" s="19"/>
      <c r="H95" s="19">
        <f ca="1">'Purchased Power Model '!H143</f>
        <v>586326.26812267525</v>
      </c>
      <c r="I95" s="10">
        <f t="shared" si="1"/>
        <v>9299684.716361206</v>
      </c>
      <c r="J95" s="56"/>
    </row>
    <row r="96" spans="1:10" x14ac:dyDescent="0.2">
      <c r="A96" s="3">
        <v>41548</v>
      </c>
      <c r="C96" s="94">
        <f t="shared" si="3"/>
        <v>244.91666666666666</v>
      </c>
      <c r="D96" s="94">
        <f t="shared" si="3"/>
        <v>3.8833333333333333</v>
      </c>
      <c r="E96" s="19">
        <v>1</v>
      </c>
      <c r="F96" s="19">
        <v>31</v>
      </c>
      <c r="G96" s="19"/>
      <c r="H96" s="19">
        <f ca="1">'Purchased Power Model '!H144</f>
        <v>601923.31075602875</v>
      </c>
      <c r="I96" s="10">
        <f t="shared" si="1"/>
        <v>11075793.314512655</v>
      </c>
      <c r="J96" s="56"/>
    </row>
    <row r="97" spans="1:26" x14ac:dyDescent="0.2">
      <c r="A97" s="3">
        <v>41579</v>
      </c>
      <c r="C97" s="94">
        <f t="shared" si="3"/>
        <v>400.81666666666666</v>
      </c>
      <c r="D97" s="94">
        <f t="shared" si="3"/>
        <v>0</v>
      </c>
      <c r="E97" s="19">
        <v>1</v>
      </c>
      <c r="F97" s="19">
        <v>30</v>
      </c>
      <c r="G97" s="19"/>
      <c r="H97" s="19">
        <f ca="1">'Purchased Power Model '!H145</f>
        <v>617520.35338938225</v>
      </c>
      <c r="I97" s="10">
        <f t="shared" si="1"/>
        <v>12211657.944111565</v>
      </c>
      <c r="J97" s="56"/>
    </row>
    <row r="98" spans="1:26" x14ac:dyDescent="0.2">
      <c r="A98" s="3">
        <v>41609</v>
      </c>
      <c r="C98" s="94">
        <f t="shared" si="3"/>
        <v>604.55000000000007</v>
      </c>
      <c r="D98" s="94">
        <f t="shared" si="3"/>
        <v>0</v>
      </c>
      <c r="E98" s="19">
        <v>0</v>
      </c>
      <c r="F98" s="19">
        <v>31</v>
      </c>
      <c r="G98" s="19"/>
      <c r="H98" s="19">
        <f ca="1">'Purchased Power Model '!H146</f>
        <v>633117.39602273575</v>
      </c>
      <c r="I98" s="10">
        <f t="shared" si="1"/>
        <v>15536177.412177689</v>
      </c>
      <c r="J98" s="56"/>
    </row>
    <row r="99" spans="1:26" x14ac:dyDescent="0.2">
      <c r="A99" s="3"/>
      <c r="X99" s="11"/>
      <c r="Y99" s="11"/>
      <c r="Z99" s="11"/>
    </row>
    <row r="100" spans="1:26" x14ac:dyDescent="0.2">
      <c r="A100" s="3"/>
      <c r="D100" s="25" t="s">
        <v>14</v>
      </c>
      <c r="I100" s="56">
        <f>SUM(I3:I99)</f>
        <v>1190796478.6030953</v>
      </c>
    </row>
    <row r="101" spans="1:26" x14ac:dyDescent="0.2">
      <c r="A101" s="3"/>
    </row>
    <row r="102" spans="1:26" x14ac:dyDescent="0.2">
      <c r="A102" s="18">
        <v>2002</v>
      </c>
      <c r="I102" s="6"/>
      <c r="J102" s="41">
        <f t="shared" ref="J102:J110" si="4">I102-B102</f>
        <v>0</v>
      </c>
      <c r="K102" s="5" t="e">
        <f t="shared" ref="K102:K110" si="5">J102/B102</f>
        <v>#DIV/0!</v>
      </c>
    </row>
    <row r="103" spans="1:26" x14ac:dyDescent="0.2">
      <c r="A103" s="18">
        <v>2003</v>
      </c>
      <c r="I103" s="6"/>
      <c r="J103" s="41">
        <f t="shared" si="4"/>
        <v>0</v>
      </c>
      <c r="K103" s="5" t="e">
        <f t="shared" si="5"/>
        <v>#DIV/0!</v>
      </c>
    </row>
    <row r="104" spans="1:26" x14ac:dyDescent="0.2">
      <c r="A104">
        <v>2004</v>
      </c>
      <c r="I104" s="6"/>
      <c r="J104" s="41">
        <f t="shared" si="4"/>
        <v>0</v>
      </c>
      <c r="K104" s="5" t="e">
        <f t="shared" si="5"/>
        <v>#DIV/0!</v>
      </c>
    </row>
    <row r="105" spans="1:26" x14ac:dyDescent="0.2">
      <c r="A105" s="18">
        <v>2005</v>
      </c>
      <c r="I105" s="6"/>
      <c r="J105" s="41">
        <f t="shared" si="4"/>
        <v>0</v>
      </c>
      <c r="K105" s="5" t="e">
        <f t="shared" si="5"/>
        <v>#DIV/0!</v>
      </c>
      <c r="X105" s="11"/>
      <c r="Y105" s="11"/>
      <c r="Z105" s="11"/>
    </row>
    <row r="106" spans="1:26" x14ac:dyDescent="0.2">
      <c r="A106">
        <v>2006</v>
      </c>
      <c r="B106" s="29">
        <f>SUM(B3:B14)</f>
        <v>146383018</v>
      </c>
      <c r="I106" s="29">
        <f>SUM(I3:I14)</f>
        <v>146380476.49796721</v>
      </c>
      <c r="J106" s="41">
        <f t="shared" si="4"/>
        <v>-2541.5020327866077</v>
      </c>
      <c r="K106" s="5">
        <f t="shared" si="5"/>
        <v>-1.7362000507371747E-5</v>
      </c>
    </row>
    <row r="107" spans="1:26" x14ac:dyDescent="0.2">
      <c r="A107" s="18">
        <v>2007</v>
      </c>
      <c r="B107" s="29">
        <f>SUM(B15:B26)</f>
        <v>150259456</v>
      </c>
      <c r="I107" s="29">
        <f>SUM(I15:I26)</f>
        <v>150919530.30964288</v>
      </c>
      <c r="J107" s="41">
        <f t="shared" si="4"/>
        <v>660074.30964288116</v>
      </c>
      <c r="K107" s="5">
        <f t="shared" si="5"/>
        <v>4.3928969744365448E-3</v>
      </c>
    </row>
    <row r="108" spans="1:26" x14ac:dyDescent="0.2">
      <c r="A108">
        <v>2008</v>
      </c>
      <c r="B108" s="29">
        <f>SUM(B27:B38)</f>
        <v>150623523</v>
      </c>
      <c r="I108" s="29">
        <f>SUM(I27:I38)</f>
        <v>149367838.48759198</v>
      </c>
      <c r="J108" s="41">
        <f t="shared" si="4"/>
        <v>-1255684.5124080181</v>
      </c>
      <c r="K108" s="5">
        <f t="shared" si="5"/>
        <v>-8.3365764350633205E-3</v>
      </c>
    </row>
    <row r="109" spans="1:26" x14ac:dyDescent="0.2">
      <c r="A109" s="18">
        <v>2009</v>
      </c>
      <c r="B109" s="29">
        <f>SUM(B39:B50)</f>
        <v>150068982</v>
      </c>
      <c r="I109" s="29">
        <f>SUM(I39:I50)</f>
        <v>147459517.15148816</v>
      </c>
      <c r="J109" s="41">
        <f t="shared" si="4"/>
        <v>-2609464.8485118449</v>
      </c>
      <c r="K109" s="5">
        <f t="shared" si="5"/>
        <v>-1.7388435729588977E-2</v>
      </c>
    </row>
    <row r="110" spans="1:26" x14ac:dyDescent="0.2">
      <c r="A110">
        <v>2010</v>
      </c>
      <c r="B110" s="29">
        <f>SUM(B51:B62)</f>
        <v>148892062</v>
      </c>
      <c r="I110" s="29">
        <f>SUM(I51:I62)</f>
        <v>148750675.14960748</v>
      </c>
      <c r="J110" s="41">
        <f t="shared" si="4"/>
        <v>-141386.85039252043</v>
      </c>
      <c r="K110" s="5">
        <f t="shared" si="5"/>
        <v>-9.4959293661014933E-4</v>
      </c>
    </row>
    <row r="111" spans="1:26" x14ac:dyDescent="0.2">
      <c r="A111" s="18">
        <v>2011</v>
      </c>
      <c r="B111" s="29">
        <f>SUM(B63:B74)</f>
        <v>146677356</v>
      </c>
      <c r="I111" s="29">
        <f>SUM(I63:I74)</f>
        <v>150026359.40370235</v>
      </c>
      <c r="J111" s="41">
        <f>I111-B111</f>
        <v>3349003.4037023485</v>
      </c>
      <c r="K111" s="5">
        <f>J111/B111</f>
        <v>2.2832450045679503E-2</v>
      </c>
    </row>
    <row r="112" spans="1:26" x14ac:dyDescent="0.2">
      <c r="A112" s="18">
        <v>2012</v>
      </c>
      <c r="I112" s="6">
        <f>SUM(I75:I86)</f>
        <v>149139002.75386873</v>
      </c>
    </row>
    <row r="113" spans="1:26" x14ac:dyDescent="0.2">
      <c r="A113" s="18">
        <v>2013</v>
      </c>
      <c r="I113" s="6">
        <f>SUM(I87:I98)</f>
        <v>148753078.84922627</v>
      </c>
    </row>
    <row r="114" spans="1:26" x14ac:dyDescent="0.2">
      <c r="I114" s="6"/>
    </row>
    <row r="115" spans="1:26" x14ac:dyDescent="0.2">
      <c r="A115" t="s">
        <v>84</v>
      </c>
      <c r="B115" s="29">
        <f>SUM(B102:B111)</f>
        <v>892904397</v>
      </c>
      <c r="I115" s="29">
        <f>SUM(I102:I111)</f>
        <v>892904397.00000012</v>
      </c>
      <c r="J115" s="6">
        <f>I115-B115</f>
        <v>0</v>
      </c>
    </row>
    <row r="117" spans="1:26" x14ac:dyDescent="0.2">
      <c r="I117" s="6">
        <f>SUM(I102:I113)</f>
        <v>1190796478.6030951</v>
      </c>
      <c r="J117" s="56">
        <f>I100-I117</f>
        <v>0</v>
      </c>
    </row>
    <row r="118" spans="1:26" x14ac:dyDescent="0.2">
      <c r="I118" s="20"/>
      <c r="J118" s="20" t="s">
        <v>65</v>
      </c>
      <c r="K118" s="20"/>
    </row>
    <row r="120" spans="1:26" x14ac:dyDescent="0.2">
      <c r="X120" s="11"/>
      <c r="Y120" s="11"/>
      <c r="Z120" s="11"/>
    </row>
    <row r="132" spans="5:26" x14ac:dyDescent="0.2">
      <c r="X132" s="11"/>
      <c r="Y132" s="11"/>
      <c r="Z132" s="11"/>
    </row>
    <row r="134" spans="5:26" x14ac:dyDescent="0.2">
      <c r="E134" s="29"/>
      <c r="F134" s="29"/>
    </row>
  </sheetData>
  <mergeCells count="1">
    <mergeCell ref="G1:H1"/>
  </mergeCells>
  <phoneticPr fontId="0" type="noConversion"/>
  <pageMargins left="0.38" right="0.75" top="0.73" bottom="0.74" header="0.5" footer="0.5"/>
  <pageSetup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34"/>
  <sheetViews>
    <sheetView workbookViewId="0"/>
  </sheetViews>
  <sheetFormatPr defaultRowHeight="12.75" x14ac:dyDescent="0.2"/>
  <cols>
    <col min="1" max="1" width="11.85546875" customWidth="1"/>
    <col min="2" max="2" width="18" style="29" customWidth="1"/>
    <col min="3" max="3" width="11.7109375" style="25" customWidth="1"/>
    <col min="4" max="4" width="13.42578125" style="25" customWidth="1"/>
    <col min="5" max="5" width="12.42578125" style="25" customWidth="1"/>
    <col min="6" max="6" width="10.140625" style="25" customWidth="1"/>
    <col min="7" max="8" width="12.42578125" style="25" customWidth="1"/>
    <col min="9" max="9" width="15.42578125" style="1" bestFit="1" customWidth="1"/>
    <col min="10" max="10" width="17" style="1" customWidth="1"/>
    <col min="11" max="11" width="12.42578125" style="1" customWidth="1"/>
    <col min="12" max="12" width="25.85546875" bestFit="1" customWidth="1"/>
    <col min="13" max="15" width="18" customWidth="1"/>
    <col min="16" max="16" width="17.140625" customWidth="1"/>
    <col min="17" max="18" width="15.7109375" customWidth="1"/>
    <col min="19" max="19" width="15" customWidth="1"/>
    <col min="20" max="21" width="14.140625" bestFit="1" customWidth="1"/>
    <col min="22" max="22" width="11.7109375" bestFit="1" customWidth="1"/>
    <col min="23" max="23" width="11.85546875" bestFit="1" customWidth="1"/>
    <col min="24" max="24" width="12.5703125" style="6" customWidth="1"/>
    <col min="25" max="25" width="11.28515625" style="6" customWidth="1"/>
    <col min="26" max="26" width="11.5703125" style="6" customWidth="1"/>
    <col min="27" max="27" width="9.28515625" style="6" customWidth="1"/>
    <col min="28" max="28" width="9.140625" style="6"/>
    <col min="29" max="29" width="11.7109375" style="6" bestFit="1" customWidth="1"/>
    <col min="30" max="30" width="10.7109375" style="6" bestFit="1" customWidth="1"/>
    <col min="31" max="32" width="9.140625" style="6"/>
  </cols>
  <sheetData>
    <row r="1" spans="1:26" x14ac:dyDescent="0.2">
      <c r="H1" s="51" t="s">
        <v>107</v>
      </c>
    </row>
    <row r="2" spans="1:26" ht="42" customHeight="1" x14ac:dyDescent="0.2">
      <c r="B2" s="91" t="s">
        <v>82</v>
      </c>
      <c r="C2" s="92" t="s">
        <v>3</v>
      </c>
      <c r="D2" s="92" t="s">
        <v>4</v>
      </c>
      <c r="E2" s="92" t="s">
        <v>19</v>
      </c>
      <c r="F2" s="92" t="s">
        <v>5</v>
      </c>
      <c r="G2" s="92" t="s">
        <v>67</v>
      </c>
      <c r="H2" s="92" t="str">
        <f>Residential!H2</f>
        <v>CDM Activity</v>
      </c>
      <c r="I2" s="12" t="s">
        <v>205</v>
      </c>
      <c r="J2" s="12" t="s">
        <v>12</v>
      </c>
      <c r="K2" s="12" t="s">
        <v>13</v>
      </c>
      <c r="L2" t="s">
        <v>20</v>
      </c>
      <c r="X2" s="9"/>
      <c r="Y2" s="9"/>
      <c r="Z2" s="9"/>
    </row>
    <row r="3" spans="1:26" ht="13.5" thickBot="1" x14ac:dyDescent="0.25">
      <c r="A3" s="3">
        <v>38718</v>
      </c>
      <c r="B3" s="29">
        <f>'[5]Consumption Data '!H54</f>
        <v>2405185</v>
      </c>
      <c r="C3" s="25">
        <f>Residential!C3</f>
        <v>551.79999999999995</v>
      </c>
      <c r="D3" s="25">
        <f>Residential!D3</f>
        <v>0</v>
      </c>
      <c r="E3" s="19">
        <v>0</v>
      </c>
      <c r="F3" s="19">
        <v>31</v>
      </c>
      <c r="G3" s="19">
        <v>894</v>
      </c>
      <c r="H3" s="19">
        <f>Residential!H3</f>
        <v>18879.348483180471</v>
      </c>
      <c r="I3" s="10">
        <f t="shared" ref="I3:I34" si="0">$M$18+C3*$M$19+D3*$M$20+E3*$M$21+F3*$M$22+$M$23*G3</f>
        <v>2623856.0802325984</v>
      </c>
      <c r="J3" s="10"/>
      <c r="K3" s="15"/>
    </row>
    <row r="4" spans="1:26" x14ac:dyDescent="0.2">
      <c r="A4" s="3">
        <v>38749</v>
      </c>
      <c r="B4" s="29">
        <f>'[5]Consumption Data '!H55</f>
        <v>2220986</v>
      </c>
      <c r="C4" s="25">
        <f>Residential!C4</f>
        <v>604.29999999999995</v>
      </c>
      <c r="D4" s="25">
        <f>Residential!D4</f>
        <v>0</v>
      </c>
      <c r="E4" s="19">
        <v>0</v>
      </c>
      <c r="F4" s="19">
        <v>28</v>
      </c>
      <c r="G4" s="19">
        <v>893</v>
      </c>
      <c r="H4" s="19">
        <f>Residential!H4</f>
        <v>37758.696966360942</v>
      </c>
      <c r="I4" s="10">
        <f t="shared" si="0"/>
        <v>2468699.6301954929</v>
      </c>
      <c r="J4" s="10"/>
      <c r="K4" s="15"/>
      <c r="L4" s="63" t="s">
        <v>21</v>
      </c>
      <c r="M4" s="63"/>
    </row>
    <row r="5" spans="1:26" x14ac:dyDescent="0.2">
      <c r="A5" s="3">
        <v>38777</v>
      </c>
      <c r="B5" s="29">
        <f>'[5]Consumption Data '!H56</f>
        <v>2311304</v>
      </c>
      <c r="C5" s="25">
        <f>Residential!C5</f>
        <v>516.6</v>
      </c>
      <c r="D5" s="25">
        <f>Residential!D5</f>
        <v>0</v>
      </c>
      <c r="E5" s="19">
        <v>1</v>
      </c>
      <c r="F5" s="19">
        <v>31</v>
      </c>
      <c r="G5" s="19">
        <v>894</v>
      </c>
      <c r="H5" s="19">
        <f>Residential!H5</f>
        <v>56638.045449541416</v>
      </c>
      <c r="I5" s="10">
        <f t="shared" si="0"/>
        <v>2532010.1399503858</v>
      </c>
      <c r="J5" s="10"/>
      <c r="K5" s="15"/>
      <c r="L5" s="40" t="s">
        <v>22</v>
      </c>
      <c r="M5" s="71">
        <v>0.88582016056023738</v>
      </c>
    </row>
    <row r="6" spans="1:26" x14ac:dyDescent="0.2">
      <c r="A6" s="3">
        <v>38808</v>
      </c>
      <c r="B6" s="29">
        <f>'[5]Consumption Data '!H57</f>
        <v>1970759</v>
      </c>
      <c r="C6" s="25">
        <f>Residential!C6</f>
        <v>293.3</v>
      </c>
      <c r="D6" s="25">
        <f>Residential!D6</f>
        <v>0</v>
      </c>
      <c r="E6" s="19">
        <v>1</v>
      </c>
      <c r="F6" s="19">
        <v>30</v>
      </c>
      <c r="G6" s="19">
        <v>897</v>
      </c>
      <c r="H6" s="19">
        <f>Residential!H6</f>
        <v>75517.393932721883</v>
      </c>
      <c r="I6" s="10">
        <f t="shared" si="0"/>
        <v>2293979.2221353063</v>
      </c>
      <c r="J6" s="10"/>
      <c r="K6" s="15"/>
      <c r="L6" s="40" t="s">
        <v>23</v>
      </c>
      <c r="M6" s="71">
        <v>0.78467735685496476</v>
      </c>
    </row>
    <row r="7" spans="1:26" x14ac:dyDescent="0.2">
      <c r="A7" s="3">
        <v>38838</v>
      </c>
      <c r="B7" s="29">
        <f>'[5]Consumption Data '!H58</f>
        <v>1991763</v>
      </c>
      <c r="C7" s="25">
        <f>Residential!C7</f>
        <v>136.9</v>
      </c>
      <c r="D7" s="25">
        <f>Residential!D7</f>
        <v>26</v>
      </c>
      <c r="E7" s="19">
        <v>1</v>
      </c>
      <c r="F7" s="19">
        <v>31</v>
      </c>
      <c r="G7" s="19">
        <v>891</v>
      </c>
      <c r="H7" s="19">
        <f>Residential!H7</f>
        <v>94396.74241590235</v>
      </c>
      <c r="I7" s="10">
        <f t="shared" si="0"/>
        <v>2300580.8494659755</v>
      </c>
      <c r="J7" s="10"/>
      <c r="K7" s="15"/>
      <c r="L7" s="40" t="s">
        <v>24</v>
      </c>
      <c r="M7" s="71">
        <v>0.76836503540458334</v>
      </c>
    </row>
    <row r="8" spans="1:26" x14ac:dyDescent="0.2">
      <c r="A8" s="3">
        <v>38869</v>
      </c>
      <c r="B8" s="29">
        <f>'[5]Consumption Data '!H59</f>
        <v>2203302</v>
      </c>
      <c r="C8" s="25">
        <f>Residential!C8</f>
        <v>19.5</v>
      </c>
      <c r="D8" s="25">
        <f>Residential!D8</f>
        <v>73.599999999999994</v>
      </c>
      <c r="E8" s="19">
        <v>0</v>
      </c>
      <c r="F8" s="19">
        <v>30</v>
      </c>
      <c r="G8" s="19">
        <v>797</v>
      </c>
      <c r="H8" s="19">
        <f>Residential!H8</f>
        <v>113276.09089908282</v>
      </c>
      <c r="I8" s="10">
        <f t="shared" si="0"/>
        <v>2222359.6467082361</v>
      </c>
      <c r="J8" s="10"/>
      <c r="K8" s="15"/>
      <c r="L8" s="40" t="s">
        <v>25</v>
      </c>
      <c r="M8" s="40">
        <v>96172.596222503576</v>
      </c>
    </row>
    <row r="9" spans="1:26" ht="13.5" thickBot="1" x14ac:dyDescent="0.25">
      <c r="A9" s="3">
        <v>38899</v>
      </c>
      <c r="B9" s="29">
        <f>'[5]Consumption Data '!H60</f>
        <v>2484696</v>
      </c>
      <c r="C9" s="25">
        <f>Residential!C9</f>
        <v>0</v>
      </c>
      <c r="D9" s="25">
        <f>Residential!D9</f>
        <v>167.3</v>
      </c>
      <c r="E9" s="19">
        <v>0</v>
      </c>
      <c r="F9" s="19">
        <v>31</v>
      </c>
      <c r="G9" s="19">
        <v>811</v>
      </c>
      <c r="H9" s="19">
        <f>Residential!H9</f>
        <v>132155.43938226328</v>
      </c>
      <c r="I9" s="10">
        <f t="shared" si="0"/>
        <v>2551352.0668934127</v>
      </c>
      <c r="J9" s="10"/>
      <c r="K9" s="15"/>
      <c r="L9" s="61" t="s">
        <v>26</v>
      </c>
      <c r="M9" s="61">
        <v>72</v>
      </c>
    </row>
    <row r="10" spans="1:26" x14ac:dyDescent="0.2">
      <c r="A10" s="3">
        <v>38930</v>
      </c>
      <c r="B10" s="29">
        <f>'[5]Consumption Data '!H61</f>
        <v>2359413</v>
      </c>
      <c r="C10" s="25">
        <f>Residential!C10</f>
        <v>4.2</v>
      </c>
      <c r="D10" s="25">
        <f>Residential!D10</f>
        <v>101.6</v>
      </c>
      <c r="E10" s="19">
        <v>0</v>
      </c>
      <c r="F10" s="19">
        <v>31</v>
      </c>
      <c r="G10" s="19">
        <v>815</v>
      </c>
      <c r="H10" s="19">
        <f>Residential!H10</f>
        <v>151034.78786544377</v>
      </c>
      <c r="I10" s="10">
        <f t="shared" si="0"/>
        <v>2376085.83517113</v>
      </c>
      <c r="J10" s="10"/>
      <c r="K10" s="15"/>
    </row>
    <row r="11" spans="1:26" ht="13.5" thickBot="1" x14ac:dyDescent="0.25">
      <c r="A11" s="3">
        <v>38961</v>
      </c>
      <c r="B11" s="29">
        <f>'[5]Consumption Data '!H62</f>
        <v>2127231</v>
      </c>
      <c r="C11" s="25">
        <f>Residential!C11</f>
        <v>80.900000000000006</v>
      </c>
      <c r="D11" s="25">
        <f>Residential!D11</f>
        <v>12.9</v>
      </c>
      <c r="E11" s="19">
        <v>1</v>
      </c>
      <c r="F11" s="19">
        <v>30</v>
      </c>
      <c r="G11" s="19">
        <v>818</v>
      </c>
      <c r="H11" s="19">
        <f>Residential!H11</f>
        <v>169914.13634862425</v>
      </c>
      <c r="I11" s="10">
        <f t="shared" si="0"/>
        <v>2063504.4893062939</v>
      </c>
      <c r="J11" s="10"/>
      <c r="K11" s="15"/>
      <c r="L11" t="s">
        <v>27</v>
      </c>
    </row>
    <row r="12" spans="1:26" x14ac:dyDescent="0.2">
      <c r="A12" s="3">
        <v>38991</v>
      </c>
      <c r="B12" s="29">
        <f>'[5]Consumption Data '!H63</f>
        <v>2278439</v>
      </c>
      <c r="C12" s="25">
        <f>Residential!C12</f>
        <v>288.3</v>
      </c>
      <c r="D12" s="25">
        <f>Residential!D12</f>
        <v>1.1000000000000001</v>
      </c>
      <c r="E12" s="19">
        <v>1</v>
      </c>
      <c r="F12" s="19">
        <v>31</v>
      </c>
      <c r="G12" s="19">
        <v>821</v>
      </c>
      <c r="H12" s="19">
        <f>Residential!H12</f>
        <v>188793.48483180473</v>
      </c>
      <c r="I12" s="10">
        <f t="shared" si="0"/>
        <v>2263469.7738002208</v>
      </c>
      <c r="J12" s="10"/>
      <c r="K12" s="15"/>
      <c r="L12" s="62"/>
      <c r="M12" s="62" t="s">
        <v>31</v>
      </c>
      <c r="N12" s="62" t="s">
        <v>32</v>
      </c>
      <c r="O12" s="62" t="s">
        <v>33</v>
      </c>
      <c r="P12" s="62" t="s">
        <v>34</v>
      </c>
      <c r="Q12" s="62" t="s">
        <v>35</v>
      </c>
    </row>
    <row r="13" spans="1:26" x14ac:dyDescent="0.2">
      <c r="A13" s="3">
        <v>39022</v>
      </c>
      <c r="B13" s="29">
        <f>'[5]Consumption Data '!H64</f>
        <v>2340246</v>
      </c>
      <c r="C13" s="25">
        <f>Residential!C13</f>
        <v>382.2</v>
      </c>
      <c r="D13" s="25">
        <f>Residential!D13</f>
        <v>0</v>
      </c>
      <c r="E13" s="19">
        <v>1</v>
      </c>
      <c r="F13" s="19">
        <v>30</v>
      </c>
      <c r="G13" s="19">
        <v>811</v>
      </c>
      <c r="H13" s="19">
        <f>Residential!H13</f>
        <v>207672.83331498521</v>
      </c>
      <c r="I13" s="10">
        <f t="shared" si="0"/>
        <v>2257054.0004861089</v>
      </c>
      <c r="J13" s="10"/>
      <c r="K13" s="15"/>
      <c r="L13" s="40" t="s">
        <v>28</v>
      </c>
      <c r="M13" s="40">
        <v>5</v>
      </c>
      <c r="N13" s="40">
        <v>2224580029493.9902</v>
      </c>
      <c r="O13" s="40">
        <v>444916005898.79803</v>
      </c>
      <c r="P13" s="40">
        <v>48.103352992508356</v>
      </c>
      <c r="Q13" s="40">
        <v>1.0412835442170966E-20</v>
      </c>
    </row>
    <row r="14" spans="1:26" x14ac:dyDescent="0.2">
      <c r="A14" s="3">
        <v>39052</v>
      </c>
      <c r="B14" s="29">
        <f>'[5]Consumption Data '!H65</f>
        <v>2439858</v>
      </c>
      <c r="C14" s="25">
        <f>Residential!C14</f>
        <v>500.5</v>
      </c>
      <c r="D14" s="25">
        <f>Residential!D14</f>
        <v>0</v>
      </c>
      <c r="E14" s="19">
        <v>0</v>
      </c>
      <c r="F14" s="19">
        <v>31</v>
      </c>
      <c r="G14" s="19">
        <v>816</v>
      </c>
      <c r="H14" s="19">
        <f>Residential!H14</f>
        <v>226552.18179816569</v>
      </c>
      <c r="I14" s="10">
        <f t="shared" si="0"/>
        <v>2486011.1229599779</v>
      </c>
      <c r="J14" s="10"/>
      <c r="K14" s="15"/>
      <c r="L14" s="40" t="s">
        <v>29</v>
      </c>
      <c r="M14" s="40">
        <v>66</v>
      </c>
      <c r="N14" s="40">
        <v>610445105435.66284</v>
      </c>
      <c r="O14" s="40">
        <v>9249168264.1767101</v>
      </c>
      <c r="P14" s="40"/>
      <c r="Q14" s="40"/>
    </row>
    <row r="15" spans="1:26" ht="13.5" thickBot="1" x14ac:dyDescent="0.25">
      <c r="A15" s="3">
        <v>39083</v>
      </c>
      <c r="B15" s="29">
        <f>'[5]Consumption Data '!H66</f>
        <v>2566158</v>
      </c>
      <c r="C15" s="25">
        <f>Residential!C15</f>
        <v>647.1</v>
      </c>
      <c r="D15" s="25">
        <f>Residential!D15</f>
        <v>0</v>
      </c>
      <c r="E15" s="19">
        <v>0</v>
      </c>
      <c r="F15" s="19">
        <v>31</v>
      </c>
      <c r="G15" s="19">
        <v>816</v>
      </c>
      <c r="H15" s="19">
        <f>Residential!H15</f>
        <v>223176.57467799078</v>
      </c>
      <c r="I15" s="10">
        <f t="shared" si="0"/>
        <v>2601969.307236027</v>
      </c>
      <c r="J15" s="10"/>
      <c r="K15" s="15"/>
      <c r="L15" s="61" t="s">
        <v>10</v>
      </c>
      <c r="M15" s="61">
        <v>71</v>
      </c>
      <c r="N15" s="61">
        <v>2835025134929.6533</v>
      </c>
      <c r="O15" s="61"/>
      <c r="P15" s="61"/>
      <c r="Q15" s="61"/>
    </row>
    <row r="16" spans="1:26" ht="13.5" thickBot="1" x14ac:dyDescent="0.25">
      <c r="A16" s="3">
        <v>39114</v>
      </c>
      <c r="B16" s="29">
        <f>'[5]Consumption Data '!H67</f>
        <v>2449930</v>
      </c>
      <c r="C16" s="25">
        <f>Residential!C16</f>
        <v>740.1</v>
      </c>
      <c r="D16" s="25">
        <f>Residential!D16</f>
        <v>0</v>
      </c>
      <c r="E16" s="19">
        <v>0</v>
      </c>
      <c r="F16" s="19">
        <v>28</v>
      </c>
      <c r="G16" s="19">
        <v>818</v>
      </c>
      <c r="H16" s="19">
        <f>Residential!H16</f>
        <v>219800.96755781586</v>
      </c>
      <c r="I16" s="10">
        <f t="shared" si="0"/>
        <v>2482588.7476190822</v>
      </c>
      <c r="J16" s="10"/>
      <c r="K16" s="15"/>
    </row>
    <row r="17" spans="1:20" x14ac:dyDescent="0.2">
      <c r="A17" s="3">
        <v>39142</v>
      </c>
      <c r="B17" s="29">
        <f>'[5]Consumption Data '!H68</f>
        <v>2503057</v>
      </c>
      <c r="C17" s="25">
        <f>Residential!C17</f>
        <v>546.70000000000005</v>
      </c>
      <c r="D17" s="25">
        <f>Residential!D17</f>
        <v>0</v>
      </c>
      <c r="E17" s="19">
        <v>1</v>
      </c>
      <c r="F17" s="19">
        <v>31</v>
      </c>
      <c r="G17" s="19">
        <v>820</v>
      </c>
      <c r="H17" s="19">
        <f>Residential!H17</f>
        <v>216425.36043764095</v>
      </c>
      <c r="I17" s="10">
        <f t="shared" si="0"/>
        <v>2463539.3183982596</v>
      </c>
      <c r="J17" s="10"/>
      <c r="K17" s="15"/>
      <c r="L17" s="62"/>
      <c r="M17" s="62" t="s">
        <v>36</v>
      </c>
      <c r="N17" s="62" t="s">
        <v>25</v>
      </c>
      <c r="O17" s="62" t="s">
        <v>37</v>
      </c>
      <c r="P17" s="62" t="s">
        <v>38</v>
      </c>
      <c r="Q17" s="62" t="s">
        <v>39</v>
      </c>
      <c r="R17" s="62" t="s">
        <v>40</v>
      </c>
      <c r="S17" s="62" t="s">
        <v>203</v>
      </c>
      <c r="T17" s="62" t="s">
        <v>204</v>
      </c>
    </row>
    <row r="18" spans="1:20" x14ac:dyDescent="0.2">
      <c r="A18" s="3">
        <v>39173</v>
      </c>
      <c r="B18" s="29">
        <f>'[5]Consumption Data '!H69</f>
        <v>2150206</v>
      </c>
      <c r="C18" s="25">
        <f>Residential!C18</f>
        <v>356.4</v>
      </c>
      <c r="D18" s="25">
        <f>Residential!D18</f>
        <v>0</v>
      </c>
      <c r="E18" s="19">
        <v>1</v>
      </c>
      <c r="F18" s="19">
        <v>30</v>
      </c>
      <c r="G18" s="19">
        <v>819</v>
      </c>
      <c r="H18" s="19">
        <f>Residential!H18</f>
        <v>213049.75331746603</v>
      </c>
      <c r="I18" s="10">
        <f t="shared" si="0"/>
        <v>2246622.7797411303</v>
      </c>
      <c r="J18" s="10"/>
      <c r="K18" s="15"/>
      <c r="L18" s="40" t="s">
        <v>30</v>
      </c>
      <c r="M18" s="71">
        <v>-946949.861080945</v>
      </c>
      <c r="N18" s="40">
        <v>536676.3813763482</v>
      </c>
      <c r="O18" s="71">
        <v>-1.764470906382015</v>
      </c>
      <c r="P18" s="40">
        <v>8.2279666132437493E-2</v>
      </c>
      <c r="Q18" s="40">
        <v>-2018458.8165371388</v>
      </c>
      <c r="R18" s="40">
        <v>124559.09437524888</v>
      </c>
      <c r="S18" s="40">
        <v>-2018458.8165371388</v>
      </c>
      <c r="T18" s="40">
        <v>124559.09437524888</v>
      </c>
    </row>
    <row r="19" spans="1:20" x14ac:dyDescent="0.2">
      <c r="A19" s="3">
        <v>39203</v>
      </c>
      <c r="B19" s="29">
        <f>'[5]Consumption Data '!H70</f>
        <v>2173559</v>
      </c>
      <c r="C19" s="25">
        <f>Residential!C19</f>
        <v>136.4</v>
      </c>
      <c r="D19" s="25">
        <f>Residential!D19</f>
        <v>22.4</v>
      </c>
      <c r="E19" s="19">
        <v>1</v>
      </c>
      <c r="F19" s="19">
        <v>31</v>
      </c>
      <c r="G19" s="19">
        <v>818</v>
      </c>
      <c r="H19" s="19">
        <f>Residential!H19</f>
        <v>209674.14619729112</v>
      </c>
      <c r="I19" s="10">
        <f t="shared" si="0"/>
        <v>2199093.9684250043</v>
      </c>
      <c r="J19" s="10"/>
      <c r="K19" s="15"/>
      <c r="L19" s="40" t="s">
        <v>3</v>
      </c>
      <c r="M19" s="71">
        <v>790.98352166472625</v>
      </c>
      <c r="N19" s="40">
        <v>75.938236351896052</v>
      </c>
      <c r="O19" s="71">
        <v>10.416142903284278</v>
      </c>
      <c r="P19" s="40">
        <v>1.4319600485204976E-15</v>
      </c>
      <c r="Q19" s="40">
        <v>639.36794263751085</v>
      </c>
      <c r="R19" s="40">
        <v>942.59910069194166</v>
      </c>
      <c r="S19" s="40">
        <v>639.36794263751085</v>
      </c>
      <c r="T19" s="40">
        <v>942.59910069194166</v>
      </c>
    </row>
    <row r="20" spans="1:20" x14ac:dyDescent="0.2">
      <c r="A20" s="3">
        <v>39234</v>
      </c>
      <c r="B20" s="29">
        <f>'[5]Consumption Data '!H71</f>
        <v>2286735</v>
      </c>
      <c r="C20" s="25">
        <f>Residential!C20</f>
        <v>16.5</v>
      </c>
      <c r="D20" s="25">
        <f>Residential!D20</f>
        <v>99.2</v>
      </c>
      <c r="E20" s="19">
        <v>0</v>
      </c>
      <c r="F20" s="19">
        <v>30</v>
      </c>
      <c r="G20" s="19">
        <v>819</v>
      </c>
      <c r="H20" s="19">
        <f>Residential!H20</f>
        <v>206298.53907711621</v>
      </c>
      <c r="I20" s="10">
        <f t="shared" si="0"/>
        <v>2318951.6656644051</v>
      </c>
      <c r="J20" s="10"/>
      <c r="K20" s="15"/>
      <c r="L20" s="40" t="s">
        <v>4</v>
      </c>
      <c r="M20" s="71">
        <v>2794.161941708679</v>
      </c>
      <c r="N20" s="40">
        <v>455.0021657640786</v>
      </c>
      <c r="O20" s="71">
        <v>6.1409860258939277</v>
      </c>
      <c r="P20" s="40">
        <v>5.2756681255194293E-8</v>
      </c>
      <c r="Q20" s="40">
        <v>1885.720817249573</v>
      </c>
      <c r="R20" s="40">
        <v>3702.6030661677851</v>
      </c>
      <c r="S20" s="40">
        <v>1885.720817249573</v>
      </c>
      <c r="T20" s="40">
        <v>3702.6030661677851</v>
      </c>
    </row>
    <row r="21" spans="1:20" x14ac:dyDescent="0.2">
      <c r="A21" s="3">
        <v>39264</v>
      </c>
      <c r="B21" s="29">
        <f>'[5]Consumption Data '!H72</f>
        <v>2434031</v>
      </c>
      <c r="C21" s="25">
        <f>Residential!C21</f>
        <v>3.2</v>
      </c>
      <c r="D21" s="25">
        <f>Residential!D21</f>
        <v>106.1</v>
      </c>
      <c r="E21" s="19">
        <v>0</v>
      </c>
      <c r="F21" s="19">
        <v>31</v>
      </c>
      <c r="G21" s="19">
        <v>824</v>
      </c>
      <c r="H21" s="19">
        <f>Residential!H21</f>
        <v>202922.93195694129</v>
      </c>
      <c r="I21" s="10">
        <f t="shared" si="0"/>
        <v>2399091.7537653716</v>
      </c>
      <c r="J21" s="10"/>
      <c r="K21" s="15"/>
      <c r="L21" s="40" t="s">
        <v>19</v>
      </c>
      <c r="M21" s="71">
        <v>-64003.320319614228</v>
      </c>
      <c r="N21" s="40">
        <v>32232.316656117808</v>
      </c>
      <c r="O21" s="71">
        <v>-1.9856878735232384</v>
      </c>
      <c r="P21" s="40">
        <v>5.1224873996936378E-2</v>
      </c>
      <c r="Q21" s="40">
        <v>-128357.21616939377</v>
      </c>
      <c r="R21" s="40">
        <v>350.57553016530471</v>
      </c>
      <c r="S21" s="40">
        <v>-128357.21616939377</v>
      </c>
      <c r="T21" s="40">
        <v>350.57553016530471</v>
      </c>
    </row>
    <row r="22" spans="1:20" x14ac:dyDescent="0.2">
      <c r="A22" s="3">
        <v>39295</v>
      </c>
      <c r="B22" s="29">
        <f>'[5]Consumption Data '!H73</f>
        <v>2419591</v>
      </c>
      <c r="C22" s="25">
        <f>Residential!C22</f>
        <v>5.2</v>
      </c>
      <c r="D22" s="25">
        <f>Residential!D22</f>
        <v>141</v>
      </c>
      <c r="E22" s="19">
        <v>0</v>
      </c>
      <c r="F22" s="19">
        <v>31</v>
      </c>
      <c r="G22" s="19">
        <v>821</v>
      </c>
      <c r="H22" s="19">
        <f>Residential!H22</f>
        <v>199547.32483676638</v>
      </c>
      <c r="I22" s="10">
        <f t="shared" si="0"/>
        <v>2494448.9147815951</v>
      </c>
      <c r="J22" s="10"/>
      <c r="K22" s="15"/>
      <c r="L22" s="40" t="s">
        <v>5</v>
      </c>
      <c r="M22" s="71">
        <v>65145.355220085708</v>
      </c>
      <c r="N22" s="40">
        <v>14363.739096782772</v>
      </c>
      <c r="O22" s="71">
        <v>4.5354036843148409</v>
      </c>
      <c r="P22" s="40">
        <v>2.4881789696669545E-5</v>
      </c>
      <c r="Q22" s="40">
        <v>36467.225139965711</v>
      </c>
      <c r="R22" s="40">
        <v>93823.485300205706</v>
      </c>
      <c r="S22" s="40">
        <v>36467.225139965711</v>
      </c>
      <c r="T22" s="40">
        <v>93823.485300205706</v>
      </c>
    </row>
    <row r="23" spans="1:20" ht="13.5" thickBot="1" x14ac:dyDescent="0.25">
      <c r="A23" s="3">
        <v>39326</v>
      </c>
      <c r="B23" s="29">
        <f>'[5]Consumption Data '!H74</f>
        <v>2195496</v>
      </c>
      <c r="C23" s="25">
        <f>Residential!C23</f>
        <v>36.9</v>
      </c>
      <c r="D23" s="25">
        <f>Residential!D23</f>
        <v>47.5</v>
      </c>
      <c r="E23" s="19">
        <v>1</v>
      </c>
      <c r="F23" s="19">
        <v>30</v>
      </c>
      <c r="G23" s="19">
        <v>824</v>
      </c>
      <c r="H23" s="19">
        <f>Residential!H23</f>
        <v>196171.71771659146</v>
      </c>
      <c r="I23" s="10">
        <f t="shared" si="0"/>
        <v>2132861.3331216443</v>
      </c>
      <c r="J23" s="10"/>
      <c r="K23" s="15"/>
      <c r="L23" s="61" t="s">
        <v>67</v>
      </c>
      <c r="M23" s="72">
        <v>1247.0192642464101</v>
      </c>
      <c r="N23" s="61">
        <v>376.37040731580998</v>
      </c>
      <c r="O23" s="72">
        <v>3.3132766020045894</v>
      </c>
      <c r="P23" s="61">
        <v>1.4994725356926521E-3</v>
      </c>
      <c r="Q23" s="61">
        <v>495.57150913311068</v>
      </c>
      <c r="R23" s="61">
        <v>1998.4670193597094</v>
      </c>
      <c r="S23" s="61">
        <v>495.57150913311068</v>
      </c>
      <c r="T23" s="61">
        <v>1998.4670193597094</v>
      </c>
    </row>
    <row r="24" spans="1:20" x14ac:dyDescent="0.2">
      <c r="A24" s="3">
        <v>39356</v>
      </c>
      <c r="B24" s="29">
        <f>'[5]Consumption Data '!H75</f>
        <v>2297711</v>
      </c>
      <c r="C24" s="25">
        <f>Residential!C24</f>
        <v>137.69999999999999</v>
      </c>
      <c r="D24" s="25">
        <f>Residential!D24</f>
        <v>19.8</v>
      </c>
      <c r="E24" s="19">
        <v>1</v>
      </c>
      <c r="F24" s="19">
        <v>31</v>
      </c>
      <c r="G24" s="19">
        <v>826</v>
      </c>
      <c r="H24" s="19">
        <f>Residential!H24</f>
        <v>192796.11059641655</v>
      </c>
      <c r="I24" s="10">
        <f t="shared" si="0"/>
        <v>2202833.5800686972</v>
      </c>
      <c r="J24" s="10"/>
      <c r="K24" s="15"/>
    </row>
    <row r="25" spans="1:20" x14ac:dyDescent="0.2">
      <c r="A25" s="3">
        <v>39387</v>
      </c>
      <c r="B25" s="29">
        <f>'[5]Consumption Data '!H76</f>
        <v>2455130</v>
      </c>
      <c r="C25" s="25">
        <f>Residential!C25</f>
        <v>462.5</v>
      </c>
      <c r="D25" s="25">
        <f>Residential!D25</f>
        <v>0</v>
      </c>
      <c r="E25" s="19">
        <v>1</v>
      </c>
      <c r="F25" s="19">
        <v>30</v>
      </c>
      <c r="G25" s="19">
        <v>826</v>
      </c>
      <c r="H25" s="19">
        <f>Residential!H25</f>
        <v>189420.50347624163</v>
      </c>
      <c r="I25" s="10">
        <f t="shared" si="0"/>
        <v>2339275.2662394829</v>
      </c>
      <c r="J25" s="10"/>
      <c r="K25" s="15"/>
    </row>
    <row r="26" spans="1:20" x14ac:dyDescent="0.2">
      <c r="A26" s="3">
        <v>39417</v>
      </c>
      <c r="B26" s="29">
        <f>'[5]Consumption Data '!H77</f>
        <v>2654818</v>
      </c>
      <c r="C26" s="25">
        <f>Residential!C26</f>
        <v>630.70000000000005</v>
      </c>
      <c r="D26" s="25">
        <f>Residential!D26</f>
        <v>0</v>
      </c>
      <c r="E26" s="19">
        <v>0</v>
      </c>
      <c r="F26" s="19">
        <v>31</v>
      </c>
      <c r="G26" s="19">
        <v>831</v>
      </c>
      <c r="H26" s="19">
        <f>Residential!H26</f>
        <v>186044.89635606672</v>
      </c>
      <c r="I26" s="10">
        <f t="shared" si="0"/>
        <v>2607702.4664444216</v>
      </c>
      <c r="J26" s="10"/>
      <c r="K26" s="15"/>
    </row>
    <row r="27" spans="1:20" x14ac:dyDescent="0.2">
      <c r="A27" s="3">
        <v>39448</v>
      </c>
      <c r="B27" s="29">
        <f>'[5]Consumption Data '!H78</f>
        <v>2708152</v>
      </c>
      <c r="C27" s="25">
        <f>Residential!C27</f>
        <v>623.5</v>
      </c>
      <c r="D27" s="25">
        <f>Residential!D27</f>
        <v>0</v>
      </c>
      <c r="E27" s="19">
        <v>0</v>
      </c>
      <c r="F27" s="19">
        <v>31</v>
      </c>
      <c r="G27" s="19">
        <v>831</v>
      </c>
      <c r="H27" s="19">
        <f>Residential!H27</f>
        <v>197728.54137604786</v>
      </c>
      <c r="I27" s="10">
        <f t="shared" si="0"/>
        <v>2602007.3850884354</v>
      </c>
    </row>
    <row r="28" spans="1:20" x14ac:dyDescent="0.2">
      <c r="A28" s="3">
        <v>39479</v>
      </c>
      <c r="B28" s="29">
        <f>'[5]Consumption Data '!H79</f>
        <v>2543856</v>
      </c>
      <c r="C28" s="25">
        <f>Residential!C28</f>
        <v>674.7</v>
      </c>
      <c r="D28" s="25">
        <f>Residential!D28</f>
        <v>0</v>
      </c>
      <c r="E28" s="19">
        <v>0</v>
      </c>
      <c r="F28" s="19">
        <v>29</v>
      </c>
      <c r="G28" s="19">
        <v>832</v>
      </c>
      <c r="H28" s="19">
        <f>Residential!H28</f>
        <v>209412.18639602899</v>
      </c>
      <c r="I28" s="10">
        <f t="shared" si="0"/>
        <v>2513462.0502217449</v>
      </c>
    </row>
    <row r="29" spans="1:20" x14ac:dyDescent="0.2">
      <c r="A29" s="3">
        <v>39508</v>
      </c>
      <c r="B29" s="29">
        <f>'[5]Consumption Data '!H80</f>
        <v>2579260</v>
      </c>
      <c r="C29" s="25">
        <f>Residential!C29</f>
        <v>610.20000000000005</v>
      </c>
      <c r="D29" s="25">
        <f>Residential!D29</f>
        <v>0</v>
      </c>
      <c r="E29" s="19">
        <v>1</v>
      </c>
      <c r="F29" s="19">
        <v>31</v>
      </c>
      <c r="G29" s="19">
        <v>833</v>
      </c>
      <c r="H29" s="19">
        <f>Residential!H29</f>
        <v>221095.83141601013</v>
      </c>
      <c r="I29" s="10">
        <f t="shared" si="0"/>
        <v>2529978.0224591736</v>
      </c>
    </row>
    <row r="30" spans="1:20" x14ac:dyDescent="0.2">
      <c r="A30" s="3">
        <v>39539</v>
      </c>
      <c r="B30" s="29">
        <f>'[5]Consumption Data '!H81</f>
        <v>2176154</v>
      </c>
      <c r="C30" s="25">
        <f>Residential!C30</f>
        <v>253.9</v>
      </c>
      <c r="D30" s="25">
        <f>Residential!D30</f>
        <v>0</v>
      </c>
      <c r="E30" s="19">
        <v>1</v>
      </c>
      <c r="F30" s="19">
        <v>30</v>
      </c>
      <c r="G30" s="19">
        <v>834</v>
      </c>
      <c r="H30" s="19">
        <f>Residential!H30</f>
        <v>232779.47643599127</v>
      </c>
      <c r="I30" s="10">
        <f t="shared" si="0"/>
        <v>2184252.2577341921</v>
      </c>
    </row>
    <row r="31" spans="1:20" x14ac:dyDescent="0.2">
      <c r="A31" s="3">
        <v>39569</v>
      </c>
      <c r="B31" s="29">
        <f>'[5]Consumption Data '!H82</f>
        <v>2168104</v>
      </c>
      <c r="C31" s="25">
        <f>Residential!C31</f>
        <v>193.5</v>
      </c>
      <c r="D31" s="25">
        <f>Residential!D31</f>
        <v>2.5</v>
      </c>
      <c r="E31" s="19">
        <v>1</v>
      </c>
      <c r="F31" s="19">
        <v>31</v>
      </c>
      <c r="G31" s="19">
        <v>838</v>
      </c>
      <c r="H31" s="19">
        <f>Residential!H31</f>
        <v>244463.1214559724</v>
      </c>
      <c r="I31" s="10">
        <f t="shared" si="0"/>
        <v>2213595.6901569855</v>
      </c>
    </row>
    <row r="32" spans="1:20" x14ac:dyDescent="0.2">
      <c r="A32" s="3">
        <v>39600</v>
      </c>
      <c r="B32" s="29">
        <f>'[5]Consumption Data '!H83</f>
        <v>2214082</v>
      </c>
      <c r="C32" s="25">
        <f>Residential!C32</f>
        <v>22.7</v>
      </c>
      <c r="D32" s="25">
        <f>Residential!D32</f>
        <v>71.5</v>
      </c>
      <c r="E32" s="19">
        <v>0</v>
      </c>
      <c r="F32" s="19">
        <v>30</v>
      </c>
      <c r="G32" s="19">
        <v>836</v>
      </c>
      <c r="H32" s="19">
        <f>Residential!H32</f>
        <v>256146.76647595354</v>
      </c>
      <c r="I32" s="10">
        <f t="shared" si="0"/>
        <v>2267656.805205585</v>
      </c>
    </row>
    <row r="33" spans="1:32" x14ac:dyDescent="0.2">
      <c r="A33" s="3">
        <v>39630</v>
      </c>
      <c r="B33" s="29">
        <f>'[5]Consumption Data '!H84</f>
        <v>2343602</v>
      </c>
      <c r="C33" s="25">
        <f>Residential!C33</f>
        <v>1</v>
      </c>
      <c r="D33" s="25">
        <f>Residential!D33</f>
        <v>111</v>
      </c>
      <c r="E33" s="19">
        <v>0</v>
      </c>
      <c r="F33" s="19">
        <v>31</v>
      </c>
      <c r="G33" s="19">
        <v>836</v>
      </c>
      <c r="H33" s="19">
        <f>Residential!H33</f>
        <v>267830.41149593471</v>
      </c>
      <c r="I33" s="10">
        <f t="shared" si="0"/>
        <v>2426007.2147030388</v>
      </c>
    </row>
    <row r="34" spans="1:32" x14ac:dyDescent="0.2">
      <c r="A34" s="3">
        <v>39661</v>
      </c>
      <c r="B34" s="29">
        <f>'[5]Consumption Data '!H85</f>
        <v>2300528</v>
      </c>
      <c r="C34" s="25">
        <f>Residential!C34</f>
        <v>12.7</v>
      </c>
      <c r="D34" s="25">
        <f>Residential!D34</f>
        <v>64</v>
      </c>
      <c r="E34" s="19">
        <v>0</v>
      </c>
      <c r="F34" s="19">
        <v>31</v>
      </c>
      <c r="G34" s="19">
        <v>837</v>
      </c>
      <c r="H34" s="19">
        <f>Residential!H34</f>
        <v>279514.05651591584</v>
      </c>
      <c r="I34" s="10">
        <f t="shared" si="0"/>
        <v>2305183.1299104546</v>
      </c>
    </row>
    <row r="35" spans="1:32" x14ac:dyDescent="0.2">
      <c r="A35" s="3">
        <v>39692</v>
      </c>
      <c r="B35" s="29">
        <f>'[5]Consumption Data '!H86</f>
        <v>2111286</v>
      </c>
      <c r="C35" s="25">
        <f>Residential!C35</f>
        <v>59</v>
      </c>
      <c r="D35" s="25">
        <f>Residential!D35</f>
        <v>26.7</v>
      </c>
      <c r="E35" s="19">
        <v>1</v>
      </c>
      <c r="F35" s="19">
        <v>30</v>
      </c>
      <c r="G35" s="19">
        <v>839</v>
      </c>
      <c r="H35" s="19">
        <f>Residential!H35</f>
        <v>291197.70153589698</v>
      </c>
      <c r="I35" s="10">
        <f t="shared" ref="I35:I66" si="1">$M$18+C35*$M$19+D35*$M$20+E35*$M$21+F35*$M$22+$M$23*G35</f>
        <v>2110928.7895265906</v>
      </c>
    </row>
    <row r="36" spans="1:32" x14ac:dyDescent="0.2">
      <c r="A36" s="3">
        <v>39722</v>
      </c>
      <c r="B36" s="29">
        <f>'[5]Consumption Data '!H87</f>
        <v>2222937</v>
      </c>
      <c r="C36" s="25">
        <f>Residential!C36</f>
        <v>278.60000000000002</v>
      </c>
      <c r="D36" s="25">
        <f>Residential!D36</f>
        <v>0</v>
      </c>
      <c r="E36" s="19">
        <v>1</v>
      </c>
      <c r="F36" s="19">
        <v>31</v>
      </c>
      <c r="G36" s="19">
        <v>840</v>
      </c>
      <c r="H36" s="19">
        <f>Residential!H36</f>
        <v>302881.34655587812</v>
      </c>
      <c r="I36" s="10">
        <f t="shared" si="1"/>
        <v>2276417.021524875</v>
      </c>
    </row>
    <row r="37" spans="1:32" x14ac:dyDescent="0.2">
      <c r="A37" s="3">
        <v>39753</v>
      </c>
      <c r="B37" s="29">
        <f>'[5]Consumption Data '!H88</f>
        <v>2396744</v>
      </c>
      <c r="C37" s="25">
        <f>Residential!C37</f>
        <v>451.6</v>
      </c>
      <c r="D37" s="25">
        <f>Residential!D37</f>
        <v>0</v>
      </c>
      <c r="E37" s="19">
        <v>1</v>
      </c>
      <c r="F37" s="19">
        <v>30</v>
      </c>
      <c r="G37" s="19">
        <v>843</v>
      </c>
      <c r="H37" s="19">
        <f>Residential!H37</f>
        <v>314564.99157585925</v>
      </c>
      <c r="I37" s="10">
        <f t="shared" si="1"/>
        <v>2351852.8733455259</v>
      </c>
    </row>
    <row r="38" spans="1:32" x14ac:dyDescent="0.2">
      <c r="A38" s="3">
        <v>39783</v>
      </c>
      <c r="B38" s="29">
        <f>'[5]Consumption Data '!H89</f>
        <v>2623822</v>
      </c>
      <c r="C38" s="25">
        <f>Residential!C38</f>
        <v>654.6</v>
      </c>
      <c r="D38" s="25">
        <f>Residential!D38</f>
        <v>0</v>
      </c>
      <c r="E38" s="19">
        <v>0</v>
      </c>
      <c r="F38" s="19">
        <v>31</v>
      </c>
      <c r="G38" s="19">
        <v>842</v>
      </c>
      <c r="H38" s="19">
        <f>Residential!H38</f>
        <v>326248.63659584039</v>
      </c>
      <c r="I38" s="10">
        <f t="shared" si="1"/>
        <v>2640324.1845189193</v>
      </c>
    </row>
    <row r="39" spans="1:32" s="16" customFormat="1" x14ac:dyDescent="0.2">
      <c r="A39" s="3">
        <v>39814</v>
      </c>
      <c r="B39" s="29">
        <f>'[5]Consumption Data '!H90</f>
        <v>2722823</v>
      </c>
      <c r="C39" s="25">
        <f>Residential!C39</f>
        <v>830.2</v>
      </c>
      <c r="D39" s="25">
        <f>Residential!D39</f>
        <v>0</v>
      </c>
      <c r="E39" s="19">
        <v>0</v>
      </c>
      <c r="F39" s="19">
        <v>31</v>
      </c>
      <c r="G39" s="19">
        <v>846</v>
      </c>
      <c r="H39" s="19">
        <f>Residential!H39</f>
        <v>334892.3612999671</v>
      </c>
      <c r="I39" s="10">
        <f t="shared" si="1"/>
        <v>2784208.9679802302</v>
      </c>
      <c r="J39" s="56"/>
      <c r="K39" s="1"/>
      <c r="L39"/>
      <c r="M39"/>
      <c r="N39"/>
      <c r="O39"/>
      <c r="P39"/>
      <c r="Q39"/>
      <c r="R39"/>
      <c r="S39"/>
      <c r="T39"/>
      <c r="U39"/>
      <c r="V39"/>
      <c r="W39"/>
      <c r="X39" s="11"/>
      <c r="Y39" s="11"/>
      <c r="Z39" s="11"/>
      <c r="AA39" s="11"/>
      <c r="AB39" s="11"/>
      <c r="AC39" s="11"/>
      <c r="AD39" s="11"/>
      <c r="AE39" s="11"/>
      <c r="AF39" s="11"/>
    </row>
    <row r="40" spans="1:32" x14ac:dyDescent="0.2">
      <c r="A40" s="3">
        <v>39845</v>
      </c>
      <c r="B40" s="29">
        <f>'[5]Consumption Data '!H91</f>
        <v>2424700</v>
      </c>
      <c r="C40" s="25">
        <f>Residential!C40</f>
        <v>606.4</v>
      </c>
      <c r="D40" s="25">
        <f>Residential!D40</f>
        <v>0</v>
      </c>
      <c r="E40" s="19">
        <v>0</v>
      </c>
      <c r="F40" s="19">
        <v>28</v>
      </c>
      <c r="G40" s="19">
        <v>846</v>
      </c>
      <c r="H40" s="19">
        <f>Residential!H40</f>
        <v>343536.08600409381</v>
      </c>
      <c r="I40" s="10">
        <f t="shared" si="1"/>
        <v>2411750.7901714076</v>
      </c>
      <c r="J40" s="56"/>
    </row>
    <row r="41" spans="1:32" x14ac:dyDescent="0.2">
      <c r="A41" s="3">
        <v>39873</v>
      </c>
      <c r="B41" s="29">
        <f>'[5]Consumption Data '!H92</f>
        <v>2427300</v>
      </c>
      <c r="C41" s="25">
        <f>Residential!C41</f>
        <v>533.79999999999995</v>
      </c>
      <c r="D41" s="25">
        <f>Residential!D41</f>
        <v>0</v>
      </c>
      <c r="E41" s="19">
        <v>1</v>
      </c>
      <c r="F41" s="19">
        <v>31</v>
      </c>
      <c r="G41" s="19">
        <v>846</v>
      </c>
      <c r="H41" s="19">
        <f>Residential!H41</f>
        <v>352179.81070822052</v>
      </c>
      <c r="I41" s="10">
        <f t="shared" si="1"/>
        <v>2485758.1318391915</v>
      </c>
      <c r="J41" s="56"/>
    </row>
    <row r="42" spans="1:32" x14ac:dyDescent="0.2">
      <c r="A42" s="3">
        <v>39904</v>
      </c>
      <c r="B42" s="29">
        <f>'[5]Consumption Data '!H93</f>
        <v>2234311</v>
      </c>
      <c r="C42" s="25">
        <f>Residential!C42</f>
        <v>305.8</v>
      </c>
      <c r="D42" s="25">
        <f>Residential!D42</f>
        <v>1.2</v>
      </c>
      <c r="E42" s="19">
        <v>1</v>
      </c>
      <c r="F42" s="19">
        <v>30</v>
      </c>
      <c r="G42" s="19">
        <v>849</v>
      </c>
      <c r="H42" s="19">
        <f>Residential!H42</f>
        <v>360823.53541234724</v>
      </c>
      <c r="I42" s="10">
        <f t="shared" si="1"/>
        <v>2247362.5858023381</v>
      </c>
      <c r="J42" s="56"/>
    </row>
    <row r="43" spans="1:32" x14ac:dyDescent="0.2">
      <c r="A43" s="3">
        <v>39934</v>
      </c>
      <c r="B43" s="29">
        <f>'[5]Consumption Data '!H94</f>
        <v>2126121</v>
      </c>
      <c r="C43" s="25">
        <f>Residential!C43</f>
        <v>158.80000000000001</v>
      </c>
      <c r="D43" s="25">
        <f>Residential!D43</f>
        <v>6.9</v>
      </c>
      <c r="E43" s="19">
        <v>1</v>
      </c>
      <c r="F43" s="19">
        <v>31</v>
      </c>
      <c r="G43" s="19">
        <v>850</v>
      </c>
      <c r="H43" s="19">
        <f>Residential!H43</f>
        <v>369467.26011647395</v>
      </c>
      <c r="I43" s="10">
        <f t="shared" si="1"/>
        <v>2213407.1056696945</v>
      </c>
      <c r="J43" s="56"/>
    </row>
    <row r="44" spans="1:32" x14ac:dyDescent="0.2">
      <c r="A44" s="3">
        <v>39965</v>
      </c>
      <c r="B44" s="29">
        <f>'[5]Consumption Data '!H95</f>
        <v>2169041</v>
      </c>
      <c r="C44" s="25">
        <f>Residential!C44</f>
        <v>49.3</v>
      </c>
      <c r="D44" s="25">
        <f>Residential!D44</f>
        <v>34.200000000000003</v>
      </c>
      <c r="E44" s="19">
        <v>0</v>
      </c>
      <c r="F44" s="19">
        <v>30</v>
      </c>
      <c r="G44" s="19">
        <v>855</v>
      </c>
      <c r="H44" s="19">
        <f>Residential!H44</f>
        <v>378110.98482060066</v>
      </c>
      <c r="I44" s="10">
        <f t="shared" si="1"/>
        <v>2208168.092476815</v>
      </c>
      <c r="J44" s="56"/>
    </row>
    <row r="45" spans="1:32" x14ac:dyDescent="0.2">
      <c r="A45" s="3">
        <v>39995</v>
      </c>
      <c r="B45" s="29">
        <f>'[5]Consumption Data '!H96</f>
        <v>2310652</v>
      </c>
      <c r="C45" s="25">
        <f>Residential!C45</f>
        <v>6.2</v>
      </c>
      <c r="D45" s="25">
        <f>Residential!D45</f>
        <v>43.7</v>
      </c>
      <c r="E45" s="19">
        <v>0</v>
      </c>
      <c r="F45" s="19">
        <v>31</v>
      </c>
      <c r="G45" s="19">
        <v>857</v>
      </c>
      <c r="H45" s="19">
        <f>Residential!H45</f>
        <v>386754.70952472737</v>
      </c>
      <c r="I45" s="10">
        <f t="shared" si="1"/>
        <v>2268260.634887876</v>
      </c>
      <c r="J45" s="56"/>
    </row>
    <row r="46" spans="1:32" x14ac:dyDescent="0.2">
      <c r="A46" s="3">
        <v>40026</v>
      </c>
      <c r="B46" s="29">
        <f>'[5]Consumption Data '!H97</f>
        <v>2378057</v>
      </c>
      <c r="C46" s="25">
        <f>Residential!C46</f>
        <v>9.8000000000000007</v>
      </c>
      <c r="D46" s="25">
        <f>Residential!D46</f>
        <v>91</v>
      </c>
      <c r="E46" s="19">
        <v>0</v>
      </c>
      <c r="F46" s="19">
        <v>31</v>
      </c>
      <c r="G46" s="19">
        <v>857</v>
      </c>
      <c r="H46" s="19">
        <f>Residential!H46</f>
        <v>395398.43422885408</v>
      </c>
      <c r="I46" s="10">
        <f t="shared" si="1"/>
        <v>2403272.0354086896</v>
      </c>
      <c r="J46" s="56"/>
    </row>
    <row r="47" spans="1:32" x14ac:dyDescent="0.2">
      <c r="A47" s="3">
        <v>40057</v>
      </c>
      <c r="B47" s="29">
        <f>'[5]Consumption Data '!H98</f>
        <v>2164587</v>
      </c>
      <c r="C47" s="25">
        <f>Residential!C47</f>
        <v>55.2</v>
      </c>
      <c r="D47" s="25">
        <f>Residential!D47</f>
        <v>20.9</v>
      </c>
      <c r="E47" s="19">
        <v>1</v>
      </c>
      <c r="F47" s="19">
        <v>30</v>
      </c>
      <c r="G47" s="19">
        <v>856</v>
      </c>
      <c r="H47" s="19">
        <f>Residential!H47</f>
        <v>404042.15893298079</v>
      </c>
      <c r="I47" s="10">
        <f t="shared" si="1"/>
        <v>2112916.2403745432</v>
      </c>
      <c r="J47" s="56"/>
    </row>
    <row r="48" spans="1:32" x14ac:dyDescent="0.2">
      <c r="A48" s="3">
        <v>40087</v>
      </c>
      <c r="B48" s="29">
        <f>'[5]Consumption Data '!H99</f>
        <v>2341208</v>
      </c>
      <c r="C48" s="25">
        <f>Residential!C48</f>
        <v>287.8</v>
      </c>
      <c r="D48" s="25">
        <f>Residential!D48</f>
        <v>0</v>
      </c>
      <c r="E48" s="19">
        <v>1</v>
      </c>
      <c r="F48" s="19">
        <v>31</v>
      </c>
      <c r="G48" s="19">
        <v>861</v>
      </c>
      <c r="H48" s="19">
        <f>Residential!H48</f>
        <v>412685.8836371075</v>
      </c>
      <c r="I48" s="10">
        <f t="shared" si="1"/>
        <v>2309881.4744733651</v>
      </c>
      <c r="J48" s="56"/>
    </row>
    <row r="49" spans="1:32" x14ac:dyDescent="0.2">
      <c r="A49" s="3">
        <v>40118</v>
      </c>
      <c r="B49" s="29">
        <f>'[5]Consumption Data '!H100</f>
        <v>2351792</v>
      </c>
      <c r="C49" s="25">
        <f>Residential!C49</f>
        <v>361.2</v>
      </c>
      <c r="D49" s="25">
        <f>Residential!D49</f>
        <v>0</v>
      </c>
      <c r="E49" s="19">
        <v>1</v>
      </c>
      <c r="F49" s="19">
        <v>30</v>
      </c>
      <c r="G49" s="19">
        <v>856</v>
      </c>
      <c r="H49" s="19">
        <f>Residential!H49</f>
        <v>421329.60834123421</v>
      </c>
      <c r="I49" s="10">
        <f t="shared" si="1"/>
        <v>2296559.2134222379</v>
      </c>
      <c r="J49" s="56"/>
    </row>
    <row r="50" spans="1:32" s="36" customFormat="1" x14ac:dyDescent="0.2">
      <c r="A50" s="3">
        <v>40148</v>
      </c>
      <c r="B50" s="29">
        <f>'[5]Consumption Data '!H101</f>
        <v>2667735</v>
      </c>
      <c r="C50" s="25">
        <f>Residential!C50</f>
        <v>631.29999999999995</v>
      </c>
      <c r="D50" s="25">
        <f>Residential!D50</f>
        <v>0</v>
      </c>
      <c r="E50" s="19">
        <v>0</v>
      </c>
      <c r="F50" s="19">
        <v>31</v>
      </c>
      <c r="G50" s="19">
        <v>855</v>
      </c>
      <c r="H50" s="19">
        <f>Residential!H50</f>
        <v>429973.33304536092</v>
      </c>
      <c r="I50" s="10">
        <f t="shared" si="1"/>
        <v>2638105.5188993341</v>
      </c>
      <c r="J50" s="56"/>
      <c r="K50" s="1"/>
      <c r="L50"/>
      <c r="M50"/>
      <c r="N50"/>
      <c r="O50"/>
      <c r="P50"/>
      <c r="Q50"/>
      <c r="R50"/>
      <c r="S50"/>
      <c r="T50"/>
      <c r="U50"/>
      <c r="V50"/>
      <c r="W50"/>
      <c r="X50" s="29"/>
      <c r="Y50" s="29"/>
      <c r="Z50" s="29"/>
      <c r="AA50" s="29"/>
      <c r="AB50" s="29"/>
      <c r="AC50" s="29"/>
      <c r="AD50" s="29"/>
      <c r="AE50" s="29"/>
      <c r="AF50" s="29"/>
    </row>
    <row r="51" spans="1:32" x14ac:dyDescent="0.2">
      <c r="A51" s="3">
        <v>40179</v>
      </c>
      <c r="B51" s="29">
        <f>'[5]Consumption Data '!H102</f>
        <v>2750890</v>
      </c>
      <c r="C51" s="25">
        <f>Residential!C51</f>
        <v>720</v>
      </c>
      <c r="D51" s="25">
        <f>Residential!D51</f>
        <v>0</v>
      </c>
      <c r="E51" s="19">
        <v>0</v>
      </c>
      <c r="F51" s="19">
        <v>31</v>
      </c>
      <c r="G51" s="19">
        <v>854</v>
      </c>
      <c r="H51" s="19">
        <f>Residential!H51</f>
        <v>415484.3536334121</v>
      </c>
      <c r="I51" s="10">
        <f t="shared" si="1"/>
        <v>2707018.7380067492</v>
      </c>
      <c r="J51" s="56"/>
      <c r="X51" s="11"/>
      <c r="Y51" s="11"/>
      <c r="Z51" s="11"/>
    </row>
    <row r="52" spans="1:32" x14ac:dyDescent="0.2">
      <c r="A52" s="3">
        <v>40210</v>
      </c>
      <c r="B52" s="29">
        <f>'[5]Consumption Data '!H103</f>
        <v>2436943</v>
      </c>
      <c r="C52" s="25">
        <f>Residential!C52</f>
        <v>598.29999999999995</v>
      </c>
      <c r="D52" s="25">
        <f>Residential!D52</f>
        <v>0</v>
      </c>
      <c r="E52" s="19">
        <v>0</v>
      </c>
      <c r="F52" s="19">
        <v>28</v>
      </c>
      <c r="G52" s="19">
        <v>852</v>
      </c>
      <c r="H52" s="19">
        <f>Residential!H52</f>
        <v>400995.37422146328</v>
      </c>
      <c r="I52" s="10">
        <f t="shared" si="1"/>
        <v>2412825.9392314022</v>
      </c>
      <c r="J52" s="56"/>
    </row>
    <row r="53" spans="1:32" x14ac:dyDescent="0.2">
      <c r="A53" s="3">
        <v>40238</v>
      </c>
      <c r="B53" s="29">
        <f>'[5]Consumption Data '!H104</f>
        <v>2344061</v>
      </c>
      <c r="C53" s="25">
        <f>Residential!C53</f>
        <v>422.8</v>
      </c>
      <c r="D53" s="25">
        <f>Residential!D53</f>
        <v>0</v>
      </c>
      <c r="E53" s="19">
        <v>1</v>
      </c>
      <c r="F53" s="19">
        <v>31</v>
      </c>
      <c r="G53" s="19">
        <v>852</v>
      </c>
      <c r="H53" s="19">
        <f>Residential!H53</f>
        <v>386506.39480951446</v>
      </c>
      <c r="I53" s="10">
        <f t="shared" si="1"/>
        <v>2405441.0765198851</v>
      </c>
      <c r="J53" s="56"/>
    </row>
    <row r="54" spans="1:32" x14ac:dyDescent="0.2">
      <c r="A54" s="3">
        <v>40269</v>
      </c>
      <c r="B54" s="29">
        <f>'[5]Consumption Data '!H105</f>
        <v>2116368</v>
      </c>
      <c r="C54" s="25">
        <f>Residential!C54</f>
        <v>225.1</v>
      </c>
      <c r="D54" s="25">
        <f>Residential!D54</f>
        <v>0</v>
      </c>
      <c r="E54" s="19">
        <v>1</v>
      </c>
      <c r="F54" s="19">
        <v>30</v>
      </c>
      <c r="G54" s="19">
        <v>852</v>
      </c>
      <c r="H54" s="19">
        <f>Residential!H54</f>
        <v>372017.41539756564</v>
      </c>
      <c r="I54" s="10">
        <f t="shared" si="1"/>
        <v>2183918.2790666833</v>
      </c>
      <c r="J54" s="56"/>
    </row>
    <row r="55" spans="1:32" x14ac:dyDescent="0.2">
      <c r="A55" s="3">
        <v>40299</v>
      </c>
      <c r="B55" s="29">
        <f>'[5]Consumption Data '!H106</f>
        <v>2317663</v>
      </c>
      <c r="C55" s="25">
        <f>Residential!C55</f>
        <v>107.9</v>
      </c>
      <c r="D55" s="25">
        <f>Residential!D55</f>
        <v>45.7</v>
      </c>
      <c r="E55" s="19">
        <v>1</v>
      </c>
      <c r="F55" s="19">
        <v>31</v>
      </c>
      <c r="G55" s="19">
        <v>862</v>
      </c>
      <c r="H55" s="19">
        <f>Residential!H55</f>
        <v>357528.43598561682</v>
      </c>
      <c r="I55" s="10">
        <f t="shared" si="1"/>
        <v>2296523.7589262137</v>
      </c>
      <c r="J55" s="56"/>
    </row>
    <row r="56" spans="1:32" x14ac:dyDescent="0.2">
      <c r="A56" s="3">
        <v>40330</v>
      </c>
      <c r="B56" s="29">
        <f>'[5]Consumption Data '!H107</f>
        <v>2346316</v>
      </c>
      <c r="C56" s="25">
        <f>Residential!C56</f>
        <v>21.7</v>
      </c>
      <c r="D56" s="25">
        <f>Residential!D56</f>
        <v>58.7</v>
      </c>
      <c r="E56" s="19">
        <v>0</v>
      </c>
      <c r="F56" s="19">
        <v>30</v>
      </c>
      <c r="G56" s="19">
        <v>865</v>
      </c>
      <c r="H56" s="19">
        <f>Residential!H56</f>
        <v>343039.45657366799</v>
      </c>
      <c r="I56" s="10">
        <f t="shared" si="1"/>
        <v>2267264.1074931948</v>
      </c>
      <c r="J56" s="56"/>
    </row>
    <row r="57" spans="1:32" x14ac:dyDescent="0.2">
      <c r="A57" s="3">
        <v>40360</v>
      </c>
      <c r="B57" s="29">
        <f>'[5]Consumption Data '!H108</f>
        <v>2633804</v>
      </c>
      <c r="C57" s="25">
        <f>Residential!C57</f>
        <v>1.8</v>
      </c>
      <c r="D57" s="25">
        <f>Residential!D57</f>
        <v>164.9</v>
      </c>
      <c r="E57" s="19">
        <v>0</v>
      </c>
      <c r="F57" s="19">
        <v>31</v>
      </c>
      <c r="G57" s="19">
        <v>870</v>
      </c>
      <c r="H57" s="19">
        <f>Residential!H57</f>
        <v>328550.47716171917</v>
      </c>
      <c r="I57" s="10">
        <f t="shared" si="1"/>
        <v>2619643.9851628467</v>
      </c>
      <c r="J57" s="56"/>
    </row>
    <row r="58" spans="1:32" x14ac:dyDescent="0.2">
      <c r="A58" s="3">
        <v>40391</v>
      </c>
      <c r="B58" s="29">
        <f>'[5]Consumption Data '!H109</f>
        <v>2573532</v>
      </c>
      <c r="C58" s="25">
        <f>Residential!C58</f>
        <v>2.1</v>
      </c>
      <c r="D58" s="25">
        <f>Residential!D58</f>
        <v>138.80000000000001</v>
      </c>
      <c r="E58" s="19">
        <v>0</v>
      </c>
      <c r="F58" s="19">
        <v>31</v>
      </c>
      <c r="G58" s="19">
        <v>877</v>
      </c>
      <c r="H58" s="19">
        <f>Residential!H58</f>
        <v>314061.49774977035</v>
      </c>
      <c r="I58" s="10">
        <f t="shared" si="1"/>
        <v>2555682.7883904744</v>
      </c>
      <c r="J58" s="56"/>
    </row>
    <row r="59" spans="1:32" x14ac:dyDescent="0.2">
      <c r="A59" s="3">
        <v>40422</v>
      </c>
      <c r="B59" s="29">
        <f>'[5]Consumption Data '!H110</f>
        <v>2297240</v>
      </c>
      <c r="C59" s="25">
        <f>Residential!C59</f>
        <v>78.099999999999994</v>
      </c>
      <c r="D59" s="25">
        <f>Residential!D59</f>
        <v>31.5</v>
      </c>
      <c r="E59" s="19">
        <v>1</v>
      </c>
      <c r="F59" s="19">
        <v>30</v>
      </c>
      <c r="G59" s="19">
        <v>878</v>
      </c>
      <c r="H59" s="19">
        <f>Residential!H59</f>
        <v>299572.51833782153</v>
      </c>
      <c r="I59" s="10">
        <f t="shared" si="1"/>
        <v>2188082.3034161981</v>
      </c>
      <c r="J59" s="56"/>
    </row>
    <row r="60" spans="1:32" x14ac:dyDescent="0.2">
      <c r="A60" s="3">
        <v>40452</v>
      </c>
      <c r="B60" s="29">
        <f>'[5]Consumption Data '!H111</f>
        <v>2376983</v>
      </c>
      <c r="C60" s="25">
        <f>Residential!C60</f>
        <v>241.6</v>
      </c>
      <c r="D60" s="25">
        <f>Residential!D60</f>
        <v>0</v>
      </c>
      <c r="E60" s="19">
        <v>1</v>
      </c>
      <c r="F60" s="19">
        <v>31</v>
      </c>
      <c r="G60" s="19">
        <v>883</v>
      </c>
      <c r="H60" s="19">
        <f>Residential!H60</f>
        <v>285083.53892587271</v>
      </c>
      <c r="I60" s="10">
        <f t="shared" si="1"/>
        <v>2300772.4595858757</v>
      </c>
      <c r="J60" s="56"/>
    </row>
    <row r="61" spans="1:32" x14ac:dyDescent="0.2">
      <c r="A61" s="3">
        <v>40483</v>
      </c>
      <c r="B61" s="29">
        <f>'[5]Consumption Data '!H112</f>
        <v>2420856</v>
      </c>
      <c r="C61" s="25">
        <f>Residential!C61</f>
        <v>405.3</v>
      </c>
      <c r="D61" s="25">
        <f>Residential!D61</f>
        <v>0</v>
      </c>
      <c r="E61" s="19">
        <v>1</v>
      </c>
      <c r="F61" s="19">
        <v>30</v>
      </c>
      <c r="G61" s="19">
        <v>890</v>
      </c>
      <c r="H61" s="19">
        <f>Residential!H61</f>
        <v>270594.55951392389</v>
      </c>
      <c r="I61" s="10">
        <f t="shared" si="1"/>
        <v>2373840.241712031</v>
      </c>
      <c r="J61" s="56"/>
    </row>
    <row r="62" spans="1:32" x14ac:dyDescent="0.2">
      <c r="A62" s="3">
        <v>40513</v>
      </c>
      <c r="B62" s="29">
        <f>'[5]Consumption Data '!H113</f>
        <v>2808483</v>
      </c>
      <c r="C62" s="25">
        <f>Residential!C62</f>
        <v>676.2</v>
      </c>
      <c r="D62" s="25">
        <f>Residential!D62</f>
        <v>0</v>
      </c>
      <c r="E62" s="19">
        <v>0</v>
      </c>
      <c r="F62" s="19">
        <v>31</v>
      </c>
      <c r="G62" s="19">
        <v>892</v>
      </c>
      <c r="H62" s="19">
        <f>Residential!H62</f>
        <v>256105.58010197504</v>
      </c>
      <c r="I62" s="10">
        <f t="shared" si="1"/>
        <v>2719760.3917991975</v>
      </c>
      <c r="J62" s="56"/>
    </row>
    <row r="63" spans="1:32" x14ac:dyDescent="0.2">
      <c r="A63" s="3">
        <v>40544</v>
      </c>
      <c r="B63" s="29">
        <f>'[5]Consumption Data '!H114</f>
        <v>2916087</v>
      </c>
      <c r="C63" s="25">
        <f>Residential!C63</f>
        <v>775.3</v>
      </c>
      <c r="D63" s="25">
        <f>Residential!D63</f>
        <v>0</v>
      </c>
      <c r="E63" s="19">
        <v>0</v>
      </c>
      <c r="F63" s="93">
        <v>31</v>
      </c>
      <c r="G63" s="19">
        <v>893</v>
      </c>
      <c r="H63" s="19">
        <f ca="1">Residential!H63</f>
        <v>273777.08121865243</v>
      </c>
      <c r="I63" s="10">
        <f t="shared" si="1"/>
        <v>2799393.8780604182</v>
      </c>
      <c r="J63" s="56"/>
    </row>
    <row r="64" spans="1:32" x14ac:dyDescent="0.2">
      <c r="A64" s="3">
        <v>40575</v>
      </c>
      <c r="B64" s="29">
        <f>'[5]Consumption Data '!H115</f>
        <v>2595862</v>
      </c>
      <c r="C64" s="25">
        <f>Residential!C64</f>
        <v>654.20000000000005</v>
      </c>
      <c r="D64" s="25">
        <f>Residential!D64</f>
        <v>0</v>
      </c>
      <c r="E64" s="19">
        <v>0</v>
      </c>
      <c r="F64" s="93">
        <v>28</v>
      </c>
      <c r="G64" s="19">
        <v>891</v>
      </c>
      <c r="H64" s="19">
        <f ca="1">Residential!H64</f>
        <v>291448.58233532979</v>
      </c>
      <c r="I64" s="10">
        <f t="shared" si="1"/>
        <v>2505675.6693980703</v>
      </c>
      <c r="J64" s="56"/>
    </row>
    <row r="65" spans="1:10" x14ac:dyDescent="0.2">
      <c r="A65" s="3">
        <v>40603</v>
      </c>
      <c r="B65" s="29">
        <f>'[5]Consumption Data '!H116</f>
        <v>2660869</v>
      </c>
      <c r="C65" s="25">
        <f>Residential!C65</f>
        <v>572.79999999999995</v>
      </c>
      <c r="D65" s="25">
        <f>Residential!D65</f>
        <v>0</v>
      </c>
      <c r="E65" s="19">
        <v>1</v>
      </c>
      <c r="F65" s="93">
        <v>31</v>
      </c>
      <c r="G65" s="19">
        <v>894</v>
      </c>
      <c r="H65" s="19">
        <f ca="1">Residential!H65</f>
        <v>309120.08345200715</v>
      </c>
      <c r="I65" s="10">
        <f t="shared" si="1"/>
        <v>2576463.4138679435</v>
      </c>
      <c r="J65" s="56"/>
    </row>
    <row r="66" spans="1:10" x14ac:dyDescent="0.2">
      <c r="A66" s="3">
        <v>40634</v>
      </c>
      <c r="B66" s="29">
        <f>'[5]Consumption Data '!H117</f>
        <v>2340953</v>
      </c>
      <c r="C66" s="25">
        <f>Residential!C66</f>
        <v>332.3</v>
      </c>
      <c r="D66" s="25">
        <f>Residential!D66</f>
        <v>0</v>
      </c>
      <c r="E66" s="19">
        <v>1</v>
      </c>
      <c r="F66" s="93">
        <v>30</v>
      </c>
      <c r="G66" s="19">
        <v>894</v>
      </c>
      <c r="H66" s="19">
        <f ca="1">Residential!H66</f>
        <v>326791.58456868451</v>
      </c>
      <c r="I66" s="10">
        <f t="shared" si="1"/>
        <v>2321086.5216874909</v>
      </c>
      <c r="J66" s="56"/>
    </row>
    <row r="67" spans="1:10" x14ac:dyDescent="0.2">
      <c r="A67" s="3">
        <v>40664</v>
      </c>
      <c r="B67" s="29">
        <f>'[5]Consumption Data '!H118</f>
        <v>2315445</v>
      </c>
      <c r="C67" s="25">
        <f>Residential!C67</f>
        <v>134.1</v>
      </c>
      <c r="D67" s="25">
        <f>Residential!D67</f>
        <v>13</v>
      </c>
      <c r="E67" s="19">
        <v>1</v>
      </c>
      <c r="F67" s="93">
        <v>31</v>
      </c>
      <c r="G67" s="19">
        <v>894</v>
      </c>
      <c r="H67" s="19">
        <f ca="1">Residential!H67</f>
        <v>344463.08568536188</v>
      </c>
      <c r="I67" s="10">
        <f t="shared" ref="I67:I98" si="2">$M$18+C67*$M$19+D67*$M$20+E67*$M$21+F67*$M$22+$M$23*G67</f>
        <v>2265783.048155841</v>
      </c>
      <c r="J67" s="56"/>
    </row>
    <row r="68" spans="1:10" x14ac:dyDescent="0.2">
      <c r="A68" s="3">
        <v>40695</v>
      </c>
      <c r="B68" s="29">
        <f>'[5]Consumption Data '!H119</f>
        <v>2399956</v>
      </c>
      <c r="C68" s="25">
        <f>Residential!C68</f>
        <v>19</v>
      </c>
      <c r="D68" s="25">
        <f>Residential!D68</f>
        <v>52.2</v>
      </c>
      <c r="E68" s="19">
        <v>0</v>
      </c>
      <c r="F68" s="93">
        <v>30</v>
      </c>
      <c r="G68" s="19">
        <v>896</v>
      </c>
      <c r="H68" s="19">
        <f ca="1">Residential!H68</f>
        <v>362134.58680203924</v>
      </c>
      <c r="I68" s="10">
        <f t="shared" si="2"/>
        <v>2285623.9965552324</v>
      </c>
      <c r="J68" s="56"/>
    </row>
    <row r="69" spans="1:10" x14ac:dyDescent="0.2">
      <c r="A69" s="3">
        <v>40725</v>
      </c>
      <c r="B69" s="29">
        <f>'[5]Consumption Data '!H120</f>
        <v>2786776</v>
      </c>
      <c r="C69" s="25">
        <f>Residential!C69</f>
        <v>0</v>
      </c>
      <c r="D69" s="25">
        <f>Residential!D69</f>
        <v>198.5</v>
      </c>
      <c r="E69" s="19">
        <v>0</v>
      </c>
      <c r="F69" s="93">
        <v>31</v>
      </c>
      <c r="G69" s="19">
        <v>899</v>
      </c>
      <c r="H69" s="19">
        <f ca="1">Residential!H69</f>
        <v>379806.0879187166</v>
      </c>
      <c r="I69" s="10">
        <f t="shared" si="2"/>
        <v>2748267.6147284075</v>
      </c>
      <c r="J69" s="56"/>
    </row>
    <row r="70" spans="1:10" x14ac:dyDescent="0.2">
      <c r="A70" s="3">
        <v>40756</v>
      </c>
      <c r="B70" s="29">
        <f>'[5]Consumption Data '!H121</f>
        <v>2615109</v>
      </c>
      <c r="C70" s="25">
        <f>Residential!C70</f>
        <v>0</v>
      </c>
      <c r="D70" s="25">
        <f>Residential!D70</f>
        <v>122.2</v>
      </c>
      <c r="E70" s="19">
        <v>0</v>
      </c>
      <c r="F70" s="93">
        <v>31</v>
      </c>
      <c r="G70" s="19">
        <v>900</v>
      </c>
      <c r="H70" s="19">
        <f ca="1">Residential!H70</f>
        <v>397477.58903539396</v>
      </c>
      <c r="I70" s="10">
        <f t="shared" si="2"/>
        <v>2536320.0778402817</v>
      </c>
      <c r="J70" s="56"/>
    </row>
    <row r="71" spans="1:10" x14ac:dyDescent="0.2">
      <c r="A71" s="3">
        <v>40787</v>
      </c>
      <c r="B71" s="29">
        <f>'[5]Consumption Data '!H122</f>
        <v>2322637</v>
      </c>
      <c r="C71" s="25">
        <f>Residential!C71</f>
        <v>48.2</v>
      </c>
      <c r="D71" s="25">
        <f>Residential!D71</f>
        <v>39.700000000000003</v>
      </c>
      <c r="E71" s="19">
        <v>1</v>
      </c>
      <c r="F71" s="93">
        <v>30</v>
      </c>
      <c r="G71" s="19">
        <v>905</v>
      </c>
      <c r="H71" s="19">
        <f ca="1">Residential!H71</f>
        <v>415149.09015207132</v>
      </c>
      <c r="I71" s="10">
        <f t="shared" si="2"/>
        <v>2221013.5441750875</v>
      </c>
      <c r="J71" s="56"/>
    </row>
    <row r="72" spans="1:10" x14ac:dyDescent="0.2">
      <c r="A72" s="3">
        <v>40817</v>
      </c>
      <c r="B72" s="29">
        <f>'[5]Consumption Data '!H123</f>
        <v>2383183</v>
      </c>
      <c r="C72" s="25">
        <f>Residential!C72</f>
        <v>235.5</v>
      </c>
      <c r="D72" s="25">
        <f>Residential!D72</f>
        <v>2.4</v>
      </c>
      <c r="E72" s="19">
        <v>1</v>
      </c>
      <c r="F72" s="93">
        <v>31</v>
      </c>
      <c r="G72" s="19">
        <v>907</v>
      </c>
      <c r="H72" s="19">
        <f ca="1">Residential!H72</f>
        <v>432820.59126874869</v>
      </c>
      <c r="I72" s="10">
        <f t="shared" si="2"/>
        <v>2332581.9111057352</v>
      </c>
      <c r="J72" s="56"/>
    </row>
    <row r="73" spans="1:10" x14ac:dyDescent="0.2">
      <c r="A73" s="3">
        <v>40848</v>
      </c>
      <c r="B73" s="29">
        <f>'[5]Consumption Data '!H124</f>
        <v>2441092</v>
      </c>
      <c r="C73" s="25">
        <f>Residential!C73</f>
        <v>342.1</v>
      </c>
      <c r="D73" s="25">
        <f>Residential!D73</f>
        <v>0</v>
      </c>
      <c r="E73" s="19">
        <v>1</v>
      </c>
      <c r="F73" s="93">
        <v>30</v>
      </c>
      <c r="G73" s="19">
        <v>902</v>
      </c>
      <c r="H73" s="19">
        <f ca="1">Residential!H73</f>
        <v>450492.09238542605</v>
      </c>
      <c r="I73" s="10">
        <f t="shared" si="2"/>
        <v>2338814.3143137768</v>
      </c>
      <c r="J73" s="56"/>
    </row>
    <row r="74" spans="1:10" x14ac:dyDescent="0.2">
      <c r="A74" s="3">
        <v>40878</v>
      </c>
      <c r="B74" s="29">
        <f>'[5]Consumption Data '!H125</f>
        <v>2685737</v>
      </c>
      <c r="C74" s="25">
        <f>Residential!C74</f>
        <v>534</v>
      </c>
      <c r="D74" s="25">
        <f>Residential!D74</f>
        <v>0</v>
      </c>
      <c r="E74" s="19">
        <v>0</v>
      </c>
      <c r="F74" s="93">
        <v>31</v>
      </c>
      <c r="G74" s="19">
        <v>904</v>
      </c>
      <c r="H74" s="19">
        <f ca="1">Residential!H74</f>
        <v>468163.59350210341</v>
      </c>
      <c r="I74" s="10">
        <f t="shared" si="2"/>
        <v>2622246.7661894304</v>
      </c>
      <c r="J74" s="56"/>
    </row>
    <row r="75" spans="1:10" x14ac:dyDescent="0.2">
      <c r="A75" s="3">
        <v>40909</v>
      </c>
      <c r="C75" s="94">
        <f>(C3+C15+C27+C39+C51+C63)/6</f>
        <v>691.31666666666672</v>
      </c>
      <c r="D75" s="94">
        <f>(D3+D15+D27+D39+D51+D63)/6</f>
        <v>0</v>
      </c>
      <c r="E75" s="19">
        <v>0</v>
      </c>
      <c r="F75" s="19">
        <v>31</v>
      </c>
      <c r="G75" s="19">
        <f>($G$80-$G$74)/6+G74</f>
        <v>903.8011812477074</v>
      </c>
      <c r="H75" s="19">
        <f ca="1">Residential!H75</f>
        <v>466312.70107880258</v>
      </c>
      <c r="I75" s="10">
        <f t="shared" si="2"/>
        <v>2746433.7263917839</v>
      </c>
      <c r="J75" s="56"/>
    </row>
    <row r="76" spans="1:10" x14ac:dyDescent="0.2">
      <c r="A76" s="3">
        <v>40940</v>
      </c>
      <c r="C76" s="94">
        <f t="shared" ref="C76:D86" si="3">(C4+C16+C28+C40+C52+C64)/6</f>
        <v>646.33333333333337</v>
      </c>
      <c r="D76" s="94">
        <f t="shared" si="3"/>
        <v>0</v>
      </c>
      <c r="E76" s="19">
        <v>0</v>
      </c>
      <c r="F76" s="19">
        <v>29</v>
      </c>
      <c r="G76" s="19">
        <f>($G$80-$G$74)/6+G75</f>
        <v>903.60236249541481</v>
      </c>
      <c r="H76" s="19">
        <f ca="1">Residential!H76</f>
        <v>464461.80865550175</v>
      </c>
      <c r="I76" s="10">
        <f t="shared" si="2"/>
        <v>2580314.0097211921</v>
      </c>
      <c r="J76" s="56"/>
    </row>
    <row r="77" spans="1:10" x14ac:dyDescent="0.2">
      <c r="A77" s="3">
        <v>40969</v>
      </c>
      <c r="C77" s="94">
        <f t="shared" si="3"/>
        <v>533.81666666666672</v>
      </c>
      <c r="D77" s="94">
        <f t="shared" si="3"/>
        <v>0</v>
      </c>
      <c r="E77" s="19">
        <v>1</v>
      </c>
      <c r="F77" s="19">
        <v>31</v>
      </c>
      <c r="G77" s="19">
        <f>($G$80-$G$74)/6+G76</f>
        <v>903.40354374312221</v>
      </c>
      <c r="H77" s="19">
        <f ca="1">Residential!H77</f>
        <v>462610.91623220092</v>
      </c>
      <c r="I77" s="10">
        <f t="shared" si="2"/>
        <v>2557354.639781571</v>
      </c>
      <c r="J77" s="56"/>
    </row>
    <row r="78" spans="1:10" x14ac:dyDescent="0.2">
      <c r="A78" s="3">
        <v>41000</v>
      </c>
      <c r="C78" s="94">
        <f t="shared" si="3"/>
        <v>294.46666666666664</v>
      </c>
      <c r="D78" s="94">
        <f t="shared" si="3"/>
        <v>0.19999999999999998</v>
      </c>
      <c r="E78" s="19">
        <v>1</v>
      </c>
      <c r="F78" s="19">
        <v>30</v>
      </c>
      <c r="G78" s="19">
        <f>($G$80-$G$74)/6+G77</f>
        <v>903.20472499082962</v>
      </c>
      <c r="H78" s="19">
        <f ca="1">Residential!H78</f>
        <v>460760.02380890009</v>
      </c>
      <c r="I78" s="10">
        <f t="shared" si="2"/>
        <v>2303198.2802251726</v>
      </c>
      <c r="J78" s="56"/>
    </row>
    <row r="79" spans="1:10" x14ac:dyDescent="0.2">
      <c r="A79" s="3">
        <v>41030</v>
      </c>
      <c r="C79" s="94">
        <f t="shared" si="3"/>
        <v>144.6</v>
      </c>
      <c r="D79" s="94">
        <f t="shared" si="3"/>
        <v>19.416666666666668</v>
      </c>
      <c r="E79" s="19">
        <v>1</v>
      </c>
      <c r="F79" s="19">
        <v>31</v>
      </c>
      <c r="G79" s="19">
        <f>($G$80-$G$74)/6+G78</f>
        <v>903.00590623853702</v>
      </c>
      <c r="H79" s="19">
        <f ca="1">Residential!H79</f>
        <v>458909.13138559926</v>
      </c>
      <c r="I79" s="10">
        <f t="shared" si="2"/>
        <v>2303248.119497404</v>
      </c>
      <c r="J79" s="56"/>
    </row>
    <row r="80" spans="1:10" x14ac:dyDescent="0.2">
      <c r="A80" s="3">
        <v>41061</v>
      </c>
      <c r="C80" s="94">
        <f t="shared" si="3"/>
        <v>24.783333333333331</v>
      </c>
      <c r="D80" s="94">
        <f t="shared" si="3"/>
        <v>64.899999999999991</v>
      </c>
      <c r="E80" s="19">
        <v>0</v>
      </c>
      <c r="F80" s="19">
        <v>30</v>
      </c>
      <c r="G80" s="19">
        <f>'Rate Class Customer Model'!C13</f>
        <v>902.80708748624443</v>
      </c>
      <c r="H80" s="19">
        <f ca="1">Residential!H80</f>
        <v>457058.23896229843</v>
      </c>
      <c r="I80" s="10">
        <f t="shared" si="2"/>
        <v>2334172.9438106511</v>
      </c>
      <c r="J80" s="56"/>
    </row>
    <row r="81" spans="1:10" x14ac:dyDescent="0.2">
      <c r="A81" s="3">
        <v>41091</v>
      </c>
      <c r="C81" s="94">
        <f t="shared" si="3"/>
        <v>2.0333333333333337</v>
      </c>
      <c r="D81" s="94">
        <f t="shared" si="3"/>
        <v>131.91666666666666</v>
      </c>
      <c r="E81" s="19">
        <v>0</v>
      </c>
      <c r="F81" s="19">
        <v>31</v>
      </c>
      <c r="G81" s="19">
        <f>($G$92-$G$80)/12+G80</f>
        <v>903.37865434150115</v>
      </c>
      <c r="H81" s="19">
        <f ca="1">Residential!H81</f>
        <v>455207.3465389976</v>
      </c>
      <c r="I81" s="10">
        <f t="shared" si="2"/>
        <v>2569291.5982523509</v>
      </c>
      <c r="J81" s="56"/>
    </row>
    <row r="82" spans="1:10" x14ac:dyDescent="0.2">
      <c r="A82" s="3">
        <v>41122</v>
      </c>
      <c r="C82" s="94">
        <f t="shared" si="3"/>
        <v>5.666666666666667</v>
      </c>
      <c r="D82" s="94">
        <f t="shared" si="3"/>
        <v>109.76666666666669</v>
      </c>
      <c r="E82" s="19">
        <v>0</v>
      </c>
      <c r="F82" s="19">
        <v>31</v>
      </c>
      <c r="G82" s="19">
        <f t="shared" ref="G82:G98" si="4">($G$92-$G$80)/12+G81</f>
        <v>903.95022119675787</v>
      </c>
      <c r="H82" s="19">
        <f ca="1">Residential!H82</f>
        <v>453356.45411569678</v>
      </c>
      <c r="I82" s="10">
        <f t="shared" si="2"/>
        <v>2510987.5729181953</v>
      </c>
      <c r="J82" s="56"/>
    </row>
    <row r="83" spans="1:10" x14ac:dyDescent="0.2">
      <c r="A83" s="3">
        <v>41153</v>
      </c>
      <c r="C83" s="94">
        <f t="shared" si="3"/>
        <v>59.716666666666669</v>
      </c>
      <c r="D83" s="94">
        <f t="shared" si="3"/>
        <v>29.866666666666664</v>
      </c>
      <c r="E83" s="19">
        <v>1</v>
      </c>
      <c r="F83" s="19">
        <v>30</v>
      </c>
      <c r="G83" s="19">
        <f t="shared" si="4"/>
        <v>904.52178805201459</v>
      </c>
      <c r="H83" s="19">
        <f ca="1">Residential!H83</f>
        <v>451505.56169239595</v>
      </c>
      <c r="I83" s="10">
        <f t="shared" si="2"/>
        <v>2202050.7724612602</v>
      </c>
      <c r="J83" s="56"/>
    </row>
    <row r="84" spans="1:10" x14ac:dyDescent="0.2">
      <c r="A84" s="3">
        <v>41183</v>
      </c>
      <c r="C84" s="94">
        <f t="shared" si="3"/>
        <v>244.91666666666666</v>
      </c>
      <c r="D84" s="94">
        <f t="shared" si="3"/>
        <v>3.8833333333333333</v>
      </c>
      <c r="E84" s="19">
        <v>1</v>
      </c>
      <c r="F84" s="19">
        <v>31</v>
      </c>
      <c r="G84" s="19">
        <f t="shared" si="4"/>
        <v>905.0933549072713</v>
      </c>
      <c r="H84" s="19">
        <f ca="1">Residential!H84</f>
        <v>449654.66926909512</v>
      </c>
      <c r="I84" s="10">
        <f t="shared" si="2"/>
        <v>2341797.3896542327</v>
      </c>
      <c r="J84" s="56"/>
    </row>
    <row r="85" spans="1:10" x14ac:dyDescent="0.2">
      <c r="A85" s="3">
        <v>41214</v>
      </c>
      <c r="C85" s="94">
        <f t="shared" si="3"/>
        <v>400.81666666666666</v>
      </c>
      <c r="D85" s="94">
        <f t="shared" si="3"/>
        <v>0</v>
      </c>
      <c r="E85" s="19">
        <v>1</v>
      </c>
      <c r="F85" s="19">
        <v>30</v>
      </c>
      <c r="G85" s="19">
        <f t="shared" si="4"/>
        <v>905.66492176252802</v>
      </c>
      <c r="H85" s="19">
        <f ca="1">Residential!H85</f>
        <v>447803.77684579429</v>
      </c>
      <c r="I85" s="10">
        <f t="shared" si="2"/>
        <v>2389828.4581340188</v>
      </c>
      <c r="J85" s="56"/>
    </row>
    <row r="86" spans="1:10" x14ac:dyDescent="0.2">
      <c r="A86" s="3">
        <v>41244</v>
      </c>
      <c r="C86" s="94">
        <f t="shared" si="3"/>
        <v>604.55000000000007</v>
      </c>
      <c r="D86" s="94">
        <f t="shared" si="3"/>
        <v>0</v>
      </c>
      <c r="E86" s="19">
        <v>0</v>
      </c>
      <c r="F86" s="19">
        <v>31</v>
      </c>
      <c r="G86" s="19">
        <f t="shared" si="4"/>
        <v>906.23648861778474</v>
      </c>
      <c r="H86" s="19">
        <f ca="1">Residential!H86</f>
        <v>445952.88442249346</v>
      </c>
      <c r="I86" s="10">
        <f t="shared" si="2"/>
        <v>2680839.5980335223</v>
      </c>
      <c r="J86" s="56"/>
    </row>
    <row r="87" spans="1:10" x14ac:dyDescent="0.2">
      <c r="A87" s="3">
        <v>41275</v>
      </c>
      <c r="C87" s="94">
        <f>C75</f>
        <v>691.31666666666672</v>
      </c>
      <c r="D87" s="94">
        <f>D75</f>
        <v>0</v>
      </c>
      <c r="E87" s="19">
        <v>0</v>
      </c>
      <c r="F87" s="19">
        <v>31</v>
      </c>
      <c r="G87" s="19">
        <f t="shared" si="4"/>
        <v>906.80805547304146</v>
      </c>
      <c r="H87" s="19">
        <f ca="1">Residential!H87</f>
        <v>461549.92705584702</v>
      </c>
      <c r="I87" s="10">
        <f t="shared" si="2"/>
        <v>2750183.3564759418</v>
      </c>
      <c r="J87" s="56"/>
    </row>
    <row r="88" spans="1:10" x14ac:dyDescent="0.2">
      <c r="A88" s="3">
        <v>41306</v>
      </c>
      <c r="C88" s="94">
        <f t="shared" ref="C88:D98" si="5">C76</f>
        <v>646.33333333333337</v>
      </c>
      <c r="D88" s="94">
        <f t="shared" si="5"/>
        <v>0</v>
      </c>
      <c r="E88" s="19">
        <v>0</v>
      </c>
      <c r="F88" s="19">
        <v>28</v>
      </c>
      <c r="G88" s="19">
        <f t="shared" si="4"/>
        <v>907.37962232829818</v>
      </c>
      <c r="H88" s="19">
        <f ca="1">Residential!H88</f>
        <v>477146.96968920057</v>
      </c>
      <c r="I88" s="10">
        <f t="shared" si="2"/>
        <v>2519878.9702787763</v>
      </c>
      <c r="J88" s="56"/>
    </row>
    <row r="89" spans="1:10" x14ac:dyDescent="0.2">
      <c r="A89" s="3">
        <v>41334</v>
      </c>
      <c r="C89" s="94">
        <f t="shared" si="5"/>
        <v>533.81666666666672</v>
      </c>
      <c r="D89" s="94">
        <f t="shared" si="5"/>
        <v>0</v>
      </c>
      <c r="E89" s="19">
        <v>1</v>
      </c>
      <c r="F89" s="19">
        <v>31</v>
      </c>
      <c r="G89" s="19">
        <f t="shared" si="4"/>
        <v>907.9511891835549</v>
      </c>
      <c r="H89" s="19">
        <f ca="1">Residential!H89</f>
        <v>492744.01232255413</v>
      </c>
      <c r="I89" s="10">
        <f t="shared" si="2"/>
        <v>2563025.6412527524</v>
      </c>
      <c r="J89" s="56"/>
    </row>
    <row r="90" spans="1:10" x14ac:dyDescent="0.2">
      <c r="A90" s="3">
        <v>41365</v>
      </c>
      <c r="C90" s="94">
        <f t="shared" si="5"/>
        <v>294.46666666666664</v>
      </c>
      <c r="D90" s="94">
        <f t="shared" si="5"/>
        <v>0.19999999999999998</v>
      </c>
      <c r="E90" s="19">
        <v>1</v>
      </c>
      <c r="F90" s="19">
        <v>30</v>
      </c>
      <c r="G90" s="19">
        <f t="shared" si="4"/>
        <v>908.52275603881162</v>
      </c>
      <c r="H90" s="19">
        <f ca="1">Residential!H90</f>
        <v>508341.05495590769</v>
      </c>
      <c r="I90" s="10">
        <f t="shared" si="2"/>
        <v>2309829.9673898667</v>
      </c>
      <c r="J90" s="56"/>
    </row>
    <row r="91" spans="1:10" x14ac:dyDescent="0.2">
      <c r="A91" s="3">
        <v>41395</v>
      </c>
      <c r="C91" s="94">
        <f t="shared" si="5"/>
        <v>144.6</v>
      </c>
      <c r="D91" s="94">
        <f t="shared" si="5"/>
        <v>19.416666666666668</v>
      </c>
      <c r="E91" s="19">
        <v>1</v>
      </c>
      <c r="F91" s="19">
        <v>31</v>
      </c>
      <c r="G91" s="19">
        <f t="shared" si="4"/>
        <v>909.09432289406834</v>
      </c>
      <c r="H91" s="19">
        <f ca="1">Residential!H91</f>
        <v>523938.09758926125</v>
      </c>
      <c r="I91" s="10">
        <f t="shared" si="2"/>
        <v>2310840.4923556102</v>
      </c>
      <c r="J91" s="56"/>
    </row>
    <row r="92" spans="1:10" x14ac:dyDescent="0.2">
      <c r="A92" s="3">
        <v>41426</v>
      </c>
      <c r="C92" s="94">
        <f t="shared" si="5"/>
        <v>24.783333333333331</v>
      </c>
      <c r="D92" s="94">
        <f t="shared" si="5"/>
        <v>64.899999999999991</v>
      </c>
      <c r="E92" s="19">
        <v>0</v>
      </c>
      <c r="F92" s="19">
        <v>30</v>
      </c>
      <c r="G92" s="19">
        <f>'Rate Class Customer Model'!C14</f>
        <v>909.66588974932517</v>
      </c>
      <c r="H92" s="19">
        <f ca="1">Residential!H92</f>
        <v>539535.14022261475</v>
      </c>
      <c r="I92" s="10">
        <f t="shared" si="2"/>
        <v>2342726.0023623696</v>
      </c>
      <c r="J92" s="56"/>
    </row>
    <row r="93" spans="1:10" x14ac:dyDescent="0.2">
      <c r="A93" s="3">
        <v>41456</v>
      </c>
      <c r="C93" s="94">
        <f t="shared" si="5"/>
        <v>2.0333333333333337</v>
      </c>
      <c r="D93" s="94">
        <f t="shared" si="5"/>
        <v>131.91666666666666</v>
      </c>
      <c r="E93" s="19">
        <v>0</v>
      </c>
      <c r="F93" s="19">
        <v>31</v>
      </c>
      <c r="G93" s="19">
        <f t="shared" si="4"/>
        <v>910.23745660458189</v>
      </c>
      <c r="H93" s="19">
        <f ca="1">Residential!H93</f>
        <v>555132.18285596825</v>
      </c>
      <c r="I93" s="10">
        <f t="shared" si="2"/>
        <v>2577844.6568040699</v>
      </c>
      <c r="J93" s="56"/>
    </row>
    <row r="94" spans="1:10" x14ac:dyDescent="0.2">
      <c r="A94" s="3">
        <v>41487</v>
      </c>
      <c r="C94" s="94">
        <f t="shared" si="5"/>
        <v>5.666666666666667</v>
      </c>
      <c r="D94" s="94">
        <f t="shared" si="5"/>
        <v>109.76666666666669</v>
      </c>
      <c r="E94" s="19">
        <v>0</v>
      </c>
      <c r="F94" s="19">
        <v>31</v>
      </c>
      <c r="G94" s="19">
        <f t="shared" si="4"/>
        <v>910.80902345983861</v>
      </c>
      <c r="H94" s="19">
        <f ca="1">Residential!H94</f>
        <v>570729.22548932175</v>
      </c>
      <c r="I94" s="10">
        <f t="shared" si="2"/>
        <v>2519540.6314699138</v>
      </c>
      <c r="J94" s="56"/>
    </row>
    <row r="95" spans="1:10" x14ac:dyDescent="0.2">
      <c r="A95" s="3">
        <v>41518</v>
      </c>
      <c r="C95" s="94">
        <f t="shared" si="5"/>
        <v>59.716666666666669</v>
      </c>
      <c r="D95" s="94">
        <f t="shared" si="5"/>
        <v>29.866666666666664</v>
      </c>
      <c r="E95" s="19">
        <v>1</v>
      </c>
      <c r="F95" s="19">
        <v>30</v>
      </c>
      <c r="G95" s="19">
        <f t="shared" si="4"/>
        <v>911.38059031509533</v>
      </c>
      <c r="H95" s="19">
        <f ca="1">Residential!H95</f>
        <v>586326.26812267525</v>
      </c>
      <c r="I95" s="10">
        <f t="shared" si="2"/>
        <v>2210603.8310129787</v>
      </c>
      <c r="J95" s="56"/>
    </row>
    <row r="96" spans="1:10" x14ac:dyDescent="0.2">
      <c r="A96" s="3">
        <v>41548</v>
      </c>
      <c r="C96" s="94">
        <f t="shared" si="5"/>
        <v>244.91666666666666</v>
      </c>
      <c r="D96" s="94">
        <f t="shared" si="5"/>
        <v>3.8833333333333333</v>
      </c>
      <c r="E96" s="19">
        <v>1</v>
      </c>
      <c r="F96" s="19">
        <v>31</v>
      </c>
      <c r="G96" s="19">
        <f t="shared" si="4"/>
        <v>911.95215717035205</v>
      </c>
      <c r="H96" s="19">
        <f ca="1">Residential!H96</f>
        <v>601923.31075602875</v>
      </c>
      <c r="I96" s="10">
        <f t="shared" si="2"/>
        <v>2350350.4482059516</v>
      </c>
      <c r="J96" s="56"/>
    </row>
    <row r="97" spans="1:26" x14ac:dyDescent="0.2">
      <c r="A97" s="3">
        <v>41579</v>
      </c>
      <c r="C97" s="94">
        <f t="shared" si="5"/>
        <v>400.81666666666666</v>
      </c>
      <c r="D97" s="94">
        <f t="shared" si="5"/>
        <v>0</v>
      </c>
      <c r="E97" s="19">
        <v>1</v>
      </c>
      <c r="F97" s="19">
        <v>30</v>
      </c>
      <c r="G97" s="19">
        <f t="shared" si="4"/>
        <v>912.52372402560877</v>
      </c>
      <c r="H97" s="19">
        <f ca="1">Residential!H97</f>
        <v>617520.35338938225</v>
      </c>
      <c r="I97" s="10">
        <f t="shared" si="2"/>
        <v>2398381.5166857373</v>
      </c>
      <c r="J97" s="56"/>
    </row>
    <row r="98" spans="1:26" x14ac:dyDescent="0.2">
      <c r="A98" s="3">
        <v>41609</v>
      </c>
      <c r="C98" s="94">
        <f t="shared" si="5"/>
        <v>604.55000000000007</v>
      </c>
      <c r="D98" s="94">
        <f t="shared" si="5"/>
        <v>0</v>
      </c>
      <c r="E98" s="19">
        <v>0</v>
      </c>
      <c r="F98" s="19">
        <v>31</v>
      </c>
      <c r="G98" s="19">
        <f t="shared" si="4"/>
        <v>913.09529088086549</v>
      </c>
      <c r="H98" s="19">
        <f ca="1">Residential!H98</f>
        <v>633117.39602273575</v>
      </c>
      <c r="I98" s="10">
        <f t="shared" si="2"/>
        <v>2689392.6565852407</v>
      </c>
      <c r="J98" s="56"/>
    </row>
    <row r="99" spans="1:26" x14ac:dyDescent="0.2">
      <c r="A99" s="3"/>
      <c r="X99" s="11"/>
      <c r="Y99" s="11"/>
      <c r="Z99" s="11"/>
    </row>
    <row r="100" spans="1:26" x14ac:dyDescent="0.2">
      <c r="A100" s="3"/>
      <c r="D100" s="25" t="s">
        <v>14</v>
      </c>
      <c r="I100" s="56">
        <f>SUM(I3:I99)</f>
        <v>231375418.27976051</v>
      </c>
    </row>
    <row r="101" spans="1:26" x14ac:dyDescent="0.2">
      <c r="A101" s="3"/>
    </row>
    <row r="102" spans="1:26" x14ac:dyDescent="0.2">
      <c r="A102" s="18">
        <v>2002</v>
      </c>
      <c r="I102" s="6"/>
      <c r="J102" s="41"/>
      <c r="K102" s="5"/>
    </row>
    <row r="103" spans="1:26" x14ac:dyDescent="0.2">
      <c r="A103" s="18">
        <v>2003</v>
      </c>
      <c r="I103" s="6"/>
      <c r="J103" s="41"/>
      <c r="K103" s="5"/>
    </row>
    <row r="104" spans="1:26" x14ac:dyDescent="0.2">
      <c r="A104">
        <v>2004</v>
      </c>
      <c r="I104" s="6"/>
      <c r="J104" s="41"/>
      <c r="K104" s="5"/>
    </row>
    <row r="105" spans="1:26" x14ac:dyDescent="0.2">
      <c r="A105" s="18">
        <v>2005</v>
      </c>
      <c r="I105" s="6"/>
      <c r="J105" s="41"/>
      <c r="K105" s="5"/>
      <c r="X105" s="11"/>
      <c r="Y105" s="11"/>
      <c r="Z105" s="11"/>
    </row>
    <row r="106" spans="1:26" x14ac:dyDescent="0.2">
      <c r="A106">
        <v>2006</v>
      </c>
      <c r="B106" s="29">
        <f>SUM(B3:B14)</f>
        <v>27133182</v>
      </c>
      <c r="I106" s="29">
        <f>SUM(I3:I14)</f>
        <v>28438962.857305139</v>
      </c>
      <c r="J106" s="41">
        <f t="shared" ref="J106:J111" si="6">I106-B106</f>
        <v>1305780.8573051393</v>
      </c>
      <c r="K106" s="5">
        <f t="shared" ref="K106:K111" si="7">J106/B106</f>
        <v>4.8124870032019811E-2</v>
      </c>
    </row>
    <row r="107" spans="1:26" x14ac:dyDescent="0.2">
      <c r="A107" s="18">
        <v>2007</v>
      </c>
      <c r="B107" s="29">
        <f>SUM(B15:B26)</f>
        <v>28586422</v>
      </c>
      <c r="I107" s="29">
        <f>SUM(I15:I26)</f>
        <v>28488979.101505119</v>
      </c>
      <c r="J107" s="41">
        <f t="shared" si="6"/>
        <v>-97442.898494880646</v>
      </c>
      <c r="K107" s="5">
        <f t="shared" si="7"/>
        <v>-3.4087126571797142E-3</v>
      </c>
    </row>
    <row r="108" spans="1:26" x14ac:dyDescent="0.2">
      <c r="A108">
        <v>2008</v>
      </c>
      <c r="B108" s="29">
        <f>SUM(B27:B38)</f>
        <v>28388527</v>
      </c>
      <c r="I108" s="29">
        <f>SUM(I27:I38)</f>
        <v>28421665.424395517</v>
      </c>
      <c r="J108" s="41">
        <f t="shared" si="6"/>
        <v>33138.424395516515</v>
      </c>
      <c r="K108" s="5">
        <f t="shared" si="7"/>
        <v>1.1673175010283737E-3</v>
      </c>
    </row>
    <row r="109" spans="1:26" x14ac:dyDescent="0.2">
      <c r="A109" s="18">
        <v>2009</v>
      </c>
      <c r="B109" s="29">
        <f>SUM(B39:B50)</f>
        <v>28318327</v>
      </c>
      <c r="I109" s="29">
        <f>SUM(I39:I50)</f>
        <v>28379650.791405722</v>
      </c>
      <c r="J109" s="41">
        <f t="shared" si="6"/>
        <v>61323.791405722499</v>
      </c>
      <c r="K109" s="5">
        <f t="shared" si="7"/>
        <v>2.1655160421631724E-3</v>
      </c>
    </row>
    <row r="110" spans="1:26" x14ac:dyDescent="0.2">
      <c r="A110">
        <v>2010</v>
      </c>
      <c r="B110" s="29">
        <f>SUM(B51:B62)</f>
        <v>29423139</v>
      </c>
      <c r="I110" s="29">
        <f>SUM(I51:I62)</f>
        <v>29030774.069310751</v>
      </c>
      <c r="J110" s="41">
        <f t="shared" si="6"/>
        <v>-392364.93068924919</v>
      </c>
      <c r="K110" s="5">
        <f t="shared" si="7"/>
        <v>-1.3335250555328212E-2</v>
      </c>
    </row>
    <row r="111" spans="1:26" x14ac:dyDescent="0.2">
      <c r="A111" s="18">
        <v>2011</v>
      </c>
      <c r="B111" s="29">
        <f>SUM(B63:B74)</f>
        <v>30463706</v>
      </c>
      <c r="I111" s="29">
        <f>SUM(I63:I74)</f>
        <v>29553270.756077718</v>
      </c>
      <c r="J111" s="41">
        <f t="shared" si="6"/>
        <v>-910435.24392228201</v>
      </c>
      <c r="K111" s="5">
        <f t="shared" si="7"/>
        <v>-2.9885899106375371E-2</v>
      </c>
    </row>
    <row r="112" spans="1:26" x14ac:dyDescent="0.2">
      <c r="A112" s="18">
        <v>2012</v>
      </c>
      <c r="I112" s="6">
        <f>SUM(I75:I86)</f>
        <v>29519517.108881354</v>
      </c>
    </row>
    <row r="113" spans="1:26" x14ac:dyDescent="0.2">
      <c r="A113" s="18">
        <v>2013</v>
      </c>
      <c r="I113" s="6">
        <f>SUM(I87:I98)</f>
        <v>29542598.170879208</v>
      </c>
    </row>
    <row r="114" spans="1:26" x14ac:dyDescent="0.2">
      <c r="I114" s="6"/>
    </row>
    <row r="115" spans="1:26" x14ac:dyDescent="0.2">
      <c r="A115" t="s">
        <v>84</v>
      </c>
      <c r="B115" s="29">
        <f>SUM(B102:B111)</f>
        <v>172313303</v>
      </c>
      <c r="I115" s="6">
        <f>SUM(I101:I111)</f>
        <v>172313302.99999994</v>
      </c>
      <c r="J115" s="6">
        <f>I115-B115</f>
        <v>0</v>
      </c>
    </row>
    <row r="117" spans="1:26" x14ac:dyDescent="0.2">
      <c r="I117" s="6">
        <f>SUM(I102:I113)</f>
        <v>231375418.27976051</v>
      </c>
      <c r="J117" s="56">
        <f>I100-I117</f>
        <v>0</v>
      </c>
    </row>
    <row r="118" spans="1:26" x14ac:dyDescent="0.2">
      <c r="I118" s="20"/>
      <c r="J118" s="20" t="s">
        <v>65</v>
      </c>
      <c r="K118" s="20"/>
    </row>
    <row r="120" spans="1:26" x14ac:dyDescent="0.2">
      <c r="X120" s="11"/>
      <c r="Y120" s="11"/>
      <c r="Z120" s="11"/>
    </row>
    <row r="132" spans="5:26" x14ac:dyDescent="0.2">
      <c r="X132" s="11"/>
      <c r="Y132" s="11"/>
      <c r="Z132" s="11"/>
    </row>
    <row r="134" spans="5:26" x14ac:dyDescent="0.2">
      <c r="E134" s="29"/>
      <c r="F134" s="29"/>
    </row>
  </sheetData>
  <phoneticPr fontId="0" type="noConversion"/>
  <pageMargins left="0.38" right="0.75" top="0.73" bottom="0.74" header="0.5" footer="0.5"/>
  <pageSetup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34"/>
  <sheetViews>
    <sheetView workbookViewId="0"/>
  </sheetViews>
  <sheetFormatPr defaultRowHeight="12.75" x14ac:dyDescent="0.2"/>
  <cols>
    <col min="1" max="1" width="11.85546875" customWidth="1"/>
    <col min="2" max="2" width="18" style="29" customWidth="1"/>
    <col min="3" max="3" width="11.7109375" style="25" customWidth="1"/>
    <col min="4" max="4" width="13.42578125" style="25" customWidth="1"/>
    <col min="5" max="5" width="10.140625" style="25" customWidth="1"/>
    <col min="6" max="7" width="12.42578125" style="25" customWidth="1"/>
    <col min="8" max="8" width="15.42578125" style="1" bestFit="1" customWidth="1"/>
    <col min="9" max="9" width="17" style="1" customWidth="1"/>
    <col min="10" max="10" width="12.42578125" style="1" customWidth="1"/>
    <col min="11" max="11" width="25.85546875" bestFit="1" customWidth="1"/>
    <col min="12" max="14" width="18" customWidth="1"/>
    <col min="15" max="15" width="17.140625" customWidth="1"/>
    <col min="16" max="17" width="15.7109375" customWidth="1"/>
    <col min="18" max="18" width="15" customWidth="1"/>
    <col min="19" max="20" width="14.140625" bestFit="1" customWidth="1"/>
    <col min="21" max="21" width="11.7109375" bestFit="1" customWidth="1"/>
    <col min="22" max="22" width="11.85546875" bestFit="1" customWidth="1"/>
    <col min="23" max="23" width="12.5703125" style="6" customWidth="1"/>
    <col min="24" max="24" width="11.28515625" style="6" customWidth="1"/>
    <col min="25" max="25" width="11.5703125" style="6" customWidth="1"/>
    <col min="26" max="26" width="9.28515625" style="6" customWidth="1"/>
    <col min="27" max="27" width="9.140625" style="6"/>
    <col min="28" max="28" width="11.7109375" style="6" bestFit="1" customWidth="1"/>
    <col min="29" max="29" width="10.7109375" style="6" bestFit="1" customWidth="1"/>
    <col min="30" max="31" width="9.140625" style="6"/>
  </cols>
  <sheetData>
    <row r="1" spans="1:25" x14ac:dyDescent="0.2">
      <c r="G1" s="51" t="s">
        <v>124</v>
      </c>
    </row>
    <row r="2" spans="1:25" ht="42" customHeight="1" x14ac:dyDescent="0.2">
      <c r="B2" s="91" t="s">
        <v>82</v>
      </c>
      <c r="C2" s="92" t="s">
        <v>3</v>
      </c>
      <c r="D2" s="92" t="s">
        <v>4</v>
      </c>
      <c r="E2" s="92" t="s">
        <v>5</v>
      </c>
      <c r="F2" s="92" t="s">
        <v>19</v>
      </c>
      <c r="G2" s="92" t="s">
        <v>67</v>
      </c>
      <c r="H2" s="12" t="s">
        <v>11</v>
      </c>
      <c r="I2" s="12" t="s">
        <v>12</v>
      </c>
      <c r="J2" s="12" t="s">
        <v>13</v>
      </c>
      <c r="K2" t="s">
        <v>20</v>
      </c>
      <c r="W2" s="9"/>
      <c r="X2" s="9"/>
      <c r="Y2" s="9"/>
    </row>
    <row r="3" spans="1:25" ht="13.5" thickBot="1" x14ac:dyDescent="0.25">
      <c r="A3" s="3">
        <v>38718</v>
      </c>
      <c r="B3" s="29">
        <f>'[5]Consumption Data '!L54</f>
        <v>3504488</v>
      </c>
      <c r="C3" s="25">
        <f>'GS &lt; 50 kW'!C3</f>
        <v>551.79999999999995</v>
      </c>
      <c r="D3" s="25">
        <f>'GS &lt; 50 kW'!D3</f>
        <v>0</v>
      </c>
      <c r="E3" s="19">
        <v>31</v>
      </c>
      <c r="F3" s="19">
        <v>0</v>
      </c>
      <c r="G3" s="19">
        <v>81</v>
      </c>
      <c r="H3" s="10"/>
      <c r="I3" s="10"/>
      <c r="J3" s="15"/>
    </row>
    <row r="4" spans="1:25" x14ac:dyDescent="0.2">
      <c r="A4" s="3">
        <v>38749</v>
      </c>
      <c r="B4" s="29">
        <f>'[5]Consumption Data '!L55</f>
        <v>3222615</v>
      </c>
      <c r="C4" s="25">
        <f>'GS &lt; 50 kW'!C4</f>
        <v>604.29999999999995</v>
      </c>
      <c r="D4" s="25">
        <f>'GS &lt; 50 kW'!D4</f>
        <v>0</v>
      </c>
      <c r="E4" s="19">
        <v>28</v>
      </c>
      <c r="F4" s="19">
        <v>0</v>
      </c>
      <c r="G4" s="19">
        <v>80</v>
      </c>
      <c r="H4" s="10"/>
      <c r="I4" s="10"/>
      <c r="J4" s="15"/>
      <c r="K4" s="63" t="s">
        <v>21</v>
      </c>
      <c r="L4" s="63"/>
    </row>
    <row r="5" spans="1:25" x14ac:dyDescent="0.2">
      <c r="A5" s="3">
        <v>38777</v>
      </c>
      <c r="B5" s="29">
        <f>'[5]Consumption Data '!L56</f>
        <v>3449527</v>
      </c>
      <c r="C5" s="25">
        <f>'GS &lt; 50 kW'!C5</f>
        <v>516.6</v>
      </c>
      <c r="D5" s="25">
        <f>'GS &lt; 50 kW'!D5</f>
        <v>0</v>
      </c>
      <c r="E5" s="19">
        <v>31</v>
      </c>
      <c r="F5" s="19">
        <v>1</v>
      </c>
      <c r="G5" s="19">
        <v>80</v>
      </c>
      <c r="H5" s="10"/>
      <c r="I5" s="10"/>
      <c r="J5" s="15"/>
      <c r="K5" s="40" t="s">
        <v>22</v>
      </c>
      <c r="L5" s="75">
        <v>0.28506923424767294</v>
      </c>
    </row>
    <row r="6" spans="1:25" x14ac:dyDescent="0.2">
      <c r="A6" s="3">
        <v>38808</v>
      </c>
      <c r="B6" s="29">
        <f>'[5]Consumption Data '!L57</f>
        <v>3144707</v>
      </c>
      <c r="C6" s="25">
        <f>'GS &lt; 50 kW'!C6</f>
        <v>293.3</v>
      </c>
      <c r="D6" s="25">
        <f>'GS &lt; 50 kW'!D6</f>
        <v>0</v>
      </c>
      <c r="E6" s="19">
        <v>30</v>
      </c>
      <c r="F6" s="19">
        <v>1</v>
      </c>
      <c r="G6" s="19">
        <v>80</v>
      </c>
      <c r="H6" s="10"/>
      <c r="I6" s="10"/>
      <c r="J6" s="15"/>
      <c r="K6" s="40" t="s">
        <v>23</v>
      </c>
      <c r="L6" s="75">
        <v>8.1264468314554639E-2</v>
      </c>
    </row>
    <row r="7" spans="1:25" x14ac:dyDescent="0.2">
      <c r="A7" s="3">
        <v>38838</v>
      </c>
      <c r="B7" s="29">
        <f>'[5]Consumption Data '!L58</f>
        <v>3320523</v>
      </c>
      <c r="C7" s="25">
        <f>'GS &lt; 50 kW'!C7</f>
        <v>136.9</v>
      </c>
      <c r="D7" s="25">
        <f>'GS &lt; 50 kW'!D7</f>
        <v>26</v>
      </c>
      <c r="E7" s="19">
        <v>31</v>
      </c>
      <c r="F7" s="19">
        <v>1</v>
      </c>
      <c r="G7" s="19">
        <v>80</v>
      </c>
      <c r="H7" s="10"/>
      <c r="I7" s="10"/>
      <c r="J7" s="15"/>
      <c r="K7" s="40" t="s">
        <v>24</v>
      </c>
      <c r="L7" s="75">
        <v>2.6414585825871334E-2</v>
      </c>
    </row>
    <row r="8" spans="1:25" x14ac:dyDescent="0.2">
      <c r="A8" s="3">
        <v>38869</v>
      </c>
      <c r="B8" s="29">
        <f>'[5]Consumption Data '!L59</f>
        <v>3217349</v>
      </c>
      <c r="C8" s="25">
        <f>'GS &lt; 50 kW'!C8</f>
        <v>19.5</v>
      </c>
      <c r="D8" s="25">
        <f>'GS &lt; 50 kW'!D8</f>
        <v>73.599999999999994</v>
      </c>
      <c r="E8" s="19">
        <v>30</v>
      </c>
      <c r="F8" s="19">
        <v>0</v>
      </c>
      <c r="G8" s="19">
        <v>80</v>
      </c>
      <c r="H8" s="10"/>
      <c r="I8" s="10"/>
      <c r="J8" s="15"/>
      <c r="K8" s="40" t="s">
        <v>25</v>
      </c>
      <c r="L8" s="40">
        <v>411273.65310642211</v>
      </c>
    </row>
    <row r="9" spans="1:25" ht="13.5" thickBot="1" x14ac:dyDescent="0.25">
      <c r="A9" s="3">
        <v>38899</v>
      </c>
      <c r="B9" s="29">
        <f>'[5]Consumption Data '!L60</f>
        <v>3320788</v>
      </c>
      <c r="C9" s="25">
        <f>'GS &lt; 50 kW'!C9</f>
        <v>0</v>
      </c>
      <c r="D9" s="25">
        <f>'GS &lt; 50 kW'!D9</f>
        <v>167.3</v>
      </c>
      <c r="E9" s="19">
        <v>31</v>
      </c>
      <c r="F9" s="19">
        <v>0</v>
      </c>
      <c r="G9" s="19">
        <v>65</v>
      </c>
      <c r="H9" s="10"/>
      <c r="I9" s="10"/>
      <c r="J9" s="15"/>
      <c r="K9" s="61" t="s">
        <v>26</v>
      </c>
      <c r="L9" s="61">
        <v>72</v>
      </c>
    </row>
    <row r="10" spans="1:25" x14ac:dyDescent="0.2">
      <c r="A10" s="3">
        <v>38930</v>
      </c>
      <c r="B10" s="29">
        <f>'[5]Consumption Data '!L61</f>
        <v>3261074</v>
      </c>
      <c r="C10" s="25">
        <f>'GS &lt; 50 kW'!C10</f>
        <v>4.2</v>
      </c>
      <c r="D10" s="25">
        <f>'GS &lt; 50 kW'!D10</f>
        <v>101.6</v>
      </c>
      <c r="E10" s="19">
        <v>31</v>
      </c>
      <c r="F10" s="19">
        <v>0</v>
      </c>
      <c r="G10" s="19">
        <v>66</v>
      </c>
      <c r="H10" s="10"/>
      <c r="I10" s="10"/>
      <c r="J10" s="15"/>
    </row>
    <row r="11" spans="1:25" ht="13.5" thickBot="1" x14ac:dyDescent="0.25">
      <c r="A11" s="3">
        <v>38961</v>
      </c>
      <c r="B11" s="29">
        <f>'[5]Consumption Data '!L62</f>
        <v>3173965</v>
      </c>
      <c r="C11" s="25">
        <f>'GS &lt; 50 kW'!C11</f>
        <v>80.900000000000006</v>
      </c>
      <c r="D11" s="25">
        <f>'GS &lt; 50 kW'!D11</f>
        <v>12.9</v>
      </c>
      <c r="E11" s="19">
        <v>30</v>
      </c>
      <c r="F11" s="19">
        <v>1</v>
      </c>
      <c r="G11" s="19">
        <v>67</v>
      </c>
      <c r="H11" s="10"/>
      <c r="I11" s="10"/>
      <c r="J11" s="15"/>
      <c r="K11" t="s">
        <v>27</v>
      </c>
    </row>
    <row r="12" spans="1:25" x14ac:dyDescent="0.2">
      <c r="A12" s="3">
        <v>38991</v>
      </c>
      <c r="B12" s="29">
        <f>'[5]Consumption Data '!L63</f>
        <v>3391458</v>
      </c>
      <c r="C12" s="25">
        <f>'GS &lt; 50 kW'!C12</f>
        <v>288.3</v>
      </c>
      <c r="D12" s="25">
        <f>'GS &lt; 50 kW'!D12</f>
        <v>1.1000000000000001</v>
      </c>
      <c r="E12" s="19">
        <v>31</v>
      </c>
      <c r="F12" s="19">
        <v>1</v>
      </c>
      <c r="G12" s="19">
        <v>67</v>
      </c>
      <c r="H12" s="10"/>
      <c r="I12" s="10"/>
      <c r="J12" s="15"/>
      <c r="K12" s="62"/>
      <c r="L12" s="62" t="s">
        <v>31</v>
      </c>
      <c r="M12" s="62" t="s">
        <v>32</v>
      </c>
      <c r="N12" s="62" t="s">
        <v>33</v>
      </c>
      <c r="O12" s="62" t="s">
        <v>34</v>
      </c>
      <c r="P12" s="62" t="s">
        <v>35</v>
      </c>
    </row>
    <row r="13" spans="1:25" x14ac:dyDescent="0.2">
      <c r="A13" s="3">
        <v>39022</v>
      </c>
      <c r="B13" s="29">
        <f>'[5]Consumption Data '!L64</f>
        <v>3386870</v>
      </c>
      <c r="C13" s="25">
        <f>'GS &lt; 50 kW'!C13</f>
        <v>382.2</v>
      </c>
      <c r="D13" s="25">
        <f>'GS &lt; 50 kW'!D13</f>
        <v>0</v>
      </c>
      <c r="E13" s="19">
        <v>30</v>
      </c>
      <c r="F13" s="19">
        <v>1</v>
      </c>
      <c r="G13" s="19">
        <v>67</v>
      </c>
      <c r="H13" s="10"/>
      <c r="I13" s="10"/>
      <c r="J13" s="15"/>
      <c r="K13" s="40" t="s">
        <v>28</v>
      </c>
      <c r="L13" s="40">
        <v>4</v>
      </c>
      <c r="M13" s="40">
        <v>1002413173954.2617</v>
      </c>
      <c r="N13" s="40">
        <v>250603293488.56543</v>
      </c>
      <c r="O13" s="40">
        <v>1.4815796247388722</v>
      </c>
      <c r="P13" s="40">
        <v>0.21762085722028848</v>
      </c>
    </row>
    <row r="14" spans="1:25" x14ac:dyDescent="0.2">
      <c r="A14" s="3">
        <v>39052</v>
      </c>
      <c r="B14" s="29">
        <f>'[5]Consumption Data '!L65</f>
        <v>3333891</v>
      </c>
      <c r="C14" s="25">
        <f>'GS &lt; 50 kW'!C14</f>
        <v>500.5</v>
      </c>
      <c r="D14" s="25">
        <f>'GS &lt; 50 kW'!D14</f>
        <v>0</v>
      </c>
      <c r="E14" s="19">
        <v>31</v>
      </c>
      <c r="F14" s="19">
        <v>0</v>
      </c>
      <c r="G14" s="19">
        <v>67</v>
      </c>
      <c r="H14" s="10"/>
      <c r="I14" s="10"/>
      <c r="J14" s="15"/>
      <c r="K14" s="40" t="s">
        <v>29</v>
      </c>
      <c r="L14" s="40">
        <v>67</v>
      </c>
      <c r="M14" s="40">
        <v>11332783188546.609</v>
      </c>
      <c r="N14" s="40">
        <v>169146017739.50162</v>
      </c>
      <c r="O14" s="40"/>
      <c r="P14" s="40"/>
    </row>
    <row r="15" spans="1:25" ht="13.5" thickBot="1" x14ac:dyDescent="0.25">
      <c r="A15" s="3">
        <v>39083</v>
      </c>
      <c r="B15" s="29">
        <f>'[5]Consumption Data '!L66</f>
        <v>3416075</v>
      </c>
      <c r="C15" s="25">
        <f>'GS &lt; 50 kW'!C15</f>
        <v>647.1</v>
      </c>
      <c r="D15" s="25">
        <f>'GS &lt; 50 kW'!D15</f>
        <v>0</v>
      </c>
      <c r="E15" s="19">
        <v>31</v>
      </c>
      <c r="F15" s="19">
        <v>0</v>
      </c>
      <c r="G15" s="19">
        <v>70</v>
      </c>
      <c r="H15" s="10"/>
      <c r="I15" s="10"/>
      <c r="J15" s="15"/>
      <c r="K15" s="61" t="s">
        <v>10</v>
      </c>
      <c r="L15" s="61">
        <v>71</v>
      </c>
      <c r="M15" s="61">
        <v>12335196362500.871</v>
      </c>
      <c r="N15" s="61"/>
      <c r="O15" s="61"/>
      <c r="P15" s="61"/>
    </row>
    <row r="16" spans="1:25" ht="13.5" thickBot="1" x14ac:dyDescent="0.25">
      <c r="A16" s="3">
        <v>39114</v>
      </c>
      <c r="B16" s="29">
        <f>'[5]Consumption Data '!L67</f>
        <v>3153475</v>
      </c>
      <c r="C16" s="25">
        <f>'GS &lt; 50 kW'!C16</f>
        <v>740.1</v>
      </c>
      <c r="D16" s="25">
        <f>'GS &lt; 50 kW'!D16</f>
        <v>0</v>
      </c>
      <c r="E16" s="19">
        <v>28</v>
      </c>
      <c r="F16" s="19">
        <v>0</v>
      </c>
      <c r="G16" s="19">
        <v>70</v>
      </c>
      <c r="H16" s="10"/>
      <c r="I16" s="10"/>
      <c r="J16" s="15"/>
    </row>
    <row r="17" spans="1:19" x14ac:dyDescent="0.2">
      <c r="A17" s="3">
        <v>39142</v>
      </c>
      <c r="B17" s="29">
        <f>'[5]Consumption Data '!L68</f>
        <v>3314545</v>
      </c>
      <c r="C17" s="25">
        <f>'GS &lt; 50 kW'!C17</f>
        <v>546.70000000000005</v>
      </c>
      <c r="D17" s="25">
        <f>'GS &lt; 50 kW'!D17</f>
        <v>0</v>
      </c>
      <c r="E17" s="19">
        <v>31</v>
      </c>
      <c r="F17" s="19">
        <v>1</v>
      </c>
      <c r="G17" s="19">
        <v>70</v>
      </c>
      <c r="H17" s="10"/>
      <c r="I17" s="10"/>
      <c r="J17" s="15"/>
      <c r="K17" s="62"/>
      <c r="L17" s="62" t="s">
        <v>36</v>
      </c>
      <c r="M17" s="62" t="s">
        <v>25</v>
      </c>
      <c r="N17" s="62" t="s">
        <v>37</v>
      </c>
      <c r="O17" s="62" t="s">
        <v>38</v>
      </c>
      <c r="P17" s="62" t="s">
        <v>39</v>
      </c>
      <c r="Q17" s="62" t="s">
        <v>40</v>
      </c>
      <c r="R17" s="62" t="s">
        <v>203</v>
      </c>
      <c r="S17" s="62" t="s">
        <v>204</v>
      </c>
    </row>
    <row r="18" spans="1:19" x14ac:dyDescent="0.2">
      <c r="A18" s="3">
        <v>39173</v>
      </c>
      <c r="B18" s="29">
        <f>'[5]Consumption Data '!L69</f>
        <v>3030956</v>
      </c>
      <c r="C18" s="25">
        <f>'GS &lt; 50 kW'!C18</f>
        <v>356.4</v>
      </c>
      <c r="D18" s="25">
        <f>'GS &lt; 50 kW'!D18</f>
        <v>0</v>
      </c>
      <c r="E18" s="19">
        <v>30</v>
      </c>
      <c r="F18" s="19">
        <v>1</v>
      </c>
      <c r="G18" s="19">
        <v>71</v>
      </c>
      <c r="H18" s="10"/>
      <c r="I18" s="10"/>
      <c r="J18" s="15"/>
      <c r="K18" s="40" t="s">
        <v>30</v>
      </c>
      <c r="L18" s="73">
        <v>497646.65040558204</v>
      </c>
      <c r="M18" s="40">
        <v>1844323.7816375291</v>
      </c>
      <c r="N18" s="71">
        <v>0.26982607683111581</v>
      </c>
      <c r="O18" s="40">
        <v>0.78812339478778992</v>
      </c>
      <c r="P18" s="40">
        <v>-3183638.9821779691</v>
      </c>
      <c r="Q18" s="40">
        <v>4178932.2829891331</v>
      </c>
      <c r="R18" s="40">
        <v>-3183638.9821779691</v>
      </c>
      <c r="S18" s="40">
        <v>4178932.2829891331</v>
      </c>
    </row>
    <row r="19" spans="1:19" x14ac:dyDescent="0.2">
      <c r="A19" s="3">
        <v>39203</v>
      </c>
      <c r="B19" s="29">
        <f>'[5]Consumption Data '!L70</f>
        <v>3141479</v>
      </c>
      <c r="C19" s="25">
        <f>'GS &lt; 50 kW'!C19</f>
        <v>136.4</v>
      </c>
      <c r="D19" s="25">
        <f>'GS &lt; 50 kW'!D19</f>
        <v>22.4</v>
      </c>
      <c r="E19" s="19">
        <v>31</v>
      </c>
      <c r="F19" s="19">
        <v>1</v>
      </c>
      <c r="G19" s="19">
        <v>71</v>
      </c>
      <c r="H19" s="10"/>
      <c r="I19" s="10"/>
      <c r="J19" s="15"/>
      <c r="K19" s="40" t="s">
        <v>3</v>
      </c>
      <c r="L19" s="73">
        <v>481.33670345006618</v>
      </c>
      <c r="M19" s="40">
        <v>308.32772940257684</v>
      </c>
      <c r="N19" s="71">
        <v>1.5611203844127663</v>
      </c>
      <c r="O19" s="40">
        <v>0.12320675633898726</v>
      </c>
      <c r="P19" s="40">
        <v>-134.08801301107445</v>
      </c>
      <c r="Q19" s="40">
        <v>1096.7614199112068</v>
      </c>
      <c r="R19" s="40">
        <v>-134.08801301107445</v>
      </c>
      <c r="S19" s="40">
        <v>1096.7614199112068</v>
      </c>
    </row>
    <row r="20" spans="1:19" x14ac:dyDescent="0.2">
      <c r="A20" s="3">
        <v>39234</v>
      </c>
      <c r="B20" s="29">
        <f>'[5]Consumption Data '!L71</f>
        <v>3194900</v>
      </c>
      <c r="C20" s="25">
        <f>'GS &lt; 50 kW'!C20</f>
        <v>16.5</v>
      </c>
      <c r="D20" s="25">
        <f>'GS &lt; 50 kW'!D20</f>
        <v>99.2</v>
      </c>
      <c r="E20" s="19">
        <v>30</v>
      </c>
      <c r="F20" s="19">
        <v>0</v>
      </c>
      <c r="G20" s="19">
        <v>71</v>
      </c>
      <c r="H20" s="10"/>
      <c r="I20" s="10"/>
      <c r="J20" s="15"/>
      <c r="K20" s="40" t="s">
        <v>4</v>
      </c>
      <c r="L20" s="73">
        <v>909.07925724744155</v>
      </c>
      <c r="M20" s="40">
        <v>1821.3637090858731</v>
      </c>
      <c r="N20" s="71">
        <v>0.49912011132784712</v>
      </c>
      <c r="O20" s="40">
        <v>0.61932971707569284</v>
      </c>
      <c r="P20" s="40">
        <v>-2726.3778792504372</v>
      </c>
      <c r="Q20" s="40">
        <v>4544.5363937453203</v>
      </c>
      <c r="R20" s="40">
        <v>-2726.3778792504372</v>
      </c>
      <c r="S20" s="40">
        <v>4544.5363937453203</v>
      </c>
    </row>
    <row r="21" spans="1:19" x14ac:dyDescent="0.2">
      <c r="A21" s="3">
        <v>39264</v>
      </c>
      <c r="B21" s="29">
        <f>'[5]Consumption Data '!L72</f>
        <v>3204487</v>
      </c>
      <c r="C21" s="25">
        <f>'GS &lt; 50 kW'!C21</f>
        <v>3.2</v>
      </c>
      <c r="D21" s="25">
        <f>'GS &lt; 50 kW'!D21</f>
        <v>106.1</v>
      </c>
      <c r="E21" s="19">
        <v>31</v>
      </c>
      <c r="F21" s="19">
        <v>0</v>
      </c>
      <c r="G21" s="19">
        <v>70</v>
      </c>
      <c r="H21" s="10"/>
      <c r="I21" s="10"/>
      <c r="J21" s="15"/>
      <c r="K21" s="40" t="s">
        <v>5</v>
      </c>
      <c r="L21" s="73">
        <v>102362.10962799109</v>
      </c>
      <c r="M21" s="40">
        <v>61169.292529678925</v>
      </c>
      <c r="N21" s="71">
        <v>1.6734231408402458</v>
      </c>
      <c r="O21" s="40">
        <v>9.890712192639084E-2</v>
      </c>
      <c r="P21" s="40">
        <v>-19732.307841849382</v>
      </c>
      <c r="Q21" s="40">
        <v>224456.52709783154</v>
      </c>
      <c r="R21" s="40">
        <v>-19732.307841849382</v>
      </c>
      <c r="S21" s="40">
        <v>224456.52709783154</v>
      </c>
    </row>
    <row r="22" spans="1:19" ht="13.5" thickBot="1" x14ac:dyDescent="0.25">
      <c r="A22" s="3">
        <v>39295</v>
      </c>
      <c r="B22" s="29">
        <f>'[5]Consumption Data '!L73</f>
        <v>3218318</v>
      </c>
      <c r="C22" s="25">
        <f>'GS &lt; 50 kW'!C22</f>
        <v>5.2</v>
      </c>
      <c r="D22" s="25">
        <f>'GS &lt; 50 kW'!D22</f>
        <v>141</v>
      </c>
      <c r="E22" s="19">
        <v>31</v>
      </c>
      <c r="F22" s="19">
        <v>0</v>
      </c>
      <c r="G22" s="19">
        <v>70</v>
      </c>
      <c r="H22" s="10"/>
      <c r="I22" s="10"/>
      <c r="J22" s="15"/>
      <c r="K22" s="61" t="s">
        <v>19</v>
      </c>
      <c r="L22" s="74">
        <v>35740.857298935756</v>
      </c>
      <c r="M22" s="61">
        <v>133165.82533692059</v>
      </c>
      <c r="N22" s="72">
        <v>0.26839361531765693</v>
      </c>
      <c r="O22" s="61">
        <v>0.78922101128616273</v>
      </c>
      <c r="P22" s="61">
        <v>-230059.23943282192</v>
      </c>
      <c r="Q22" s="61">
        <v>301540.95403069345</v>
      </c>
      <c r="R22" s="61">
        <v>-230059.23943282192</v>
      </c>
      <c r="S22" s="61">
        <v>301540.95403069345</v>
      </c>
    </row>
    <row r="23" spans="1:19" x14ac:dyDescent="0.2">
      <c r="A23" s="3">
        <v>39326</v>
      </c>
      <c r="B23" s="29">
        <f>'[5]Consumption Data '!L74</f>
        <v>3271925</v>
      </c>
      <c r="C23" s="25">
        <f>'GS &lt; 50 kW'!C23</f>
        <v>36.9</v>
      </c>
      <c r="D23" s="25">
        <f>'GS &lt; 50 kW'!D23</f>
        <v>47.5</v>
      </c>
      <c r="E23" s="19">
        <v>30</v>
      </c>
      <c r="F23" s="19">
        <v>1</v>
      </c>
      <c r="G23" s="19">
        <v>70</v>
      </c>
      <c r="H23" s="10"/>
      <c r="I23" s="10"/>
      <c r="J23" s="15"/>
    </row>
    <row r="24" spans="1:19" x14ac:dyDescent="0.2">
      <c r="A24" s="3">
        <v>39356</v>
      </c>
      <c r="B24" s="29">
        <f>'[5]Consumption Data '!L75</f>
        <v>3588707</v>
      </c>
      <c r="C24" s="25">
        <f>'GS &lt; 50 kW'!C24</f>
        <v>137.69999999999999</v>
      </c>
      <c r="D24" s="25">
        <f>'GS &lt; 50 kW'!D24</f>
        <v>19.8</v>
      </c>
      <c r="E24" s="19">
        <v>31</v>
      </c>
      <c r="F24" s="19">
        <v>1</v>
      </c>
      <c r="G24" s="19">
        <v>71</v>
      </c>
      <c r="H24" s="10"/>
      <c r="I24" s="10"/>
      <c r="J24" s="15"/>
    </row>
    <row r="25" spans="1:19" x14ac:dyDescent="0.2">
      <c r="A25" s="3">
        <v>39387</v>
      </c>
      <c r="B25" s="29">
        <f>'[5]Consumption Data '!L76</f>
        <v>3761009</v>
      </c>
      <c r="C25" s="25">
        <f>'GS &lt; 50 kW'!C25</f>
        <v>462.5</v>
      </c>
      <c r="D25" s="25">
        <f>'GS &lt; 50 kW'!D25</f>
        <v>0</v>
      </c>
      <c r="E25" s="19">
        <v>30</v>
      </c>
      <c r="F25" s="19">
        <v>1</v>
      </c>
      <c r="G25" s="19">
        <v>71</v>
      </c>
      <c r="H25" s="10"/>
      <c r="I25" s="10"/>
      <c r="J25" s="15"/>
    </row>
    <row r="26" spans="1:19" x14ac:dyDescent="0.2">
      <c r="A26" s="3">
        <v>39417</v>
      </c>
      <c r="B26" s="29">
        <f>'[5]Consumption Data '!L77</f>
        <v>3870949</v>
      </c>
      <c r="C26" s="25">
        <f>'GS &lt; 50 kW'!C26</f>
        <v>630.70000000000005</v>
      </c>
      <c r="D26" s="25">
        <f>'GS &lt; 50 kW'!D26</f>
        <v>0</v>
      </c>
      <c r="E26" s="19">
        <v>31</v>
      </c>
      <c r="F26" s="19">
        <v>0</v>
      </c>
      <c r="G26" s="19">
        <v>72</v>
      </c>
      <c r="H26" s="10"/>
      <c r="I26" s="10"/>
      <c r="J26" s="15"/>
    </row>
    <row r="27" spans="1:19" x14ac:dyDescent="0.2">
      <c r="A27" s="3">
        <v>39448</v>
      </c>
      <c r="B27" s="29">
        <f>'[5]Consumption Data '!L78</f>
        <v>3952667</v>
      </c>
      <c r="C27" s="25">
        <f>'GS &lt; 50 kW'!C27</f>
        <v>623.5</v>
      </c>
      <c r="D27" s="25">
        <f>'GS &lt; 50 kW'!D27</f>
        <v>0</v>
      </c>
      <c r="E27" s="19">
        <v>31</v>
      </c>
      <c r="F27" s="19">
        <v>0</v>
      </c>
      <c r="G27" s="19">
        <v>72</v>
      </c>
      <c r="H27" s="10"/>
    </row>
    <row r="28" spans="1:19" x14ac:dyDescent="0.2">
      <c r="A28" s="3">
        <v>39479</v>
      </c>
      <c r="B28" s="29">
        <f>'[5]Consumption Data '!L79</f>
        <v>3721999</v>
      </c>
      <c r="C28" s="25">
        <f>'GS &lt; 50 kW'!C28</f>
        <v>674.7</v>
      </c>
      <c r="D28" s="25">
        <f>'GS &lt; 50 kW'!D28</f>
        <v>0</v>
      </c>
      <c r="E28" s="19">
        <v>29</v>
      </c>
      <c r="F28" s="19">
        <v>0</v>
      </c>
      <c r="G28" s="19">
        <v>73</v>
      </c>
      <c r="H28" s="10"/>
    </row>
    <row r="29" spans="1:19" x14ac:dyDescent="0.2">
      <c r="A29" s="3">
        <v>39508</v>
      </c>
      <c r="B29" s="29">
        <f>'[5]Consumption Data '!L80</f>
        <v>3767626</v>
      </c>
      <c r="C29" s="25">
        <f>'GS &lt; 50 kW'!C29</f>
        <v>610.20000000000005</v>
      </c>
      <c r="D29" s="25">
        <f>'GS &lt; 50 kW'!D29</f>
        <v>0</v>
      </c>
      <c r="E29" s="19">
        <v>31</v>
      </c>
      <c r="F29" s="19">
        <v>1</v>
      </c>
      <c r="G29" s="19">
        <v>73</v>
      </c>
      <c r="H29" s="10"/>
    </row>
    <row r="30" spans="1:19" x14ac:dyDescent="0.2">
      <c r="A30" s="3">
        <v>39539</v>
      </c>
      <c r="B30" s="29">
        <f>'[5]Consumption Data '!L81</f>
        <v>3502956</v>
      </c>
      <c r="C30" s="25">
        <f>'GS &lt; 50 kW'!C30</f>
        <v>253.9</v>
      </c>
      <c r="D30" s="25">
        <f>'GS &lt; 50 kW'!D30</f>
        <v>0</v>
      </c>
      <c r="E30" s="19">
        <v>30</v>
      </c>
      <c r="F30" s="19">
        <v>1</v>
      </c>
      <c r="G30" s="19">
        <v>73</v>
      </c>
      <c r="H30" s="10"/>
    </row>
    <row r="31" spans="1:19" x14ac:dyDescent="0.2">
      <c r="A31" s="3">
        <v>39569</v>
      </c>
      <c r="B31" s="29">
        <f>'[5]Consumption Data '!L82</f>
        <v>3563732</v>
      </c>
      <c r="C31" s="25">
        <f>'GS &lt; 50 kW'!C31</f>
        <v>193.5</v>
      </c>
      <c r="D31" s="25">
        <f>'GS &lt; 50 kW'!D31</f>
        <v>2.5</v>
      </c>
      <c r="E31" s="19">
        <v>31</v>
      </c>
      <c r="F31" s="19">
        <v>1</v>
      </c>
      <c r="G31" s="19">
        <v>73</v>
      </c>
      <c r="H31" s="10"/>
    </row>
    <row r="32" spans="1:19" x14ac:dyDescent="0.2">
      <c r="A32" s="3">
        <v>39600</v>
      </c>
      <c r="B32" s="29">
        <f>'[5]Consumption Data '!L83</f>
        <v>3531127</v>
      </c>
      <c r="C32" s="25">
        <f>'GS &lt; 50 kW'!C32</f>
        <v>22.7</v>
      </c>
      <c r="D32" s="25">
        <f>'GS &lt; 50 kW'!D32</f>
        <v>71.5</v>
      </c>
      <c r="E32" s="19">
        <v>30</v>
      </c>
      <c r="F32" s="19">
        <v>0</v>
      </c>
      <c r="G32" s="19">
        <v>73</v>
      </c>
      <c r="H32" s="10"/>
    </row>
    <row r="33" spans="1:31" x14ac:dyDescent="0.2">
      <c r="A33" s="3">
        <v>39630</v>
      </c>
      <c r="B33" s="29">
        <f>'[5]Consumption Data '!L84</f>
        <v>3652158</v>
      </c>
      <c r="C33" s="25">
        <f>'GS &lt; 50 kW'!C33</f>
        <v>1</v>
      </c>
      <c r="D33" s="25">
        <f>'GS &lt; 50 kW'!D33</f>
        <v>111</v>
      </c>
      <c r="E33" s="19">
        <v>31</v>
      </c>
      <c r="F33" s="19">
        <v>0</v>
      </c>
      <c r="G33" s="19">
        <v>74</v>
      </c>
      <c r="H33" s="10"/>
    </row>
    <row r="34" spans="1:31" x14ac:dyDescent="0.2">
      <c r="A34" s="3">
        <v>39661</v>
      </c>
      <c r="B34" s="29">
        <f>'[5]Consumption Data '!L85</f>
        <v>3705140</v>
      </c>
      <c r="C34" s="25">
        <f>'GS &lt; 50 kW'!C34</f>
        <v>12.7</v>
      </c>
      <c r="D34" s="25">
        <f>'GS &lt; 50 kW'!D34</f>
        <v>64</v>
      </c>
      <c r="E34" s="19">
        <v>31</v>
      </c>
      <c r="F34" s="19">
        <v>0</v>
      </c>
      <c r="G34" s="19">
        <v>74</v>
      </c>
      <c r="H34" s="10"/>
    </row>
    <row r="35" spans="1:31" x14ac:dyDescent="0.2">
      <c r="A35" s="3">
        <v>39692</v>
      </c>
      <c r="B35" s="29">
        <f>'[5]Consumption Data '!L86</f>
        <v>3825164</v>
      </c>
      <c r="C35" s="25">
        <f>'GS &lt; 50 kW'!C35</f>
        <v>59</v>
      </c>
      <c r="D35" s="25">
        <f>'GS &lt; 50 kW'!D35</f>
        <v>26.7</v>
      </c>
      <c r="E35" s="19">
        <v>30</v>
      </c>
      <c r="F35" s="19">
        <v>1</v>
      </c>
      <c r="G35" s="19">
        <v>74</v>
      </c>
      <c r="H35" s="10"/>
    </row>
    <row r="36" spans="1:31" x14ac:dyDescent="0.2">
      <c r="A36" s="3">
        <v>39722</v>
      </c>
      <c r="B36" s="29">
        <f>'[5]Consumption Data '!L87</f>
        <v>4010251</v>
      </c>
      <c r="C36" s="25">
        <f>'GS &lt; 50 kW'!C36</f>
        <v>278.60000000000002</v>
      </c>
      <c r="D36" s="25">
        <f>'GS &lt; 50 kW'!D36</f>
        <v>0</v>
      </c>
      <c r="E36" s="19">
        <v>31</v>
      </c>
      <c r="F36" s="19">
        <v>1</v>
      </c>
      <c r="G36" s="19">
        <v>74</v>
      </c>
      <c r="H36" s="10"/>
    </row>
    <row r="37" spans="1:31" x14ac:dyDescent="0.2">
      <c r="A37" s="3">
        <v>39753</v>
      </c>
      <c r="B37" s="29">
        <f>'[5]Consumption Data '!L88</f>
        <v>4029874</v>
      </c>
      <c r="C37" s="25">
        <f>'GS &lt; 50 kW'!C37</f>
        <v>451.6</v>
      </c>
      <c r="D37" s="25">
        <f>'GS &lt; 50 kW'!D37</f>
        <v>0</v>
      </c>
      <c r="E37" s="19">
        <v>30</v>
      </c>
      <c r="F37" s="19">
        <v>1</v>
      </c>
      <c r="G37" s="19">
        <v>74</v>
      </c>
      <c r="H37" s="10"/>
    </row>
    <row r="38" spans="1:31" x14ac:dyDescent="0.2">
      <c r="A38" s="3">
        <v>39783</v>
      </c>
      <c r="B38" s="29">
        <f>'[5]Consumption Data '!L89</f>
        <v>4253129</v>
      </c>
      <c r="C38" s="25">
        <f>'GS &lt; 50 kW'!C38</f>
        <v>654.6</v>
      </c>
      <c r="D38" s="25">
        <f>'GS &lt; 50 kW'!D38</f>
        <v>0</v>
      </c>
      <c r="E38" s="19">
        <v>31</v>
      </c>
      <c r="F38" s="19">
        <v>0</v>
      </c>
      <c r="G38" s="19">
        <v>74</v>
      </c>
      <c r="H38" s="10"/>
    </row>
    <row r="39" spans="1:31" s="16" customFormat="1" x14ac:dyDescent="0.2">
      <c r="A39" s="3">
        <v>39814</v>
      </c>
      <c r="B39" s="29">
        <f>'[5]Consumption Data '!L90</f>
        <v>4093327</v>
      </c>
      <c r="C39" s="25">
        <f>'GS &lt; 50 kW'!C39</f>
        <v>830.2</v>
      </c>
      <c r="D39" s="25">
        <f>'GS &lt; 50 kW'!D39</f>
        <v>0</v>
      </c>
      <c r="E39" s="19">
        <v>31</v>
      </c>
      <c r="F39" s="19">
        <v>0</v>
      </c>
      <c r="G39" s="19">
        <v>74</v>
      </c>
      <c r="H39" s="10"/>
      <c r="I39" s="56"/>
      <c r="J39" s="1"/>
      <c r="K39"/>
      <c r="L39"/>
      <c r="M39"/>
      <c r="N39"/>
      <c r="O39"/>
      <c r="P39"/>
      <c r="Q39"/>
      <c r="R39"/>
      <c r="S39"/>
      <c r="T39"/>
      <c r="U39"/>
      <c r="V39"/>
      <c r="W39" s="11"/>
      <c r="X39" s="11"/>
      <c r="Y39" s="11"/>
      <c r="Z39" s="11"/>
      <c r="AA39" s="11"/>
      <c r="AB39" s="11"/>
      <c r="AC39" s="11"/>
      <c r="AD39" s="11"/>
      <c r="AE39" s="11"/>
    </row>
    <row r="40" spans="1:31" x14ac:dyDescent="0.2">
      <c r="A40" s="3">
        <v>39845</v>
      </c>
      <c r="B40" s="29">
        <f>'[5]Consumption Data '!L91</f>
        <v>3845597</v>
      </c>
      <c r="C40" s="25">
        <f>'GS &lt; 50 kW'!C40</f>
        <v>606.4</v>
      </c>
      <c r="D40" s="25">
        <f>'GS &lt; 50 kW'!D40</f>
        <v>0</v>
      </c>
      <c r="E40" s="19">
        <v>28</v>
      </c>
      <c r="F40" s="19">
        <v>0</v>
      </c>
      <c r="G40" s="19">
        <v>74</v>
      </c>
      <c r="H40" s="10"/>
      <c r="I40" s="56"/>
    </row>
    <row r="41" spans="1:31" x14ac:dyDescent="0.2">
      <c r="A41" s="3">
        <v>39873</v>
      </c>
      <c r="B41" s="29">
        <f>'[5]Consumption Data '!L92</f>
        <v>4098357</v>
      </c>
      <c r="C41" s="25">
        <f>'GS &lt; 50 kW'!C41</f>
        <v>533.79999999999995</v>
      </c>
      <c r="D41" s="25">
        <f>'GS &lt; 50 kW'!D41</f>
        <v>0</v>
      </c>
      <c r="E41" s="19">
        <v>31</v>
      </c>
      <c r="F41" s="19">
        <v>1</v>
      </c>
      <c r="G41" s="19">
        <v>74</v>
      </c>
      <c r="H41" s="10"/>
      <c r="I41" s="56"/>
    </row>
    <row r="42" spans="1:31" x14ac:dyDescent="0.2">
      <c r="A42" s="3">
        <v>39904</v>
      </c>
      <c r="B42" s="29">
        <f>'[5]Consumption Data '!L93</f>
        <v>3726593</v>
      </c>
      <c r="C42" s="25">
        <f>'GS &lt; 50 kW'!C42</f>
        <v>305.8</v>
      </c>
      <c r="D42" s="25">
        <f>'GS &lt; 50 kW'!D42</f>
        <v>1.2</v>
      </c>
      <c r="E42" s="19">
        <v>30</v>
      </c>
      <c r="F42" s="19">
        <v>1</v>
      </c>
      <c r="G42" s="19">
        <v>74</v>
      </c>
      <c r="H42" s="10"/>
      <c r="I42" s="56"/>
    </row>
    <row r="43" spans="1:31" x14ac:dyDescent="0.2">
      <c r="A43" s="3">
        <v>39934</v>
      </c>
      <c r="B43" s="29">
        <f>'[5]Consumption Data '!L94</f>
        <v>3697247</v>
      </c>
      <c r="C43" s="25">
        <f>'GS &lt; 50 kW'!C43</f>
        <v>158.80000000000001</v>
      </c>
      <c r="D43" s="25">
        <f>'GS &lt; 50 kW'!D43</f>
        <v>6.9</v>
      </c>
      <c r="E43" s="19">
        <v>31</v>
      </c>
      <c r="F43" s="19">
        <v>1</v>
      </c>
      <c r="G43" s="19">
        <v>75</v>
      </c>
      <c r="H43" s="10"/>
      <c r="I43" s="56"/>
    </row>
    <row r="44" spans="1:31" x14ac:dyDescent="0.2">
      <c r="A44" s="3">
        <v>39965</v>
      </c>
      <c r="B44" s="29">
        <f>'[5]Consumption Data '!L95</f>
        <v>3539269</v>
      </c>
      <c r="C44" s="25">
        <f>'GS &lt; 50 kW'!C44</f>
        <v>49.3</v>
      </c>
      <c r="D44" s="25">
        <f>'GS &lt; 50 kW'!D44</f>
        <v>34.200000000000003</v>
      </c>
      <c r="E44" s="19">
        <v>30</v>
      </c>
      <c r="F44" s="19">
        <v>0</v>
      </c>
      <c r="G44" s="19">
        <v>72</v>
      </c>
      <c r="H44" s="10"/>
      <c r="I44" s="56"/>
    </row>
    <row r="45" spans="1:31" x14ac:dyDescent="0.2">
      <c r="A45" s="3">
        <v>39995</v>
      </c>
      <c r="B45" s="29">
        <f>'[5]Consumption Data '!L96</f>
        <v>3698838</v>
      </c>
      <c r="C45" s="25">
        <f>'GS &lt; 50 kW'!C45</f>
        <v>6.2</v>
      </c>
      <c r="D45" s="25">
        <f>'GS &lt; 50 kW'!D45</f>
        <v>43.7</v>
      </c>
      <c r="E45" s="19">
        <v>31</v>
      </c>
      <c r="F45" s="19">
        <v>0</v>
      </c>
      <c r="G45" s="19">
        <v>72</v>
      </c>
      <c r="H45" s="10"/>
      <c r="I45" s="56"/>
    </row>
    <row r="46" spans="1:31" x14ac:dyDescent="0.2">
      <c r="A46" s="3">
        <v>40026</v>
      </c>
      <c r="B46" s="29">
        <f>'[5]Consumption Data '!L97</f>
        <v>4067503</v>
      </c>
      <c r="C46" s="25">
        <f>'GS &lt; 50 kW'!C46</f>
        <v>9.8000000000000007</v>
      </c>
      <c r="D46" s="25">
        <f>'GS &lt; 50 kW'!D46</f>
        <v>91</v>
      </c>
      <c r="E46" s="19">
        <v>31</v>
      </c>
      <c r="F46" s="19">
        <v>0</v>
      </c>
      <c r="G46" s="19">
        <v>72</v>
      </c>
      <c r="H46" s="10"/>
      <c r="I46" s="56"/>
    </row>
    <row r="47" spans="1:31" x14ac:dyDescent="0.2">
      <c r="A47" s="3">
        <v>40057</v>
      </c>
      <c r="B47" s="29">
        <f>'[5]Consumption Data '!L98</f>
        <v>4020681</v>
      </c>
      <c r="C47" s="25">
        <f>'GS &lt; 50 kW'!C47</f>
        <v>55.2</v>
      </c>
      <c r="D47" s="25">
        <f>'GS &lt; 50 kW'!D47</f>
        <v>20.9</v>
      </c>
      <c r="E47" s="19">
        <v>30</v>
      </c>
      <c r="F47" s="19">
        <v>1</v>
      </c>
      <c r="G47" s="19">
        <v>72</v>
      </c>
      <c r="H47" s="10"/>
      <c r="I47" s="56"/>
    </row>
    <row r="48" spans="1:31" x14ac:dyDescent="0.2">
      <c r="A48" s="3">
        <v>40087</v>
      </c>
      <c r="B48" s="29">
        <f>'[5]Consumption Data '!L99</f>
        <v>4114121</v>
      </c>
      <c r="C48" s="25">
        <f>'GS &lt; 50 kW'!C48</f>
        <v>287.8</v>
      </c>
      <c r="D48" s="25">
        <f>'GS &lt; 50 kW'!D48</f>
        <v>0</v>
      </c>
      <c r="E48" s="19">
        <v>31</v>
      </c>
      <c r="F48" s="19">
        <v>1</v>
      </c>
      <c r="G48" s="19">
        <v>72</v>
      </c>
      <c r="H48" s="10"/>
      <c r="I48" s="56"/>
    </row>
    <row r="49" spans="1:31" x14ac:dyDescent="0.2">
      <c r="A49" s="3">
        <v>40118</v>
      </c>
      <c r="B49" s="29">
        <f>'[5]Consumption Data '!L100</f>
        <v>4196370</v>
      </c>
      <c r="C49" s="25">
        <f>'GS &lt; 50 kW'!C49</f>
        <v>361.2</v>
      </c>
      <c r="D49" s="25">
        <f>'GS &lt; 50 kW'!D49</f>
        <v>0</v>
      </c>
      <c r="E49" s="19">
        <v>30</v>
      </c>
      <c r="F49" s="19">
        <v>1</v>
      </c>
      <c r="G49" s="19">
        <v>72</v>
      </c>
      <c r="H49" s="10"/>
      <c r="I49" s="56"/>
    </row>
    <row r="50" spans="1:31" s="36" customFormat="1" x14ac:dyDescent="0.2">
      <c r="A50" s="3">
        <v>40148</v>
      </c>
      <c r="B50" s="29">
        <f>'[5]Consumption Data '!L101</f>
        <v>4346550</v>
      </c>
      <c r="C50" s="25">
        <f>'GS &lt; 50 kW'!C50</f>
        <v>631.29999999999995</v>
      </c>
      <c r="D50" s="25">
        <f>'GS &lt; 50 kW'!D50</f>
        <v>0</v>
      </c>
      <c r="E50" s="19">
        <v>31</v>
      </c>
      <c r="F50" s="19">
        <v>0</v>
      </c>
      <c r="G50" s="19">
        <v>72</v>
      </c>
      <c r="H50" s="10"/>
      <c r="I50" s="56"/>
      <c r="J50" s="1"/>
      <c r="K50"/>
      <c r="L50"/>
      <c r="M50"/>
      <c r="N50"/>
      <c r="O50"/>
      <c r="P50"/>
      <c r="Q50"/>
      <c r="R50"/>
      <c r="S50"/>
      <c r="T50"/>
      <c r="U50"/>
      <c r="V50"/>
      <c r="W50" s="29"/>
      <c r="X50" s="29"/>
      <c r="Y50" s="29"/>
      <c r="Z50" s="29"/>
      <c r="AA50" s="29"/>
      <c r="AB50" s="29"/>
      <c r="AC50" s="29"/>
      <c r="AD50" s="29"/>
      <c r="AE50" s="29"/>
    </row>
    <row r="51" spans="1:31" x14ac:dyDescent="0.2">
      <c r="A51" s="3">
        <v>40179</v>
      </c>
      <c r="B51" s="29">
        <f>'[5]Consumption Data '!L102</f>
        <v>4467755</v>
      </c>
      <c r="C51" s="25">
        <f>'GS &lt; 50 kW'!C51</f>
        <v>720</v>
      </c>
      <c r="D51" s="25">
        <f>'GS &lt; 50 kW'!D51</f>
        <v>0</v>
      </c>
      <c r="E51" s="19">
        <v>31</v>
      </c>
      <c r="F51" s="19">
        <v>0</v>
      </c>
      <c r="G51" s="19">
        <v>73</v>
      </c>
      <c r="H51" s="10"/>
      <c r="I51" s="56"/>
      <c r="W51" s="11"/>
      <c r="X51" s="11"/>
      <c r="Y51" s="11"/>
    </row>
    <row r="52" spans="1:31" x14ac:dyDescent="0.2">
      <c r="A52" s="3">
        <v>40210</v>
      </c>
      <c r="B52" s="29">
        <f>'[5]Consumption Data '!L103</f>
        <v>4091689</v>
      </c>
      <c r="C52" s="25">
        <f>'GS &lt; 50 kW'!C52</f>
        <v>598.29999999999995</v>
      </c>
      <c r="D52" s="25">
        <f>'GS &lt; 50 kW'!D52</f>
        <v>0</v>
      </c>
      <c r="E52" s="19">
        <v>28</v>
      </c>
      <c r="F52" s="19">
        <v>0</v>
      </c>
      <c r="G52" s="19">
        <v>73</v>
      </c>
      <c r="H52" s="10"/>
      <c r="I52" s="56"/>
    </row>
    <row r="53" spans="1:31" x14ac:dyDescent="0.2">
      <c r="A53" s="3">
        <v>40238</v>
      </c>
      <c r="B53" s="29">
        <f>'[5]Consumption Data '!L104</f>
        <v>4408918</v>
      </c>
      <c r="C53" s="25">
        <f>'GS &lt; 50 kW'!C53</f>
        <v>422.8</v>
      </c>
      <c r="D53" s="25">
        <f>'GS &lt; 50 kW'!D53</f>
        <v>0</v>
      </c>
      <c r="E53" s="19">
        <v>31</v>
      </c>
      <c r="F53" s="19">
        <v>1</v>
      </c>
      <c r="G53" s="19">
        <v>73</v>
      </c>
      <c r="H53" s="10"/>
      <c r="I53" s="56"/>
    </row>
    <row r="54" spans="1:31" x14ac:dyDescent="0.2">
      <c r="A54" s="3">
        <v>40269</v>
      </c>
      <c r="B54" s="29">
        <f>'[5]Consumption Data '!L105</f>
        <v>3956850</v>
      </c>
      <c r="C54" s="25">
        <f>'GS &lt; 50 kW'!C54</f>
        <v>225.1</v>
      </c>
      <c r="D54" s="25">
        <f>'GS &lt; 50 kW'!D54</f>
        <v>0</v>
      </c>
      <c r="E54" s="19">
        <v>30</v>
      </c>
      <c r="F54" s="19">
        <v>1</v>
      </c>
      <c r="G54" s="19">
        <v>73</v>
      </c>
      <c r="H54" s="10"/>
      <c r="I54" s="56"/>
    </row>
    <row r="55" spans="1:31" x14ac:dyDescent="0.2">
      <c r="A55" s="3">
        <v>40299</v>
      </c>
      <c r="B55" s="29">
        <f>'[5]Consumption Data '!L106</f>
        <v>4178542</v>
      </c>
      <c r="C55" s="25">
        <f>'GS &lt; 50 kW'!C55</f>
        <v>107.9</v>
      </c>
      <c r="D55" s="25">
        <f>'GS &lt; 50 kW'!D55</f>
        <v>45.7</v>
      </c>
      <c r="E55" s="19">
        <v>31</v>
      </c>
      <c r="F55" s="19">
        <v>1</v>
      </c>
      <c r="G55" s="19">
        <v>71</v>
      </c>
      <c r="H55" s="10"/>
      <c r="I55" s="56"/>
    </row>
    <row r="56" spans="1:31" x14ac:dyDescent="0.2">
      <c r="A56" s="3">
        <v>40330</v>
      </c>
      <c r="B56" s="29">
        <f>'[5]Consumption Data '!L107</f>
        <v>4295870</v>
      </c>
      <c r="C56" s="25">
        <f>'GS &lt; 50 kW'!C56</f>
        <v>21.7</v>
      </c>
      <c r="D56" s="25">
        <f>'GS &lt; 50 kW'!D56</f>
        <v>58.7</v>
      </c>
      <c r="E56" s="19">
        <v>30</v>
      </c>
      <c r="F56" s="19">
        <v>0</v>
      </c>
      <c r="G56" s="19">
        <v>68</v>
      </c>
      <c r="H56" s="10"/>
      <c r="I56" s="56"/>
    </row>
    <row r="57" spans="1:31" x14ac:dyDescent="0.2">
      <c r="A57" s="3">
        <v>40360</v>
      </c>
      <c r="B57" s="29">
        <f>'[5]Consumption Data '!L108</f>
        <v>4296963</v>
      </c>
      <c r="C57" s="25">
        <f>'GS &lt; 50 kW'!C57</f>
        <v>1.8</v>
      </c>
      <c r="D57" s="25">
        <f>'GS &lt; 50 kW'!D57</f>
        <v>164.9</v>
      </c>
      <c r="E57" s="19">
        <v>31</v>
      </c>
      <c r="F57" s="19">
        <v>0</v>
      </c>
      <c r="G57" s="19">
        <v>67</v>
      </c>
      <c r="H57" s="10"/>
      <c r="I57" s="56"/>
    </row>
    <row r="58" spans="1:31" x14ac:dyDescent="0.2">
      <c r="A58" s="3">
        <v>40391</v>
      </c>
      <c r="B58" s="29">
        <f>'[5]Consumption Data '!L109</f>
        <v>4422302</v>
      </c>
      <c r="C58" s="25">
        <f>'GS &lt; 50 kW'!C58</f>
        <v>2.1</v>
      </c>
      <c r="D58" s="25">
        <f>'GS &lt; 50 kW'!D58</f>
        <v>138.80000000000001</v>
      </c>
      <c r="E58" s="19">
        <v>31</v>
      </c>
      <c r="F58" s="19">
        <v>0</v>
      </c>
      <c r="G58" s="19">
        <v>68</v>
      </c>
      <c r="H58" s="10"/>
      <c r="I58" s="56"/>
    </row>
    <row r="59" spans="1:31" x14ac:dyDescent="0.2">
      <c r="A59" s="3">
        <v>40422</v>
      </c>
      <c r="B59" s="29">
        <f>'[5]Consumption Data '!L110</f>
        <v>4190730</v>
      </c>
      <c r="C59" s="25">
        <f>'GS &lt; 50 kW'!C59</f>
        <v>78.099999999999994</v>
      </c>
      <c r="D59" s="25">
        <f>'GS &lt; 50 kW'!D59</f>
        <v>31.5</v>
      </c>
      <c r="E59" s="19">
        <v>30</v>
      </c>
      <c r="F59" s="19">
        <v>1</v>
      </c>
      <c r="G59" s="19">
        <v>68</v>
      </c>
      <c r="H59" s="10"/>
      <c r="I59" s="56"/>
    </row>
    <row r="60" spans="1:31" x14ac:dyDescent="0.2">
      <c r="A60" s="3">
        <v>40452</v>
      </c>
      <c r="B60" s="29">
        <f>'[5]Consumption Data '!L111</f>
        <v>4346909</v>
      </c>
      <c r="C60" s="25">
        <f>'GS &lt; 50 kW'!C60</f>
        <v>241.6</v>
      </c>
      <c r="D60" s="25">
        <f>'GS &lt; 50 kW'!D60</f>
        <v>0</v>
      </c>
      <c r="E60" s="19">
        <v>31</v>
      </c>
      <c r="F60" s="19">
        <v>1</v>
      </c>
      <c r="G60" s="19">
        <v>68</v>
      </c>
      <c r="H60" s="10"/>
      <c r="I60" s="56"/>
    </row>
    <row r="61" spans="1:31" x14ac:dyDescent="0.2">
      <c r="A61" s="3">
        <v>40483</v>
      </c>
      <c r="B61" s="29">
        <f>'[5]Consumption Data '!L112</f>
        <v>4206995</v>
      </c>
      <c r="C61" s="25">
        <f>'GS &lt; 50 kW'!C61</f>
        <v>405.3</v>
      </c>
      <c r="D61" s="25">
        <f>'GS &lt; 50 kW'!D61</f>
        <v>0</v>
      </c>
      <c r="E61" s="19">
        <v>30</v>
      </c>
      <c r="F61" s="19">
        <v>1</v>
      </c>
      <c r="G61" s="19">
        <v>68</v>
      </c>
      <c r="H61" s="10"/>
      <c r="I61" s="56"/>
    </row>
    <row r="62" spans="1:31" x14ac:dyDescent="0.2">
      <c r="A62" s="3">
        <v>40513</v>
      </c>
      <c r="B62" s="29">
        <f>'[5]Consumption Data '!L113</f>
        <v>4242518</v>
      </c>
      <c r="C62" s="25">
        <f>'GS &lt; 50 kW'!C62</f>
        <v>676.2</v>
      </c>
      <c r="D62" s="25">
        <f>'GS &lt; 50 kW'!D62</f>
        <v>0</v>
      </c>
      <c r="E62" s="19">
        <v>31</v>
      </c>
      <c r="F62" s="19">
        <v>0</v>
      </c>
      <c r="G62" s="19">
        <v>68</v>
      </c>
      <c r="H62" s="10"/>
      <c r="I62" s="56"/>
    </row>
    <row r="63" spans="1:31" x14ac:dyDescent="0.2">
      <c r="A63" s="3">
        <v>40544</v>
      </c>
      <c r="B63" s="29">
        <f>'[5]Consumption Data '!L114</f>
        <v>4294433</v>
      </c>
      <c r="C63" s="25">
        <f>'GS &lt; 50 kW'!C63</f>
        <v>775.3</v>
      </c>
      <c r="D63" s="25">
        <f>'GS &lt; 50 kW'!D63</f>
        <v>0</v>
      </c>
      <c r="E63" s="93">
        <v>31</v>
      </c>
      <c r="F63" s="19">
        <v>0</v>
      </c>
      <c r="G63" s="19">
        <v>68</v>
      </c>
      <c r="H63" s="10"/>
      <c r="I63" s="56"/>
    </row>
    <row r="64" spans="1:31" x14ac:dyDescent="0.2">
      <c r="A64" s="3">
        <v>40575</v>
      </c>
      <c r="B64" s="29">
        <f>'[5]Consumption Data '!L115</f>
        <v>3932436</v>
      </c>
      <c r="C64" s="25">
        <f>'GS &lt; 50 kW'!C64</f>
        <v>654.20000000000005</v>
      </c>
      <c r="D64" s="25">
        <f>'GS &lt; 50 kW'!D64</f>
        <v>0</v>
      </c>
      <c r="E64" s="93">
        <v>28</v>
      </c>
      <c r="F64" s="19">
        <v>0</v>
      </c>
      <c r="G64" s="19">
        <v>68</v>
      </c>
      <c r="H64" s="10"/>
      <c r="I64" s="56"/>
    </row>
    <row r="65" spans="1:9" x14ac:dyDescent="0.2">
      <c r="A65" s="3">
        <v>40603</v>
      </c>
      <c r="B65" s="29">
        <f>'[5]Consumption Data '!L116</f>
        <v>4256728</v>
      </c>
      <c r="C65" s="25">
        <f>'GS &lt; 50 kW'!C65</f>
        <v>572.79999999999995</v>
      </c>
      <c r="D65" s="25">
        <f>'GS &lt; 50 kW'!D65</f>
        <v>0</v>
      </c>
      <c r="E65" s="93">
        <v>31</v>
      </c>
      <c r="F65" s="19">
        <v>1</v>
      </c>
      <c r="G65" s="19">
        <v>68</v>
      </c>
      <c r="H65" s="10"/>
      <c r="I65" s="56"/>
    </row>
    <row r="66" spans="1:9" x14ac:dyDescent="0.2">
      <c r="A66" s="3">
        <v>40634</v>
      </c>
      <c r="B66" s="29">
        <f>'[5]Consumption Data '!L117</f>
        <v>3978925</v>
      </c>
      <c r="C66" s="25">
        <f>'GS &lt; 50 kW'!C66</f>
        <v>332.3</v>
      </c>
      <c r="D66" s="25">
        <f>'GS &lt; 50 kW'!D66</f>
        <v>0</v>
      </c>
      <c r="E66" s="93">
        <v>30</v>
      </c>
      <c r="F66" s="19">
        <v>1</v>
      </c>
      <c r="G66" s="19">
        <v>68</v>
      </c>
      <c r="H66" s="10"/>
      <c r="I66" s="56"/>
    </row>
    <row r="67" spans="1:9" x14ac:dyDescent="0.2">
      <c r="A67" s="3">
        <v>40664</v>
      </c>
      <c r="B67" s="29">
        <f>'[5]Consumption Data '!L118</f>
        <v>4091845</v>
      </c>
      <c r="C67" s="25">
        <f>'GS &lt; 50 kW'!C67</f>
        <v>134.1</v>
      </c>
      <c r="D67" s="25">
        <f>'GS &lt; 50 kW'!D67</f>
        <v>13</v>
      </c>
      <c r="E67" s="93">
        <v>31</v>
      </c>
      <c r="F67" s="19">
        <v>1</v>
      </c>
      <c r="G67" s="19">
        <v>68</v>
      </c>
      <c r="H67" s="10"/>
      <c r="I67" s="56"/>
    </row>
    <row r="68" spans="1:9" x14ac:dyDescent="0.2">
      <c r="A68" s="3">
        <v>40695</v>
      </c>
      <c r="B68" s="29">
        <f>'[5]Consumption Data '!L119</f>
        <v>4026185</v>
      </c>
      <c r="C68" s="25">
        <f>'GS &lt; 50 kW'!C68</f>
        <v>19</v>
      </c>
      <c r="D68" s="25">
        <f>'GS &lt; 50 kW'!D68</f>
        <v>52.2</v>
      </c>
      <c r="E68" s="93">
        <v>30</v>
      </c>
      <c r="F68" s="19">
        <v>0</v>
      </c>
      <c r="G68" s="19">
        <v>67</v>
      </c>
      <c r="H68" s="10"/>
      <c r="I68" s="56"/>
    </row>
    <row r="69" spans="1:9" x14ac:dyDescent="0.2">
      <c r="A69" s="3">
        <v>40725</v>
      </c>
      <c r="B69" s="29">
        <f>'[5]Consumption Data '!L120</f>
        <v>4195592</v>
      </c>
      <c r="C69" s="25">
        <f>'GS &lt; 50 kW'!C69</f>
        <v>0</v>
      </c>
      <c r="D69" s="25">
        <f>'GS &lt; 50 kW'!D69</f>
        <v>198.5</v>
      </c>
      <c r="E69" s="93">
        <v>31</v>
      </c>
      <c r="F69" s="19">
        <v>0</v>
      </c>
      <c r="G69" s="19">
        <v>67</v>
      </c>
      <c r="H69" s="10"/>
      <c r="I69" s="56"/>
    </row>
    <row r="70" spans="1:9" x14ac:dyDescent="0.2">
      <c r="A70" s="3">
        <v>40756</v>
      </c>
      <c r="B70" s="29">
        <f>'[5]Consumption Data '!L121</f>
        <v>4267059</v>
      </c>
      <c r="C70" s="25">
        <f>'GS &lt; 50 kW'!C70</f>
        <v>0</v>
      </c>
      <c r="D70" s="25">
        <f>'GS &lt; 50 kW'!D70</f>
        <v>122.2</v>
      </c>
      <c r="E70" s="93">
        <v>31</v>
      </c>
      <c r="F70" s="19">
        <v>0</v>
      </c>
      <c r="G70" s="19">
        <v>68</v>
      </c>
      <c r="H70" s="10"/>
      <c r="I70" s="56"/>
    </row>
    <row r="71" spans="1:9" x14ac:dyDescent="0.2">
      <c r="A71" s="3">
        <v>40787</v>
      </c>
      <c r="B71" s="29">
        <f>'[5]Consumption Data '!L122</f>
        <v>4093999</v>
      </c>
      <c r="C71" s="25">
        <f>'GS &lt; 50 kW'!C71</f>
        <v>48.2</v>
      </c>
      <c r="D71" s="25">
        <f>'GS &lt; 50 kW'!D71</f>
        <v>39.700000000000003</v>
      </c>
      <c r="E71" s="93">
        <v>30</v>
      </c>
      <c r="F71" s="19">
        <v>1</v>
      </c>
      <c r="G71" s="19">
        <v>67</v>
      </c>
      <c r="H71" s="10"/>
      <c r="I71" s="56"/>
    </row>
    <row r="72" spans="1:9" x14ac:dyDescent="0.2">
      <c r="A72" s="3">
        <v>40817</v>
      </c>
      <c r="B72" s="29">
        <f>'[5]Consumption Data '!L123</f>
        <v>4238340</v>
      </c>
      <c r="C72" s="25">
        <f>'GS &lt; 50 kW'!C72</f>
        <v>235.5</v>
      </c>
      <c r="D72" s="25">
        <f>'GS &lt; 50 kW'!D72</f>
        <v>2.4</v>
      </c>
      <c r="E72" s="93">
        <v>31</v>
      </c>
      <c r="F72" s="19">
        <v>1</v>
      </c>
      <c r="G72" s="19">
        <v>67</v>
      </c>
      <c r="H72" s="10"/>
      <c r="I72" s="56"/>
    </row>
    <row r="73" spans="1:9" x14ac:dyDescent="0.2">
      <c r="A73" s="3">
        <v>40848</v>
      </c>
      <c r="B73" s="29">
        <f>'[5]Consumption Data '!L124</f>
        <v>4324842</v>
      </c>
      <c r="C73" s="25">
        <f>'GS &lt; 50 kW'!C73</f>
        <v>342.1</v>
      </c>
      <c r="D73" s="25">
        <f>'GS &lt; 50 kW'!D73</f>
        <v>0</v>
      </c>
      <c r="E73" s="93">
        <v>30</v>
      </c>
      <c r="F73" s="19">
        <v>1</v>
      </c>
      <c r="G73" s="19">
        <v>68</v>
      </c>
      <c r="H73" s="10"/>
      <c r="I73" s="56"/>
    </row>
    <row r="74" spans="1:9" x14ac:dyDescent="0.2">
      <c r="A74" s="3">
        <v>40878</v>
      </c>
      <c r="B74" s="29">
        <f>'[5]Consumption Data '!L125</f>
        <v>4305174</v>
      </c>
      <c r="C74" s="25">
        <f>'GS &lt; 50 kW'!C74</f>
        <v>534</v>
      </c>
      <c r="D74" s="25">
        <f>'GS &lt; 50 kW'!D74</f>
        <v>0</v>
      </c>
      <c r="E74" s="93">
        <v>31</v>
      </c>
      <c r="F74" s="19">
        <v>0</v>
      </c>
      <c r="G74" s="19">
        <v>68</v>
      </c>
      <c r="H74" s="10"/>
      <c r="I74" s="56"/>
    </row>
    <row r="75" spans="1:9" x14ac:dyDescent="0.2">
      <c r="A75" s="3">
        <v>40909</v>
      </c>
      <c r="C75" s="94"/>
      <c r="D75" s="94"/>
      <c r="E75" s="19">
        <v>31</v>
      </c>
      <c r="F75" s="19">
        <v>0</v>
      </c>
      <c r="G75" s="19"/>
      <c r="H75" s="10"/>
      <c r="I75" s="56"/>
    </row>
    <row r="76" spans="1:9" x14ac:dyDescent="0.2">
      <c r="A76" s="3">
        <v>40940</v>
      </c>
      <c r="C76" s="94"/>
      <c r="D76" s="94"/>
      <c r="E76" s="19">
        <v>29</v>
      </c>
      <c r="F76" s="19">
        <v>0</v>
      </c>
      <c r="G76" s="19"/>
      <c r="H76" s="10"/>
      <c r="I76" s="56"/>
    </row>
    <row r="77" spans="1:9" x14ac:dyDescent="0.2">
      <c r="A77" s="3">
        <v>40969</v>
      </c>
      <c r="C77" s="94"/>
      <c r="D77" s="94"/>
      <c r="E77" s="19">
        <v>31</v>
      </c>
      <c r="F77" s="19">
        <v>1</v>
      </c>
      <c r="G77" s="19"/>
      <c r="H77" s="10"/>
      <c r="I77" s="56"/>
    </row>
    <row r="78" spans="1:9" x14ac:dyDescent="0.2">
      <c r="A78" s="3">
        <v>41000</v>
      </c>
      <c r="C78" s="94"/>
      <c r="D78" s="94"/>
      <c r="E78" s="19">
        <v>30</v>
      </c>
      <c r="F78" s="19">
        <v>1</v>
      </c>
      <c r="G78" s="19"/>
      <c r="H78" s="10"/>
      <c r="I78" s="56"/>
    </row>
    <row r="79" spans="1:9" x14ac:dyDescent="0.2">
      <c r="A79" s="3">
        <v>41030</v>
      </c>
      <c r="C79" s="94"/>
      <c r="D79" s="94"/>
      <c r="E79" s="19">
        <v>31</v>
      </c>
      <c r="F79" s="19">
        <v>1</v>
      </c>
      <c r="G79" s="19"/>
      <c r="H79" s="10"/>
      <c r="I79" s="56"/>
    </row>
    <row r="80" spans="1:9" x14ac:dyDescent="0.2">
      <c r="A80" s="3">
        <v>41061</v>
      </c>
      <c r="C80" s="94"/>
      <c r="D80" s="94"/>
      <c r="E80" s="19">
        <v>30</v>
      </c>
      <c r="F80" s="19">
        <v>0</v>
      </c>
      <c r="G80" s="19"/>
      <c r="H80" s="10"/>
      <c r="I80" s="56"/>
    </row>
    <row r="81" spans="1:9" x14ac:dyDescent="0.2">
      <c r="A81" s="3">
        <v>41091</v>
      </c>
      <c r="C81" s="94"/>
      <c r="D81" s="94"/>
      <c r="E81" s="19">
        <v>31</v>
      </c>
      <c r="F81" s="19">
        <v>0</v>
      </c>
      <c r="G81" s="19"/>
      <c r="H81" s="10"/>
      <c r="I81" s="56"/>
    </row>
    <row r="82" spans="1:9" x14ac:dyDescent="0.2">
      <c r="A82" s="3">
        <v>41122</v>
      </c>
      <c r="C82" s="94"/>
      <c r="D82" s="94"/>
      <c r="E82" s="19">
        <v>31</v>
      </c>
      <c r="F82" s="19">
        <v>0</v>
      </c>
      <c r="G82" s="19"/>
      <c r="H82" s="10"/>
      <c r="I82" s="56"/>
    </row>
    <row r="83" spans="1:9" x14ac:dyDescent="0.2">
      <c r="A83" s="3">
        <v>41153</v>
      </c>
      <c r="C83" s="94"/>
      <c r="D83" s="94"/>
      <c r="E83" s="19">
        <v>30</v>
      </c>
      <c r="F83" s="19">
        <v>1</v>
      </c>
      <c r="G83" s="19"/>
      <c r="H83" s="10"/>
      <c r="I83" s="56"/>
    </row>
    <row r="84" spans="1:9" x14ac:dyDescent="0.2">
      <c r="A84" s="3">
        <v>41183</v>
      </c>
      <c r="C84" s="94"/>
      <c r="D84" s="94"/>
      <c r="E84" s="19">
        <v>31</v>
      </c>
      <c r="F84" s="19">
        <v>1</v>
      </c>
      <c r="G84" s="19"/>
      <c r="H84" s="10"/>
      <c r="I84" s="56"/>
    </row>
    <row r="85" spans="1:9" x14ac:dyDescent="0.2">
      <c r="A85" s="3">
        <v>41214</v>
      </c>
      <c r="C85" s="94"/>
      <c r="D85" s="94"/>
      <c r="E85" s="19">
        <v>30</v>
      </c>
      <c r="F85" s="19">
        <v>1</v>
      </c>
      <c r="G85" s="19"/>
      <c r="H85" s="10"/>
      <c r="I85" s="56"/>
    </row>
    <row r="86" spans="1:9" x14ac:dyDescent="0.2">
      <c r="A86" s="3">
        <v>41244</v>
      </c>
      <c r="C86" s="94"/>
      <c r="D86" s="94"/>
      <c r="E86" s="19">
        <v>31</v>
      </c>
      <c r="F86" s="19">
        <v>0</v>
      </c>
      <c r="G86" s="19"/>
      <c r="H86" s="10"/>
      <c r="I86" s="56"/>
    </row>
    <row r="87" spans="1:9" x14ac:dyDescent="0.2">
      <c r="A87" s="3">
        <v>41275</v>
      </c>
      <c r="C87" s="94"/>
      <c r="D87" s="94"/>
      <c r="E87" s="19">
        <v>31</v>
      </c>
      <c r="F87" s="19">
        <v>0</v>
      </c>
      <c r="G87" s="19"/>
      <c r="H87" s="10"/>
      <c r="I87" s="56"/>
    </row>
    <row r="88" spans="1:9" x14ac:dyDescent="0.2">
      <c r="A88" s="3">
        <v>41306</v>
      </c>
      <c r="C88" s="94"/>
      <c r="D88" s="94"/>
      <c r="E88" s="19">
        <v>28</v>
      </c>
      <c r="F88" s="19">
        <v>0</v>
      </c>
      <c r="G88" s="19"/>
      <c r="H88" s="10"/>
      <c r="I88" s="56"/>
    </row>
    <row r="89" spans="1:9" x14ac:dyDescent="0.2">
      <c r="A89" s="3">
        <v>41334</v>
      </c>
      <c r="C89" s="94"/>
      <c r="D89" s="94"/>
      <c r="E89" s="19">
        <v>31</v>
      </c>
      <c r="F89" s="19">
        <v>1</v>
      </c>
      <c r="G89" s="19"/>
      <c r="H89" s="10"/>
      <c r="I89" s="56"/>
    </row>
    <row r="90" spans="1:9" x14ac:dyDescent="0.2">
      <c r="A90" s="3">
        <v>41365</v>
      </c>
      <c r="C90" s="94"/>
      <c r="D90" s="94"/>
      <c r="E90" s="19">
        <v>30</v>
      </c>
      <c r="F90" s="19">
        <v>1</v>
      </c>
      <c r="G90" s="19"/>
      <c r="H90" s="10"/>
      <c r="I90" s="56"/>
    </row>
    <row r="91" spans="1:9" x14ac:dyDescent="0.2">
      <c r="A91" s="3">
        <v>41395</v>
      </c>
      <c r="C91" s="94"/>
      <c r="D91" s="94"/>
      <c r="E91" s="19">
        <v>31</v>
      </c>
      <c r="F91" s="19">
        <v>1</v>
      </c>
      <c r="G91" s="19"/>
      <c r="H91" s="10"/>
      <c r="I91" s="56"/>
    </row>
    <row r="92" spans="1:9" x14ac:dyDescent="0.2">
      <c r="A92" s="3">
        <v>41426</v>
      </c>
      <c r="C92" s="94"/>
      <c r="D92" s="94"/>
      <c r="E92" s="19">
        <v>30</v>
      </c>
      <c r="F92" s="19">
        <v>0</v>
      </c>
      <c r="G92" s="19"/>
      <c r="H92" s="10"/>
      <c r="I92" s="56"/>
    </row>
    <row r="93" spans="1:9" x14ac:dyDescent="0.2">
      <c r="A93" s="3">
        <v>41456</v>
      </c>
      <c r="C93" s="94"/>
      <c r="D93" s="94"/>
      <c r="E93" s="19">
        <v>31</v>
      </c>
      <c r="F93" s="19">
        <v>0</v>
      </c>
      <c r="G93" s="19"/>
      <c r="H93" s="10"/>
      <c r="I93" s="56"/>
    </row>
    <row r="94" spans="1:9" x14ac:dyDescent="0.2">
      <c r="A94" s="3">
        <v>41487</v>
      </c>
      <c r="C94" s="94"/>
      <c r="D94" s="94"/>
      <c r="E94" s="19">
        <v>31</v>
      </c>
      <c r="F94" s="19">
        <v>0</v>
      </c>
      <c r="G94" s="19"/>
      <c r="H94" s="10"/>
      <c r="I94" s="56"/>
    </row>
    <row r="95" spans="1:9" x14ac:dyDescent="0.2">
      <c r="A95" s="3">
        <v>41518</v>
      </c>
      <c r="C95" s="94"/>
      <c r="D95" s="94"/>
      <c r="E95" s="19">
        <v>30</v>
      </c>
      <c r="F95" s="19">
        <v>1</v>
      </c>
      <c r="G95" s="19"/>
      <c r="H95" s="10"/>
      <c r="I95" s="56"/>
    </row>
    <row r="96" spans="1:9" x14ac:dyDescent="0.2">
      <c r="A96" s="3">
        <v>41548</v>
      </c>
      <c r="C96" s="94"/>
      <c r="D96" s="94"/>
      <c r="E96" s="19">
        <v>31</v>
      </c>
      <c r="F96" s="19">
        <v>1</v>
      </c>
      <c r="G96" s="19"/>
      <c r="H96" s="10"/>
      <c r="I96" s="56"/>
    </row>
    <row r="97" spans="1:25" x14ac:dyDescent="0.2">
      <c r="A97" s="3">
        <v>41579</v>
      </c>
      <c r="C97" s="94"/>
      <c r="D97" s="94"/>
      <c r="E97" s="19">
        <v>30</v>
      </c>
      <c r="F97" s="19">
        <v>1</v>
      </c>
      <c r="G97" s="19"/>
      <c r="H97" s="10"/>
      <c r="I97" s="56"/>
    </row>
    <row r="98" spans="1:25" x14ac:dyDescent="0.2">
      <c r="A98" s="3">
        <v>41609</v>
      </c>
      <c r="C98" s="94"/>
      <c r="D98" s="94"/>
      <c r="E98" s="19">
        <v>31</v>
      </c>
      <c r="F98" s="19">
        <v>0</v>
      </c>
      <c r="G98" s="19"/>
      <c r="H98" s="10"/>
      <c r="I98" s="56"/>
    </row>
    <row r="99" spans="1:25" x14ac:dyDescent="0.2">
      <c r="A99" s="3"/>
      <c r="W99" s="11"/>
      <c r="X99" s="11"/>
      <c r="Y99" s="11"/>
    </row>
    <row r="100" spans="1:25" x14ac:dyDescent="0.2">
      <c r="A100" s="3"/>
      <c r="D100" s="25" t="s">
        <v>14</v>
      </c>
      <c r="H100" s="56">
        <f>SUM(H3:H99)</f>
        <v>0</v>
      </c>
    </row>
    <row r="101" spans="1:25" x14ac:dyDescent="0.2">
      <c r="A101" s="3"/>
    </row>
    <row r="102" spans="1:25" x14ac:dyDescent="0.2">
      <c r="A102" s="18">
        <v>2002</v>
      </c>
      <c r="B102" s="29" t="e">
        <f>SUM(#REF!)</f>
        <v>#REF!</v>
      </c>
      <c r="H102" s="6" t="e">
        <f>SUM(#REF!)</f>
        <v>#REF!</v>
      </c>
      <c r="I102" s="41" t="e">
        <f t="shared" ref="I102:I111" si="0">H102-B102</f>
        <v>#REF!</v>
      </c>
      <c r="J102" s="5" t="e">
        <f t="shared" ref="J102:J111" si="1">I102/B102</f>
        <v>#REF!</v>
      </c>
    </row>
    <row r="103" spans="1:25" x14ac:dyDescent="0.2">
      <c r="A103" s="18">
        <v>2003</v>
      </c>
      <c r="B103" s="29" t="e">
        <f>SUM(#REF!)</f>
        <v>#REF!</v>
      </c>
      <c r="H103" s="6" t="e">
        <f>SUM(#REF!)</f>
        <v>#REF!</v>
      </c>
      <c r="I103" s="41" t="e">
        <f t="shared" si="0"/>
        <v>#REF!</v>
      </c>
      <c r="J103" s="5" t="e">
        <f t="shared" si="1"/>
        <v>#REF!</v>
      </c>
    </row>
    <row r="104" spans="1:25" x14ac:dyDescent="0.2">
      <c r="A104">
        <v>2004</v>
      </c>
      <c r="B104" s="29" t="e">
        <f>SUM(#REF!)</f>
        <v>#REF!</v>
      </c>
      <c r="H104" s="6" t="e">
        <f>SUM(#REF!)</f>
        <v>#REF!</v>
      </c>
      <c r="I104" s="41" t="e">
        <f t="shared" si="0"/>
        <v>#REF!</v>
      </c>
      <c r="J104" s="5" t="e">
        <f t="shared" si="1"/>
        <v>#REF!</v>
      </c>
    </row>
    <row r="105" spans="1:25" x14ac:dyDescent="0.2">
      <c r="A105" s="18">
        <v>2005</v>
      </c>
      <c r="B105" s="29" t="e">
        <f>SUM(#REF!)</f>
        <v>#REF!</v>
      </c>
      <c r="H105" s="6" t="e">
        <f>SUM(#REF!)</f>
        <v>#REF!</v>
      </c>
      <c r="I105" s="41" t="e">
        <f t="shared" si="0"/>
        <v>#REF!</v>
      </c>
      <c r="J105" s="5" t="e">
        <f t="shared" si="1"/>
        <v>#REF!</v>
      </c>
      <c r="W105" s="11"/>
      <c r="X105" s="11"/>
      <c r="Y105" s="11"/>
    </row>
    <row r="106" spans="1:25" x14ac:dyDescent="0.2">
      <c r="A106">
        <v>2006</v>
      </c>
      <c r="B106" s="29">
        <f>SUM(B3:B13)</f>
        <v>36393364</v>
      </c>
      <c r="H106" s="6">
        <f>SUM(H3:H14)</f>
        <v>0</v>
      </c>
      <c r="I106" s="41">
        <f t="shared" si="0"/>
        <v>-36393364</v>
      </c>
      <c r="J106" s="5">
        <f t="shared" si="1"/>
        <v>-1</v>
      </c>
    </row>
    <row r="107" spans="1:25" x14ac:dyDescent="0.2">
      <c r="A107" s="18">
        <v>2007</v>
      </c>
      <c r="B107" s="29">
        <f>SUM(B14:B25)</f>
        <v>39629767</v>
      </c>
      <c r="H107" s="6">
        <f>SUM(H15:H26)</f>
        <v>0</v>
      </c>
      <c r="I107" s="41">
        <f t="shared" si="0"/>
        <v>-39629767</v>
      </c>
      <c r="J107" s="5">
        <f t="shared" si="1"/>
        <v>-1</v>
      </c>
    </row>
    <row r="108" spans="1:25" x14ac:dyDescent="0.2">
      <c r="A108">
        <v>2008</v>
      </c>
      <c r="B108" s="29">
        <f>SUM(B26:B37)</f>
        <v>45133643</v>
      </c>
      <c r="H108" s="6">
        <f>SUM(H27:H38)</f>
        <v>0</v>
      </c>
      <c r="I108" s="41">
        <f t="shared" si="0"/>
        <v>-45133643</v>
      </c>
      <c r="J108" s="5">
        <f t="shared" si="1"/>
        <v>-1</v>
      </c>
    </row>
    <row r="109" spans="1:25" x14ac:dyDescent="0.2">
      <c r="A109" s="18">
        <v>2009</v>
      </c>
      <c r="B109" s="29">
        <f>SUM(B38:B49)</f>
        <v>47351032</v>
      </c>
      <c r="H109" s="6">
        <f>SUM(H39:H50)</f>
        <v>0</v>
      </c>
      <c r="I109" s="41">
        <f t="shared" si="0"/>
        <v>-47351032</v>
      </c>
      <c r="J109" s="5">
        <f t="shared" si="1"/>
        <v>-1</v>
      </c>
    </row>
    <row r="110" spans="1:25" x14ac:dyDescent="0.2">
      <c r="A110">
        <v>2010</v>
      </c>
      <c r="B110" s="29">
        <f>SUM(B50:B61)</f>
        <v>51210073</v>
      </c>
      <c r="H110" s="6">
        <f>SUM(H51:H62)</f>
        <v>0</v>
      </c>
      <c r="I110" s="41">
        <f t="shared" si="0"/>
        <v>-51210073</v>
      </c>
      <c r="J110" s="5">
        <f t="shared" si="1"/>
        <v>-1</v>
      </c>
    </row>
    <row r="111" spans="1:25" x14ac:dyDescent="0.2">
      <c r="A111" s="18">
        <v>2011</v>
      </c>
      <c r="B111" s="29">
        <f>SUM(B62:B73)</f>
        <v>49942902</v>
      </c>
      <c r="H111" s="6">
        <f>SUM(H63:H74)</f>
        <v>0</v>
      </c>
      <c r="I111" s="41">
        <f t="shared" si="0"/>
        <v>-49942902</v>
      </c>
      <c r="J111" s="5">
        <f t="shared" si="1"/>
        <v>-1</v>
      </c>
    </row>
    <row r="112" spans="1:25" x14ac:dyDescent="0.2">
      <c r="A112" s="18">
        <v>2012</v>
      </c>
      <c r="H112" s="6">
        <f>SUM(H75:H86)</f>
        <v>0</v>
      </c>
    </row>
    <row r="113" spans="1:25" x14ac:dyDescent="0.2">
      <c r="A113" s="18">
        <v>2013</v>
      </c>
      <c r="H113" s="6">
        <f>SUM(H87:H98)</f>
        <v>0</v>
      </c>
    </row>
    <row r="114" spans="1:25" x14ac:dyDescent="0.2">
      <c r="H114" s="6"/>
    </row>
    <row r="115" spans="1:25" x14ac:dyDescent="0.2">
      <c r="A115" t="s">
        <v>84</v>
      </c>
      <c r="B115" s="29" t="e">
        <f>SUM(B102:B111)</f>
        <v>#REF!</v>
      </c>
      <c r="H115" s="6" t="e">
        <f>SUM(H101:H111)</f>
        <v>#REF!</v>
      </c>
      <c r="I115" s="6" t="e">
        <f>H115-B115</f>
        <v>#REF!</v>
      </c>
    </row>
    <row r="117" spans="1:25" x14ac:dyDescent="0.2">
      <c r="H117" s="6" t="e">
        <f>SUM(H102:H113)</f>
        <v>#REF!</v>
      </c>
      <c r="I117" s="56" t="e">
        <f>H100-H117</f>
        <v>#REF!</v>
      </c>
    </row>
    <row r="118" spans="1:25" x14ac:dyDescent="0.2">
      <c r="H118" s="20"/>
      <c r="I118" s="20" t="s">
        <v>65</v>
      </c>
      <c r="J118" s="20"/>
    </row>
    <row r="120" spans="1:25" x14ac:dyDescent="0.2">
      <c r="W120" s="11"/>
      <c r="X120" s="11"/>
      <c r="Y120" s="11"/>
    </row>
    <row r="132" spans="5:25" x14ac:dyDescent="0.2">
      <c r="W132" s="11"/>
      <c r="X132" s="11"/>
      <c r="Y132" s="11"/>
    </row>
    <row r="134" spans="5:25" x14ac:dyDescent="0.2">
      <c r="E134" s="29"/>
      <c r="F134" s="29"/>
    </row>
  </sheetData>
  <phoneticPr fontId="0" type="noConversion"/>
  <pageMargins left="0.38" right="0.75" top="0.73" bottom="0.74" header="0.5" footer="0.5"/>
  <pageSetup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2:T85"/>
  <sheetViews>
    <sheetView topLeftCell="E31" workbookViewId="0">
      <selection activeCell="G75" sqref="G75"/>
    </sheetView>
  </sheetViews>
  <sheetFormatPr defaultRowHeight="12.75" x14ac:dyDescent="0.2"/>
  <cols>
    <col min="1" max="1" width="11" customWidth="1"/>
    <col min="2" max="5" width="18" style="1" customWidth="1"/>
    <col min="6" max="6" width="15.7109375" style="1" customWidth="1"/>
    <col min="7" max="7" width="15.7109375" style="6" customWidth="1"/>
    <col min="8" max="8" width="15" style="6" customWidth="1"/>
    <col min="9" max="10" width="14.140625" style="6" bestFit="1" customWidth="1"/>
    <col min="11" max="11" width="14.140625" style="6" customWidth="1"/>
    <col min="12" max="12" width="14.7109375" style="6" customWidth="1"/>
    <col min="13" max="13" width="12.5703125" style="6" customWidth="1"/>
    <col min="14" max="14" width="12.7109375" bestFit="1" customWidth="1"/>
    <col min="15" max="15" width="11.140625" bestFit="1" customWidth="1"/>
    <col min="16" max="16" width="12.7109375" customWidth="1"/>
    <col min="17" max="17" width="10.7109375" bestFit="1" customWidth="1"/>
    <col min="19" max="19" width="11.140625" bestFit="1" customWidth="1"/>
  </cols>
  <sheetData>
    <row r="2" spans="1:14" ht="42" customHeight="1" x14ac:dyDescent="0.2">
      <c r="B2" s="2" t="s">
        <v>7</v>
      </c>
      <c r="C2" s="2" t="s">
        <v>8</v>
      </c>
      <c r="D2" s="2" t="s">
        <v>41</v>
      </c>
      <c r="E2" s="2" t="s">
        <v>9</v>
      </c>
      <c r="F2" s="2" t="s">
        <v>1</v>
      </c>
      <c r="G2" s="7" t="s">
        <v>2</v>
      </c>
      <c r="H2" s="53" t="s">
        <v>68</v>
      </c>
      <c r="I2" s="54" t="s">
        <v>69</v>
      </c>
      <c r="J2" s="54" t="s">
        <v>70</v>
      </c>
      <c r="K2" s="54" t="s">
        <v>79</v>
      </c>
      <c r="L2" s="54" t="s">
        <v>73</v>
      </c>
      <c r="M2" s="55" t="s">
        <v>71</v>
      </c>
      <c r="N2" s="55" t="s">
        <v>210</v>
      </c>
    </row>
    <row r="4" spans="1:14" x14ac:dyDescent="0.2">
      <c r="A4" s="20"/>
      <c r="B4" s="45" t="s">
        <v>43</v>
      </c>
    </row>
    <row r="5" spans="1:14" x14ac:dyDescent="0.2">
      <c r="B5"/>
      <c r="C5"/>
      <c r="D5"/>
      <c r="E5"/>
      <c r="F5"/>
      <c r="G5"/>
      <c r="H5"/>
      <c r="I5"/>
      <c r="J5"/>
      <c r="K5"/>
      <c r="L5"/>
      <c r="M5"/>
    </row>
    <row r="6" spans="1:14" x14ac:dyDescent="0.2">
      <c r="N6" s="29"/>
    </row>
    <row r="7" spans="1:14" x14ac:dyDescent="0.2">
      <c r="A7">
        <f>'Purchased Power Model '!A150</f>
        <v>2002</v>
      </c>
      <c r="B7" s="6">
        <f>'Purchased Power Model '!B150</f>
        <v>229952804.31</v>
      </c>
      <c r="C7" s="6">
        <f>'Purchased Power Model '!J150</f>
        <v>231401930.83504969</v>
      </c>
      <c r="D7" s="41">
        <f t="shared" ref="D7:D16" si="0">C7-B7</f>
        <v>1449126.5250496864</v>
      </c>
      <c r="E7" s="5">
        <f t="shared" ref="E7:E16" si="1">D7/B7</f>
        <v>6.3018432386504628E-3</v>
      </c>
      <c r="F7" s="60">
        <f t="shared" ref="F7:F16" si="2">1 +(B7-G7)/G7</f>
        <v>1.1370984796984396</v>
      </c>
      <c r="G7" s="29">
        <f>SUM(H7:N7)</f>
        <v>202227694.79999998</v>
      </c>
      <c r="H7" s="43">
        <f>SUM('[5]Consumption Data '!E6:E17)</f>
        <v>138681514</v>
      </c>
      <c r="I7" s="43">
        <f>SUM('[5]Consumption Data '!I6:I17)</f>
        <v>22284840</v>
      </c>
      <c r="J7" s="43">
        <f>SUM('[5]Consumption Data '!M6:M17)</f>
        <v>38854281</v>
      </c>
      <c r="K7" s="43">
        <v>132459.20000000001</v>
      </c>
      <c r="L7" s="43">
        <v>1171887</v>
      </c>
      <c r="M7" s="43">
        <v>0</v>
      </c>
      <c r="N7" s="43">
        <v>1102713.6000000001</v>
      </c>
    </row>
    <row r="8" spans="1:14" x14ac:dyDescent="0.2">
      <c r="A8">
        <f>'Purchased Power Model '!A151</f>
        <v>2003</v>
      </c>
      <c r="B8" s="6">
        <f>'Purchased Power Model '!B151</f>
        <v>234480796</v>
      </c>
      <c r="C8" s="6">
        <f>'Purchased Power Model '!J151</f>
        <v>234082855.78034854</v>
      </c>
      <c r="D8" s="41">
        <f t="shared" si="0"/>
        <v>-397940.21965146065</v>
      </c>
      <c r="E8" s="5">
        <f t="shared" si="1"/>
        <v>-1.697112200401523E-3</v>
      </c>
      <c r="F8" s="60">
        <f t="shared" si="2"/>
        <v>1.0965166022043387</v>
      </c>
      <c r="G8" s="29">
        <f t="shared" ref="G8:G16" si="3">SUM(H8:N8)</f>
        <v>213841537.40000001</v>
      </c>
      <c r="H8" s="43">
        <f>SUM('[5]Consumption Data '!E18:E29)</f>
        <v>147383455</v>
      </c>
      <c r="I8" s="43">
        <f>SUM('[5]Consumption Data '!I18:I29)</f>
        <v>24957359</v>
      </c>
      <c r="J8" s="43">
        <f>SUM('[5]Consumption Data '!M18:M29)</f>
        <v>38763996</v>
      </c>
      <c r="K8" s="43">
        <v>136024</v>
      </c>
      <c r="L8" s="43">
        <v>946633</v>
      </c>
      <c r="M8" s="43">
        <v>0</v>
      </c>
      <c r="N8" s="43">
        <v>1654070.4000000001</v>
      </c>
    </row>
    <row r="9" spans="1:14" x14ac:dyDescent="0.2">
      <c r="A9">
        <f>'Purchased Power Model '!A152</f>
        <v>2004</v>
      </c>
      <c r="B9" s="6">
        <f>'Purchased Power Model '!B152</f>
        <v>234412600</v>
      </c>
      <c r="C9" s="6">
        <f>'Purchased Power Model '!J152</f>
        <v>232672948.22083217</v>
      </c>
      <c r="D9" s="41">
        <f t="shared" si="0"/>
        <v>-1739651.7791678309</v>
      </c>
      <c r="E9" s="5">
        <f t="shared" si="1"/>
        <v>-7.4213236795625786E-3</v>
      </c>
      <c r="F9" s="60">
        <f t="shared" si="2"/>
        <v>1.0921305605748153</v>
      </c>
      <c r="G9" s="29">
        <f t="shared" si="3"/>
        <v>214637890.80000001</v>
      </c>
      <c r="H9" s="43">
        <f>SUM('[5]Consumption Data '!E30:E41)</f>
        <v>148790001</v>
      </c>
      <c r="I9" s="43">
        <f>SUM('[5]Consumption Data '!I30:I41)</f>
        <v>26929694</v>
      </c>
      <c r="J9" s="43">
        <f>SUM('[5]Consumption Data '!M30:M41)</f>
        <v>36303637</v>
      </c>
      <c r="K9" s="43">
        <v>135298</v>
      </c>
      <c r="L9" s="43">
        <v>1238708</v>
      </c>
      <c r="M9" s="43">
        <v>0</v>
      </c>
      <c r="N9" s="43">
        <v>1240552.8</v>
      </c>
    </row>
    <row r="10" spans="1:14" x14ac:dyDescent="0.2">
      <c r="A10">
        <f>'Purchased Power Model '!A153</f>
        <v>2005</v>
      </c>
      <c r="B10" s="6">
        <f>'Purchased Power Model '!B153</f>
        <v>242687327.83019999</v>
      </c>
      <c r="C10" s="6">
        <f>'Purchased Power Model '!J153</f>
        <v>243391567.27342251</v>
      </c>
      <c r="D10" s="41">
        <f t="shared" si="0"/>
        <v>704239.44322252274</v>
      </c>
      <c r="E10" s="5">
        <f t="shared" si="1"/>
        <v>2.9018385488807021E-3</v>
      </c>
      <c r="F10" s="60">
        <f t="shared" si="2"/>
        <v>1.0738437064236237</v>
      </c>
      <c r="G10" s="29">
        <f t="shared" si="3"/>
        <v>225998743</v>
      </c>
      <c r="H10" s="43">
        <f>SUM('[5]Consumption Data '!E42:E53)</f>
        <v>154818065</v>
      </c>
      <c r="I10" s="43">
        <f>SUM('[5]Consumption Data '!I42:I53)</f>
        <v>28301933</v>
      </c>
      <c r="J10" s="43">
        <f>SUM('[5]Consumption Data '!M42:M53)</f>
        <v>39824875</v>
      </c>
      <c r="K10" s="43">
        <v>131643</v>
      </c>
      <c r="L10" s="43">
        <v>1463209</v>
      </c>
      <c r="M10" s="43">
        <v>0</v>
      </c>
      <c r="N10" s="43">
        <v>1459018</v>
      </c>
    </row>
    <row r="11" spans="1:14" x14ac:dyDescent="0.2">
      <c r="A11">
        <f>'Purchased Power Model '!A154</f>
        <v>2006</v>
      </c>
      <c r="B11" s="6">
        <f>'Purchased Power Model '!B154</f>
        <v>234398898.69999999</v>
      </c>
      <c r="C11" s="6">
        <f>'Purchased Power Model '!J154</f>
        <v>234083312.83045462</v>
      </c>
      <c r="D11" s="41">
        <f t="shared" si="0"/>
        <v>-315585.86954537034</v>
      </c>
      <c r="E11" s="5">
        <f t="shared" si="1"/>
        <v>-1.3463624244637732E-3</v>
      </c>
      <c r="F11" s="60">
        <f t="shared" si="2"/>
        <v>1.0684534911936781</v>
      </c>
      <c r="G11" s="29">
        <f t="shared" si="3"/>
        <v>219381471.09999999</v>
      </c>
      <c r="H11" s="43">
        <f>SUM('[5]Consumption Data '!E54:E65)</f>
        <v>149103951</v>
      </c>
      <c r="I11" s="43">
        <f>SUM('[5]Consumption Data '!I54:I65)</f>
        <v>27191374</v>
      </c>
      <c r="J11" s="43">
        <f>SUM('[5]Consumption Data '!M54:M65)</f>
        <v>39830915</v>
      </c>
      <c r="K11" s="43">
        <v>131869</v>
      </c>
      <c r="L11" s="43">
        <v>1445518</v>
      </c>
      <c r="M11" s="43">
        <v>291777</v>
      </c>
      <c r="N11" s="43">
        <v>1386067.1</v>
      </c>
    </row>
    <row r="12" spans="1:14" x14ac:dyDescent="0.2">
      <c r="A12">
        <f>'Purchased Power Model '!A155</f>
        <v>2007</v>
      </c>
      <c r="B12" s="6">
        <f>'Purchased Power Model '!B155</f>
        <v>241154636.09999999</v>
      </c>
      <c r="C12" s="6">
        <f>'Purchased Power Model '!J155</f>
        <v>241953147.35085589</v>
      </c>
      <c r="D12" s="41">
        <f t="shared" si="0"/>
        <v>798511.2508558929</v>
      </c>
      <c r="E12" s="5">
        <f t="shared" si="1"/>
        <v>3.3112000821115166E-3</v>
      </c>
      <c r="F12" s="60">
        <f t="shared" si="2"/>
        <v>1.0973907673656689</v>
      </c>
      <c r="G12" s="29">
        <f t="shared" si="3"/>
        <v>219752747.40000001</v>
      </c>
      <c r="H12" s="43">
        <f>SUM('[5]Consumption Data '!E66:E77)</f>
        <v>148690902</v>
      </c>
      <c r="I12" s="43">
        <f>SUM('[5]Consumption Data '!I66:I77)</f>
        <v>28463422</v>
      </c>
      <c r="J12" s="43">
        <f>SUM('[5]Consumption Data '!M66:M77)</f>
        <v>39320570</v>
      </c>
      <c r="K12" s="43">
        <v>126371</v>
      </c>
      <c r="L12" s="43">
        <v>1495947</v>
      </c>
      <c r="M12" s="43">
        <v>519694</v>
      </c>
      <c r="N12" s="43">
        <v>1135841.3999999999</v>
      </c>
    </row>
    <row r="13" spans="1:14" x14ac:dyDescent="0.2">
      <c r="A13">
        <f>'Purchased Power Model '!A156</f>
        <v>2008</v>
      </c>
      <c r="B13" s="6">
        <f>'Purchased Power Model '!B156</f>
        <v>245623027.80000001</v>
      </c>
      <c r="C13" s="6">
        <f>'Purchased Power Model '!J156</f>
        <v>243425788.29814762</v>
      </c>
      <c r="D13" s="41">
        <f t="shared" si="0"/>
        <v>-2197239.5018523932</v>
      </c>
      <c r="E13" s="5">
        <f t="shared" si="1"/>
        <v>-8.9455761600720444E-3</v>
      </c>
      <c r="F13" s="60">
        <f t="shared" si="2"/>
        <v>1.0828211855675489</v>
      </c>
      <c r="G13" s="29">
        <f t="shared" si="3"/>
        <v>226836185.95000002</v>
      </c>
      <c r="H13" s="43">
        <f>SUM('[5]Consumption Data '!E78:E89)</f>
        <v>149960621</v>
      </c>
      <c r="I13" s="43">
        <f>SUM('[5]Consumption Data '!I78:I89)</f>
        <v>28399681</v>
      </c>
      <c r="J13" s="43">
        <f>SUM('[5]Consumption Data '!M78:M89)</f>
        <v>45269405.57</v>
      </c>
      <c r="K13" s="43">
        <v>124211.62</v>
      </c>
      <c r="L13" s="43">
        <v>1533898.8</v>
      </c>
      <c r="M13" s="43">
        <v>508215</v>
      </c>
      <c r="N13" s="43">
        <v>1040152.96</v>
      </c>
    </row>
    <row r="14" spans="1:14" x14ac:dyDescent="0.2">
      <c r="A14">
        <f>'Purchased Power Model '!A157</f>
        <v>2009</v>
      </c>
      <c r="B14" s="6">
        <f>'Purchased Power Model '!B157</f>
        <v>247239189.20000002</v>
      </c>
      <c r="C14" s="6">
        <f>'Purchased Power Model '!J157</f>
        <v>246672819.60490677</v>
      </c>
      <c r="D14" s="41">
        <f t="shared" si="0"/>
        <v>-566369.59509325027</v>
      </c>
      <c r="E14" s="5">
        <f t="shared" si="1"/>
        <v>-2.2907759765993046E-3</v>
      </c>
      <c r="F14" s="60">
        <f t="shared" si="2"/>
        <v>1.0790107548037402</v>
      </c>
      <c r="G14" s="29">
        <f t="shared" si="3"/>
        <v>229135055.51199999</v>
      </c>
      <c r="H14" s="43">
        <f>SUM('[5]Consumption Data '!E90:E101)</f>
        <v>150373777</v>
      </c>
      <c r="I14" s="43">
        <f>SUM('[5]Consumption Data '!I90:I101)</f>
        <v>28113433</v>
      </c>
      <c r="J14" s="43">
        <f>SUM('[5]Consumption Data '!M90:M101)</f>
        <v>47473258.210000001</v>
      </c>
      <c r="K14" s="43">
        <v>122021.1</v>
      </c>
      <c r="L14" s="43">
        <v>1576911.6</v>
      </c>
      <c r="M14" s="43">
        <v>493680</v>
      </c>
      <c r="N14" s="43">
        <v>981974.60200000007</v>
      </c>
    </row>
    <row r="15" spans="1:14" x14ac:dyDescent="0.2">
      <c r="A15">
        <f>'Purchased Power Model '!A158</f>
        <v>2010</v>
      </c>
      <c r="B15" s="6">
        <f>'Purchased Power Model '!B158</f>
        <v>250239378.79999998</v>
      </c>
      <c r="C15" s="6">
        <f>'Purchased Power Model '!J158</f>
        <v>247841894.28260642</v>
      </c>
      <c r="D15" s="41">
        <f>C15-B15</f>
        <v>-2397484.5173935592</v>
      </c>
      <c r="E15" s="5">
        <f>D15/B15</f>
        <v>-9.5807643420890692E-3</v>
      </c>
      <c r="F15" s="60">
        <f t="shared" si="2"/>
        <v>1.079314686856939</v>
      </c>
      <c r="G15" s="29">
        <f t="shared" si="3"/>
        <v>231850248.90999997</v>
      </c>
      <c r="H15" s="43">
        <f>SUM('[5]Consumption Data '!E102:E113)</f>
        <v>148340356.22999996</v>
      </c>
      <c r="I15" s="43">
        <f>SUM('[5]Consumption Data '!I102:I113)</f>
        <v>29188874</v>
      </c>
      <c r="J15" s="43">
        <f>SUM('[5]Consumption Data '!M102:M113)</f>
        <v>51128771.11999999</v>
      </c>
      <c r="K15" s="43">
        <v>116702.72</v>
      </c>
      <c r="L15" s="43">
        <v>1580058</v>
      </c>
      <c r="M15" s="43">
        <v>493680</v>
      </c>
      <c r="N15" s="43">
        <v>1001806.8400000001</v>
      </c>
    </row>
    <row r="16" spans="1:14" x14ac:dyDescent="0.2">
      <c r="A16">
        <f>'Purchased Power Model '!A159</f>
        <v>2011</v>
      </c>
      <c r="B16" s="6">
        <f>'Purchased Power Model '!B159</f>
        <v>246758167.20000002</v>
      </c>
      <c r="C16" s="6">
        <f>'Purchased Power Model '!J159</f>
        <v>251420561.46357667</v>
      </c>
      <c r="D16" s="41">
        <f t="shared" si="0"/>
        <v>4662394.2635766566</v>
      </c>
      <c r="E16" s="5">
        <f t="shared" si="1"/>
        <v>1.889458945364E-2</v>
      </c>
      <c r="F16" s="60">
        <f t="shared" si="2"/>
        <v>1.0564312019100242</v>
      </c>
      <c r="G16" s="29">
        <f t="shared" si="3"/>
        <v>233577129.06799996</v>
      </c>
      <c r="H16" s="43">
        <f>SUM('[5]Consumption Data '!E114:E125)</f>
        <v>150098109.56999999</v>
      </c>
      <c r="I16" s="43">
        <f>SUM('[5]Consumption Data '!I114:I125)</f>
        <v>30548695.32</v>
      </c>
      <c r="J16" s="43">
        <f>SUM('[5]Consumption Data '!M114:M125)</f>
        <v>49921685.450000003</v>
      </c>
      <c r="K16" s="43">
        <v>110240.82</v>
      </c>
      <c r="L16" s="43">
        <v>1457369.41</v>
      </c>
      <c r="M16" s="43">
        <v>489312</v>
      </c>
      <c r="N16" s="43">
        <v>951716.49800000002</v>
      </c>
    </row>
    <row r="17" spans="1:14" x14ac:dyDescent="0.2">
      <c r="A17">
        <f>'Purchased Power Model '!A160</f>
        <v>2012</v>
      </c>
      <c r="B17" s="6"/>
      <c r="C17" s="6">
        <f>'Purchased Power Model '!J160</f>
        <v>254027867.83937243</v>
      </c>
      <c r="G17" s="23">
        <f>C17/$F$21</f>
        <v>233846635.73447174</v>
      </c>
      <c r="H17"/>
      <c r="I17"/>
      <c r="J17"/>
      <c r="K17"/>
      <c r="L17"/>
      <c r="M17"/>
    </row>
    <row r="18" spans="1:14" x14ac:dyDescent="0.2">
      <c r="A18">
        <f>'Purchased Power Model '!A161</f>
        <v>2013</v>
      </c>
      <c r="B18" s="6"/>
      <c r="C18" s="6">
        <f>'Purchased Power Model '!J161</f>
        <v>256194557.73854184</v>
      </c>
      <c r="G18" s="23">
        <f>C18/$F$21</f>
        <v>235841193.05572206</v>
      </c>
      <c r="H18"/>
      <c r="I18"/>
      <c r="J18"/>
      <c r="K18"/>
      <c r="L18"/>
      <c r="M18"/>
    </row>
    <row r="19" spans="1:14" x14ac:dyDescent="0.2">
      <c r="B19" s="6"/>
      <c r="C19" s="6"/>
      <c r="G19" s="29"/>
      <c r="H19"/>
      <c r="I19"/>
      <c r="J19"/>
      <c r="K19"/>
      <c r="L19"/>
      <c r="M19"/>
    </row>
    <row r="21" spans="1:14" x14ac:dyDescent="0.2">
      <c r="A21" s="21" t="s">
        <v>15</v>
      </c>
      <c r="F21" s="60">
        <f>AVERAGE(F7:F16)</f>
        <v>1.0863011436598817</v>
      </c>
    </row>
    <row r="22" spans="1:14" x14ac:dyDescent="0.2">
      <c r="E22" s="25"/>
      <c r="F22" s="25"/>
      <c r="G22" s="29"/>
    </row>
    <row r="24" spans="1:14" x14ac:dyDescent="0.2">
      <c r="A24" s="24" t="s">
        <v>17</v>
      </c>
      <c r="B24" s="13"/>
    </row>
    <row r="25" spans="1:14" ht="13.5" customHeight="1" x14ac:dyDescent="0.2"/>
    <row r="26" spans="1:14" x14ac:dyDescent="0.2">
      <c r="A26">
        <f t="shared" ref="A26:A37" si="4">A7</f>
        <v>2002</v>
      </c>
      <c r="D26" s="6"/>
      <c r="H26" s="29">
        <f>H7/'Rate Class Customer Model'!B3</f>
        <v>11485.011511387163</v>
      </c>
      <c r="I26" s="29">
        <f>I7/'Rate Class Customer Model'!C3</f>
        <v>26624.659498207886</v>
      </c>
      <c r="J26" s="29">
        <f>J7/'Rate Class Customer Model'!D3</f>
        <v>547243.39436619717</v>
      </c>
      <c r="K26" s="29">
        <f>K7/'Rate Class Customer Model'!E3</f>
        <v>748.35706214689276</v>
      </c>
      <c r="L26" s="29">
        <f>L7/'Rate Class Customer Model'!F3</f>
        <v>556.18747033697196</v>
      </c>
      <c r="M26" s="29"/>
      <c r="N26" s="29">
        <f>N7</f>
        <v>1102713.6000000001</v>
      </c>
    </row>
    <row r="27" spans="1:14" x14ac:dyDescent="0.2">
      <c r="A27">
        <f t="shared" si="4"/>
        <v>2003</v>
      </c>
      <c r="H27" s="29">
        <f>H8/'Rate Class Customer Model'!B4</f>
        <v>11983.368973087243</v>
      </c>
      <c r="I27" s="29">
        <f>I8/'Rate Class Customer Model'!C4</f>
        <v>29292.674882629108</v>
      </c>
      <c r="J27" s="29">
        <f>J8/'Rate Class Customer Model'!D4</f>
        <v>538388.83333333337</v>
      </c>
      <c r="K27" s="29">
        <f>K8/'Rate Class Customer Model'!E4</f>
        <v>751.5138121546961</v>
      </c>
      <c r="L27" s="29">
        <f>L8/'Rate Class Customer Model'!F4</f>
        <v>431.0714936247723</v>
      </c>
      <c r="M27" s="29"/>
      <c r="N27" s="29">
        <f t="shared" ref="N27:N35" si="5">N8</f>
        <v>1654070.4000000001</v>
      </c>
    </row>
    <row r="28" spans="1:14" x14ac:dyDescent="0.2">
      <c r="A28">
        <f t="shared" si="4"/>
        <v>2004</v>
      </c>
      <c r="H28" s="29">
        <f>H9/'Rate Class Customer Model'!B5</f>
        <v>11866.177605869687</v>
      </c>
      <c r="I28" s="29">
        <f>I9/'Rate Class Customer Model'!C5</f>
        <v>30394.688487584652</v>
      </c>
      <c r="J28" s="29">
        <f>J9/'Rate Class Customer Model'!D5</f>
        <v>497310.09589041094</v>
      </c>
      <c r="K28" s="29">
        <f>K9/'Rate Class Customer Model'!E5</f>
        <v>739.33333333333337</v>
      </c>
      <c r="L28" s="29">
        <f>L9/'Rate Class Customer Model'!F5</f>
        <v>536.46946730186232</v>
      </c>
      <c r="M28" s="29"/>
      <c r="N28" s="29">
        <f t="shared" si="5"/>
        <v>1240552.8</v>
      </c>
    </row>
    <row r="29" spans="1:14" x14ac:dyDescent="0.2">
      <c r="A29">
        <f t="shared" si="4"/>
        <v>2005</v>
      </c>
      <c r="H29" s="29">
        <f>H10/'Rate Class Customer Model'!B6</f>
        <v>12144.498352682775</v>
      </c>
      <c r="I29" s="29">
        <f>I10/'Rate Class Customer Model'!C6</f>
        <v>31203.89525909592</v>
      </c>
      <c r="J29" s="29">
        <f>J10/'Rate Class Customer Model'!D6</f>
        <v>553123.26388888888</v>
      </c>
      <c r="K29" s="29">
        <f>K10/'Rate Class Customer Model'!E6</f>
        <v>696.52380952380952</v>
      </c>
      <c r="L29" s="29">
        <f>L10/'Rate Class Customer Model'!F6</f>
        <v>617.12737241670186</v>
      </c>
      <c r="M29" s="29"/>
      <c r="N29" s="29">
        <f t="shared" si="5"/>
        <v>1459018</v>
      </c>
    </row>
    <row r="30" spans="1:14" x14ac:dyDescent="0.2">
      <c r="A30">
        <f t="shared" si="4"/>
        <v>2006</v>
      </c>
      <c r="H30" s="29">
        <f>H11/'Rate Class Customer Model'!B7</f>
        <v>11588.089764513872</v>
      </c>
      <c r="I30" s="29">
        <f>I11/'Rate Class Customer Model'!C7</f>
        <v>34117.156838143033</v>
      </c>
      <c r="J30" s="29">
        <f>J11/'Rate Class Customer Model'!D7</f>
        <v>497886.4375</v>
      </c>
      <c r="K30" s="29">
        <f>K11/'Rate Class Customer Model'!E7</f>
        <v>697.71957671957671</v>
      </c>
      <c r="L30" s="29">
        <f>L11/'Rate Class Customer Model'!F7</f>
        <v>609.66596372838467</v>
      </c>
      <c r="M30" s="29">
        <f>M11/'Rate Class Customer Model'!G7</f>
        <v>3241.9666666666667</v>
      </c>
      <c r="N30" s="29">
        <f t="shared" si="5"/>
        <v>1386067.1</v>
      </c>
    </row>
    <row r="31" spans="1:14" x14ac:dyDescent="0.2">
      <c r="A31">
        <f t="shared" si="4"/>
        <v>2007</v>
      </c>
      <c r="H31" s="29">
        <f>H12/'Rate Class Customer Model'!B8</f>
        <v>11445.685628512047</v>
      </c>
      <c r="I31" s="29">
        <f>I12/'Rate Class Customer Model'!C8</f>
        <v>34753.873015873018</v>
      </c>
      <c r="J31" s="29">
        <f>J12/'Rate Class Customer Model'!D8</f>
        <v>553810.84507042251</v>
      </c>
      <c r="K31" s="29">
        <f>K12/'Rate Class Customer Model'!E8</f>
        <v>679.41397849462362</v>
      </c>
      <c r="L31" s="29">
        <f>L12/'Rate Class Customer Model'!F8</f>
        <v>601.02330253113701</v>
      </c>
      <c r="M31" s="29">
        <f>M12/'Rate Class Customer Model'!G8</f>
        <v>5839.2584269662921</v>
      </c>
      <c r="N31" s="29">
        <f t="shared" si="5"/>
        <v>1135841.3999999999</v>
      </c>
    </row>
    <row r="32" spans="1:14" x14ac:dyDescent="0.2">
      <c r="A32">
        <f t="shared" si="4"/>
        <v>2008</v>
      </c>
      <c r="H32" s="29">
        <f>H13/'Rate Class Customer Model'!B9</f>
        <v>11294.766965428937</v>
      </c>
      <c r="I32" s="29">
        <f>I13/'Rate Class Customer Model'!C9</f>
        <v>33970.910287081337</v>
      </c>
      <c r="J32" s="29">
        <f>J13/'Rate Class Customer Model'!D9</f>
        <v>620128.84342465759</v>
      </c>
      <c r="K32" s="29">
        <f>K13/'Rate Class Customer Model'!E9</f>
        <v>667.80440860215049</v>
      </c>
      <c r="L32" s="29">
        <f>L13/'Rate Class Customer Model'!F9</f>
        <v>592.69659969088104</v>
      </c>
      <c r="M32" s="29">
        <f>M13/'Rate Class Customer Model'!G9</f>
        <v>6050.1785714285716</v>
      </c>
      <c r="N32" s="29">
        <f t="shared" si="5"/>
        <v>1040152.96</v>
      </c>
    </row>
    <row r="33" spans="1:14" x14ac:dyDescent="0.2">
      <c r="A33">
        <f t="shared" si="4"/>
        <v>2009</v>
      </c>
      <c r="H33" s="29">
        <f>H14/'Rate Class Customer Model'!B10</f>
        <v>11111.63651814084</v>
      </c>
      <c r="I33" s="29">
        <f>I14/'Rate Class Customer Model'!C10</f>
        <v>32881.2081871345</v>
      </c>
      <c r="J33" s="29">
        <f>J14/'Rate Class Customer Model'!D10</f>
        <v>659350.80847222218</v>
      </c>
      <c r="K33" s="29">
        <f>K14/'Rate Class Customer Model'!E10</f>
        <v>632.23367875647671</v>
      </c>
      <c r="L33" s="29">
        <f>L14/'Rate Class Customer Model'!F10</f>
        <v>600.72822857142864</v>
      </c>
      <c r="M33" s="29">
        <f>M14/'Rate Class Customer Model'!G10</f>
        <v>5947.9518072289156</v>
      </c>
      <c r="N33" s="29">
        <f t="shared" si="5"/>
        <v>981974.60200000007</v>
      </c>
    </row>
    <row r="34" spans="1:14" x14ac:dyDescent="0.2">
      <c r="A34">
        <f t="shared" si="4"/>
        <v>2010</v>
      </c>
      <c r="H34" s="29">
        <f>H15/'Rate Class Customer Model'!B11</f>
        <v>10866.629274778401</v>
      </c>
      <c r="I34" s="29">
        <f>I15/'Rate Class Customer Model'!C11</f>
        <v>33744.363005780346</v>
      </c>
      <c r="J34" s="29">
        <f>J15/'Rate Class Customer Model'!D11</f>
        <v>751893.69294117636</v>
      </c>
      <c r="K34" s="29">
        <f>K15/'Rate Class Customer Model'!E11</f>
        <v>580.61054726368161</v>
      </c>
      <c r="L34" s="29">
        <f>L15/'Rate Class Customer Model'!F11</f>
        <v>588.47597765363128</v>
      </c>
      <c r="M34" s="29">
        <f>M15/'Rate Class Customer Model'!G11</f>
        <v>6020.4878048780483</v>
      </c>
      <c r="N34" s="29">
        <f t="shared" si="5"/>
        <v>1001806.8400000001</v>
      </c>
    </row>
    <row r="35" spans="1:14" x14ac:dyDescent="0.2">
      <c r="A35">
        <f>A16</f>
        <v>2011</v>
      </c>
      <c r="H35" s="29">
        <f>H16/'Rate Class Customer Model'!B12</f>
        <v>10893.251293272371</v>
      </c>
      <c r="I35" s="29">
        <f>I16/'Rate Class Customer Model'!C12</f>
        <v>34094.526026785716</v>
      </c>
      <c r="J35" s="29">
        <f>J16/'Rate Class Customer Model'!D12</f>
        <v>745099.78283582092</v>
      </c>
      <c r="K35" s="29">
        <f>K16/'Rate Class Customer Model'!E12</f>
        <v>489.95920000000001</v>
      </c>
      <c r="L35" s="29">
        <f>L16/'Rate Class Customer Model'!F12</f>
        <v>534.22632331378293</v>
      </c>
      <c r="M35" s="29">
        <f>M16/'Rate Class Customer Model'!G12</f>
        <v>6040.8888888888887</v>
      </c>
      <c r="N35" s="29">
        <f t="shared" si="5"/>
        <v>951716.49800000002</v>
      </c>
    </row>
    <row r="36" spans="1:14" x14ac:dyDescent="0.2">
      <c r="A36">
        <f t="shared" si="4"/>
        <v>2012</v>
      </c>
      <c r="H36" s="23">
        <f t="shared" ref="H36:N36" si="6">H35*H53</f>
        <v>10829.411722226219</v>
      </c>
      <c r="I36" s="23">
        <f t="shared" si="6"/>
        <v>35044.353848506049</v>
      </c>
      <c r="J36" s="23">
        <f t="shared" si="6"/>
        <v>771093.59079320845</v>
      </c>
      <c r="K36" s="23">
        <f t="shared" si="6"/>
        <v>467.43491112344174</v>
      </c>
      <c r="L36" s="23">
        <f t="shared" si="6"/>
        <v>531.84036116007519</v>
      </c>
      <c r="M36" s="23">
        <f t="shared" si="6"/>
        <v>6841.6256633489647</v>
      </c>
      <c r="N36" s="23">
        <f t="shared" si="6"/>
        <v>936270.78484472295</v>
      </c>
    </row>
    <row r="37" spans="1:14" x14ac:dyDescent="0.2">
      <c r="A37">
        <f t="shared" si="4"/>
        <v>2013</v>
      </c>
      <c r="H37" s="23">
        <f t="shared" ref="H37:N37" si="7">H36*H53</f>
        <v>10765.946281063023</v>
      </c>
      <c r="I37" s="23">
        <f t="shared" si="7"/>
        <v>36020.642600940162</v>
      </c>
      <c r="J37" s="23">
        <f t="shared" si="7"/>
        <v>797994.22769846383</v>
      </c>
      <c r="K37" s="23">
        <f t="shared" si="7"/>
        <v>445.94610354694811</v>
      </c>
      <c r="L37" s="23">
        <f t="shared" si="7"/>
        <v>529.46505519298807</v>
      </c>
      <c r="M37" s="23">
        <f t="shared" si="7"/>
        <v>7748.5023443304235</v>
      </c>
      <c r="N37" s="23">
        <f t="shared" si="7"/>
        <v>921075.74513618811</v>
      </c>
    </row>
    <row r="39" spans="1:14" x14ac:dyDescent="0.2">
      <c r="A39" s="42">
        <v>1999</v>
      </c>
      <c r="D39" s="6"/>
      <c r="H39" s="27"/>
      <c r="I39" s="27"/>
      <c r="J39" s="27"/>
      <c r="K39" s="27"/>
      <c r="L39" s="27"/>
      <c r="M39" s="27"/>
    </row>
    <row r="40" spans="1:14" x14ac:dyDescent="0.2">
      <c r="A40" s="42">
        <v>2000</v>
      </c>
      <c r="D40" s="6"/>
      <c r="H40" s="27"/>
      <c r="I40" s="27"/>
      <c r="J40" s="27"/>
      <c r="K40" s="27"/>
      <c r="L40" s="27"/>
      <c r="M40" s="27"/>
    </row>
    <row r="41" spans="1:14" x14ac:dyDescent="0.2">
      <c r="A41" s="42">
        <v>2001</v>
      </c>
      <c r="D41" s="6"/>
      <c r="H41" s="27"/>
      <c r="I41" s="27"/>
      <c r="J41" s="27"/>
      <c r="K41" s="27"/>
      <c r="L41" s="27"/>
      <c r="M41" s="27"/>
    </row>
    <row r="42" spans="1:14" x14ac:dyDescent="0.2">
      <c r="A42" s="42">
        <v>2002</v>
      </c>
      <c r="D42" s="6"/>
      <c r="H42" s="27"/>
      <c r="I42" s="27"/>
      <c r="J42" s="27"/>
      <c r="K42" s="27"/>
      <c r="L42" s="27"/>
      <c r="M42" s="27"/>
    </row>
    <row r="43" spans="1:14" x14ac:dyDescent="0.2">
      <c r="A43" s="42">
        <v>2003</v>
      </c>
      <c r="D43" s="6"/>
      <c r="H43" s="27">
        <f t="shared" ref="H43:L46" si="8">H27/H26</f>
        <v>1.0433919862601764</v>
      </c>
      <c r="I43" s="27">
        <f t="shared" si="8"/>
        <v>1.1002084321341576</v>
      </c>
      <c r="J43" s="27">
        <f t="shared" si="8"/>
        <v>0.98381970230427551</v>
      </c>
      <c r="K43" s="27">
        <f t="shared" ref="K43:K51" si="9">K27/K26</f>
        <v>1.0042182404195494</v>
      </c>
      <c r="L43" s="27">
        <f t="shared" si="8"/>
        <v>0.77504711381506519</v>
      </c>
      <c r="M43" s="27"/>
      <c r="N43" s="27">
        <f t="shared" ref="N43:N51" si="10">N27/N26</f>
        <v>1.5</v>
      </c>
    </row>
    <row r="44" spans="1:14" x14ac:dyDescent="0.2">
      <c r="A44" s="42">
        <v>2004</v>
      </c>
      <c r="D44" s="6"/>
      <c r="H44" s="27">
        <f t="shared" si="8"/>
        <v>0.99022049913669941</v>
      </c>
      <c r="I44" s="27">
        <f t="shared" si="8"/>
        <v>1.0376207911831585</v>
      </c>
      <c r="J44" s="27">
        <f t="shared" si="8"/>
        <v>0.9237006139436601</v>
      </c>
      <c r="K44" s="27">
        <f t="shared" si="9"/>
        <v>0.98379207590817319</v>
      </c>
      <c r="L44" s="27">
        <f t="shared" si="8"/>
        <v>1.2445023046892403</v>
      </c>
      <c r="M44" s="27"/>
      <c r="N44" s="27">
        <f t="shared" si="10"/>
        <v>0.75</v>
      </c>
    </row>
    <row r="45" spans="1:14" x14ac:dyDescent="0.2">
      <c r="A45" s="42">
        <v>2005</v>
      </c>
      <c r="D45" s="6"/>
      <c r="H45" s="27">
        <f t="shared" si="8"/>
        <v>1.023454962167043</v>
      </c>
      <c r="I45" s="27">
        <f t="shared" si="8"/>
        <v>1.0266232954432748</v>
      </c>
      <c r="J45" s="27">
        <f t="shared" si="8"/>
        <v>1.112230112478507</v>
      </c>
      <c r="K45" s="27">
        <f t="shared" si="9"/>
        <v>0.94209712739920126</v>
      </c>
      <c r="L45" s="27">
        <f t="shared" si="8"/>
        <v>1.1503494793851048</v>
      </c>
      <c r="M45" s="27"/>
      <c r="N45" s="27">
        <f t="shared" si="10"/>
        <v>1.1761031050028665</v>
      </c>
    </row>
    <row r="46" spans="1:14" x14ac:dyDescent="0.2">
      <c r="A46" s="42">
        <v>2006</v>
      </c>
      <c r="D46" s="6"/>
      <c r="H46" s="27">
        <f t="shared" si="8"/>
        <v>0.95418430864655768</v>
      </c>
      <c r="I46" s="27">
        <f t="shared" si="8"/>
        <v>1.0933621124817068</v>
      </c>
      <c r="J46" s="27">
        <f t="shared" si="8"/>
        <v>0.90013649760357062</v>
      </c>
      <c r="K46" s="27">
        <f t="shared" si="9"/>
        <v>1.0017167642791489</v>
      </c>
      <c r="L46" s="27">
        <f t="shared" si="8"/>
        <v>0.98790945107636707</v>
      </c>
      <c r="M46" s="27"/>
      <c r="N46" s="27">
        <f t="shared" si="10"/>
        <v>0.95000000000000007</v>
      </c>
    </row>
    <row r="47" spans="1:14" x14ac:dyDescent="0.2">
      <c r="A47" s="42">
        <v>2007</v>
      </c>
      <c r="D47" s="6"/>
      <c r="H47" s="27">
        <f t="shared" ref="H47:M48" si="11">H31/H30</f>
        <v>0.98771116388501679</v>
      </c>
      <c r="I47" s="27">
        <f t="shared" si="11"/>
        <v>1.0186626388813893</v>
      </c>
      <c r="J47" s="27">
        <f t="shared" si="11"/>
        <v>1.1123236211278049</v>
      </c>
      <c r="K47" s="27">
        <f t="shared" si="9"/>
        <v>0.97376367406656505</v>
      </c>
      <c r="L47" s="27">
        <f t="shared" si="11"/>
        <v>0.98582394013863939</v>
      </c>
      <c r="M47" s="27">
        <f t="shared" si="11"/>
        <v>1.8011469664400082</v>
      </c>
      <c r="N47" s="27">
        <f t="shared" si="10"/>
        <v>0.81947071682171801</v>
      </c>
    </row>
    <row r="48" spans="1:14" x14ac:dyDescent="0.2">
      <c r="A48" s="42">
        <v>2008</v>
      </c>
      <c r="D48" s="6"/>
      <c r="H48" s="27">
        <f t="shared" si="11"/>
        <v>0.98681436237361264</v>
      </c>
      <c r="I48" s="27">
        <f t="shared" si="11"/>
        <v>0.97747120936897935</v>
      </c>
      <c r="J48" s="27">
        <f t="shared" si="11"/>
        <v>1.1197484645606788</v>
      </c>
      <c r="K48" s="27">
        <f t="shared" si="9"/>
        <v>0.98291237704853174</v>
      </c>
      <c r="L48" s="27">
        <f t="shared" si="11"/>
        <v>0.98614579034591665</v>
      </c>
      <c r="M48" s="27">
        <f t="shared" si="11"/>
        <v>1.0361210498045827</v>
      </c>
      <c r="N48" s="27">
        <f t="shared" si="10"/>
        <v>0.91575545670372649</v>
      </c>
    </row>
    <row r="49" spans="1:19" x14ac:dyDescent="0.2">
      <c r="A49" s="42">
        <v>2009</v>
      </c>
      <c r="D49" s="6"/>
      <c r="H49" s="27">
        <f t="shared" ref="H49:M49" si="12">H33/H32</f>
        <v>0.983786257135838</v>
      </c>
      <c r="I49" s="27">
        <f t="shared" si="12"/>
        <v>0.96792249337041658</v>
      </c>
      <c r="J49" s="27">
        <f t="shared" si="12"/>
        <v>1.0632480902371215</v>
      </c>
      <c r="K49" s="27">
        <f t="shared" si="12"/>
        <v>0.94673480829494594</v>
      </c>
      <c r="L49" s="27">
        <f t="shared" si="12"/>
        <v>1.0135509953739172</v>
      </c>
      <c r="M49" s="27">
        <f t="shared" si="12"/>
        <v>0.98310351289755105</v>
      </c>
      <c r="N49" s="27">
        <f t="shared" si="10"/>
        <v>0.94406749753420893</v>
      </c>
    </row>
    <row r="50" spans="1:19" x14ac:dyDescent="0.2">
      <c r="A50" s="42">
        <v>2010</v>
      </c>
      <c r="D50" s="6"/>
      <c r="H50" s="27">
        <f t="shared" ref="H50:M51" si="13">H34/H33</f>
        <v>0.9779503907491538</v>
      </c>
      <c r="I50" s="27">
        <f t="shared" si="13"/>
        <v>1.026250702642477</v>
      </c>
      <c r="J50" s="27">
        <f t="shared" si="13"/>
        <v>1.1403545476548134</v>
      </c>
      <c r="K50" s="27">
        <f t="shared" si="9"/>
        <v>0.91834802031690055</v>
      </c>
      <c r="L50" s="27">
        <f t="shared" si="13"/>
        <v>0.97960433631205579</v>
      </c>
      <c r="M50" s="27">
        <f t="shared" si="13"/>
        <v>1.0121951219512195</v>
      </c>
      <c r="N50" s="27">
        <f t="shared" si="10"/>
        <v>1.0201962840582715</v>
      </c>
    </row>
    <row r="51" spans="1:19" x14ac:dyDescent="0.2">
      <c r="A51" s="42">
        <v>2011</v>
      </c>
      <c r="D51" s="6"/>
      <c r="H51" s="27">
        <f t="shared" si="13"/>
        <v>1.002449887432505</v>
      </c>
      <c r="I51" s="27">
        <f t="shared" si="13"/>
        <v>1.0103769337991471</v>
      </c>
      <c r="J51" s="27">
        <f t="shared" si="13"/>
        <v>0.99096426772941826</v>
      </c>
      <c r="K51" s="27">
        <f t="shared" si="9"/>
        <v>0.84386892781933442</v>
      </c>
      <c r="L51" s="27">
        <f t="shared" si="13"/>
        <v>0.90781330691500384</v>
      </c>
      <c r="M51" s="27">
        <f t="shared" si="13"/>
        <v>1.0033886098057221</v>
      </c>
      <c r="N51" s="27">
        <f t="shared" si="10"/>
        <v>0.95</v>
      </c>
    </row>
    <row r="52" spans="1:19" x14ac:dyDescent="0.2">
      <c r="A52" s="3"/>
      <c r="D52" s="6"/>
      <c r="E52" s="6"/>
      <c r="F52" s="6"/>
      <c r="N52" s="6"/>
    </row>
    <row r="53" spans="1:19" x14ac:dyDescent="0.2">
      <c r="A53" t="s">
        <v>18</v>
      </c>
      <c r="D53" s="6"/>
      <c r="H53" s="27">
        <f t="shared" ref="H53:M53" si="14">H55</f>
        <v>0.99413953012489686</v>
      </c>
      <c r="I53" s="27">
        <f t="shared" si="14"/>
        <v>1.0278586603894748</v>
      </c>
      <c r="J53" s="27">
        <f t="shared" si="14"/>
        <v>1.0348863448308308</v>
      </c>
      <c r="K53" s="27">
        <f t="shared" si="14"/>
        <v>0.95402823566419759</v>
      </c>
      <c r="L53" s="27">
        <f t="shared" si="14"/>
        <v>0.99553379897323713</v>
      </c>
      <c r="M53" s="27">
        <f t="shared" si="14"/>
        <v>1.132552806248909</v>
      </c>
      <c r="N53" s="27">
        <f>N55</f>
        <v>0.98377067836090293</v>
      </c>
    </row>
    <row r="54" spans="1:19" x14ac:dyDescent="0.2">
      <c r="A54" s="3"/>
      <c r="D54" s="6"/>
      <c r="H54" s="13"/>
      <c r="I54" s="13"/>
      <c r="L54" s="11"/>
      <c r="M54" s="11"/>
      <c r="N54" s="11"/>
    </row>
    <row r="55" spans="1:19" x14ac:dyDescent="0.2">
      <c r="A55" t="s">
        <v>16</v>
      </c>
      <c r="D55" s="6"/>
      <c r="H55" s="27">
        <f t="shared" ref="H55:N55" si="15">GEOMEAN(H43:H51)</f>
        <v>0.99413953012489686</v>
      </c>
      <c r="I55" s="27">
        <f t="shared" si="15"/>
        <v>1.0278586603894748</v>
      </c>
      <c r="J55" s="27">
        <f t="shared" si="15"/>
        <v>1.0348863448308308</v>
      </c>
      <c r="K55" s="27">
        <f t="shared" si="15"/>
        <v>0.95402823566419759</v>
      </c>
      <c r="L55" s="27">
        <f t="shared" si="15"/>
        <v>0.99553379897323713</v>
      </c>
      <c r="M55" s="27">
        <f t="shared" si="15"/>
        <v>1.132552806248909</v>
      </c>
      <c r="N55" s="27">
        <f t="shared" si="15"/>
        <v>0.98377067836090293</v>
      </c>
    </row>
    <row r="56" spans="1:19" x14ac:dyDescent="0.2">
      <c r="D56" s="6"/>
      <c r="H56" s="27"/>
      <c r="I56" s="27"/>
      <c r="J56" s="27"/>
      <c r="K56" s="27"/>
      <c r="L56" s="27"/>
      <c r="M56" s="27"/>
    </row>
    <row r="57" spans="1:19" x14ac:dyDescent="0.2">
      <c r="A57" s="21" t="s">
        <v>45</v>
      </c>
      <c r="P57" t="s">
        <v>212</v>
      </c>
    </row>
    <row r="58" spans="1:19" x14ac:dyDescent="0.2">
      <c r="A58">
        <v>2012</v>
      </c>
      <c r="B58">
        <v>2012</v>
      </c>
      <c r="C58">
        <v>2012</v>
      </c>
      <c r="G58" s="41">
        <f>SUM(H58:N58)</f>
        <v>237473042.02615032</v>
      </c>
      <c r="H58" s="41">
        <f>H36*'Rate Class Customer Model'!B13</f>
        <v>151423272.53860876</v>
      </c>
      <c r="I58" s="41">
        <f>I36*'Rate Class Customer Model'!C13</f>
        <v>31638291.030807108</v>
      </c>
      <c r="J58" s="41">
        <f>J36*'Rate Class Customer Model'!D13</f>
        <v>51331472.691244997</v>
      </c>
      <c r="K58" s="41">
        <f>K36*'Rate Class Customer Model'!E13</f>
        <v>108014.6018423326</v>
      </c>
      <c r="L58" s="41">
        <f>L36*'Rate Class Customer Model'!F13</f>
        <v>1493104.087105837</v>
      </c>
      <c r="M58" s="41">
        <f>M36*'Rate Class Customer Model'!G13</f>
        <v>542616.29169655254</v>
      </c>
      <c r="N58" s="41">
        <f>N36</f>
        <v>936270.78484472295</v>
      </c>
      <c r="O58" s="134">
        <f>SUM(H58:N58)</f>
        <v>237473042.02615032</v>
      </c>
      <c r="P58" s="134">
        <f>O58-N58</f>
        <v>236536771.24130559</v>
      </c>
    </row>
    <row r="59" spans="1:19" x14ac:dyDescent="0.2">
      <c r="A59">
        <v>2013</v>
      </c>
      <c r="G59" s="41">
        <f>SUM(H59:N59)</f>
        <v>241466308.56188807</v>
      </c>
      <c r="H59" s="41">
        <f>H37*'Rate Class Customer Model'!B14</f>
        <v>152760134.90102336</v>
      </c>
      <c r="I59" s="41">
        <f>I37*'Rate Class Customer Model'!C14</f>
        <v>32766749.900926679</v>
      </c>
      <c r="J59" s="41">
        <f>J37*'Rate Class Customer Model'!D14</f>
        <v>52781072.291541219</v>
      </c>
      <c r="K59" s="41">
        <f>K37*'Rate Class Customer Model'!E14</f>
        <v>105833.34023783241</v>
      </c>
      <c r="L59" s="41">
        <f>L37*'Rate Class Customer Model'!F14</f>
        <v>1529714.9779836223</v>
      </c>
      <c r="M59" s="41">
        <f>M37*'Rate Class Customer Model'!G14</f>
        <v>601727.40503915353</v>
      </c>
      <c r="N59" s="41">
        <f>N37</f>
        <v>921075.74513618811</v>
      </c>
      <c r="O59" s="134">
        <f>SUM(H59:N59)</f>
        <v>241466308.56188807</v>
      </c>
      <c r="P59" s="134">
        <f>O59-N59</f>
        <v>240545232.81675187</v>
      </c>
    </row>
    <row r="60" spans="1:19" x14ac:dyDescent="0.2">
      <c r="G60" s="41"/>
      <c r="H60" s="41"/>
      <c r="I60" s="41"/>
      <c r="J60" s="41"/>
      <c r="K60" s="41"/>
      <c r="L60" s="41"/>
      <c r="M60" s="41"/>
    </row>
    <row r="61" spans="1:19" x14ac:dyDescent="0.2">
      <c r="A61" s="21" t="s">
        <v>44</v>
      </c>
      <c r="G61" s="41"/>
      <c r="H61" s="41"/>
      <c r="I61" s="41"/>
      <c r="J61" s="41"/>
      <c r="K61" s="41"/>
      <c r="L61" s="41"/>
      <c r="M61" s="41"/>
      <c r="Q61" s="1" t="s">
        <v>215</v>
      </c>
      <c r="R61" s="1" t="s">
        <v>222</v>
      </c>
    </row>
    <row r="62" spans="1:19" x14ac:dyDescent="0.2">
      <c r="A62">
        <v>2012</v>
      </c>
      <c r="G62" s="64">
        <f>G17</f>
        <v>233846635.73447174</v>
      </c>
      <c r="H62" s="41">
        <f ca="1">H58+H70+H74+H84</f>
        <v>147749853.41291058</v>
      </c>
      <c r="I62" s="41">
        <f t="shared" ref="I62:N63" ca="1" si="16">I58+I70+I74+I84</f>
        <v>30870768.962180968</v>
      </c>
      <c r="J62" s="41">
        <f t="shared" ca="1" si="16"/>
        <v>50262876.287525296</v>
      </c>
      <c r="K62" s="41">
        <f t="shared" ca="1" si="16"/>
        <v>107146.80439613332</v>
      </c>
      <c r="L62" s="41">
        <f t="shared" ca="1" si="16"/>
        <v>1481108.3764185775</v>
      </c>
      <c r="M62" s="41">
        <f t="shared" ca="1" si="16"/>
        <v>538256.87154252804</v>
      </c>
      <c r="N62" s="41">
        <f t="shared" si="16"/>
        <v>936270.78484472295</v>
      </c>
      <c r="O62" s="134">
        <f ca="1">SUM(H62:N62)</f>
        <v>231946281.4998188</v>
      </c>
      <c r="P62" s="134">
        <f ca="1">G62-O62</f>
        <v>1900354.2346529365</v>
      </c>
    </row>
    <row r="63" spans="1:19" x14ac:dyDescent="0.2">
      <c r="A63">
        <v>2013</v>
      </c>
      <c r="G63" s="64">
        <f>G18</f>
        <v>235841193.05572206</v>
      </c>
      <c r="H63" s="41">
        <f ca="1">H59+H71+H75+H85</f>
        <v>146562898.02754521</v>
      </c>
      <c r="I63" s="41">
        <f t="shared" ca="1" si="16"/>
        <v>31437454.722956143</v>
      </c>
      <c r="J63" s="41">
        <f t="shared" ca="1" si="16"/>
        <v>50917130.196279928</v>
      </c>
      <c r="K63" s="41">
        <f t="shared" ca="1" si="16"/>
        <v>104161.13219668079</v>
      </c>
      <c r="L63" s="41">
        <f t="shared" ca="1" si="16"/>
        <v>1505544.8848815258</v>
      </c>
      <c r="M63" s="41">
        <f t="shared" ca="1" si="16"/>
        <v>592219.87742047897</v>
      </c>
      <c r="N63" s="41">
        <f t="shared" si="16"/>
        <v>-0.25486381188966334</v>
      </c>
      <c r="O63" s="134">
        <f ca="1">SUM(H63:N63)</f>
        <v>231119408.58641618</v>
      </c>
      <c r="P63" s="134">
        <f ca="1">G63-O63</f>
        <v>4721784.4693058729</v>
      </c>
      <c r="Q63" s="173">
        <f ca="1">G75</f>
        <v>-3800708.4693058846</v>
      </c>
      <c r="R63" s="134">
        <f>N85</f>
        <v>-921076</v>
      </c>
      <c r="S63" s="41">
        <f ca="1">P63+Q63+R63</f>
        <v>-1.1641532182693481E-8</v>
      </c>
    </row>
    <row r="64" spans="1:19" x14ac:dyDescent="0.2">
      <c r="G64" s="41"/>
      <c r="H64" s="41"/>
      <c r="I64" s="41"/>
      <c r="J64" s="41"/>
      <c r="K64" s="41"/>
      <c r="L64" s="41"/>
      <c r="M64" s="41"/>
    </row>
    <row r="65" spans="1:20" x14ac:dyDescent="0.2">
      <c r="A65" s="59" t="s">
        <v>46</v>
      </c>
      <c r="G65" s="41"/>
      <c r="H65" s="65">
        <f>(100%+J65)/2</f>
        <v>0.82499999999999996</v>
      </c>
      <c r="I65" s="65">
        <f>H65</f>
        <v>0.82499999999999996</v>
      </c>
      <c r="J65" s="65">
        <v>0.65</v>
      </c>
      <c r="K65" s="65"/>
      <c r="L65" s="65"/>
      <c r="M65" s="65"/>
      <c r="N65" s="65"/>
    </row>
    <row r="66" spans="1:20" x14ac:dyDescent="0.2">
      <c r="A66">
        <v>2012</v>
      </c>
      <c r="G66" s="41">
        <f>G62-G58</f>
        <v>-3626406.2916785777</v>
      </c>
      <c r="H66" s="41">
        <f t="shared" ref="H66:N66" si="17">H58*H65</f>
        <v>124924199.84435222</v>
      </c>
      <c r="I66" s="41">
        <f t="shared" si="17"/>
        <v>26101590.100415863</v>
      </c>
      <c r="J66" s="41">
        <f t="shared" si="17"/>
        <v>33365457.249309249</v>
      </c>
      <c r="K66" s="41">
        <f t="shared" si="17"/>
        <v>0</v>
      </c>
      <c r="L66" s="41">
        <f t="shared" si="17"/>
        <v>0</v>
      </c>
      <c r="M66" s="41">
        <f t="shared" si="17"/>
        <v>0</v>
      </c>
      <c r="N66" s="41">
        <f t="shared" si="17"/>
        <v>0</v>
      </c>
      <c r="O66" s="134">
        <f>SUM(H66:M66)</f>
        <v>184391247.19407731</v>
      </c>
    </row>
    <row r="67" spans="1:20" x14ac:dyDescent="0.2">
      <c r="A67">
        <v>2013</v>
      </c>
      <c r="G67" s="41">
        <f>G63-G59</f>
        <v>-5625115.5061660111</v>
      </c>
      <c r="H67" s="41">
        <f t="shared" ref="H67:M67" si="18">H59*H65</f>
        <v>126027111.29334426</v>
      </c>
      <c r="I67" s="41">
        <f t="shared" si="18"/>
        <v>27032568.668264508</v>
      </c>
      <c r="J67" s="41">
        <f t="shared" si="18"/>
        <v>34307696.989501797</v>
      </c>
      <c r="K67" s="41">
        <f t="shared" si="18"/>
        <v>0</v>
      </c>
      <c r="L67" s="41">
        <f t="shared" si="18"/>
        <v>0</v>
      </c>
      <c r="M67" s="41">
        <f t="shared" si="18"/>
        <v>0</v>
      </c>
      <c r="N67" s="41">
        <f>N59*N65</f>
        <v>0</v>
      </c>
      <c r="O67" s="134">
        <f>SUM(H67:M67)</f>
        <v>187367376.95111057</v>
      </c>
    </row>
    <row r="68" spans="1:20" ht="12" customHeight="1" x14ac:dyDescent="0.2">
      <c r="G68" s="41"/>
      <c r="H68" s="41"/>
      <c r="I68" s="41"/>
      <c r="J68" s="41"/>
      <c r="K68" s="41"/>
      <c r="L68" s="41"/>
      <c r="M68" s="41"/>
    </row>
    <row r="69" spans="1:20" x14ac:dyDescent="0.2">
      <c r="A69" t="s">
        <v>47</v>
      </c>
      <c r="G69" s="41"/>
      <c r="H69" s="41"/>
      <c r="I69" s="41"/>
      <c r="J69" s="41"/>
      <c r="K69" s="41"/>
      <c r="L69" s="41"/>
      <c r="M69" s="41"/>
    </row>
    <row r="70" spans="1:20" x14ac:dyDescent="0.2">
      <c r="A70">
        <v>2012</v>
      </c>
      <c r="G70" s="41"/>
      <c r="H70" s="41">
        <f t="shared" ref="H70:N70" si="19">H66/$O$66*$G$66</f>
        <v>-2456873.1498499359</v>
      </c>
      <c r="I70" s="41">
        <f t="shared" si="19"/>
        <v>-513337.65568240971</v>
      </c>
      <c r="J70" s="41">
        <f t="shared" si="19"/>
        <v>-656195.48614623235</v>
      </c>
      <c r="K70" s="41">
        <f t="shared" si="19"/>
        <v>0</v>
      </c>
      <c r="L70" s="41">
        <f t="shared" si="19"/>
        <v>0</v>
      </c>
      <c r="M70" s="41">
        <f t="shared" si="19"/>
        <v>0</v>
      </c>
      <c r="N70" s="41">
        <f t="shared" si="19"/>
        <v>0</v>
      </c>
      <c r="O70" s="134">
        <f>SUM(H70:M70)</f>
        <v>-3626406.2916785777</v>
      </c>
    </row>
    <row r="71" spans="1:20" x14ac:dyDescent="0.2">
      <c r="A71">
        <v>2013</v>
      </c>
      <c r="H71" s="41">
        <f t="shared" ref="H71:N71" si="20">H67/$O$67*$G$67</f>
        <v>-3783567.1794587639</v>
      </c>
      <c r="I71" s="41">
        <f t="shared" si="20"/>
        <v>-811567.75347839366</v>
      </c>
      <c r="J71" s="41">
        <f t="shared" si="20"/>
        <v>-1029980.5732288535</v>
      </c>
      <c r="K71" s="41">
        <f t="shared" si="20"/>
        <v>0</v>
      </c>
      <c r="L71" s="41">
        <f t="shared" si="20"/>
        <v>0</v>
      </c>
      <c r="M71" s="41">
        <f t="shared" si="20"/>
        <v>0</v>
      </c>
      <c r="N71" s="41">
        <f t="shared" si="20"/>
        <v>0</v>
      </c>
      <c r="O71" s="134">
        <f>SUM(H71:M71)</f>
        <v>-5625115.5061660111</v>
      </c>
    </row>
    <row r="73" spans="1:20" x14ac:dyDescent="0.2">
      <c r="F73" s="4" t="s">
        <v>211</v>
      </c>
      <c r="G73" s="155"/>
      <c r="H73" s="154"/>
      <c r="I73" s="154"/>
      <c r="J73" s="154"/>
      <c r="K73" s="154"/>
      <c r="L73" s="154"/>
      <c r="M73" s="154"/>
      <c r="N73" s="154"/>
      <c r="O73" s="154"/>
      <c r="P73" s="6"/>
      <c r="Q73" s="6"/>
      <c r="R73" s="6"/>
      <c r="S73" s="6"/>
      <c r="T73" s="6"/>
    </row>
    <row r="74" spans="1:20" x14ac:dyDescent="0.2">
      <c r="F74" s="1">
        <v>2012</v>
      </c>
      <c r="G74" s="154">
        <f ca="1">-'CDM Activity'!Q32 * (1+'CDM Activity'!E12)</f>
        <v>-1900354.2346529423</v>
      </c>
      <c r="H74" s="154">
        <f t="shared" ref="H74:M74" ca="1" si="21">H58/$P$58*$G$74</f>
        <v>-1216545.9758482643</v>
      </c>
      <c r="I74" s="154">
        <f t="shared" ca="1" si="21"/>
        <v>-254184.41294372946</v>
      </c>
      <c r="J74" s="154">
        <f t="shared" ca="1" si="21"/>
        <v>-412400.91757346533</v>
      </c>
      <c r="K74" s="154">
        <f t="shared" ca="1" si="21"/>
        <v>-867.79744619927988</v>
      </c>
      <c r="L74" s="154">
        <f t="shared" ca="1" si="21"/>
        <v>-11995.710687259534</v>
      </c>
      <c r="M74" s="154">
        <f t="shared" ca="1" si="21"/>
        <v>-4359.4201540244549</v>
      </c>
      <c r="N74" s="154">
        <v>0</v>
      </c>
      <c r="O74" s="154">
        <f ca="1">SUM(H74:N74)</f>
        <v>-1900354.234652942</v>
      </c>
      <c r="P74" s="6"/>
      <c r="Q74" s="6"/>
      <c r="R74" s="6"/>
      <c r="S74" s="6"/>
      <c r="T74" s="6"/>
    </row>
    <row r="75" spans="1:20" x14ac:dyDescent="0.2">
      <c r="F75" s="1">
        <v>2013</v>
      </c>
      <c r="G75" s="154">
        <f ca="1">-'CDM Activity'!R32*(1+'CDM Activity'!E12)</f>
        <v>-3800708.4693058846</v>
      </c>
      <c r="H75" s="154">
        <f t="shared" ref="H75:M75" ca="1" si="22">H59/$P$59*$G$75</f>
        <v>-2413669.6940193754</v>
      </c>
      <c r="I75" s="154">
        <f t="shared" ca="1" si="22"/>
        <v>-517727.42449214269</v>
      </c>
      <c r="J75" s="154">
        <f t="shared" ca="1" si="22"/>
        <v>-833961.52203244343</v>
      </c>
      <c r="K75" s="154">
        <f t="shared" ca="1" si="22"/>
        <v>-1672.2080411516195</v>
      </c>
      <c r="L75" s="154">
        <f t="shared" ca="1" si="22"/>
        <v>-24170.093102096696</v>
      </c>
      <c r="M75" s="154">
        <f t="shared" ca="1" si="22"/>
        <v>-9507.5276186745286</v>
      </c>
      <c r="N75" s="154">
        <v>0</v>
      </c>
      <c r="O75" s="154">
        <f ca="1">SUM(H75:N75)</f>
        <v>-3800708.4693058841</v>
      </c>
      <c r="P75" s="6"/>
      <c r="Q75" s="6"/>
      <c r="R75" s="6"/>
      <c r="S75" s="6"/>
      <c r="T75" s="6"/>
    </row>
    <row r="76" spans="1:20" x14ac:dyDescent="0.2">
      <c r="H76" s="177">
        <f t="shared" ref="H76:M76" ca="1" si="23">H75/$G$75</f>
        <v>0.63505783553564132</v>
      </c>
      <c r="I76" s="177">
        <f t="shared" ca="1" si="23"/>
        <v>0.13621866256600684</v>
      </c>
      <c r="J76" s="177">
        <f t="shared" ca="1" si="23"/>
        <v>0.21942264942639711</v>
      </c>
      <c r="K76" s="177">
        <f t="shared" ca="1" si="23"/>
        <v>4.3997271946959177E-4</v>
      </c>
      <c r="L76" s="177">
        <f t="shared" ca="1" si="23"/>
        <v>6.359365180805575E-3</v>
      </c>
      <c r="M76" s="177">
        <f t="shared" ca="1" si="23"/>
        <v>2.5015145716795451E-3</v>
      </c>
      <c r="N76" s="6"/>
      <c r="O76" s="6"/>
      <c r="P76" s="6"/>
      <c r="Q76" s="6"/>
      <c r="R76" s="6"/>
      <c r="S76" s="6"/>
      <c r="T76" s="6"/>
    </row>
    <row r="77" spans="1:20" x14ac:dyDescent="0.2">
      <c r="N77" s="6"/>
      <c r="O77" s="6"/>
      <c r="P77" s="6"/>
      <c r="Q77" s="6"/>
      <c r="R77" s="6"/>
      <c r="S77" s="6"/>
      <c r="T77" s="6"/>
    </row>
    <row r="78" spans="1:20" x14ac:dyDescent="0.2">
      <c r="A78">
        <v>2013</v>
      </c>
      <c r="B78" s="1" t="s">
        <v>214</v>
      </c>
      <c r="H78" s="6">
        <f>Residential!I113</f>
        <v>148753078.84922627</v>
      </c>
      <c r="I78" s="6">
        <f>'GS &lt; 50 kW'!I113</f>
        <v>29542598.170879208</v>
      </c>
      <c r="J78" s="6">
        <f>J59</f>
        <v>52781072.291541219</v>
      </c>
      <c r="K78" s="6">
        <f>K59</f>
        <v>105833.34023783241</v>
      </c>
      <c r="L78" s="6">
        <f>L59</f>
        <v>1529714.9779836223</v>
      </c>
      <c r="M78" s="6">
        <f>M59</f>
        <v>601727.40503915353</v>
      </c>
      <c r="N78" s="6">
        <f>N63</f>
        <v>-0.25486381188966334</v>
      </c>
      <c r="O78" s="6">
        <f>SUM(H78:M78)</f>
        <v>233314025.03490731</v>
      </c>
      <c r="P78" s="6"/>
      <c r="Q78" s="6"/>
      <c r="R78" s="6"/>
      <c r="S78" s="6"/>
    </row>
    <row r="79" spans="1:20" x14ac:dyDescent="0.2">
      <c r="A79" s="4" t="s">
        <v>215</v>
      </c>
      <c r="G79" s="154">
        <f ca="1">G75</f>
        <v>-3800708.4693058846</v>
      </c>
      <c r="H79" s="154">
        <f t="shared" ref="H79:M79" ca="1" si="24">$G$79/$O$78*H78</f>
        <v>-2423202.3194190441</v>
      </c>
      <c r="I79" s="154">
        <f t="shared" ca="1" si="24"/>
        <v>-481251.83668903715</v>
      </c>
      <c r="J79" s="154">
        <f t="shared" ca="1" si="24"/>
        <v>-859808.87110191188</v>
      </c>
      <c r="K79" s="154">
        <f t="shared" ca="1" si="24"/>
        <v>-1724.0355461557849</v>
      </c>
      <c r="L79" s="154">
        <f t="shared" ca="1" si="24"/>
        <v>-24919.207799773525</v>
      </c>
      <c r="M79" s="154">
        <f t="shared" ca="1" si="24"/>
        <v>-9802.1987499619663</v>
      </c>
      <c r="N79" s="154"/>
      <c r="O79" s="154">
        <f ca="1">SUM(H79:N79)</f>
        <v>-3800708.4693058846</v>
      </c>
      <c r="P79" s="6"/>
      <c r="Q79" s="6"/>
      <c r="R79" s="6"/>
      <c r="S79" s="6"/>
    </row>
    <row r="80" spans="1:20" x14ac:dyDescent="0.2">
      <c r="H80" s="6">
        <f ca="1">H78+H79</f>
        <v>146329876.52980721</v>
      </c>
      <c r="I80" s="6">
        <f t="shared" ref="I80:N80" ca="1" si="25">I78+I79</f>
        <v>29061346.334190171</v>
      </c>
      <c r="J80" s="6">
        <f t="shared" ca="1" si="25"/>
        <v>51921263.42043931</v>
      </c>
      <c r="K80" s="6">
        <f t="shared" ca="1" si="25"/>
        <v>104109.30469167662</v>
      </c>
      <c r="L80" s="6">
        <f t="shared" ca="1" si="25"/>
        <v>1504795.7701838489</v>
      </c>
      <c r="M80" s="6">
        <f t="shared" ca="1" si="25"/>
        <v>591925.20628919161</v>
      </c>
      <c r="N80" s="6">
        <f t="shared" si="25"/>
        <v>-0.25486381188966334</v>
      </c>
      <c r="O80" s="6">
        <f ca="1">SUM(H80:N80)</f>
        <v>229513316.31073761</v>
      </c>
      <c r="P80" s="6"/>
      <c r="Q80" s="6"/>
      <c r="R80" s="6"/>
      <c r="S80" s="6"/>
    </row>
    <row r="83" spans="6:14" x14ac:dyDescent="0.2">
      <c r="F83" s="1" t="s">
        <v>221</v>
      </c>
    </row>
    <row r="84" spans="6:14" x14ac:dyDescent="0.2">
      <c r="F84" s="1">
        <v>2012</v>
      </c>
    </row>
    <row r="85" spans="6:14" x14ac:dyDescent="0.2">
      <c r="F85" s="1">
        <v>2013</v>
      </c>
      <c r="N85" s="41">
        <v>-921076</v>
      </c>
    </row>
  </sheetData>
  <phoneticPr fontId="0" type="noConversion"/>
  <pageMargins left="0.38" right="0.75" top="0.73" bottom="0.74" header="0.5" footer="0.5"/>
  <pageSetup scale="66" orientation="portrait"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85"/>
  <sheetViews>
    <sheetView workbookViewId="0">
      <selection activeCell="B14" sqref="B14"/>
    </sheetView>
  </sheetViews>
  <sheetFormatPr defaultRowHeight="12.75" x14ac:dyDescent="0.2"/>
  <cols>
    <col min="1" max="1" width="11" customWidth="1"/>
    <col min="2" max="2" width="15" style="6" customWidth="1"/>
    <col min="3" max="4" width="14.140625" style="6" bestFit="1" customWidth="1"/>
    <col min="5" max="5" width="14.140625" style="6" customWidth="1"/>
    <col min="6" max="6" width="17.5703125" style="6" customWidth="1"/>
    <col min="7" max="7" width="12.5703125" style="6" customWidth="1"/>
    <col min="8" max="9" width="12.7109375" style="6" bestFit="1" customWidth="1"/>
    <col min="10" max="10" width="11.7109375" style="6" bestFit="1" customWidth="1"/>
    <col min="11" max="11" width="10.7109375" style="6" bestFit="1" customWidth="1"/>
    <col min="12" max="13" width="9.140625" style="6"/>
  </cols>
  <sheetData>
    <row r="2" spans="1:11" ht="42" customHeight="1" x14ac:dyDescent="0.2">
      <c r="B2" s="9" t="str">
        <f>'Rate Class Energy Model'!H2</f>
        <v>Residential</v>
      </c>
      <c r="C2" s="9" t="str">
        <f>'Rate Class Energy Model'!I2</f>
        <v>GS&lt;50</v>
      </c>
      <c r="D2" s="9" t="str">
        <f>'Rate Class Energy Model'!J2</f>
        <v>GS&gt;50</v>
      </c>
      <c r="E2" s="9" t="str">
        <f>'Rate Class Energy Model'!K2</f>
        <v>Sentinels</v>
      </c>
      <c r="F2" s="9" t="str">
        <f>'Rate Class Energy Model'!L2</f>
        <v>Streetlights</v>
      </c>
      <c r="G2" s="9" t="str">
        <f>'Rate Class Energy Model'!M2</f>
        <v>USL</v>
      </c>
      <c r="H2" s="6" t="s">
        <v>10</v>
      </c>
      <c r="J2" s="92" t="s">
        <v>87</v>
      </c>
    </row>
    <row r="3" spans="1:11" x14ac:dyDescent="0.2">
      <c r="A3" s="4">
        <v>2002</v>
      </c>
      <c r="B3" s="44">
        <f>'[5]Consumption Data '!$F$11</f>
        <v>12075</v>
      </c>
      <c r="C3" s="44">
        <f>'[5]Consumption Data '!$J$11</f>
        <v>837</v>
      </c>
      <c r="D3" s="44">
        <f>'[5]Consumption Data '!$O$11</f>
        <v>71</v>
      </c>
      <c r="E3" s="44">
        <f>'[5]Consumption Data '!$Y$11</f>
        <v>177</v>
      </c>
      <c r="F3" s="44">
        <f>'[5]Consumption Data '!$T$11</f>
        <v>2107</v>
      </c>
      <c r="G3" s="44">
        <f>'[5]Consumption Data '!$AC$11</f>
        <v>0</v>
      </c>
      <c r="H3" s="43">
        <f>SUM(B3:G3)</f>
        <v>15267</v>
      </c>
    </row>
    <row r="4" spans="1:11" x14ac:dyDescent="0.2">
      <c r="A4" s="4">
        <v>2003</v>
      </c>
      <c r="B4" s="44">
        <f>'[5]Consumption Data '!$F$23</f>
        <v>12299</v>
      </c>
      <c r="C4" s="44">
        <f>'[5]Consumption Data '!$J$23</f>
        <v>852</v>
      </c>
      <c r="D4" s="44">
        <f>'[5]Consumption Data '!$O$23</f>
        <v>72</v>
      </c>
      <c r="E4" s="44">
        <f>'[5]Consumption Data '!$Y$23</f>
        <v>181</v>
      </c>
      <c r="F4" s="44">
        <f>'[5]Consumption Data '!$T$23</f>
        <v>2196</v>
      </c>
      <c r="G4" s="44">
        <f>'[5]Consumption Data '!$AC$23</f>
        <v>0</v>
      </c>
      <c r="H4" s="43">
        <f>SUM(B4:G4)</f>
        <v>15600</v>
      </c>
      <c r="K4"/>
    </row>
    <row r="5" spans="1:11" x14ac:dyDescent="0.2">
      <c r="A5" s="4">
        <v>2004</v>
      </c>
      <c r="B5" s="44">
        <f>'[5]Consumption Data '!$F$35</f>
        <v>12539</v>
      </c>
      <c r="C5" s="44">
        <f>'[5]Consumption Data '!$J$35</f>
        <v>886</v>
      </c>
      <c r="D5" s="44">
        <f>'[5]Consumption Data '!$O$35</f>
        <v>73</v>
      </c>
      <c r="E5" s="44">
        <f>'[5]Consumption Data '!$Y$35</f>
        <v>183</v>
      </c>
      <c r="F5" s="44">
        <f>'[5]Consumption Data '!$T$35</f>
        <v>2309</v>
      </c>
      <c r="G5" s="44">
        <f>'[5]Consumption Data '!$AC$35</f>
        <v>0</v>
      </c>
      <c r="H5" s="43">
        <f>SUM(B5:G5)</f>
        <v>15990</v>
      </c>
      <c r="K5"/>
    </row>
    <row r="6" spans="1:11" x14ac:dyDescent="0.2">
      <c r="A6" s="4">
        <v>2005</v>
      </c>
      <c r="B6" s="44">
        <f>'[5]Consumption Data '!$F$47</f>
        <v>12748</v>
      </c>
      <c r="C6" s="44">
        <f>'[5]Consumption Data '!$J$47</f>
        <v>907</v>
      </c>
      <c r="D6" s="44">
        <f>'[5]Consumption Data '!$O$47</f>
        <v>72</v>
      </c>
      <c r="E6" s="44">
        <f>'[5]Consumption Data '!$Y$47</f>
        <v>189</v>
      </c>
      <c r="F6" s="44">
        <f>'[5]Consumption Data '!$T$47</f>
        <v>2371</v>
      </c>
      <c r="G6" s="44">
        <f>'[5]Consumption Data '!$AC$47</f>
        <v>0</v>
      </c>
      <c r="H6" s="43">
        <f t="shared" ref="H6:H12" si="0">SUM(B6:G6)</f>
        <v>16287</v>
      </c>
      <c r="K6"/>
    </row>
    <row r="7" spans="1:11" x14ac:dyDescent="0.2">
      <c r="A7" s="4">
        <v>2006</v>
      </c>
      <c r="B7" s="44">
        <f>'[5]Consumption Data '!$F$59</f>
        <v>12867</v>
      </c>
      <c r="C7" s="44">
        <f>'[5]Consumption Data '!$J$59</f>
        <v>797</v>
      </c>
      <c r="D7" s="44">
        <f>'[5]Consumption Data '!$O$59</f>
        <v>80</v>
      </c>
      <c r="E7" s="44">
        <f>'[5]Consumption Data '!$Y$59</f>
        <v>189</v>
      </c>
      <c r="F7" s="44">
        <f>'[5]Consumption Data '!$T$59</f>
        <v>2371</v>
      </c>
      <c r="G7" s="44">
        <f>'[5]Consumption Data '!$AC$59</f>
        <v>90</v>
      </c>
      <c r="H7" s="43">
        <f t="shared" si="0"/>
        <v>16394</v>
      </c>
      <c r="K7"/>
    </row>
    <row r="8" spans="1:11" x14ac:dyDescent="0.2">
      <c r="A8" s="4">
        <v>2007</v>
      </c>
      <c r="B8" s="44">
        <f>'[5]Consumption Data '!$F$71</f>
        <v>12991</v>
      </c>
      <c r="C8" s="44">
        <f>'[5]Consumption Data '!$J$71</f>
        <v>819</v>
      </c>
      <c r="D8" s="44">
        <f>'[5]Consumption Data '!$O$71</f>
        <v>71</v>
      </c>
      <c r="E8" s="44">
        <f>'[5]Consumption Data '!$Y$71</f>
        <v>186</v>
      </c>
      <c r="F8" s="44">
        <f>'[5]Consumption Data '!$T$71</f>
        <v>2489</v>
      </c>
      <c r="G8" s="44">
        <f>'[5]Consumption Data '!$AC$71</f>
        <v>89</v>
      </c>
      <c r="H8" s="43">
        <f t="shared" si="0"/>
        <v>16645</v>
      </c>
      <c r="K8"/>
    </row>
    <row r="9" spans="1:11" x14ac:dyDescent="0.2">
      <c r="A9" s="4">
        <v>2008</v>
      </c>
      <c r="B9" s="44">
        <f>'[5]Consumption Data '!$F$83</f>
        <v>13277</v>
      </c>
      <c r="C9" s="44">
        <f>'[5]Consumption Data '!$J$83</f>
        <v>836</v>
      </c>
      <c r="D9" s="44">
        <f>'[5]Consumption Data '!$O$83</f>
        <v>73</v>
      </c>
      <c r="E9" s="44">
        <f>'[5]Consumption Data '!$Y$83</f>
        <v>186</v>
      </c>
      <c r="F9" s="44">
        <f>'[5]Consumption Data '!$T$83</f>
        <v>2588</v>
      </c>
      <c r="G9" s="44">
        <f>'[5]Consumption Data '!$AC$83</f>
        <v>84</v>
      </c>
      <c r="H9" s="43">
        <f t="shared" si="0"/>
        <v>17044</v>
      </c>
      <c r="K9"/>
    </row>
    <row r="10" spans="1:11" x14ac:dyDescent="0.2">
      <c r="A10" s="4">
        <v>2009</v>
      </c>
      <c r="B10" s="44">
        <f>'[5]Consumption Data '!$F$95</f>
        <v>13533</v>
      </c>
      <c r="C10" s="44">
        <f>'[5]Consumption Data '!$J$95</f>
        <v>855</v>
      </c>
      <c r="D10" s="44">
        <f>'[5]Consumption Data '!$O$95</f>
        <v>72</v>
      </c>
      <c r="E10" s="44">
        <f>'[5]Consumption Data '!$Y$95</f>
        <v>193</v>
      </c>
      <c r="F10" s="44">
        <f>'[5]Consumption Data '!$T$95</f>
        <v>2625</v>
      </c>
      <c r="G10" s="44">
        <f>'[5]Consumption Data '!$AC$95</f>
        <v>83</v>
      </c>
      <c r="H10" s="43">
        <f t="shared" si="0"/>
        <v>17361</v>
      </c>
      <c r="K10"/>
    </row>
    <row r="11" spans="1:11" x14ac:dyDescent="0.2">
      <c r="A11" s="4">
        <v>2010</v>
      </c>
      <c r="B11" s="44">
        <f>'[5]Consumption Data '!$F$107</f>
        <v>13651</v>
      </c>
      <c r="C11" s="44">
        <f>'[5]Consumption Data '!$J$107</f>
        <v>865</v>
      </c>
      <c r="D11" s="44">
        <f>'[5]Consumption Data '!$O$107</f>
        <v>68</v>
      </c>
      <c r="E11" s="44">
        <f>'[5]Consumption Data '!$Y$107</f>
        <v>201</v>
      </c>
      <c r="F11" s="44">
        <f>'[5]Consumption Data '!$T$107</f>
        <v>2685</v>
      </c>
      <c r="G11" s="44">
        <f>'[5]Consumption Data '!$AC$107</f>
        <v>82</v>
      </c>
      <c r="H11" s="43">
        <f t="shared" si="0"/>
        <v>17552</v>
      </c>
    </row>
    <row r="12" spans="1:11" x14ac:dyDescent="0.2">
      <c r="A12" s="4">
        <v>2011</v>
      </c>
      <c r="B12" s="44">
        <f>'[5]Consumption Data '!$F$119</f>
        <v>13779</v>
      </c>
      <c r="C12" s="44">
        <f>'[5]Consumption Data '!$J$119</f>
        <v>896</v>
      </c>
      <c r="D12" s="44">
        <f>'[5]Consumption Data '!$O$119</f>
        <v>67</v>
      </c>
      <c r="E12" s="44">
        <f>'[5]Consumption Data '!$Y$119</f>
        <v>225</v>
      </c>
      <c r="F12" s="44">
        <f>'[5]Consumption Data '!$T$119</f>
        <v>2728</v>
      </c>
      <c r="G12" s="44">
        <f>'[5]Consumption Data '!$AC$119</f>
        <v>81</v>
      </c>
      <c r="H12" s="43">
        <f t="shared" si="0"/>
        <v>17776</v>
      </c>
    </row>
    <row r="13" spans="1:11" x14ac:dyDescent="0.2">
      <c r="A13" s="4">
        <v>2012</v>
      </c>
      <c r="B13" s="23">
        <f t="shared" ref="B13:G13" si="1">B12*B28</f>
        <v>13982.594477207709</v>
      </c>
      <c r="C13" s="23">
        <f t="shared" si="1"/>
        <v>902.80708748624443</v>
      </c>
      <c r="D13" s="23">
        <f t="shared" si="1"/>
        <v>66.569704772725899</v>
      </c>
      <c r="E13" s="23">
        <f t="shared" si="1"/>
        <v>231.07944929215557</v>
      </c>
      <c r="F13" s="23">
        <f t="shared" si="1"/>
        <v>2807.4290635802972</v>
      </c>
      <c r="G13" s="23">
        <f t="shared" si="1"/>
        <v>79.311017351239116</v>
      </c>
      <c r="H13" s="23">
        <f>SUM(B13:G13)</f>
        <v>18069.790799690374</v>
      </c>
      <c r="J13" s="6">
        <f>B13+C13+D13</f>
        <v>14951.97126946668</v>
      </c>
    </row>
    <row r="14" spans="1:11" x14ac:dyDescent="0.2">
      <c r="A14" s="4">
        <v>2013</v>
      </c>
      <c r="B14" s="23">
        <f t="shared" ref="B14:G14" si="2">B13*B30</f>
        <v>14189.197206911933</v>
      </c>
      <c r="C14" s="23">
        <f t="shared" si="2"/>
        <v>909.66588974932517</v>
      </c>
      <c r="D14" s="23">
        <f t="shared" si="2"/>
        <v>66.142173037729634</v>
      </c>
      <c r="E14" s="23">
        <f t="shared" si="2"/>
        <v>237.32316393407066</v>
      </c>
      <c r="F14" s="23">
        <f t="shared" si="2"/>
        <v>2889.1708016991734</v>
      </c>
      <c r="G14" s="23">
        <f t="shared" si="2"/>
        <v>77.657252756648802</v>
      </c>
      <c r="H14" s="23">
        <f>SUM(B14:G14)</f>
        <v>18369.15648808888</v>
      </c>
      <c r="J14" s="6">
        <f>B14+C14+D14</f>
        <v>15165.005269698988</v>
      </c>
    </row>
    <row r="15" spans="1:11" x14ac:dyDescent="0.2">
      <c r="A15" s="22"/>
    </row>
    <row r="16" spans="1:11" x14ac:dyDescent="0.2">
      <c r="A16" s="21" t="s">
        <v>42</v>
      </c>
      <c r="B16" s="5"/>
      <c r="C16" s="5"/>
      <c r="D16" s="5"/>
      <c r="E16" s="5"/>
      <c r="F16" s="5"/>
      <c r="G16" s="5"/>
    </row>
    <row r="17" spans="1:7" x14ac:dyDescent="0.2">
      <c r="A17" s="4">
        <v>2002</v>
      </c>
      <c r="B17" s="26"/>
      <c r="C17" s="26"/>
      <c r="D17" s="26"/>
      <c r="E17" s="26"/>
      <c r="F17" s="26"/>
      <c r="G17" s="26"/>
    </row>
    <row r="18" spans="1:7" x14ac:dyDescent="0.2">
      <c r="A18" s="4">
        <v>2003</v>
      </c>
      <c r="B18" s="26">
        <f t="shared" ref="B18:D26" si="3">B4/B3</f>
        <v>1.0185507246376813</v>
      </c>
      <c r="C18" s="26">
        <f t="shared" si="3"/>
        <v>1.0179211469534051</v>
      </c>
      <c r="D18" s="26">
        <f t="shared" si="3"/>
        <v>1.0140845070422535</v>
      </c>
      <c r="E18" s="26">
        <f t="shared" ref="E18:E26" si="4">E4/E3</f>
        <v>1.0225988700564972</v>
      </c>
      <c r="F18" s="26">
        <f t="shared" ref="F18:G26" si="5">F4/F3</f>
        <v>1.0422401518747033</v>
      </c>
      <c r="G18" s="26"/>
    </row>
    <row r="19" spans="1:7" x14ac:dyDescent="0.2">
      <c r="A19" s="4">
        <v>2004</v>
      </c>
      <c r="B19" s="26">
        <f t="shared" si="3"/>
        <v>1.0195137816082609</v>
      </c>
      <c r="C19" s="26">
        <f t="shared" si="3"/>
        <v>1.039906103286385</v>
      </c>
      <c r="D19" s="26">
        <f t="shared" si="3"/>
        <v>1.0138888888888888</v>
      </c>
      <c r="E19" s="26">
        <f t="shared" si="4"/>
        <v>1.011049723756906</v>
      </c>
      <c r="F19" s="26">
        <f t="shared" si="5"/>
        <v>1.0514571948998179</v>
      </c>
      <c r="G19" s="26"/>
    </row>
    <row r="20" spans="1:7" x14ac:dyDescent="0.2">
      <c r="A20" s="4">
        <v>2005</v>
      </c>
      <c r="B20" s="26">
        <f t="shared" si="3"/>
        <v>1.0166679958529388</v>
      </c>
      <c r="C20" s="26">
        <f t="shared" si="3"/>
        <v>1.0237020316027088</v>
      </c>
      <c r="D20" s="26">
        <f t="shared" si="3"/>
        <v>0.98630136986301364</v>
      </c>
      <c r="E20" s="26">
        <f t="shared" si="4"/>
        <v>1.0327868852459017</v>
      </c>
      <c r="F20" s="26">
        <f t="shared" si="5"/>
        <v>1.0268514508445215</v>
      </c>
      <c r="G20" s="26"/>
    </row>
    <row r="21" spans="1:7" x14ac:dyDescent="0.2">
      <c r="A21" s="4">
        <v>2006</v>
      </c>
      <c r="B21" s="26">
        <f t="shared" si="3"/>
        <v>1.0093347976153122</v>
      </c>
      <c r="C21" s="26">
        <f t="shared" si="3"/>
        <v>0.87872105843439907</v>
      </c>
      <c r="D21" s="26">
        <f t="shared" si="3"/>
        <v>1.1111111111111112</v>
      </c>
      <c r="E21" s="26">
        <f t="shared" si="4"/>
        <v>1</v>
      </c>
      <c r="F21" s="26">
        <f t="shared" si="5"/>
        <v>1</v>
      </c>
      <c r="G21" s="26"/>
    </row>
    <row r="22" spans="1:7" x14ac:dyDescent="0.2">
      <c r="A22" s="4">
        <v>2007</v>
      </c>
      <c r="B22" s="26">
        <f t="shared" si="3"/>
        <v>1.0096370560348178</v>
      </c>
      <c r="C22" s="26">
        <f t="shared" si="3"/>
        <v>1.0276035131744039</v>
      </c>
      <c r="D22" s="26">
        <f t="shared" si="3"/>
        <v>0.88749999999999996</v>
      </c>
      <c r="E22" s="26">
        <f t="shared" si="4"/>
        <v>0.98412698412698407</v>
      </c>
      <c r="F22" s="26">
        <f t="shared" si="5"/>
        <v>1.0497680303669339</v>
      </c>
      <c r="G22" s="26">
        <f>G8/G7</f>
        <v>0.98888888888888893</v>
      </c>
    </row>
    <row r="23" spans="1:7" x14ac:dyDescent="0.2">
      <c r="A23" s="4">
        <v>2008</v>
      </c>
      <c r="B23" s="26">
        <f t="shared" si="3"/>
        <v>1.0220152413209145</v>
      </c>
      <c r="C23" s="26">
        <f t="shared" si="3"/>
        <v>1.0207570207570207</v>
      </c>
      <c r="D23" s="26">
        <f t="shared" si="3"/>
        <v>1.028169014084507</v>
      </c>
      <c r="E23" s="26">
        <f t="shared" si="4"/>
        <v>1</v>
      </c>
      <c r="F23" s="26">
        <f t="shared" si="5"/>
        <v>1.0397750100441945</v>
      </c>
      <c r="G23" s="26">
        <f>G9/G8</f>
        <v>0.9438202247191011</v>
      </c>
    </row>
    <row r="24" spans="1:7" x14ac:dyDescent="0.2">
      <c r="A24" s="4">
        <v>2009</v>
      </c>
      <c r="B24" s="26">
        <f t="shared" si="3"/>
        <v>1.0192814641861867</v>
      </c>
      <c r="C24" s="26">
        <f t="shared" si="3"/>
        <v>1.0227272727272727</v>
      </c>
      <c r="D24" s="26">
        <f t="shared" si="3"/>
        <v>0.98630136986301364</v>
      </c>
      <c r="E24" s="26">
        <f t="shared" si="4"/>
        <v>1.0376344086021505</v>
      </c>
      <c r="F24" s="26">
        <f t="shared" si="5"/>
        <v>1.0142967542503865</v>
      </c>
      <c r="G24" s="26">
        <f>G10/G9</f>
        <v>0.98809523809523814</v>
      </c>
    </row>
    <row r="25" spans="1:7" x14ac:dyDescent="0.2">
      <c r="A25" s="4">
        <v>2010</v>
      </c>
      <c r="B25" s="26">
        <f t="shared" si="3"/>
        <v>1.0087194265868618</v>
      </c>
      <c r="C25" s="26">
        <f t="shared" si="3"/>
        <v>1.0116959064327486</v>
      </c>
      <c r="D25" s="26">
        <f t="shared" si="3"/>
        <v>0.94444444444444442</v>
      </c>
      <c r="E25" s="26">
        <f t="shared" si="4"/>
        <v>1.0414507772020725</v>
      </c>
      <c r="F25" s="26">
        <f t="shared" si="5"/>
        <v>1.0228571428571429</v>
      </c>
      <c r="G25" s="26">
        <f>G11/G10</f>
        <v>0.98795180722891562</v>
      </c>
    </row>
    <row r="26" spans="1:7" x14ac:dyDescent="0.2">
      <c r="A26" s="4">
        <v>2011</v>
      </c>
      <c r="B26" s="26">
        <f t="shared" si="3"/>
        <v>1.0093766024467072</v>
      </c>
      <c r="C26" s="26">
        <f t="shared" si="3"/>
        <v>1.0358381502890173</v>
      </c>
      <c r="D26" s="26">
        <f t="shared" si="3"/>
        <v>0.98529411764705888</v>
      </c>
      <c r="E26" s="26">
        <f t="shared" si="4"/>
        <v>1.1194029850746268</v>
      </c>
      <c r="F26" s="26">
        <f t="shared" si="5"/>
        <v>1.0160148975791434</v>
      </c>
      <c r="G26" s="26">
        <f t="shared" si="5"/>
        <v>0.98780487804878048</v>
      </c>
    </row>
    <row r="28" spans="1:7" x14ac:dyDescent="0.2">
      <c r="A28" t="s">
        <v>63</v>
      </c>
      <c r="B28" s="27">
        <f t="shared" ref="B28:G28" si="6">B30</f>
        <v>1.0147757077587423</v>
      </c>
      <c r="C28" s="27">
        <f t="shared" si="6"/>
        <v>1.0075971958551835</v>
      </c>
      <c r="D28" s="27">
        <f t="shared" si="6"/>
        <v>0.99357768317501349</v>
      </c>
      <c r="E28" s="27">
        <f t="shared" si="6"/>
        <v>1.0270197746318026</v>
      </c>
      <c r="F28" s="27">
        <f t="shared" si="6"/>
        <v>1.0291162256526016</v>
      </c>
      <c r="G28" s="27">
        <f t="shared" si="6"/>
        <v>0.9791483623609768</v>
      </c>
    </row>
    <row r="29" spans="1:7" x14ac:dyDescent="0.2">
      <c r="B29" s="27"/>
      <c r="C29" s="27"/>
      <c r="D29" s="27"/>
      <c r="E29" s="27"/>
      <c r="F29" s="27"/>
      <c r="G29" s="27"/>
    </row>
    <row r="30" spans="1:7" x14ac:dyDescent="0.2">
      <c r="A30" t="s">
        <v>16</v>
      </c>
      <c r="B30" s="27">
        <f t="shared" ref="B30:G30" si="7">GEOMEAN(B18:B26)</f>
        <v>1.0147757077587423</v>
      </c>
      <c r="C30" s="27">
        <f t="shared" si="7"/>
        <v>1.0075971958551835</v>
      </c>
      <c r="D30" s="27">
        <f t="shared" si="7"/>
        <v>0.99357768317501349</v>
      </c>
      <c r="E30" s="27">
        <f t="shared" si="7"/>
        <v>1.0270197746318026</v>
      </c>
      <c r="F30" s="27">
        <f t="shared" si="7"/>
        <v>1.0291162256526016</v>
      </c>
      <c r="G30" s="27">
        <f t="shared" si="7"/>
        <v>0.9791483623609768</v>
      </c>
    </row>
    <row r="31" spans="1:7" x14ac:dyDescent="0.2">
      <c r="A31" s="4"/>
      <c r="B31" s="27"/>
      <c r="C31" s="27"/>
      <c r="D31" s="27"/>
      <c r="E31" s="27"/>
      <c r="F31" s="27"/>
      <c r="G31" s="27"/>
    </row>
    <row r="32" spans="1:7" x14ac:dyDescent="0.2">
      <c r="A32" s="4"/>
      <c r="B32" s="27"/>
      <c r="C32" s="27"/>
      <c r="D32" s="27"/>
      <c r="E32" s="27"/>
      <c r="F32" s="27"/>
      <c r="G32" s="27"/>
    </row>
    <row r="33" spans="1:7" x14ac:dyDescent="0.2">
      <c r="A33" s="4"/>
      <c r="B33" s="27"/>
      <c r="C33" s="27"/>
      <c r="D33" s="27"/>
      <c r="E33" s="27"/>
      <c r="F33" s="27"/>
      <c r="G33" s="27"/>
    </row>
    <row r="34" spans="1:7" x14ac:dyDescent="0.2">
      <c r="A34" s="4"/>
      <c r="B34" s="27"/>
      <c r="C34" s="27"/>
      <c r="D34" s="27"/>
      <c r="E34" s="27"/>
      <c r="F34" s="27"/>
      <c r="G34" s="27"/>
    </row>
    <row r="35" spans="1:7" x14ac:dyDescent="0.2">
      <c r="A35" s="4"/>
      <c r="B35" s="27"/>
      <c r="C35" s="27"/>
      <c r="D35" s="27"/>
      <c r="E35" s="27"/>
      <c r="F35" s="27"/>
      <c r="G35" s="27"/>
    </row>
    <row r="36" spans="1:7" x14ac:dyDescent="0.2">
      <c r="A36" s="4"/>
      <c r="B36" s="27"/>
      <c r="C36" s="27"/>
      <c r="D36" s="27"/>
      <c r="E36" s="27"/>
      <c r="F36" s="27"/>
      <c r="G36" s="27"/>
    </row>
    <row r="37" spans="1:7" x14ac:dyDescent="0.2">
      <c r="A37" s="4"/>
      <c r="B37" s="27"/>
      <c r="C37" s="27"/>
      <c r="D37" s="27"/>
      <c r="E37" s="27"/>
      <c r="F37" s="27"/>
      <c r="G37" s="27"/>
    </row>
    <row r="38" spans="1:7" x14ac:dyDescent="0.2">
      <c r="A38" s="4"/>
      <c r="B38" s="27"/>
      <c r="C38" s="27"/>
      <c r="D38" s="27"/>
      <c r="E38" s="27"/>
      <c r="F38" s="27"/>
      <c r="G38" s="27"/>
    </row>
    <row r="39" spans="1:7" x14ac:dyDescent="0.2">
      <c r="B39" s="27"/>
      <c r="C39" s="27"/>
      <c r="D39" s="27"/>
      <c r="E39" s="27"/>
      <c r="F39" s="27"/>
      <c r="G39" s="27"/>
    </row>
    <row r="40" spans="1:7" x14ac:dyDescent="0.2">
      <c r="B40" s="27"/>
      <c r="C40" s="27"/>
      <c r="D40" s="27"/>
      <c r="E40" s="27"/>
      <c r="F40" s="27"/>
      <c r="G40" s="27"/>
    </row>
    <row r="41" spans="1:7" x14ac:dyDescent="0.2">
      <c r="B41" s="27"/>
      <c r="C41" s="27"/>
      <c r="D41" s="27"/>
      <c r="E41" s="27"/>
      <c r="F41" s="27"/>
      <c r="G41" s="27"/>
    </row>
    <row r="42" spans="1:7" x14ac:dyDescent="0.2">
      <c r="B42" s="27"/>
      <c r="C42" s="27"/>
      <c r="D42" s="27"/>
      <c r="E42" s="27"/>
      <c r="F42" s="27"/>
      <c r="G42" s="27"/>
    </row>
    <row r="43" spans="1:7" x14ac:dyDescent="0.2">
      <c r="B43" s="27"/>
      <c r="C43" s="27"/>
      <c r="D43" s="27"/>
      <c r="E43" s="27"/>
      <c r="F43" s="27"/>
      <c r="G43" s="27"/>
    </row>
    <row r="44" spans="1:7" x14ac:dyDescent="0.2">
      <c r="B44" s="27"/>
      <c r="C44" s="27"/>
      <c r="D44" s="27"/>
      <c r="E44" s="27"/>
      <c r="F44" s="27"/>
      <c r="G44" s="27"/>
    </row>
    <row r="45" spans="1:7" x14ac:dyDescent="0.2">
      <c r="B45" s="27"/>
      <c r="C45" s="27"/>
      <c r="D45" s="27"/>
      <c r="E45" s="27"/>
      <c r="F45" s="27"/>
      <c r="G45" s="27"/>
    </row>
    <row r="46" spans="1:7" x14ac:dyDescent="0.2">
      <c r="B46" s="27"/>
      <c r="C46" s="27"/>
      <c r="D46" s="27"/>
      <c r="E46" s="27"/>
      <c r="F46" s="27"/>
      <c r="G46" s="27"/>
    </row>
    <row r="47" spans="1:7" x14ac:dyDescent="0.2">
      <c r="B47" s="27"/>
      <c r="C47" s="27"/>
      <c r="D47" s="27"/>
      <c r="E47" s="27"/>
      <c r="F47" s="27"/>
      <c r="G47" s="27"/>
    </row>
    <row r="48" spans="1:7" x14ac:dyDescent="0.2">
      <c r="B48" s="27"/>
      <c r="C48" s="27"/>
      <c r="D48" s="27"/>
      <c r="E48" s="27"/>
      <c r="F48" s="27"/>
      <c r="G48" s="27"/>
    </row>
    <row r="49" spans="2:7" x14ac:dyDescent="0.2">
      <c r="B49" s="27"/>
      <c r="C49" s="27"/>
      <c r="D49" s="27"/>
      <c r="E49" s="27"/>
      <c r="F49" s="27"/>
      <c r="G49" s="27"/>
    </row>
    <row r="50" spans="2:7" x14ac:dyDescent="0.2">
      <c r="B50" s="27"/>
      <c r="C50" s="27"/>
      <c r="D50" s="27"/>
      <c r="E50" s="27"/>
      <c r="F50" s="27"/>
      <c r="G50" s="27"/>
    </row>
    <row r="51" spans="2:7" x14ac:dyDescent="0.2">
      <c r="B51" s="27"/>
      <c r="C51" s="27"/>
      <c r="D51" s="27"/>
      <c r="E51" s="27"/>
      <c r="F51" s="27"/>
      <c r="G51" s="27"/>
    </row>
    <row r="52" spans="2:7" x14ac:dyDescent="0.2">
      <c r="B52" s="27"/>
      <c r="C52" s="27"/>
      <c r="D52" s="27"/>
      <c r="E52" s="27"/>
      <c r="F52" s="27"/>
      <c r="G52" s="27"/>
    </row>
    <row r="53" spans="2:7" x14ac:dyDescent="0.2">
      <c r="B53" s="27"/>
      <c r="C53" s="27"/>
      <c r="D53" s="27"/>
      <c r="E53" s="27"/>
      <c r="F53" s="27"/>
      <c r="G53" s="27"/>
    </row>
    <row r="54" spans="2:7" x14ac:dyDescent="0.2">
      <c r="B54" s="27"/>
      <c r="C54" s="27"/>
      <c r="D54" s="27"/>
      <c r="E54" s="27"/>
      <c r="F54" s="27"/>
      <c r="G54" s="27"/>
    </row>
    <row r="55" spans="2:7" x14ac:dyDescent="0.2">
      <c r="B55" s="27"/>
      <c r="C55" s="27"/>
      <c r="D55" s="27"/>
      <c r="E55" s="27"/>
      <c r="F55" s="27"/>
      <c r="G55" s="27"/>
    </row>
    <row r="56" spans="2:7" x14ac:dyDescent="0.2">
      <c r="B56" s="27"/>
      <c r="C56" s="27"/>
      <c r="D56" s="27"/>
      <c r="E56" s="27"/>
      <c r="F56" s="27"/>
      <c r="G56" s="27"/>
    </row>
    <row r="57" spans="2:7" x14ac:dyDescent="0.2">
      <c r="B57" s="27"/>
      <c r="C57" s="27"/>
      <c r="F57" s="27"/>
      <c r="G57" s="27"/>
    </row>
    <row r="63" spans="2:7" x14ac:dyDescent="0.2">
      <c r="D63" s="28"/>
      <c r="E63" s="28"/>
    </row>
    <row r="64" spans="2:7" x14ac:dyDescent="0.2">
      <c r="B64" s="28"/>
      <c r="C64" s="28"/>
      <c r="D64" s="28"/>
      <c r="E64" s="28"/>
      <c r="F64" s="28"/>
      <c r="G64" s="28"/>
    </row>
    <row r="65" spans="2:7" x14ac:dyDescent="0.2">
      <c r="B65" s="28"/>
      <c r="C65" s="28"/>
      <c r="F65" s="28"/>
      <c r="G65" s="28"/>
    </row>
    <row r="83" spans="2:7" x14ac:dyDescent="0.2">
      <c r="D83" s="17"/>
      <c r="E83" s="17"/>
    </row>
    <row r="84" spans="2:7" x14ac:dyDescent="0.2">
      <c r="B84" s="17"/>
      <c r="C84" s="17"/>
      <c r="D84" s="17"/>
      <c r="E84" s="17"/>
      <c r="F84" s="17"/>
      <c r="G84" s="17"/>
    </row>
    <row r="85" spans="2:7" x14ac:dyDescent="0.2">
      <c r="B85" s="17"/>
      <c r="C85" s="17"/>
      <c r="F85" s="17"/>
      <c r="G85" s="17"/>
    </row>
  </sheetData>
  <phoneticPr fontId="0" type="noConversion"/>
  <pageMargins left="0.38" right="0.75" top="0.73" bottom="0.74" header="0.5" footer="0.5"/>
  <pageSetup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10</vt:i4>
      </vt:variant>
    </vt:vector>
  </HeadingPairs>
  <TitlesOfParts>
    <vt:vector size="26" baseType="lpstr">
      <vt:lpstr>Exibit 3 Tables</vt:lpstr>
      <vt:lpstr>Summary</vt:lpstr>
      <vt:lpstr>Stats Sum</vt:lpstr>
      <vt:lpstr>Purchased Power Model </vt:lpstr>
      <vt:lpstr>Residential</vt:lpstr>
      <vt:lpstr>GS &lt; 50 kW</vt:lpstr>
      <vt:lpstr>GS &gt; 50 kW</vt:lpstr>
      <vt:lpstr>Rate Class Energy Model</vt:lpstr>
      <vt:lpstr>Rate Class Customer Model</vt:lpstr>
      <vt:lpstr>Rate Class Load Model</vt:lpstr>
      <vt:lpstr>Weather Analysis</vt:lpstr>
      <vt:lpstr>CDM Activity</vt:lpstr>
      <vt:lpstr>2012 COP Forecast</vt:lpstr>
      <vt:lpstr>2013 COP Forecast</vt:lpstr>
      <vt:lpstr>App.2-P_Loss Factors</vt:lpstr>
      <vt:lpstr>Chart 1</vt:lpstr>
      <vt:lpstr>'App.2-P_Loss Factors'!Print_Area</vt:lpstr>
      <vt:lpstr>'CDM Activity'!Print_Area</vt:lpstr>
      <vt:lpstr>'GS &lt; 50 kW'!Print_Area</vt:lpstr>
      <vt:lpstr>'GS &gt; 50 kW'!Print_Area</vt:lpstr>
      <vt:lpstr>'Purchased Power Model '!Print_Area</vt:lpstr>
      <vt:lpstr>'Rate Class Customer Model'!Print_Area</vt:lpstr>
      <vt:lpstr>'Rate Class Energy Model'!Print_Area</vt:lpstr>
      <vt:lpstr>'Rate Class Load Model'!Print_Area</vt:lpstr>
      <vt:lpstr>Residential!Print_Area</vt:lpstr>
      <vt:lpstr>Summary!Print_Area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Bacon</dc:creator>
  <cp:lastModifiedBy>Brenda Pinke</cp:lastModifiedBy>
  <cp:lastPrinted>2012-08-20T13:05:13Z</cp:lastPrinted>
  <dcterms:created xsi:type="dcterms:W3CDTF">2008-02-06T18:24:44Z</dcterms:created>
  <dcterms:modified xsi:type="dcterms:W3CDTF">2012-10-17T15:02:21Z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307958618</vt:i4>
  </property>
  <property fmtid="{D5CDD505-2E9C-101B-9397-08002B2CF9AE}" pid="3" name="_EmailSubject">
    <vt:lpwstr>Follow-Up - London Hydro Rate Application</vt:lpwstr>
  </property>
  <property fmtid="{D5CDD505-2E9C-101B-9397-08002B2CF9AE}" pid="4" name="_AuthorEmail">
    <vt:lpwstr>cascians@LondonHydro.com</vt:lpwstr>
  </property>
  <property fmtid="{D5CDD505-2E9C-101B-9397-08002B2CF9AE}" pid="5" name="_AuthorEmailDisplayName">
    <vt:lpwstr>Casciano, Susan</vt:lpwstr>
  </property>
  <property fmtid="{D5CDD505-2E9C-101B-9397-08002B2CF9AE}" pid="6" name="DM_Links_Updated">
    <vt:bool>true</vt:bool>
  </property>
  <property fmtid="{D5CDD505-2E9C-101B-9397-08002B2CF9AE}" pid="7" name="_ReviewingToolsShownOnce">
    <vt:lpwstr/>
  </property>
</Properties>
</file>