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drawings/drawing11.xml" ContentType="application/vnd.openxmlformats-officedocument.drawing+xml"/>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workbookProtection workbookPassword="82A3" lockStructure="1"/>
  <bookViews>
    <workbookView xWindow="690" yWindow="1305" windowWidth="15600" windowHeight="11520" tabRatio="968" activeTab="9"/>
  </bookViews>
  <sheets>
    <sheet name="1. Info" sheetId="26" r:id="rId1"/>
    <sheet name="2. Table of Contents" sheetId="17" r:id="rId2"/>
    <sheet name="3. Data_Input_Sheet" sheetId="22" r:id="rId3"/>
    <sheet name="4. Rate_Base" sheetId="14" r:id="rId4"/>
    <sheet name="5. Utility Income" sheetId="13" r:id="rId5"/>
    <sheet name="6. Taxes_PILs" sheetId="15" r:id="rId6"/>
    <sheet name="7. Cost_of_Capital" sheetId="12" r:id="rId7"/>
    <sheet name="8. Rev_Def_Suff" sheetId="23" r:id="rId8"/>
    <sheet name="9. Rev_Reqt" sheetId="11" r:id="rId9"/>
    <sheet name="10A. Bill Impacts - Residential" sheetId="24" r:id="rId10"/>
    <sheet name="10B. Bill Impacts - GS_LT_50kW" sheetId="25" r:id="rId11"/>
  </sheets>
  <externalReferences>
    <externalReference r:id="rId12"/>
    <externalReference r:id="rId13"/>
  </externalReferences>
  <definedNames>
    <definedName name="_xlnm.Print_Area" localSheetId="0">'1. Info'!$A$1:$Q$43</definedName>
    <definedName name="_xlnm.Print_Area" localSheetId="9">'10A. Bill Impacts - Residential'!$A$1:$T$56</definedName>
    <definedName name="_xlnm.Print_Area" localSheetId="10">'10B. Bill Impacts - GS_LT_50kW'!$A$1:$S$56</definedName>
    <definedName name="_xlnm.Print_Area" localSheetId="1">'2. Table of Contents'!$A$1:$P$30</definedName>
    <definedName name="_xlnm.Print_Area" localSheetId="2">'3. Data_Input_Sheet'!$A$1:$W$79</definedName>
    <definedName name="_xlnm.Print_Area" localSheetId="3">'4. Rate_Base'!$A$1:$W$41</definedName>
    <definedName name="_xlnm.Print_Area" localSheetId="4">'5. Utility Income'!$A$1:$W$54</definedName>
    <definedName name="_xlnm.Print_Area" localSheetId="5">'6. Taxes_PILs'!$A$1:$U$51</definedName>
    <definedName name="_xlnm.Print_Area" localSheetId="6">'7. Cost_of_Capital'!$A$1:$U$69</definedName>
    <definedName name="_xlnm.Print_Area" localSheetId="7">'8. Rev_Def_Suff'!$B$1:$P$56</definedName>
    <definedName name="_xlnm.Print_Area" localSheetId="8">'9. Rev_Reqt'!$A$1:$S$41</definedName>
    <definedName name="ratedescription">[1]hidden1!$D$1:$D$122</definedName>
    <definedName name="units">[1]hidden1!$J$3:$J$8</definedName>
  </definedNames>
  <calcPr calcId="145621"/>
</workbook>
</file>

<file path=xl/calcChain.xml><?xml version="1.0" encoding="utf-8"?>
<calcChain xmlns="http://schemas.openxmlformats.org/spreadsheetml/2006/main">
  <c r="I18" i="22" l="1"/>
  <c r="L31" i="25" l="1"/>
  <c r="H47" i="24"/>
  <c r="L47" i="24"/>
  <c r="L38" i="25" l="1"/>
  <c r="I25" i="24" l="1"/>
  <c r="M26" i="24"/>
  <c r="L36" i="25"/>
  <c r="L37" i="25"/>
  <c r="M26" i="25"/>
  <c r="I26" i="25"/>
  <c r="I25" i="25"/>
  <c r="M25" i="24"/>
  <c r="M25" i="25"/>
  <c r="H24" i="25"/>
  <c r="H24" i="24"/>
  <c r="H27" i="23" l="1"/>
  <c r="U36" i="22"/>
  <c r="V21" i="13" s="1"/>
  <c r="N14" i="11" s="1"/>
  <c r="F20" i="13"/>
  <c r="F13" i="11" s="1"/>
  <c r="F19" i="13"/>
  <c r="F44" i="13"/>
  <c r="F43" i="13"/>
  <c r="F42" i="13"/>
  <c r="F41" i="13"/>
  <c r="M17" i="22"/>
  <c r="M15" i="22"/>
  <c r="U14" i="22"/>
  <c r="L47" i="25"/>
  <c r="M38" i="25" s="1"/>
  <c r="N38" i="25" s="1"/>
  <c r="H47" i="25"/>
  <c r="I30" i="25" s="1"/>
  <c r="J30" i="25" s="1"/>
  <c r="N24" i="11"/>
  <c r="G38" i="15"/>
  <c r="K38" i="15"/>
  <c r="O38" i="15" s="1"/>
  <c r="G37" i="15"/>
  <c r="K37" i="15" s="1"/>
  <c r="G23" i="15"/>
  <c r="K23" i="15"/>
  <c r="O23" i="15"/>
  <c r="V23" i="13"/>
  <c r="N17" i="11"/>
  <c r="L17" i="12"/>
  <c r="L49" i="12" s="1"/>
  <c r="K12" i="14"/>
  <c r="S12" i="14"/>
  <c r="K13" i="14"/>
  <c r="S13" i="14"/>
  <c r="K23" i="14"/>
  <c r="S23" i="14"/>
  <c r="K24" i="14"/>
  <c r="S24" i="14"/>
  <c r="U19" i="22"/>
  <c r="W27" i="14" s="1"/>
  <c r="F33" i="12"/>
  <c r="F49" i="12" s="1"/>
  <c r="L18" i="12"/>
  <c r="L50" i="12" s="1"/>
  <c r="F34" i="12"/>
  <c r="F50" i="12"/>
  <c r="L22" i="12"/>
  <c r="L54" i="12" s="1"/>
  <c r="F38" i="12"/>
  <c r="F54" i="12"/>
  <c r="F56" i="12" s="1"/>
  <c r="L56" i="12" s="1"/>
  <c r="N40" i="23" s="1"/>
  <c r="L23" i="12"/>
  <c r="L55" i="12"/>
  <c r="F39" i="12"/>
  <c r="F55" i="12"/>
  <c r="J24" i="11"/>
  <c r="L33" i="12"/>
  <c r="O27" i="14"/>
  <c r="L34" i="12"/>
  <c r="L35" i="12" s="1"/>
  <c r="L38" i="12"/>
  <c r="L39" i="12"/>
  <c r="F15" i="11"/>
  <c r="F21" i="13"/>
  <c r="F14" i="11" s="1"/>
  <c r="F23" i="13"/>
  <c r="F17" i="11"/>
  <c r="G27" i="14"/>
  <c r="F17" i="12"/>
  <c r="F18" i="12"/>
  <c r="F22" i="12"/>
  <c r="F23" i="12"/>
  <c r="Q31" i="22"/>
  <c r="I31" i="22"/>
  <c r="M37" i="25"/>
  <c r="N37" i="25"/>
  <c r="M38" i="24"/>
  <c r="N38" i="24" s="1"/>
  <c r="M35" i="24"/>
  <c r="N35" i="24" s="1"/>
  <c r="M34" i="24"/>
  <c r="N34" i="24" s="1"/>
  <c r="M33" i="24"/>
  <c r="N33" i="24" s="1"/>
  <c r="M30" i="24"/>
  <c r="M31" i="24" s="1"/>
  <c r="N31" i="24" s="1"/>
  <c r="I30" i="24"/>
  <c r="I31" i="24" s="1"/>
  <c r="AC1" i="26"/>
  <c r="AB1" i="26"/>
  <c r="N15" i="24"/>
  <c r="N16" i="24"/>
  <c r="N17" i="24"/>
  <c r="N25" i="24"/>
  <c r="N26" i="24"/>
  <c r="N27" i="24"/>
  <c r="N28" i="24"/>
  <c r="P28" i="24"/>
  <c r="N36" i="24"/>
  <c r="P36" i="24" s="1"/>
  <c r="N39" i="24"/>
  <c r="P39" i="24" s="1"/>
  <c r="N40" i="24"/>
  <c r="J14" i="24"/>
  <c r="J15" i="24"/>
  <c r="J16" i="24"/>
  <c r="J17" i="24"/>
  <c r="Q17" i="24"/>
  <c r="J25" i="24"/>
  <c r="Q25" i="24" s="1"/>
  <c r="J26" i="24"/>
  <c r="P26" i="24" s="1"/>
  <c r="J27" i="24"/>
  <c r="J28" i="24"/>
  <c r="J36" i="24"/>
  <c r="J39" i="24"/>
  <c r="J40" i="24"/>
  <c r="N15" i="25"/>
  <c r="N25" i="25"/>
  <c r="N26" i="25"/>
  <c r="N27" i="25"/>
  <c r="P27" i="25" s="1"/>
  <c r="N16" i="25"/>
  <c r="P16" i="25" s="1"/>
  <c r="N17" i="25"/>
  <c r="N36" i="25"/>
  <c r="P36" i="25"/>
  <c r="L42" i="25"/>
  <c r="J14" i="25"/>
  <c r="J15" i="25"/>
  <c r="J18" i="25"/>
  <c r="J19" i="25"/>
  <c r="J16" i="25"/>
  <c r="J17" i="25"/>
  <c r="J37" i="25"/>
  <c r="J36" i="25"/>
  <c r="H42" i="25"/>
  <c r="I37" i="25"/>
  <c r="M37" i="24"/>
  <c r="N37" i="24" s="1"/>
  <c r="I37" i="24"/>
  <c r="J37" i="24" s="1"/>
  <c r="N41" i="13"/>
  <c r="N42" i="13"/>
  <c r="N43" i="13"/>
  <c r="V43" i="13"/>
  <c r="N44" i="13"/>
  <c r="N13" i="13"/>
  <c r="J27" i="11" s="1"/>
  <c r="V13" i="13"/>
  <c r="N27" i="11" s="1"/>
  <c r="I18" i="25"/>
  <c r="I19" i="25"/>
  <c r="I20" i="25"/>
  <c r="J20" i="25"/>
  <c r="I21" i="25"/>
  <c r="M18" i="25"/>
  <c r="F35" i="12"/>
  <c r="F40" i="12"/>
  <c r="L40" i="12"/>
  <c r="L40" i="23" s="1"/>
  <c r="P32" i="23"/>
  <c r="P27" i="23"/>
  <c r="N17" i="23"/>
  <c r="V41" i="13"/>
  <c r="V44" i="13"/>
  <c r="U38" i="22"/>
  <c r="N27" i="23"/>
  <c r="N32" i="23"/>
  <c r="N22" i="13"/>
  <c r="M38" i="22"/>
  <c r="N23" i="13"/>
  <c r="L32" i="23"/>
  <c r="L27" i="23"/>
  <c r="J27" i="23"/>
  <c r="J32" i="23"/>
  <c r="G33" i="15"/>
  <c r="K33" i="15"/>
  <c r="O33" i="15" s="1"/>
  <c r="Q29" i="22"/>
  <c r="R44" i="13" s="1"/>
  <c r="Q28" i="22"/>
  <c r="R43" i="13" s="1"/>
  <c r="Q27" i="22"/>
  <c r="R42" i="13"/>
  <c r="Q26" i="22"/>
  <c r="R41" i="13" s="1"/>
  <c r="Q24" i="22"/>
  <c r="Q23" i="22"/>
  <c r="I23" i="22"/>
  <c r="I27" i="22"/>
  <c r="J42" i="13" s="1"/>
  <c r="I28" i="22"/>
  <c r="J43" i="13" s="1"/>
  <c r="I29" i="22"/>
  <c r="J44" i="13" s="1"/>
  <c r="I26" i="22"/>
  <c r="J41" i="13" s="1"/>
  <c r="R19" i="13"/>
  <c r="R20" i="13"/>
  <c r="R21" i="13"/>
  <c r="R23" i="13"/>
  <c r="F22" i="13"/>
  <c r="J22" i="13"/>
  <c r="J19" i="13"/>
  <c r="J24" i="13" s="1"/>
  <c r="J20" i="13"/>
  <c r="J21" i="13"/>
  <c r="J23" i="13"/>
  <c r="F19" i="12"/>
  <c r="F24" i="12"/>
  <c r="Q1" i="25"/>
  <c r="Q16" i="25"/>
  <c r="P17" i="25"/>
  <c r="Q17" i="25"/>
  <c r="Q20" i="25"/>
  <c r="J25" i="25"/>
  <c r="Q25" i="25" s="1"/>
  <c r="J26" i="25"/>
  <c r="J27" i="25"/>
  <c r="Q27" i="25"/>
  <c r="J28" i="25"/>
  <c r="N28" i="25"/>
  <c r="P28" i="25"/>
  <c r="Q28" i="25"/>
  <c r="Q36" i="25"/>
  <c r="J39" i="25"/>
  <c r="N39" i="25"/>
  <c r="P39" i="25"/>
  <c r="Q39" i="25"/>
  <c r="J40" i="25"/>
  <c r="N40" i="25"/>
  <c r="Q1" i="24"/>
  <c r="P16" i="24"/>
  <c r="Q16" i="24"/>
  <c r="P17" i="24"/>
  <c r="I18" i="24"/>
  <c r="J18" i="24" s="1"/>
  <c r="M18" i="24"/>
  <c r="M19" i="24" s="1"/>
  <c r="Q28" i="24"/>
  <c r="Q39" i="24"/>
  <c r="P40" i="24"/>
  <c r="Q40" i="24"/>
  <c r="J10" i="11"/>
  <c r="N10" i="11"/>
  <c r="P1" i="23"/>
  <c r="J10" i="23"/>
  <c r="N10" i="23"/>
  <c r="F32" i="23"/>
  <c r="H32" i="23"/>
  <c r="S14" i="14"/>
  <c r="D62" i="12"/>
  <c r="K10" i="15"/>
  <c r="O10" i="15"/>
  <c r="K16" i="15"/>
  <c r="N10" i="13"/>
  <c r="R10" i="13" s="1"/>
  <c r="V10" i="13"/>
  <c r="K10" i="14"/>
  <c r="O10" i="14"/>
  <c r="Q10" i="22"/>
  <c r="S10" i="14" s="1"/>
  <c r="W10" i="14"/>
  <c r="K14" i="14"/>
  <c r="S25" i="14"/>
  <c r="U1" i="22"/>
  <c r="I10" i="22"/>
  <c r="E37" i="22"/>
  <c r="M37" i="22"/>
  <c r="U37" i="22"/>
  <c r="M45" i="22"/>
  <c r="U45" i="22"/>
  <c r="E57" i="22"/>
  <c r="M57" i="22"/>
  <c r="U57" i="22"/>
  <c r="E58" i="22"/>
  <c r="M58" i="22"/>
  <c r="U58" i="22"/>
  <c r="J17" i="11"/>
  <c r="F42" i="12"/>
  <c r="V22" i="13"/>
  <c r="R22" i="13"/>
  <c r="R24" i="13"/>
  <c r="N15" i="11"/>
  <c r="J21" i="25"/>
  <c r="Q21" i="25"/>
  <c r="I22" i="25"/>
  <c r="V42" i="13"/>
  <c r="P40" i="25"/>
  <c r="Q40" i="25"/>
  <c r="M19" i="25"/>
  <c r="J15" i="11"/>
  <c r="M20" i="25"/>
  <c r="J22" i="25"/>
  <c r="I23" i="25"/>
  <c r="Q22" i="25"/>
  <c r="M21" i="25"/>
  <c r="N20" i="25"/>
  <c r="P20" i="25" s="1"/>
  <c r="J23" i="25"/>
  <c r="J29" i="25" s="1"/>
  <c r="I24" i="25"/>
  <c r="J24" i="25"/>
  <c r="M22" i="25"/>
  <c r="N21" i="25"/>
  <c r="P21" i="25"/>
  <c r="N22" i="25"/>
  <c r="P22" i="25"/>
  <c r="M23" i="25"/>
  <c r="N23" i="25"/>
  <c r="M24" i="25"/>
  <c r="N24" i="25"/>
  <c r="P26" i="25" l="1"/>
  <c r="Q26" i="25" s="1"/>
  <c r="K27" i="14"/>
  <c r="K25" i="14"/>
  <c r="N45" i="13"/>
  <c r="N14" i="13" s="1"/>
  <c r="J28" i="11" s="1"/>
  <c r="S27" i="14"/>
  <c r="L42" i="12"/>
  <c r="J44" i="23" s="1"/>
  <c r="J40" i="23"/>
  <c r="F51" i="12"/>
  <c r="L51" i="12"/>
  <c r="L58" i="12" s="1"/>
  <c r="F58" i="12"/>
  <c r="V45" i="13"/>
  <c r="V14" i="13" s="1"/>
  <c r="N28" i="11" s="1"/>
  <c r="N29" i="11" s="1"/>
  <c r="R45" i="13"/>
  <c r="J29" i="11"/>
  <c r="N15" i="13"/>
  <c r="R13" i="13"/>
  <c r="J10" i="13"/>
  <c r="P27" i="24"/>
  <c r="Q27" i="24"/>
  <c r="M34" i="25"/>
  <c r="N34" i="25" s="1"/>
  <c r="P24" i="25"/>
  <c r="Q24" i="25" s="1"/>
  <c r="M30" i="25"/>
  <c r="M31" i="25" s="1"/>
  <c r="N31" i="25" s="1"/>
  <c r="M33" i="25"/>
  <c r="N33" i="25" s="1"/>
  <c r="M35" i="25"/>
  <c r="N35" i="25" s="1"/>
  <c r="P25" i="24"/>
  <c r="Q36" i="24"/>
  <c r="P37" i="25"/>
  <c r="Q37" i="25" s="1"/>
  <c r="P25" i="25"/>
  <c r="P23" i="25"/>
  <c r="Q23" i="25" s="1"/>
  <c r="P15" i="25"/>
  <c r="Q15" i="25" s="1"/>
  <c r="I19" i="24"/>
  <c r="I20" i="24" s="1"/>
  <c r="J20" i="24" s="1"/>
  <c r="Q20" i="24" s="1"/>
  <c r="I31" i="25"/>
  <c r="J30" i="24"/>
  <c r="M20" i="24"/>
  <c r="N20" i="24" s="1"/>
  <c r="I35" i="24"/>
  <c r="I38" i="24" s="1"/>
  <c r="J38" i="24" s="1"/>
  <c r="J31" i="24"/>
  <c r="P31" i="24" s="1"/>
  <c r="Q31" i="24" s="1"/>
  <c r="I33" i="24"/>
  <c r="J33" i="24" s="1"/>
  <c r="P33" i="24" s="1"/>
  <c r="Q33" i="24" s="1"/>
  <c r="I34" i="24"/>
  <c r="J34" i="24" s="1"/>
  <c r="P34" i="24" s="1"/>
  <c r="N30" i="24"/>
  <c r="P37" i="24"/>
  <c r="Q37" i="24" s="1"/>
  <c r="Q26" i="24"/>
  <c r="P15" i="24"/>
  <c r="Q15" i="24" s="1"/>
  <c r="F27" i="23"/>
  <c r="G16" i="15"/>
  <c r="O16" i="15" s="1"/>
  <c r="M35" i="22"/>
  <c r="N20" i="13" s="1"/>
  <c r="J13" i="11" s="1"/>
  <c r="M34" i="22"/>
  <c r="N19" i="13" s="1"/>
  <c r="J12" i="11" s="1"/>
  <c r="U15" i="22"/>
  <c r="U35" i="22"/>
  <c r="V20" i="13" s="1"/>
  <c r="N13" i="11" s="1"/>
  <c r="M36" i="22"/>
  <c r="N21" i="13" s="1"/>
  <c r="J14" i="11" s="1"/>
  <c r="G13" i="14"/>
  <c r="O13" i="14" s="1"/>
  <c r="U34" i="22"/>
  <c r="V19" i="13" s="1"/>
  <c r="N12" i="11" s="1"/>
  <c r="U17" i="22"/>
  <c r="G23" i="14"/>
  <c r="O23" i="14" s="1"/>
  <c r="F24" i="13"/>
  <c r="F21" i="23" s="1"/>
  <c r="F12" i="11"/>
  <c r="F24" i="11"/>
  <c r="G12" i="14"/>
  <c r="W12" i="14" s="1"/>
  <c r="M14" i="22"/>
  <c r="P40" i="23"/>
  <c r="L24" i="12"/>
  <c r="H40" i="23" s="1"/>
  <c r="L19" i="12"/>
  <c r="F40" i="23"/>
  <c r="F26" i="12"/>
  <c r="K39" i="15"/>
  <c r="O37" i="15"/>
  <c r="O39" i="15" s="1"/>
  <c r="G39" i="15"/>
  <c r="F45" i="13"/>
  <c r="H18" i="23" s="1"/>
  <c r="J45" i="13"/>
  <c r="P18" i="23" l="1"/>
  <c r="V15" i="13"/>
  <c r="J18" i="23"/>
  <c r="L18" i="23" s="1"/>
  <c r="L44" i="23"/>
  <c r="P44" i="23"/>
  <c r="N44" i="23"/>
  <c r="N18" i="23"/>
  <c r="N19" i="23" s="1"/>
  <c r="R14" i="13"/>
  <c r="R15" i="13"/>
  <c r="I21" i="24"/>
  <c r="J21" i="24" s="1"/>
  <c r="N30" i="25"/>
  <c r="P30" i="25" s="1"/>
  <c r="Q30" i="25" s="1"/>
  <c r="J19" i="24"/>
  <c r="I33" i="25"/>
  <c r="J33" i="25" s="1"/>
  <c r="I34" i="25"/>
  <c r="J34" i="25" s="1"/>
  <c r="J31" i="25"/>
  <c r="I35" i="25"/>
  <c r="M21" i="24"/>
  <c r="N21" i="24" s="1"/>
  <c r="P30" i="24"/>
  <c r="Q30" i="24" s="1"/>
  <c r="J35" i="24"/>
  <c r="Q35" i="24" s="1"/>
  <c r="Q34" i="24"/>
  <c r="P38" i="24"/>
  <c r="Q38" i="24" s="1"/>
  <c r="P20" i="24"/>
  <c r="N24" i="13"/>
  <c r="L21" i="23" s="1"/>
  <c r="H21" i="23"/>
  <c r="W23" i="14"/>
  <c r="W13" i="14"/>
  <c r="W14" i="14" s="1"/>
  <c r="G14" i="14"/>
  <c r="O12" i="14"/>
  <c r="O14" i="14" s="1"/>
  <c r="V24" i="13"/>
  <c r="F14" i="13"/>
  <c r="F28" i="11" s="1"/>
  <c r="L26" i="12"/>
  <c r="H44" i="23"/>
  <c r="F44" i="23"/>
  <c r="P30" i="23"/>
  <c r="N30" i="23"/>
  <c r="J30" i="23"/>
  <c r="L30" i="23"/>
  <c r="H30" i="23"/>
  <c r="F30" i="23"/>
  <c r="F18" i="23"/>
  <c r="I22" i="24" l="1"/>
  <c r="J22" i="24" s="1"/>
  <c r="Q22" i="24" s="1"/>
  <c r="M22" i="24"/>
  <c r="N22" i="24" s="1"/>
  <c r="I38" i="25"/>
  <c r="J38" i="25" s="1"/>
  <c r="J35" i="25"/>
  <c r="P31" i="25"/>
  <c r="Q31" i="25" s="1"/>
  <c r="J32" i="25"/>
  <c r="P34" i="25"/>
  <c r="Q34" i="25" s="1"/>
  <c r="P33" i="25"/>
  <c r="Q33" i="25" s="1"/>
  <c r="P35" i="24"/>
  <c r="Q21" i="24"/>
  <c r="P21" i="24"/>
  <c r="J21" i="23"/>
  <c r="J14" i="13"/>
  <c r="N21" i="23"/>
  <c r="P21" i="23"/>
  <c r="I23" i="24" l="1"/>
  <c r="I24" i="24" s="1"/>
  <c r="J24" i="24" s="1"/>
  <c r="M23" i="24"/>
  <c r="N23" i="24" s="1"/>
  <c r="J41" i="25"/>
  <c r="P35" i="25"/>
  <c r="Q35" i="25" s="1"/>
  <c r="P38" i="25"/>
  <c r="Q38" i="25" s="1"/>
  <c r="P22" i="24"/>
  <c r="M24" i="24" l="1"/>
  <c r="J23" i="24"/>
  <c r="P23" i="24" s="1"/>
  <c r="Q23" i="24" s="1"/>
  <c r="J42" i="25"/>
  <c r="J29" i="24" l="1"/>
  <c r="J32" i="24" s="1"/>
  <c r="J41" i="24" s="1"/>
  <c r="J43" i="25"/>
  <c r="J44" i="25" l="1"/>
  <c r="J45" i="25" s="1"/>
  <c r="J42" i="24"/>
  <c r="J43" i="24" s="1"/>
  <c r="J44" i="24" s="1"/>
  <c r="J45" i="24" s="1"/>
  <c r="M18" i="22" l="1"/>
  <c r="G24" i="14"/>
  <c r="U18" i="22"/>
  <c r="O24" i="14" l="1"/>
  <c r="O25" i="14" s="1"/>
  <c r="O29" i="14" s="1"/>
  <c r="G25" i="14"/>
  <c r="G29" i="14" s="1"/>
  <c r="G16" i="14" s="1"/>
  <c r="G17" i="14" s="1"/>
  <c r="W24" i="14"/>
  <c r="W25" i="14" s="1"/>
  <c r="W29" i="14" s="1"/>
  <c r="N19" i="25"/>
  <c r="P19" i="25" s="1"/>
  <c r="Q19" i="25" s="1"/>
  <c r="S29" i="14" l="1"/>
  <c r="S16" i="14" s="1"/>
  <c r="S17" i="14" s="1"/>
  <c r="W16" i="14"/>
  <c r="W17" i="14" s="1"/>
  <c r="J26" i="12"/>
  <c r="H35" i="23"/>
  <c r="F35" i="23"/>
  <c r="O16" i="14"/>
  <c r="O17" i="14" s="1"/>
  <c r="K29" i="14"/>
  <c r="K16" i="14" s="1"/>
  <c r="K17" i="14" s="1"/>
  <c r="J35" i="23" l="1"/>
  <c r="L35" i="23"/>
  <c r="J42" i="12"/>
  <c r="J58" i="12"/>
  <c r="N35" i="23"/>
  <c r="P35" i="23"/>
  <c r="J23" i="12"/>
  <c r="P23" i="12" s="1"/>
  <c r="J18" i="12"/>
  <c r="P18" i="12" s="1"/>
  <c r="J17" i="12"/>
  <c r="J22" i="12"/>
  <c r="J17" i="23"/>
  <c r="J19" i="23" s="1"/>
  <c r="F17" i="23"/>
  <c r="F19" i="23" s="1"/>
  <c r="P22" i="12" l="1"/>
  <c r="J24" i="12"/>
  <c r="F37" i="23" s="1"/>
  <c r="P17" i="12"/>
  <c r="P19" i="12" s="1"/>
  <c r="J19" i="12"/>
  <c r="J34" i="12"/>
  <c r="P34" i="12" s="1"/>
  <c r="J39" i="12"/>
  <c r="P39" i="12" s="1"/>
  <c r="J33" i="12"/>
  <c r="J38" i="12"/>
  <c r="J54" i="12"/>
  <c r="J49" i="12"/>
  <c r="J55" i="12"/>
  <c r="P55" i="12" s="1"/>
  <c r="J50" i="12"/>
  <c r="P50" i="12" s="1"/>
  <c r="N19" i="24"/>
  <c r="P19" i="24" s="1"/>
  <c r="Q19" i="24" s="1"/>
  <c r="J35" i="12" l="1"/>
  <c r="P33" i="12"/>
  <c r="P35" i="12" s="1"/>
  <c r="J51" i="12"/>
  <c r="P49" i="12"/>
  <c r="P51" i="12" s="1"/>
  <c r="P54" i="12"/>
  <c r="J56" i="12"/>
  <c r="N37" i="23" s="1"/>
  <c r="F27" i="13"/>
  <c r="H37" i="23"/>
  <c r="P38" i="12"/>
  <c r="J40" i="12"/>
  <c r="J37" i="23" s="1"/>
  <c r="P24" i="12"/>
  <c r="H47" i="23" s="1"/>
  <c r="F47" i="23" s="1"/>
  <c r="G14" i="15"/>
  <c r="G18" i="15" s="1"/>
  <c r="P37" i="23" l="1"/>
  <c r="O14" i="15"/>
  <c r="O18" i="15" s="1"/>
  <c r="P56" i="12"/>
  <c r="P47" i="23" s="1"/>
  <c r="P40" i="12"/>
  <c r="L47" i="23" s="1"/>
  <c r="K14" i="15"/>
  <c r="K18" i="15" s="1"/>
  <c r="V27" i="13"/>
  <c r="P26" i="12"/>
  <c r="N27" i="13"/>
  <c r="F20" i="11"/>
  <c r="L37" i="23"/>
  <c r="H22" i="23"/>
  <c r="H23" i="23" s="1"/>
  <c r="F29" i="13"/>
  <c r="F22" i="23"/>
  <c r="P42" i="12" l="1"/>
  <c r="P58" i="12"/>
  <c r="J27" i="13"/>
  <c r="J29" i="13" s="1"/>
  <c r="J22" i="23"/>
  <c r="J23" i="23" s="1"/>
  <c r="J25" i="23" s="1"/>
  <c r="J28" i="23" s="1"/>
  <c r="J31" i="23" s="1"/>
  <c r="J33" i="23" s="1"/>
  <c r="L22" i="23"/>
  <c r="N29" i="13"/>
  <c r="N30" i="13" s="1"/>
  <c r="J20" i="11"/>
  <c r="J47" i="23"/>
  <c r="N20" i="11"/>
  <c r="N47" i="23"/>
  <c r="F19" i="11"/>
  <c r="F23" i="23"/>
  <c r="F25" i="23" s="1"/>
  <c r="F28" i="23" s="1"/>
  <c r="F31" i="23" s="1"/>
  <c r="F33" i="23" s="1"/>
  <c r="V29" i="13"/>
  <c r="V30" i="13" s="1"/>
  <c r="P22" i="23"/>
  <c r="R27" i="13"/>
  <c r="R29" i="13" s="1"/>
  <c r="R30" i="13" s="1"/>
  <c r="N22" i="23"/>
  <c r="N23" i="23" s="1"/>
  <c r="N25" i="23" s="1"/>
  <c r="N28" i="23" s="1"/>
  <c r="N31" i="23" s="1"/>
  <c r="N33" i="23" s="1"/>
  <c r="N43" i="23" l="1"/>
  <c r="N45" i="23" s="1"/>
  <c r="N39" i="23"/>
  <c r="N41" i="23" s="1"/>
  <c r="J43" i="23"/>
  <c r="J45" i="23" s="1"/>
  <c r="J39" i="23"/>
  <c r="J41" i="23" s="1"/>
  <c r="N48" i="23"/>
  <c r="N49" i="23" s="1"/>
  <c r="P16" i="23" s="1"/>
  <c r="P17" i="23" s="1"/>
  <c r="P19" i="23" s="1"/>
  <c r="N19" i="11"/>
  <c r="P23" i="23"/>
  <c r="L23" i="23"/>
  <c r="J19" i="11"/>
  <c r="F43" i="23"/>
  <c r="F45" i="23" s="1"/>
  <c r="F39" i="23"/>
  <c r="F41" i="23" s="1"/>
  <c r="F48" i="23"/>
  <c r="F49" i="23" s="1"/>
  <c r="H16" i="23" s="1"/>
  <c r="J48" i="23"/>
  <c r="J49" i="23" s="1"/>
  <c r="L16" i="23" s="1"/>
  <c r="P25" i="23" l="1"/>
  <c r="P28" i="23" s="1"/>
  <c r="P31" i="23" s="1"/>
  <c r="N14" i="24" l="1"/>
  <c r="P14" i="24" l="1"/>
  <c r="Q14" i="24" s="1"/>
  <c r="N18" i="24" l="1"/>
  <c r="N14" i="25" l="1"/>
  <c r="P18" i="24"/>
  <c r="Q18" i="24" s="1"/>
  <c r="P14" i="25" l="1"/>
  <c r="Q14" i="25" s="1"/>
  <c r="N24" i="24" l="1"/>
  <c r="N18" i="25"/>
  <c r="P18" i="25" l="1"/>
  <c r="Q18" i="25" s="1"/>
  <c r="N29" i="25"/>
  <c r="P24" i="24"/>
  <c r="Q24" i="24" s="1"/>
  <c r="N29" i="24"/>
  <c r="P29" i="25" l="1"/>
  <c r="Q29" i="25" s="1"/>
  <c r="N32" i="25"/>
  <c r="N32" i="24"/>
  <c r="P29" i="24"/>
  <c r="Q29" i="24" s="1"/>
  <c r="N41" i="24" l="1"/>
  <c r="P32" i="24"/>
  <c r="Q32" i="24" s="1"/>
  <c r="N41" i="25"/>
  <c r="P32" i="25"/>
  <c r="Q32" i="25" s="1"/>
  <c r="P41" i="24" l="1"/>
  <c r="Q41" i="24" s="1"/>
  <c r="N42" i="24"/>
  <c r="P42" i="24" s="1"/>
  <c r="Q42" i="24" s="1"/>
  <c r="N42" i="25"/>
  <c r="P42" i="25" s="1"/>
  <c r="Q42" i="25" s="1"/>
  <c r="P41" i="25"/>
  <c r="Q41" i="25" s="1"/>
  <c r="N43" i="25" l="1"/>
  <c r="N44" i="25" s="1"/>
  <c r="P44" i="25" s="1"/>
  <c r="Q44" i="25" s="1"/>
  <c r="N43" i="24"/>
  <c r="P43" i="25" l="1"/>
  <c r="Q43" i="25" s="1"/>
  <c r="N44" i="24"/>
  <c r="P44" i="24" s="1"/>
  <c r="Q44" i="24" s="1"/>
  <c r="P43" i="24"/>
  <c r="Q43" i="24" s="1"/>
  <c r="N45" i="25"/>
  <c r="P45" i="25" s="1"/>
  <c r="Q45" i="25" s="1"/>
  <c r="N45" i="24" l="1"/>
  <c r="P45" i="24" s="1"/>
  <c r="Q45" i="24" s="1"/>
  <c r="L17" i="23" l="1"/>
  <c r="L19" i="23" s="1"/>
  <c r="L25" i="23" s="1"/>
  <c r="L28" i="23" s="1"/>
  <c r="L31" i="23" s="1"/>
  <c r="K22" i="15" l="1"/>
  <c r="K27" i="15" l="1"/>
  <c r="K29" i="15" s="1"/>
  <c r="N32" i="13" s="1"/>
  <c r="O22" i="15"/>
  <c r="K24" i="15"/>
  <c r="K31" i="15" l="1"/>
  <c r="J16" i="11" s="1"/>
  <c r="J22" i="11" s="1"/>
  <c r="J31" i="11" s="1"/>
  <c r="N34" i="13"/>
  <c r="L33" i="23" s="1"/>
  <c r="O24" i="15"/>
  <c r="O27" i="15"/>
  <c r="J25" i="11" l="1"/>
  <c r="L43" i="23"/>
  <c r="L45" i="23" s="1"/>
  <c r="L48" i="23" s="1"/>
  <c r="L39" i="23"/>
  <c r="L41" i="23" s="1"/>
  <c r="O31" i="15"/>
  <c r="N16" i="11" s="1"/>
  <c r="N22" i="11" s="1"/>
  <c r="N25" i="11" s="1"/>
  <c r="O29" i="15"/>
  <c r="V32" i="13" s="1"/>
  <c r="N31" i="11" l="1"/>
  <c r="V34" i="13"/>
  <c r="P33" i="23" s="1"/>
  <c r="R32" i="13"/>
  <c r="R34" i="13" s="1"/>
  <c r="P39" i="23" l="1"/>
  <c r="P41" i="23" s="1"/>
  <c r="P43" i="23"/>
  <c r="P45" i="23" s="1"/>
  <c r="P48" i="23" s="1"/>
  <c r="H17" i="23" l="1"/>
  <c r="H19" i="23" s="1"/>
  <c r="H25" i="23" s="1"/>
  <c r="H28" i="23" s="1"/>
  <c r="H31" i="23" s="1"/>
  <c r="I24" i="22"/>
  <c r="E45" i="22"/>
  <c r="G22" i="15" l="1"/>
  <c r="F13" i="13"/>
  <c r="G24" i="15" l="1"/>
  <c r="G27" i="15"/>
  <c r="G29" i="15" s="1"/>
  <c r="F32" i="13" s="1"/>
  <c r="J32" i="13" s="1"/>
  <c r="J13" i="13"/>
  <c r="J15" i="13" s="1"/>
  <c r="J30" i="13" s="1"/>
  <c r="F15" i="13"/>
  <c r="F30" i="13" s="1"/>
  <c r="F27" i="11"/>
  <c r="F29" i="11" s="1"/>
  <c r="J34" i="13" l="1"/>
  <c r="G31" i="15"/>
  <c r="F16" i="11" s="1"/>
  <c r="F22" i="11" s="1"/>
  <c r="F25" i="11" s="1"/>
  <c r="F34" i="13"/>
  <c r="H33" i="23" s="1"/>
  <c r="H43" i="23" s="1"/>
  <c r="H45" i="23" s="1"/>
  <c r="H48" i="23" s="1"/>
  <c r="H39" i="23" l="1"/>
  <c r="H41" i="23" s="1"/>
  <c r="F31" i="11"/>
</calcChain>
</file>

<file path=xl/sharedStrings.xml><?xml version="1.0" encoding="utf-8"?>
<sst xmlns="http://schemas.openxmlformats.org/spreadsheetml/2006/main" count="515" uniqueCount="336">
  <si>
    <t>Working Capital Allowance</t>
  </si>
  <si>
    <t>Total Rate Base</t>
  </si>
  <si>
    <t>(1)</t>
  </si>
  <si>
    <t>(2)</t>
  </si>
  <si>
    <t>Application</t>
  </si>
  <si>
    <t>Cost of Power</t>
  </si>
  <si>
    <t>Taxes/PILs</t>
  </si>
  <si>
    <t>Rate Base</t>
  </si>
  <si>
    <t>($)</t>
  </si>
  <si>
    <t>Controllable Expenses</t>
  </si>
  <si>
    <t>Working Capital Base</t>
  </si>
  <si>
    <t>Debt</t>
  </si>
  <si>
    <t xml:space="preserve">  Long-term Debt</t>
  </si>
  <si>
    <t xml:space="preserve">  Short-term Debt</t>
  </si>
  <si>
    <t>Total Debt</t>
  </si>
  <si>
    <t>Equity</t>
  </si>
  <si>
    <t xml:space="preserve">  Common Equity</t>
  </si>
  <si>
    <t xml:space="preserve">  Preferred Shares</t>
  </si>
  <si>
    <t>Total Equity</t>
  </si>
  <si>
    <t>Total</t>
  </si>
  <si>
    <t>(%)</t>
  </si>
  <si>
    <t>Cost Rate</t>
  </si>
  <si>
    <t>Return</t>
  </si>
  <si>
    <t xml:space="preserve">Application   </t>
  </si>
  <si>
    <t>Operating Revenues:</t>
  </si>
  <si>
    <t>Operating Expenses:</t>
  </si>
  <si>
    <t>Depreciation/Amortization</t>
  </si>
  <si>
    <t>Income taxes</t>
  </si>
  <si>
    <t>Determination of Taxable Income</t>
  </si>
  <si>
    <t>Adjustments required to arrive at taxable utility income</t>
  </si>
  <si>
    <t>Taxable income</t>
  </si>
  <si>
    <t>Calculation of Utility income Taxes</t>
  </si>
  <si>
    <t>Total taxes</t>
  </si>
  <si>
    <t>Tax Rates</t>
  </si>
  <si>
    <t>Amortization/Depreciation</t>
  </si>
  <si>
    <t>Other revenue</t>
  </si>
  <si>
    <t>Particulars</t>
  </si>
  <si>
    <t>Line No.</t>
  </si>
  <si>
    <t>Notes</t>
  </si>
  <si>
    <t>OM+A Expenses</t>
  </si>
  <si>
    <t>Total revenue</t>
  </si>
  <si>
    <r>
      <t>Particulars</t>
    </r>
    <r>
      <rPr>
        <sz val="10"/>
        <rFont val="Arial"/>
        <family val="2"/>
      </rPr>
      <t xml:space="preserve">                                </t>
    </r>
  </si>
  <si>
    <t>Notes:</t>
  </si>
  <si>
    <t>Capital taxes</t>
  </si>
  <si>
    <t>Property taxes</t>
  </si>
  <si>
    <t>Property Taxes</t>
  </si>
  <si>
    <t>Capitalization Ratio</t>
  </si>
  <si>
    <t>Utility Income</t>
  </si>
  <si>
    <t>Utility Rate Base</t>
  </si>
  <si>
    <t>Indicated Rate of Return</t>
  </si>
  <si>
    <t>Capitalization/Cost of Capital</t>
  </si>
  <si>
    <t>Pale green cells represent inputs</t>
  </si>
  <si>
    <t>Distribution revenue</t>
  </si>
  <si>
    <t xml:space="preserve">  Specific Service Charges</t>
  </si>
  <si>
    <t xml:space="preserve">  Late Payment Charges</t>
  </si>
  <si>
    <t xml:space="preserve">  Other Distribution Revenue</t>
  </si>
  <si>
    <t xml:space="preserve">  Other Income and Deductions</t>
  </si>
  <si>
    <t>Total Revenue Offsets</t>
  </si>
  <si>
    <t>Allowance for Working Capital</t>
  </si>
  <si>
    <t xml:space="preserve">Particulars </t>
  </si>
  <si>
    <t xml:space="preserve">   </t>
  </si>
  <si>
    <t xml:space="preserve">   Controllable Expenses</t>
  </si>
  <si>
    <t xml:space="preserve">   Cost of Power</t>
  </si>
  <si>
    <t xml:space="preserve">   Working Capital Rate (%)</t>
  </si>
  <si>
    <t>Other Revenue</t>
  </si>
  <si>
    <t xml:space="preserve">   OM+A Expenses</t>
  </si>
  <si>
    <t xml:space="preserve">   Property taxes</t>
  </si>
  <si>
    <t xml:space="preserve">   Capital taxes</t>
  </si>
  <si>
    <t xml:space="preserve">      Specific Service Charges</t>
  </si>
  <si>
    <t xml:space="preserve">      Late Payment Charges</t>
  </si>
  <si>
    <t xml:space="preserve">      Other Distribution Revenue</t>
  </si>
  <si>
    <t xml:space="preserve">      Other Income and Deductions</t>
  </si>
  <si>
    <t>Taxable Income:</t>
  </si>
  <si>
    <t>Utility Income Taxes and Rates:</t>
  </si>
  <si>
    <t xml:space="preserve">   Long-term debt Capitalization Ratio (%)</t>
  </si>
  <si>
    <t xml:space="preserve">   Short-term debt Capitalization Ratio (%)</t>
  </si>
  <si>
    <t xml:space="preserve">   Common Equity Capitalization Ratio (%)</t>
  </si>
  <si>
    <t xml:space="preserve">   Prefered Shares Capitalization Ratio (%)</t>
  </si>
  <si>
    <t xml:space="preserve">   Long-term debt Cost Rate (%)</t>
  </si>
  <si>
    <t xml:space="preserve">   Short-term debt Cost Rate (%)</t>
  </si>
  <si>
    <t xml:space="preserve">   Common Equity Cost Rate (%)</t>
  </si>
  <si>
    <t xml:space="preserve">   Prefered Shares Cost Rate (%)</t>
  </si>
  <si>
    <t xml:space="preserve">Working Capital Rate % </t>
  </si>
  <si>
    <t xml:space="preserve">   Federal tax (%)</t>
  </si>
  <si>
    <t xml:space="preserve">   Provincial tax (%)</t>
  </si>
  <si>
    <t>Allowance for Working Capital:</t>
  </si>
  <si>
    <t xml:space="preserve">   Other Revenue:</t>
  </si>
  <si>
    <t xml:space="preserve">   Capital Taxes</t>
  </si>
  <si>
    <t>Capital Structure:</t>
  </si>
  <si>
    <t>Cost of Capital</t>
  </si>
  <si>
    <t>All inputs are in dollars ($) except where inputs are individually identified as percentages (%)</t>
  </si>
  <si>
    <t>Income Taxes (Grossed up)</t>
  </si>
  <si>
    <t>4.0% unless an Applicant has proposed or been approved for another amount.</t>
  </si>
  <si>
    <t xml:space="preserve">   Other expenses</t>
  </si>
  <si>
    <t>Other expense</t>
  </si>
  <si>
    <t>Deemed Interest Expense</t>
  </si>
  <si>
    <t>Gross-up of Income Taxes</t>
  </si>
  <si>
    <t>Utility income before income taxes</t>
  </si>
  <si>
    <t>(3)</t>
  </si>
  <si>
    <t>Net of addbacks and deductions to arrive at taxable income.</t>
  </si>
  <si>
    <t xml:space="preserve">   Gross Fixed Assets (average)</t>
  </si>
  <si>
    <t xml:space="preserve">   Accumulated Depreciation (average)</t>
  </si>
  <si>
    <t>Gross Fixed Assets (average)</t>
  </si>
  <si>
    <t>Accumulated Depreciation (average)</t>
  </si>
  <si>
    <t>Net Fixed Assets (average)</t>
  </si>
  <si>
    <t>Utility net income</t>
  </si>
  <si>
    <t>Grossed-up Income Taxes</t>
  </si>
  <si>
    <t>PILs / tax Allowance (Grossed-up Income taxes + Capital taxes)</t>
  </si>
  <si>
    <t>Income taxes (grossed-up)</t>
  </si>
  <si>
    <t xml:space="preserve">   Distribution Revenue at Proposed Rates</t>
  </si>
  <si>
    <t>Total Revenue</t>
  </si>
  <si>
    <t>Utility Income Before Income Taxes</t>
  </si>
  <si>
    <t xml:space="preserve">Utility Net Income </t>
  </si>
  <si>
    <t xml:space="preserve">   Distribution Revenue at Current Rates</t>
  </si>
  <si>
    <t>Total Operating Revenues</t>
  </si>
  <si>
    <t>Taxable Income</t>
  </si>
  <si>
    <t>Income Tax Credits</t>
  </si>
  <si>
    <t>Operating Expenses</t>
  </si>
  <si>
    <t>Total Cost and Expenses</t>
  </si>
  <si>
    <t>Target Return - Equity on Rate Base</t>
  </si>
  <si>
    <t>Requested Rate of Return on Rate Base</t>
  </si>
  <si>
    <t xml:space="preserve"> </t>
  </si>
  <si>
    <t>(4)</t>
  </si>
  <si>
    <t>(5)</t>
  </si>
  <si>
    <t>Average of Gross Fixed Assets at beginning and end of the Test Year</t>
  </si>
  <si>
    <t xml:space="preserve">   Income taxes (not grossed up)</t>
  </si>
  <si>
    <t xml:space="preserve">   Income taxes (grossed up)</t>
  </si>
  <si>
    <t>At Current Approved Rates</t>
  </si>
  <si>
    <t>At Proposed Rates</t>
  </si>
  <si>
    <t>Distribution Revenue (at Proposed Rates)</t>
  </si>
  <si>
    <t>Target Return on Equity</t>
  </si>
  <si>
    <t xml:space="preserve">  Deemed Interest Expense</t>
  </si>
  <si>
    <t xml:space="preserve">  Return on Deemed Equity</t>
  </si>
  <si>
    <t>Other tax Credits</t>
  </si>
  <si>
    <t xml:space="preserve">Deemed Equity Portion of Rate Base </t>
  </si>
  <si>
    <t>Average of opening and closing balances for the year.</t>
  </si>
  <si>
    <t>Other Expenses</t>
  </si>
  <si>
    <t>Tax Adjustments to Accounting               Income per 2009 PILs</t>
  </si>
  <si>
    <t>Average of Accumulated Depreciation at the beginning and end of the Test Year.  Enter as a negative amount.</t>
  </si>
  <si>
    <t>Federal tax (%)</t>
  </si>
  <si>
    <t>Provincial tax (%)</t>
  </si>
  <si>
    <t>Total tax rate (%)</t>
  </si>
  <si>
    <t>Capital Taxes</t>
  </si>
  <si>
    <t>OM&amp;A Expenses</t>
  </si>
  <si>
    <t>Please note that this model uses MACROS.  Before starting, please ensure that macros have been enabled.</t>
  </si>
  <si>
    <t>Line 11 - Line 8</t>
  </si>
  <si>
    <t xml:space="preserve">   Depreciation/Amortization</t>
  </si>
  <si>
    <t>Difference (Total Revenue Less Distribution Revenue Requirement before Revenues)</t>
  </si>
  <si>
    <t>Utility net income before taxes</t>
  </si>
  <si>
    <t>Adjustments required to arrive at taxable income</t>
  </si>
  <si>
    <t>(6)</t>
  </si>
  <si>
    <t>Capital Taxes not applicable after July 1, 2010 (i.e. for 2011 and later test years)</t>
  </si>
  <si>
    <t>Revenue Deficiency from Below</t>
  </si>
  <si>
    <t>Distribution Revenue</t>
  </si>
  <si>
    <t>Other Operating Revenue Offsets - net</t>
  </si>
  <si>
    <t>Income Tax Rate</t>
  </si>
  <si>
    <t>Income Tax on Taxable Income</t>
  </si>
  <si>
    <t>Per Board Decision</t>
  </si>
  <si>
    <t>Initial Application</t>
  </si>
  <si>
    <t xml:space="preserve">Initial Application   </t>
  </si>
  <si>
    <t>Monthly Service Charge</t>
  </si>
  <si>
    <t>Smart Meter Disposition Rider</t>
  </si>
  <si>
    <t>LRAM &amp; SSM Rider</t>
  </si>
  <si>
    <t>Sub-Total A - Distribution</t>
  </si>
  <si>
    <t>RTSR - Network</t>
  </si>
  <si>
    <t>Sub-Total B - Delivery (including Sub-Total A)</t>
  </si>
  <si>
    <t>Total Bill (including Sub-total B)</t>
  </si>
  <si>
    <t>Volume</t>
  </si>
  <si>
    <t>Loss Factor</t>
  </si>
  <si>
    <t>Charge Unit</t>
  </si>
  <si>
    <t>monthly</t>
  </si>
  <si>
    <t>per kWh</t>
  </si>
  <si>
    <t>per kW</t>
  </si>
  <si>
    <t>Total Bill (before Taxes)</t>
  </si>
  <si>
    <t>HST</t>
  </si>
  <si>
    <t>Rate</t>
  </si>
  <si>
    <t>Low Voltage Rate Adder</t>
  </si>
  <si>
    <t>Standard Supply Service Charge</t>
  </si>
  <si>
    <t>Rural and Remote Rate Protection (RRRP)</t>
  </si>
  <si>
    <t>Wholesale Market Service Charge (WMSC)</t>
  </si>
  <si>
    <t>Debt Retirement Charge (DRC)</t>
  </si>
  <si>
    <t>Service Charge Rate Adder(s)</t>
  </si>
  <si>
    <t>Service Charge Rate Rider(s)</t>
  </si>
  <si>
    <t>Distribution Volumetric Rate</t>
  </si>
  <si>
    <t>Volumetric Rate Adder(s)</t>
  </si>
  <si>
    <t>Volumetric Rate Rider(s)</t>
  </si>
  <si>
    <t>RTSR - Line and Transformation Connection</t>
  </si>
  <si>
    <t>Charge</t>
  </si>
  <si>
    <t>Consumption</t>
  </si>
  <si>
    <t>Current Board-Approved</t>
  </si>
  <si>
    <t>Proposed</t>
  </si>
  <si>
    <t>Impact</t>
  </si>
  <si>
    <t>$ Change</t>
  </si>
  <si>
    <t>% Change</t>
  </si>
  <si>
    <t xml:space="preserve"> kWh</t>
  </si>
  <si>
    <t>Loss Factor (%)</t>
  </si>
  <si>
    <t>Subtotal (lines 4 to 8)</t>
  </si>
  <si>
    <t>Total Expenses (lines 9 to 10)</t>
  </si>
  <si>
    <t>Completed versions of the Revenue Requirement Work Form are required to be filed in working Microsoft Excel format.</t>
  </si>
  <si>
    <t>Smart Meter Rate Adder</t>
  </si>
  <si>
    <t>Deferral/Variance Account Disposition Rate Rider</t>
  </si>
  <si>
    <t>LRAM &amp; SSM Rate Rider</t>
  </si>
  <si>
    <t>Special Purpose Charge</t>
  </si>
  <si>
    <t>Energy</t>
  </si>
  <si>
    <r>
      <t>Gross Revenue Deficiency/</t>
    </r>
    <r>
      <rPr>
        <b/>
        <sz val="10"/>
        <color indexed="10"/>
        <rFont val="Arial"/>
        <family val="2"/>
      </rPr>
      <t>(Sufficiency)</t>
    </r>
  </si>
  <si>
    <r>
      <t>Revenue Deficiency/</t>
    </r>
    <r>
      <rPr>
        <sz val="10"/>
        <color indexed="10"/>
        <rFont val="Arial"/>
        <family val="2"/>
      </rPr>
      <t>(Sufficiency)</t>
    </r>
  </si>
  <si>
    <t>Note 1</t>
  </si>
  <si>
    <t>Ontario Clean Energy Benefit (OCEB)</t>
  </si>
  <si>
    <t>Total Bill (including OCEB)</t>
  </si>
  <si>
    <t>Algoma Power Inc.</t>
  </si>
  <si>
    <t>Atikokan Hydro Inc.</t>
  </si>
  <si>
    <t>Bluewater Power Distribution Corporation</t>
  </si>
  <si>
    <t>Brant County Power Inc.</t>
  </si>
  <si>
    <t>Brantford Power Inc.</t>
  </si>
  <si>
    <t>Burlington Hydro Inc.</t>
  </si>
  <si>
    <t>Cambridge and North Dumfries Hydro Inc.</t>
  </si>
  <si>
    <t>Centre Wellington Hydro Ltd.</t>
  </si>
  <si>
    <t>Chapleau Public Utilities Corporation</t>
  </si>
  <si>
    <t>Chatham-Kent Hydro Inc.</t>
  </si>
  <si>
    <t>Clinton Power Corporation</t>
  </si>
  <si>
    <t>COLLUS Power Corporation</t>
  </si>
  <si>
    <t>Cooperative Hydro Embrun Inc.</t>
  </si>
  <si>
    <t>E.L.K. Energy Inc.</t>
  </si>
  <si>
    <t>Enersource Hydro Mississauga Inc.</t>
  </si>
  <si>
    <t>ENWIN Utilities Ltd.</t>
  </si>
  <si>
    <t>Erie Thames Powerlines Corporation</t>
  </si>
  <si>
    <t>Espanola Regional Hydro Distribution Corporation</t>
  </si>
  <si>
    <t>Essex Powerlines Corporation</t>
  </si>
  <si>
    <t>Festival Hydro Inc.</t>
  </si>
  <si>
    <t>Fort Frances Power Corporation</t>
  </si>
  <si>
    <t>Guelph Hydro Electric Systems Inc.</t>
  </si>
  <si>
    <t>Haldimand County Hydro Inc.</t>
  </si>
  <si>
    <t>Halton Hills Hydro Inc.</t>
  </si>
  <si>
    <t>Hearst Power Distribution Company Limited</t>
  </si>
  <si>
    <t>Horizon Utilities Corporation</t>
  </si>
  <si>
    <t>Hydro 2000 Inc.</t>
  </si>
  <si>
    <t>Hydro Hawkesbury Inc.</t>
  </si>
  <si>
    <t>Hydro One Brampton Networks Inc.</t>
  </si>
  <si>
    <t>Kenora Hydro Electric Corporation Ltd.</t>
  </si>
  <si>
    <t>Kingston Hydro Corporation</t>
  </si>
  <si>
    <t>Kitchener-Wilmot Hydro Inc.</t>
  </si>
  <si>
    <t>Lakefront Utilities Inc.</t>
  </si>
  <si>
    <t>London Hydro Inc.</t>
  </si>
  <si>
    <t>Middlesex Power Distribution Corporation</t>
  </si>
  <si>
    <t>Midland Power Utility Corporation</t>
  </si>
  <si>
    <t>Milton Hydro Distribution inc.</t>
  </si>
  <si>
    <t>Niagara Peninsula Energy Inc. - Niagara Falls</t>
  </si>
  <si>
    <t>Niagara-on-the-Lake Hydro Inc.</t>
  </si>
  <si>
    <t>Norfolk Power Distribution Inc.</t>
  </si>
  <si>
    <t>North Bay Hydro Distribution Limited</t>
  </si>
  <si>
    <t>Northern Ontario Wires Inc.</t>
  </si>
  <si>
    <t>Oakville Hydro Electricity Distribution Inc.</t>
  </si>
  <si>
    <t>Orangeville Hydro Limited</t>
  </si>
  <si>
    <t>Orillia Power Distribution Corporation</t>
  </si>
  <si>
    <t>Oshawa PUC Networks Inc.</t>
  </si>
  <si>
    <t>Ottawa River Power Corporation</t>
  </si>
  <si>
    <t>Parry Sound Power Corporation</t>
  </si>
  <si>
    <t>Peterborough Distribution Incorporated</t>
  </si>
  <si>
    <t>PowerStream Inc. - Barrie</t>
  </si>
  <si>
    <t>PowerStream Inc. - South</t>
  </si>
  <si>
    <t>PUC Distribution Inc.</t>
  </si>
  <si>
    <t>Renfrew Hydro Inc.</t>
  </si>
  <si>
    <t>Rideau St. Lawrence Distribution Inc.</t>
  </si>
  <si>
    <t>Sioux Lookout Hydro Inc.</t>
  </si>
  <si>
    <t>St. Thomas Energy Inc.</t>
  </si>
  <si>
    <t>Thunder Bay Hydro Electricity Distribution Inc.</t>
  </si>
  <si>
    <t>Tillsonburg Hydro Inc.</t>
  </si>
  <si>
    <t>Veridian Connections Inc.</t>
  </si>
  <si>
    <t>Veridian Connections Inc. - Gravenhurst</t>
  </si>
  <si>
    <t>Wasaga Distribution Inc.</t>
  </si>
  <si>
    <t>Waterloo North Hydro Inc.</t>
  </si>
  <si>
    <t>Welland Hydro-Electric System Corp.</t>
  </si>
  <si>
    <t>Wellington North Power Inc.</t>
  </si>
  <si>
    <t>West Coast Huron Energy Inc.</t>
  </si>
  <si>
    <t>West Perth Power Inc.</t>
  </si>
  <si>
    <t>Westario Power Inc.</t>
  </si>
  <si>
    <t>Whitby Hydro Electric Corporation</t>
  </si>
  <si>
    <t>Woodstock Hydro Services Inc.</t>
  </si>
  <si>
    <t>Fort Albany Power Corporation</t>
  </si>
  <si>
    <t>Greater Sudbury Hydro Inc.</t>
  </si>
  <si>
    <t>Grimsby Power Inc.</t>
  </si>
  <si>
    <t>Hydro Ottawa Limited</t>
  </si>
  <si>
    <t>Innisfil Hydro Distribution Systems Limited</t>
  </si>
  <si>
    <t>Kashechewan Power Corporation</t>
  </si>
  <si>
    <t>Lakeland Power Distribution Ltd.</t>
  </si>
  <si>
    <t>Toronto Hydro-Electric System Limited</t>
  </si>
  <si>
    <t>Niagara Peninsula Energy Inc. - Peninsula West</t>
  </si>
  <si>
    <t>Canadian Niagara Power Inc. - Eastern Ontario Power</t>
  </si>
  <si>
    <t>Canadian Niagara Power Inc. - Fort Erie</t>
  </si>
  <si>
    <t>Canadian Niagara Power Inc. - Port Colborne Hydro Inc.</t>
  </si>
  <si>
    <t>Middlesex Power Distribution Corporation - Newbury</t>
  </si>
  <si>
    <t>Middlesex Power Distribution Corporation - Dutton</t>
  </si>
  <si>
    <t>Festival Hydro Inc. - Hensall</t>
  </si>
  <si>
    <t xml:space="preserve">Attawapiskat Power Corp. </t>
  </si>
  <si>
    <t>Newmarket - Tay Power Distribution Ltd. - Newmarket</t>
  </si>
  <si>
    <t>Newmarket - Tay Power Distribution Ltd. - Tay</t>
  </si>
  <si>
    <t>Company Name</t>
  </si>
  <si>
    <t>Name:</t>
  </si>
  <si>
    <t>Title:</t>
  </si>
  <si>
    <t>Phone Number:</t>
  </si>
  <si>
    <t>Email Address:</t>
  </si>
  <si>
    <t>1. Info</t>
  </si>
  <si>
    <t>3. Data_Input_Sheet</t>
  </si>
  <si>
    <t>4. Rate_Base</t>
  </si>
  <si>
    <t>5. Utility Income</t>
  </si>
  <si>
    <t>6. Taxes_PILs</t>
  </si>
  <si>
    <t>7. Cost_of_Capital</t>
  </si>
  <si>
    <t>9. Rev_Reqt</t>
  </si>
  <si>
    <t>10A. Bill Impacts - Residential</t>
  </si>
  <si>
    <t>10B. Bill Impacts - GS_LT_50kW</t>
  </si>
  <si>
    <t>Select option from drop-down list by clicking on cell M10.  This column allows for the application update reflecting the end of discovery or Argument-in-Chief.  Also, the outcome of any Settlement Process can be reflected.</t>
  </si>
  <si>
    <t>Deficiency/Sufficiency in Return on Equity</t>
  </si>
  <si>
    <t>Deficiency/Sufficiency in Rate of Return</t>
  </si>
  <si>
    <t>Pale yellow cells represent drop-down lists</t>
  </si>
  <si>
    <t>Pale green boxes at the bottom of each page are for additional notes</t>
  </si>
  <si>
    <t>Revenue Deficiency/Sufficiency divided by (1 - Tax Rate)</t>
  </si>
  <si>
    <t>Income/(Equity Portion of Rate Base)</t>
  </si>
  <si>
    <r>
      <t xml:space="preserve">(1):  </t>
    </r>
    <r>
      <rPr>
        <sz val="10"/>
        <rFont val="Arial"/>
        <family val="2"/>
      </rPr>
      <t>Enter existing and proposed total loss factor (Secondary Metered Customer &lt; 5,000 kW) as a percentage.</t>
    </r>
  </si>
  <si>
    <t>8. Rev_Def_Suff</t>
  </si>
  <si>
    <r>
      <t xml:space="preserve">(1):  </t>
    </r>
    <r>
      <rPr>
        <sz val="10"/>
        <rFont val="Arial"/>
        <family val="2"/>
      </rPr>
      <t>See Note (1) from Sheet 10A. Bill Impacts - Residential</t>
    </r>
  </si>
  <si>
    <t>2. Table of Contents</t>
  </si>
  <si>
    <t>(7)</t>
  </si>
  <si>
    <t>Input total revenue offsets for deriving the base revenue requirement from the service revenue requirement</t>
  </si>
  <si>
    <t>Service Revenue Requirement (before Revenues)</t>
  </si>
  <si>
    <t>Revenue Offsets</t>
  </si>
  <si>
    <t>Base Revenue Requirement</t>
  </si>
  <si>
    <t>Data inputs are required on Sheets 3, 10A and 10B. Data from Sheet 3 will automatically complete calculations on sheets 4 through 9 (Rate Base through Revenue Requirement).  Sheets 4 through 9 do not require any inputs except for notes that the Applicant may wish to enter to support the results.  Pale green cells are available on sheets 4 through 9 to enter both footnotes beside key cells and the related text for the notes at the bottom of each sheet.</t>
  </si>
  <si>
    <t>General</t>
  </si>
  <si>
    <t>Some Applicants may have a unique rate as a result of a lead-lag study.</t>
  </si>
  <si>
    <t>Joanne Tackaberry</t>
  </si>
  <si>
    <t>Manager, Administrative and Financial Services</t>
  </si>
  <si>
    <t>705-429-2517</t>
  </si>
  <si>
    <t>j.tackaberry@wasagaidst.ca</t>
  </si>
  <si>
    <t>Stranded Meter Disposition</t>
  </si>
  <si>
    <t>Late Payment</t>
  </si>
  <si>
    <t>Settlement Agreement</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</si>
</sst>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44" formatCode="_-&quot;$&quot;* #,##0.00_-;\-&quot;$&quot;* #,##0.00_-;_-&quot;$&quot;* &quot;-&quot;??_-;_-@_-"/>
    <numFmt numFmtId="43" formatCode="_-* #,##0.00_-;\-* #,##0.00_-;_-* &quot;-&quot;??_-;_-@_-"/>
    <numFmt numFmtId="164" formatCode="&quot;$&quot;#,##0_);[Red]\(&quot;$&quot;#,##0\)"/>
    <numFmt numFmtId="165" formatCode="0.0%"/>
    <numFmt numFmtId="166" formatCode="_-&quot;$&quot;* #,##0_-;\-&quot;$&quot;* #,##0_-;_-&quot;$&quot;* &quot;-&quot;??_-;_-@_-"/>
    <numFmt numFmtId="167" formatCode="&quot;$&quot;#,##0_);[Red]\(&quot;$&quot;#,##0\);&quot;$&quot;\ \-"/>
    <numFmt numFmtId="168" formatCode="\(#\)"/>
    <numFmt numFmtId="169" formatCode="_-&quot;$&quot;* #,##0.0000_-;\-&quot;$&quot;* #,##0.0000_-;_-&quot;$&quot;* &quot;-&quot;??_-;_-@_-"/>
    <numFmt numFmtId="170" formatCode="_-&quot;$&quot;* #,##0.0000000_-;\-&quot;$&quot;* #,##0.0000000_-;_-&quot;$&quot;* &quot;-&quot;??_-;_-@_-"/>
  </numFmts>
  <fonts count="42" x14ac:knownFonts="1">
    <font>
      <sz val="10"/>
      <name val="Arial"/>
    </font>
    <font>
      <sz val="10"/>
      <name val="Arial"/>
      <family val="2"/>
    </font>
    <font>
      <sz val="8"/>
      <name val="Arial"/>
      <family val="2"/>
    </font>
    <font>
      <b/>
      <sz val="10"/>
      <name val="Arial"/>
      <family val="2"/>
    </font>
    <font>
      <u/>
      <sz val="10"/>
      <color indexed="12"/>
      <name val="Arial"/>
      <family val="2"/>
    </font>
    <font>
      <b/>
      <sz val="12"/>
      <name val="Arial"/>
      <family val="2"/>
    </font>
    <font>
      <sz val="8"/>
      <name val="Arial"/>
      <family val="2"/>
    </font>
    <font>
      <sz val="10"/>
      <name val="Arial"/>
      <family val="2"/>
    </font>
    <font>
      <u/>
      <sz val="10"/>
      <name val="Arial"/>
      <family val="2"/>
    </font>
    <font>
      <u/>
      <sz val="10"/>
      <name val="Arial"/>
      <family val="2"/>
    </font>
    <font>
      <b/>
      <u/>
      <sz val="10"/>
      <name val="Arial"/>
      <family val="2"/>
    </font>
    <font>
      <sz val="10"/>
      <color indexed="10"/>
      <name val="Arial"/>
      <family val="2"/>
    </font>
    <font>
      <b/>
      <sz val="10"/>
      <color indexed="10"/>
      <name val="Arial"/>
      <family val="2"/>
    </font>
    <font>
      <sz val="16"/>
      <color indexed="12"/>
      <name val="Algerian"/>
      <family val="5"/>
    </font>
    <font>
      <sz val="14"/>
      <name val="Arial"/>
      <family val="2"/>
    </font>
    <font>
      <b/>
      <sz val="14"/>
      <name val="Arial"/>
      <family val="2"/>
    </font>
    <font>
      <b/>
      <u/>
      <sz val="10"/>
      <color indexed="12"/>
      <name val="Arial"/>
      <family val="2"/>
    </font>
    <font>
      <b/>
      <sz val="10"/>
      <color indexed="12"/>
      <name val="Arial"/>
      <family val="2"/>
    </font>
    <font>
      <sz val="10"/>
      <color indexed="12"/>
      <name val="Arial"/>
      <family val="2"/>
    </font>
    <font>
      <sz val="10"/>
      <color indexed="12"/>
      <name val="Arial"/>
      <family val="2"/>
    </font>
    <font>
      <b/>
      <sz val="8"/>
      <color indexed="10"/>
      <name val="Arial"/>
      <family val="2"/>
    </font>
    <font>
      <b/>
      <i/>
      <sz val="10"/>
      <color indexed="10"/>
      <name val="Arial"/>
      <family val="2"/>
    </font>
    <font>
      <b/>
      <sz val="10"/>
      <color indexed="9"/>
      <name val="Arial"/>
      <family val="2"/>
    </font>
    <font>
      <sz val="10"/>
      <color indexed="9"/>
      <name val="Arial"/>
      <family val="2"/>
    </font>
    <font>
      <i/>
      <sz val="10"/>
      <name val="Arial"/>
      <family val="2"/>
    </font>
    <font>
      <b/>
      <u/>
      <sz val="12"/>
      <color indexed="10"/>
      <name val="Cooper Black"/>
      <family val="1"/>
    </font>
    <font>
      <sz val="11"/>
      <color indexed="8"/>
      <name val="Calibri"/>
      <family val="2"/>
    </font>
    <font>
      <b/>
      <sz val="9"/>
      <name val="Arial"/>
      <family val="2"/>
    </font>
    <font>
      <sz val="10"/>
      <color indexed="9"/>
      <name val="Arial"/>
      <family val="2"/>
    </font>
    <font>
      <b/>
      <sz val="12"/>
      <name val="Book Antiqua"/>
      <family val="1"/>
    </font>
    <font>
      <sz val="8"/>
      <name val="Arial"/>
      <family val="2"/>
    </font>
    <font>
      <b/>
      <sz val="20"/>
      <color indexed="9"/>
      <name val="Book Antiqua"/>
      <family val="1"/>
    </font>
    <font>
      <b/>
      <sz val="11"/>
      <color indexed="48"/>
      <name val="Arial"/>
      <family val="2"/>
    </font>
    <font>
      <b/>
      <sz val="11"/>
      <name val="Arial"/>
      <family val="2"/>
    </font>
    <font>
      <sz val="11"/>
      <name val="Arial"/>
      <family val="2"/>
    </font>
    <font>
      <b/>
      <u/>
      <sz val="12"/>
      <color indexed="12"/>
      <name val="Arial"/>
      <family val="2"/>
    </font>
    <font>
      <u/>
      <sz val="12"/>
      <color indexed="12"/>
      <name val="Arial"/>
      <family val="2"/>
    </font>
    <font>
      <sz val="14"/>
      <color indexed="12"/>
      <name val="Arial"/>
      <family val="2"/>
    </font>
    <font>
      <b/>
      <sz val="10"/>
      <color indexed="9"/>
      <name val="Arial"/>
      <family val="2"/>
    </font>
    <font>
      <sz val="12"/>
      <name val="Arial"/>
      <family val="2"/>
    </font>
    <font>
      <sz val="12"/>
      <color indexed="12"/>
      <name val="Arial"/>
      <family val="2"/>
    </font>
    <font>
      <b/>
      <sz val="12"/>
      <color indexed="12"/>
      <name val="Arial"/>
      <family val="2"/>
    </font>
  </fonts>
  <fills count="5">
    <fill>
      <patternFill patternType="none"/>
    </fill>
    <fill>
      <patternFill patternType="gray125"/>
    </fill>
    <fill>
      <patternFill patternType="solid">
        <fgColor indexed="9"/>
        <bgColor indexed="64"/>
      </patternFill>
    </fill>
    <fill>
      <patternFill patternType="solid">
        <fgColor indexed="42"/>
        <bgColor indexed="64"/>
      </patternFill>
    </fill>
    <fill>
      <patternFill patternType="solid">
        <fgColor indexed="43"/>
        <bgColor indexed="64"/>
      </patternFill>
    </fill>
  </fills>
  <borders count="42">
    <border>
      <left/>
      <right/>
      <top/>
      <bottom/>
      <diagonal/>
    </border>
    <border>
      <left/>
      <right style="thin">
        <color indexed="64"/>
      </right>
      <top/>
      <bottom/>
      <diagonal/>
    </border>
    <border>
      <left/>
      <right/>
      <top/>
      <bottom style="thin">
        <color indexed="64"/>
      </bottom>
      <diagonal/>
    </border>
    <border>
      <left/>
      <right/>
      <top style="thin">
        <color indexed="64"/>
      </top>
      <bottom/>
      <diagonal/>
    </border>
    <border>
      <left/>
      <right/>
      <top/>
      <bottom style="double">
        <color indexed="64"/>
      </bottom>
      <diagonal/>
    </border>
    <border>
      <left style="thin">
        <color indexed="64"/>
      </left>
      <right/>
      <top/>
      <bottom/>
      <diagonal/>
    </border>
    <border>
      <left/>
      <right/>
      <top style="thin">
        <color indexed="64"/>
      </top>
      <bottom style="double">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style="double">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style="double">
        <color indexed="64"/>
      </top>
      <bottom/>
      <diagonal/>
    </border>
    <border>
      <left/>
      <right/>
      <top style="medium">
        <color indexed="64"/>
      </top>
      <bottom/>
      <diagonal/>
    </border>
    <border>
      <left style="medium">
        <color indexed="64"/>
      </left>
      <right/>
      <top/>
      <bottom style="medium">
        <color indexed="64"/>
      </bottom>
      <diagonal/>
    </border>
    <border>
      <left/>
      <right style="medium">
        <color indexed="64"/>
      </right>
      <top style="double">
        <color indexed="64"/>
      </top>
      <bottom style="medium">
        <color indexed="64"/>
      </bottom>
      <diagonal/>
    </border>
    <border>
      <left style="medium">
        <color indexed="64"/>
      </left>
      <right/>
      <top style="double">
        <color indexed="64"/>
      </top>
      <bottom style="medium">
        <color indexed="64"/>
      </bottom>
      <diagonal/>
    </border>
    <border>
      <left style="medium">
        <color indexed="64"/>
      </left>
      <right/>
      <top/>
      <bottom/>
      <diagonal/>
    </border>
    <border>
      <left style="medium">
        <color indexed="64"/>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thin">
        <color indexed="64"/>
      </left>
      <right style="medium">
        <color indexed="64"/>
      </right>
      <top style="double">
        <color indexed="64"/>
      </top>
      <bottom style="medium">
        <color indexed="64"/>
      </bottom>
      <diagonal/>
    </border>
    <border>
      <left style="thin">
        <color indexed="64"/>
      </left>
      <right style="thin">
        <color indexed="64"/>
      </right>
      <top style="medium">
        <color indexed="64"/>
      </top>
      <bottom style="double">
        <color indexed="64"/>
      </bottom>
      <diagonal/>
    </border>
    <border>
      <left style="thin">
        <color indexed="64"/>
      </left>
      <right style="thin">
        <color indexed="64"/>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medium">
        <color indexed="64"/>
      </left>
      <right style="medium">
        <color indexed="64"/>
      </right>
      <top/>
      <bottom/>
      <diagonal/>
    </border>
    <border>
      <left/>
      <right style="thick">
        <color indexed="9"/>
      </right>
      <top/>
      <bottom/>
      <diagonal/>
    </border>
    <border>
      <left style="medium">
        <color indexed="22"/>
      </left>
      <right/>
      <top style="medium">
        <color indexed="22"/>
      </top>
      <bottom style="thin">
        <color indexed="22"/>
      </bottom>
      <diagonal/>
    </border>
    <border>
      <left/>
      <right/>
      <top style="medium">
        <color indexed="22"/>
      </top>
      <bottom style="thin">
        <color indexed="22"/>
      </bottom>
      <diagonal/>
    </border>
    <border>
      <left/>
      <right style="thin">
        <color indexed="22"/>
      </right>
      <top style="medium">
        <color indexed="22"/>
      </top>
      <bottom style="thin">
        <color indexed="22"/>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7">
    <xf numFmtId="0" fontId="0" fillId="0" borderId="0"/>
    <xf numFmtId="43" fontId="1" fillId="0" borderId="0" applyFont="0" applyFill="0" applyBorder="0" applyAlignment="0" applyProtection="0"/>
    <xf numFmtId="44" fontId="1" fillId="0" borderId="0" applyFont="0" applyFill="0" applyBorder="0" applyAlignment="0" applyProtection="0"/>
    <xf numFmtId="0" fontId="4" fillId="0" borderId="0" applyNumberFormat="0" applyFill="0" applyBorder="0" applyAlignment="0" applyProtection="0">
      <alignment vertical="top"/>
      <protection locked="0"/>
    </xf>
    <xf numFmtId="0" fontId="26" fillId="0" borderId="0"/>
    <xf numFmtId="0" fontId="26" fillId="0" borderId="0"/>
    <xf numFmtId="9" fontId="1" fillId="0" borderId="0" applyFont="0" applyFill="0" applyBorder="0" applyAlignment="0" applyProtection="0"/>
  </cellStyleXfs>
  <cellXfs count="559">
    <xf numFmtId="0" fontId="0" fillId="0" borderId="0" xfId="0"/>
    <xf numFmtId="0" fontId="13" fillId="2" borderId="0" xfId="0" applyFont="1" applyFill="1" applyAlignment="1" applyProtection="1">
      <alignment vertical="top" wrapText="1"/>
    </xf>
    <xf numFmtId="0" fontId="0" fillId="2" borderId="0" xfId="0" applyFill="1" applyBorder="1" applyProtection="1"/>
    <xf numFmtId="0" fontId="5" fillId="2" borderId="0" xfId="0" applyFont="1" applyFill="1" applyBorder="1" applyAlignment="1" applyProtection="1"/>
    <xf numFmtId="0" fontId="3" fillId="0" borderId="0" xfId="0" applyFont="1" applyProtection="1"/>
    <xf numFmtId="0" fontId="0" fillId="0" borderId="0" xfId="0" applyProtection="1"/>
    <xf numFmtId="0" fontId="7" fillId="2" borderId="0" xfId="0" applyFont="1" applyFill="1" applyBorder="1" applyAlignment="1" applyProtection="1">
      <alignment horizontal="left"/>
    </xf>
    <xf numFmtId="0" fontId="0" fillId="2" borderId="0" xfId="0" applyFill="1" applyBorder="1" applyProtection="1">
      <protection locked="0"/>
    </xf>
    <xf numFmtId="0" fontId="13" fillId="2" borderId="0" xfId="0" applyFont="1" applyFill="1" applyAlignment="1" applyProtection="1">
      <alignment horizontal="left" vertical="top" wrapText="1" indent="1"/>
    </xf>
    <xf numFmtId="0" fontId="20" fillId="2" borderId="0" xfId="0" applyFont="1" applyFill="1" applyBorder="1" applyAlignment="1" applyProtection="1">
      <alignment horizontal="center"/>
    </xf>
    <xf numFmtId="0" fontId="21" fillId="2" borderId="0" xfId="0" applyFont="1" applyFill="1" applyBorder="1" applyAlignment="1" applyProtection="1">
      <alignment vertical="top" wrapText="1"/>
    </xf>
    <xf numFmtId="0" fontId="3" fillId="0" borderId="0" xfId="0" quotePrefix="1" applyFont="1" applyAlignment="1" applyProtection="1">
      <alignment vertical="top"/>
    </xf>
    <xf numFmtId="0" fontId="17" fillId="2" borderId="0" xfId="0" applyFont="1" applyFill="1" applyBorder="1" applyAlignment="1" applyProtection="1">
      <alignment horizontal="center"/>
    </xf>
    <xf numFmtId="0" fontId="3" fillId="0" borderId="0" xfId="0" quotePrefix="1" applyFont="1" applyBorder="1" applyAlignment="1" applyProtection="1">
      <alignment vertical="center"/>
    </xf>
    <xf numFmtId="0" fontId="5" fillId="0" borderId="0" xfId="0" applyFont="1" applyBorder="1" applyAlignment="1" applyProtection="1">
      <alignment vertical="center"/>
    </xf>
    <xf numFmtId="0" fontId="0" fillId="0" borderId="0" xfId="0" applyAlignment="1" applyProtection="1"/>
    <xf numFmtId="0" fontId="17" fillId="0" borderId="0" xfId="0" applyFont="1" applyProtection="1"/>
    <xf numFmtId="0" fontId="16" fillId="0" borderId="0" xfId="0" applyFont="1" applyBorder="1" applyProtection="1"/>
    <xf numFmtId="0" fontId="3" fillId="0" borderId="0" xfId="0" quotePrefix="1" applyFont="1" applyProtection="1"/>
    <xf numFmtId="164" fontId="0" fillId="0" borderId="0" xfId="2" applyNumberFormat="1" applyFont="1" applyFill="1" applyProtection="1"/>
    <xf numFmtId="0" fontId="18" fillId="0" borderId="0" xfId="0" applyFont="1" applyProtection="1"/>
    <xf numFmtId="164" fontId="0" fillId="0" borderId="0" xfId="0" applyNumberFormat="1" applyFill="1" applyProtection="1"/>
    <xf numFmtId="0" fontId="3" fillId="0" borderId="0" xfId="0" applyFont="1" applyFill="1" applyProtection="1"/>
    <xf numFmtId="164" fontId="0" fillId="0" borderId="0" xfId="0" applyNumberFormat="1" applyProtection="1"/>
    <xf numFmtId="0" fontId="16" fillId="0" borderId="0" xfId="0" applyFont="1" applyAlignment="1" applyProtection="1"/>
    <xf numFmtId="0" fontId="7" fillId="0" borderId="0" xfId="0" applyFont="1" applyAlignment="1" applyProtection="1"/>
    <xf numFmtId="0" fontId="7" fillId="0" borderId="0" xfId="0" applyFont="1" applyProtection="1"/>
    <xf numFmtId="0" fontId="0" fillId="0" borderId="0" xfId="0" applyFill="1" applyProtection="1"/>
    <xf numFmtId="0" fontId="16" fillId="0" borderId="0" xfId="0" applyFont="1" applyProtection="1"/>
    <xf numFmtId="0" fontId="0" fillId="0" borderId="0" xfId="0" applyAlignment="1" applyProtection="1">
      <alignment wrapText="1"/>
    </xf>
    <xf numFmtId="167" fontId="0" fillId="0" borderId="0" xfId="2" applyNumberFormat="1" applyFont="1" applyFill="1" applyProtection="1"/>
    <xf numFmtId="0" fontId="0" fillId="0" borderId="0" xfId="0" applyFill="1" applyBorder="1" applyProtection="1"/>
    <xf numFmtId="0" fontId="1" fillId="0" borderId="0" xfId="0" applyFont="1" applyProtection="1"/>
    <xf numFmtId="9" fontId="11" fillId="0" borderId="0" xfId="6" applyFont="1" applyFill="1" applyAlignment="1" applyProtection="1">
      <alignment wrapText="1"/>
    </xf>
    <xf numFmtId="0" fontId="0" fillId="2" borderId="0" xfId="0" applyFill="1" applyBorder="1" applyAlignment="1" applyProtection="1">
      <alignment horizontal="left" indent="1"/>
    </xf>
    <xf numFmtId="0" fontId="0" fillId="0" borderId="0" xfId="0" applyBorder="1" applyProtection="1"/>
    <xf numFmtId="0" fontId="0" fillId="0" borderId="1" xfId="0" applyBorder="1" applyProtection="1"/>
    <xf numFmtId="0" fontId="14" fillId="2" borderId="0" xfId="0" applyFont="1" applyFill="1" applyBorder="1" applyAlignment="1" applyProtection="1">
      <alignment horizontal="left" indent="7"/>
    </xf>
    <xf numFmtId="0" fontId="3" fillId="0" borderId="0" xfId="0" applyFont="1" applyBorder="1" applyAlignment="1" applyProtection="1">
      <alignment horizontal="left"/>
    </xf>
    <xf numFmtId="0" fontId="0" fillId="2" borderId="0" xfId="0" applyFill="1" applyBorder="1" applyAlignment="1" applyProtection="1">
      <alignment horizontal="left" indent="2"/>
    </xf>
    <xf numFmtId="0" fontId="5" fillId="0" borderId="0" xfId="0" applyFont="1" applyFill="1" applyAlignment="1" applyProtection="1">
      <alignment vertical="center"/>
    </xf>
    <xf numFmtId="0" fontId="5" fillId="0" borderId="0" xfId="0" applyFont="1" applyFill="1" applyAlignment="1" applyProtection="1">
      <alignment horizontal="center" vertical="center"/>
    </xf>
    <xf numFmtId="0" fontId="3" fillId="0" borderId="2" xfId="0" applyFont="1" applyBorder="1" applyAlignment="1" applyProtection="1">
      <alignment horizontal="right" wrapText="1"/>
    </xf>
    <xf numFmtId="0" fontId="3" fillId="0" borderId="2" xfId="0" applyFont="1" applyBorder="1" applyAlignment="1" applyProtection="1">
      <alignment horizontal="center" vertical="center"/>
    </xf>
    <xf numFmtId="0" fontId="0" fillId="0" borderId="0" xfId="0" applyAlignment="1" applyProtection="1">
      <alignment horizontal="left"/>
    </xf>
    <xf numFmtId="0" fontId="3" fillId="0" borderId="0" xfId="0" applyFont="1" applyBorder="1" applyAlignment="1" applyProtection="1">
      <alignment horizontal="center" vertical="center"/>
    </xf>
    <xf numFmtId="167" fontId="7" fillId="0" borderId="0" xfId="2" applyNumberFormat="1" applyFont="1" applyBorder="1" applyAlignment="1" applyProtection="1">
      <alignment horizontal="right" vertical="center"/>
    </xf>
    <xf numFmtId="167" fontId="0" fillId="0" borderId="0" xfId="2" applyNumberFormat="1" applyFont="1" applyProtection="1"/>
    <xf numFmtId="167" fontId="0" fillId="0" borderId="0" xfId="2" applyNumberFormat="1" applyFont="1" applyBorder="1" applyProtection="1"/>
    <xf numFmtId="167" fontId="0" fillId="0" borderId="0" xfId="2" applyNumberFormat="1" applyFont="1" applyBorder="1" applyAlignment="1" applyProtection="1"/>
    <xf numFmtId="167" fontId="0" fillId="0" borderId="0" xfId="2" applyNumberFormat="1" applyFont="1" applyBorder="1" applyAlignment="1" applyProtection="1">
      <alignment horizontal="right"/>
    </xf>
    <xf numFmtId="0" fontId="3" fillId="0" borderId="0" xfId="0" applyFont="1" applyAlignment="1" applyProtection="1"/>
    <xf numFmtId="167" fontId="0" fillId="0" borderId="3" xfId="2" applyNumberFormat="1" applyFont="1" applyBorder="1" applyAlignment="1" applyProtection="1"/>
    <xf numFmtId="167" fontId="0" fillId="0" borderId="3" xfId="0" applyNumberFormat="1" applyBorder="1" applyAlignment="1" applyProtection="1"/>
    <xf numFmtId="167" fontId="0" fillId="0" borderId="4" xfId="2" applyNumberFormat="1" applyFont="1" applyBorder="1" applyAlignment="1" applyProtection="1"/>
    <xf numFmtId="167" fontId="0" fillId="0" borderId="0" xfId="0" applyNumberFormat="1" applyProtection="1"/>
    <xf numFmtId="167" fontId="0" fillId="0" borderId="2" xfId="2" applyNumberFormat="1" applyFont="1" applyBorder="1" applyProtection="1"/>
    <xf numFmtId="167" fontId="0" fillId="0" borderId="2" xfId="2" applyNumberFormat="1" applyFont="1" applyBorder="1" applyAlignment="1" applyProtection="1"/>
    <xf numFmtId="0" fontId="17" fillId="0" borderId="0" xfId="0" applyFont="1" applyAlignment="1" applyProtection="1">
      <alignment wrapText="1"/>
    </xf>
    <xf numFmtId="166" fontId="0" fillId="0" borderId="0" xfId="0" applyNumberFormat="1" applyFill="1" applyProtection="1"/>
    <xf numFmtId="0" fontId="5" fillId="0" borderId="0" xfId="0" applyFont="1" applyFill="1" applyAlignment="1" applyProtection="1"/>
    <xf numFmtId="0" fontId="5" fillId="0" borderId="0" xfId="0" applyFont="1" applyFill="1" applyAlignment="1" applyProtection="1">
      <alignment horizontal="center"/>
    </xf>
    <xf numFmtId="0" fontId="0" fillId="0" borderId="3" xfId="0" applyBorder="1" applyProtection="1"/>
    <xf numFmtId="0" fontId="0" fillId="0" borderId="0" xfId="0" applyBorder="1" applyAlignment="1" applyProtection="1">
      <alignment wrapText="1"/>
    </xf>
    <xf numFmtId="0" fontId="3" fillId="0" borderId="0" xfId="0" applyFont="1" applyBorder="1" applyAlignment="1" applyProtection="1">
      <alignment wrapText="1"/>
    </xf>
    <xf numFmtId="0" fontId="0" fillId="0" borderId="5" xfId="0" applyFill="1" applyBorder="1" applyAlignment="1" applyProtection="1">
      <alignment horizontal="center" vertical="center"/>
    </xf>
    <xf numFmtId="0" fontId="3" fillId="0" borderId="1" xfId="0" applyFont="1" applyFill="1" applyBorder="1" applyAlignment="1" applyProtection="1">
      <alignment horizontal="center" vertical="center" wrapText="1"/>
    </xf>
    <xf numFmtId="0" fontId="0" fillId="0" borderId="5" xfId="0" applyBorder="1" applyProtection="1"/>
    <xf numFmtId="0" fontId="3" fillId="0" borderId="0" xfId="0" applyFont="1" applyBorder="1" applyProtection="1"/>
    <xf numFmtId="0" fontId="3" fillId="0" borderId="1" xfId="0" applyFont="1" applyFill="1" applyBorder="1" applyAlignment="1" applyProtection="1">
      <alignment vertical="center" wrapText="1"/>
    </xf>
    <xf numFmtId="167" fontId="0" fillId="0" borderId="1" xfId="2" applyNumberFormat="1" applyFont="1" applyBorder="1" applyProtection="1"/>
    <xf numFmtId="0" fontId="3" fillId="0" borderId="0" xfId="0" applyFont="1" applyFill="1" applyBorder="1" applyAlignment="1" applyProtection="1">
      <alignment horizontal="center" vertical="center"/>
    </xf>
    <xf numFmtId="0" fontId="3" fillId="0" borderId="0" xfId="0" applyFont="1" applyBorder="1" applyAlignment="1" applyProtection="1"/>
    <xf numFmtId="0" fontId="7" fillId="0" borderId="0" xfId="0" applyFont="1" applyAlignment="1" applyProtection="1">
      <alignment wrapText="1"/>
    </xf>
    <xf numFmtId="0" fontId="1" fillId="0" borderId="0" xfId="0" applyFont="1" applyFill="1" applyProtection="1"/>
    <xf numFmtId="0" fontId="3" fillId="0" borderId="0" xfId="0" applyFont="1" applyFill="1" applyBorder="1" applyProtection="1"/>
    <xf numFmtId="0" fontId="3" fillId="0" borderId="0" xfId="0" applyFont="1" applyAlignment="1" applyProtection="1">
      <alignment horizontal="left"/>
    </xf>
    <xf numFmtId="0" fontId="3" fillId="0" borderId="0" xfId="0" applyFont="1" applyBorder="1" applyAlignment="1" applyProtection="1">
      <alignment vertical="center"/>
    </xf>
    <xf numFmtId="0" fontId="0" fillId="0" borderId="0" xfId="0" applyBorder="1" applyAlignment="1" applyProtection="1">
      <alignment horizontal="center"/>
    </xf>
    <xf numFmtId="49" fontId="0" fillId="0" borderId="0" xfId="0" applyNumberFormat="1" applyBorder="1" applyProtection="1"/>
    <xf numFmtId="0" fontId="0" fillId="0" borderId="0" xfId="0" quotePrefix="1" applyBorder="1" applyProtection="1"/>
    <xf numFmtId="0" fontId="17" fillId="0" borderId="2" xfId="0" applyFont="1" applyBorder="1" applyProtection="1"/>
    <xf numFmtId="10" fontId="0" fillId="0" borderId="0" xfId="6" applyNumberFormat="1" applyFont="1" applyFill="1" applyBorder="1" applyProtection="1"/>
    <xf numFmtId="10" fontId="0" fillId="0" borderId="2" xfId="6" applyNumberFormat="1" applyFont="1" applyFill="1" applyBorder="1" applyProtection="1"/>
    <xf numFmtId="0" fontId="17" fillId="0" borderId="0" xfId="0" applyFont="1" applyBorder="1" applyProtection="1"/>
    <xf numFmtId="10" fontId="0" fillId="0" borderId="6" xfId="6" applyNumberFormat="1" applyFont="1" applyBorder="1" applyProtection="1"/>
    <xf numFmtId="165" fontId="0" fillId="0" borderId="6" xfId="6" applyNumberFormat="1" applyFont="1" applyBorder="1" applyProtection="1"/>
    <xf numFmtId="167" fontId="0" fillId="0" borderId="6" xfId="2" applyNumberFormat="1" applyFont="1" applyBorder="1" applyProtection="1"/>
    <xf numFmtId="165" fontId="0" fillId="0" borderId="0" xfId="6" applyNumberFormat="1" applyFont="1" applyBorder="1" applyProtection="1"/>
    <xf numFmtId="167" fontId="0" fillId="0" borderId="0" xfId="0" applyNumberFormat="1" applyBorder="1" applyProtection="1"/>
    <xf numFmtId="10" fontId="0" fillId="0" borderId="0" xfId="6" applyNumberFormat="1" applyFont="1" applyBorder="1" applyProtection="1"/>
    <xf numFmtId="0" fontId="0" fillId="0" borderId="0" xfId="0" applyBorder="1" applyAlignment="1" applyProtection="1"/>
    <xf numFmtId="0" fontId="0" fillId="0" borderId="0" xfId="0" quotePrefix="1" applyBorder="1" applyAlignment="1" applyProtection="1"/>
    <xf numFmtId="10" fontId="0" fillId="0" borderId="0" xfId="6" applyNumberFormat="1" applyFont="1" applyBorder="1" applyAlignment="1" applyProtection="1"/>
    <xf numFmtId="10" fontId="0" fillId="0" borderId="0" xfId="6" applyNumberFormat="1" applyFont="1" applyFill="1" applyBorder="1" applyAlignment="1" applyProtection="1"/>
    <xf numFmtId="10" fontId="0" fillId="0" borderId="2" xfId="6" applyNumberFormat="1" applyFont="1" applyFill="1" applyBorder="1" applyAlignment="1" applyProtection="1"/>
    <xf numFmtId="9" fontId="0" fillId="0" borderId="4" xfId="0" applyNumberFormat="1" applyBorder="1" applyProtection="1"/>
    <xf numFmtId="167" fontId="0" fillId="0" borderId="4" xfId="2" applyNumberFormat="1" applyFont="1" applyBorder="1" applyProtection="1"/>
    <xf numFmtId="10" fontId="0" fillId="0" borderId="4" xfId="6" applyNumberFormat="1" applyFont="1" applyBorder="1" applyProtection="1"/>
    <xf numFmtId="0" fontId="5" fillId="2" borderId="0" xfId="0" applyFont="1" applyFill="1" applyBorder="1" applyAlignment="1" applyProtection="1">
      <alignment horizontal="left" indent="1"/>
    </xf>
    <xf numFmtId="0" fontId="8" fillId="0" borderId="0" xfId="0" applyFont="1" applyAlignment="1" applyProtection="1"/>
    <xf numFmtId="0" fontId="8" fillId="0" borderId="0" xfId="0" applyFont="1" applyBorder="1" applyAlignment="1" applyProtection="1"/>
    <xf numFmtId="167" fontId="0" fillId="0" borderId="0" xfId="2" applyNumberFormat="1" applyFont="1" applyFill="1" applyBorder="1" applyProtection="1"/>
    <xf numFmtId="164" fontId="0" fillId="0" borderId="0" xfId="0" applyNumberFormat="1" applyBorder="1" applyProtection="1"/>
    <xf numFmtId="167" fontId="0" fillId="0" borderId="2" xfId="2" applyNumberFormat="1" applyFont="1" applyFill="1" applyBorder="1" applyProtection="1"/>
    <xf numFmtId="0" fontId="8" fillId="0" borderId="0" xfId="0" applyFont="1" applyProtection="1"/>
    <xf numFmtId="0" fontId="8" fillId="0" borderId="0" xfId="0" applyFont="1" applyBorder="1" applyProtection="1"/>
    <xf numFmtId="167" fontId="8" fillId="0" borderId="0" xfId="0" applyNumberFormat="1" applyFont="1" applyProtection="1"/>
    <xf numFmtId="167" fontId="1" fillId="0" borderId="0" xfId="0" applyNumberFormat="1" applyFont="1" applyFill="1" applyAlignment="1" applyProtection="1"/>
    <xf numFmtId="167" fontId="0" fillId="0" borderId="0" xfId="2" applyNumberFormat="1" applyFont="1" applyFill="1" applyBorder="1" applyAlignment="1" applyProtection="1"/>
    <xf numFmtId="164" fontId="0" fillId="0" borderId="0" xfId="0" applyNumberFormat="1" applyBorder="1" applyAlignment="1" applyProtection="1">
      <alignment horizontal="right"/>
    </xf>
    <xf numFmtId="167" fontId="0" fillId="0" borderId="0" xfId="2" applyNumberFormat="1" applyFont="1" applyBorder="1" applyAlignment="1" applyProtection="1">
      <alignment horizontal="center"/>
    </xf>
    <xf numFmtId="0" fontId="9" fillId="0" borderId="0" xfId="0" applyFont="1" applyProtection="1"/>
    <xf numFmtId="0" fontId="9" fillId="0" borderId="0" xfId="0" applyFont="1" applyBorder="1" applyProtection="1"/>
    <xf numFmtId="9" fontId="0" fillId="0" borderId="0" xfId="6" quotePrefix="1" applyFont="1" applyAlignment="1" applyProtection="1">
      <alignment horizontal="right"/>
    </xf>
    <xf numFmtId="9" fontId="0" fillId="0" borderId="0" xfId="6" applyFont="1" applyBorder="1" applyAlignment="1" applyProtection="1">
      <alignment horizontal="right"/>
    </xf>
    <xf numFmtId="0" fontId="0" fillId="0" borderId="0" xfId="0" quotePrefix="1" applyAlignment="1" applyProtection="1">
      <alignment horizontal="right"/>
    </xf>
    <xf numFmtId="10" fontId="0" fillId="0" borderId="0" xfId="6" applyNumberFormat="1" applyFont="1" applyFill="1" applyBorder="1" applyAlignment="1" applyProtection="1">
      <alignment horizontal="right"/>
    </xf>
    <xf numFmtId="10" fontId="0" fillId="0" borderId="6" xfId="0" applyNumberFormat="1" applyBorder="1" applyProtection="1"/>
    <xf numFmtId="9" fontId="0" fillId="0" borderId="0" xfId="0" applyNumberFormat="1" applyBorder="1" applyProtection="1"/>
    <xf numFmtId="10" fontId="0" fillId="0" borderId="6" xfId="6" applyNumberFormat="1" applyFont="1" applyBorder="1" applyAlignment="1" applyProtection="1"/>
    <xf numFmtId="0" fontId="5" fillId="0" borderId="0" xfId="0" applyFont="1" applyProtection="1"/>
    <xf numFmtId="0" fontId="6" fillId="0" borderId="0" xfId="0" applyFont="1" applyAlignment="1" applyProtection="1">
      <alignment wrapText="1"/>
    </xf>
    <xf numFmtId="0" fontId="0" fillId="0" borderId="0" xfId="0" applyAlignment="1" applyProtection="1">
      <alignment horizontal="right"/>
    </xf>
    <xf numFmtId="0" fontId="19" fillId="0" borderId="0" xfId="0" applyFont="1" applyProtection="1"/>
    <xf numFmtId="164" fontId="0" fillId="0" borderId="0" xfId="2" applyNumberFormat="1" applyFont="1" applyAlignment="1" applyProtection="1">
      <alignment horizontal="right"/>
    </xf>
    <xf numFmtId="164" fontId="0" fillId="0" borderId="0" xfId="2" applyNumberFormat="1" applyFont="1" applyFill="1" applyBorder="1" applyAlignment="1" applyProtection="1">
      <alignment horizontal="right"/>
    </xf>
    <xf numFmtId="167" fontId="0" fillId="0" borderId="1" xfId="2" applyNumberFormat="1" applyFont="1" applyFill="1" applyBorder="1" applyProtection="1"/>
    <xf numFmtId="0" fontId="0" fillId="0" borderId="7" xfId="0" applyBorder="1" applyProtection="1"/>
    <xf numFmtId="0" fontId="0" fillId="0" borderId="2" xfId="0" applyBorder="1" applyProtection="1"/>
    <xf numFmtId="0" fontId="3" fillId="0" borderId="0" xfId="0" applyFont="1" applyFill="1" applyAlignment="1" applyProtection="1">
      <alignment horizontal="center"/>
    </xf>
    <xf numFmtId="164" fontId="0" fillId="0" borderId="0" xfId="2" applyNumberFormat="1" applyFont="1" applyBorder="1" applyProtection="1"/>
    <xf numFmtId="0" fontId="7" fillId="0" borderId="0" xfId="0" applyFont="1" applyBorder="1" applyAlignment="1" applyProtection="1"/>
    <xf numFmtId="0" fontId="0" fillId="0" borderId="5" xfId="0" applyBorder="1" applyAlignment="1" applyProtection="1"/>
    <xf numFmtId="0" fontId="0" fillId="0" borderId="1" xfId="0" applyBorder="1" applyAlignment="1" applyProtection="1"/>
    <xf numFmtId="167" fontId="0" fillId="0" borderId="8" xfId="2" applyNumberFormat="1" applyFont="1" applyFill="1" applyBorder="1" applyProtection="1"/>
    <xf numFmtId="49" fontId="3" fillId="0" borderId="0" xfId="0" applyNumberFormat="1" applyFont="1" applyBorder="1" applyProtection="1"/>
    <xf numFmtId="10" fontId="0" fillId="0" borderId="1" xfId="6" applyNumberFormat="1" applyFont="1" applyFill="1" applyBorder="1" applyProtection="1"/>
    <xf numFmtId="0" fontId="0" fillId="0" borderId="4" xfId="0" applyBorder="1" applyProtection="1"/>
    <xf numFmtId="0" fontId="0" fillId="0" borderId="9" xfId="0" applyBorder="1" applyProtection="1"/>
    <xf numFmtId="0" fontId="3" fillId="0" borderId="0" xfId="0" quotePrefix="1" applyFont="1" applyAlignment="1" applyProtection="1">
      <alignment horizontal="right"/>
    </xf>
    <xf numFmtId="0" fontId="3" fillId="0" borderId="0" xfId="0" quotePrefix="1" applyFont="1" applyFill="1" applyAlignment="1" applyProtection="1">
      <alignment horizontal="right"/>
    </xf>
    <xf numFmtId="0" fontId="0" fillId="0" borderId="0" xfId="0" applyProtection="1">
      <protection locked="0"/>
    </xf>
    <xf numFmtId="0" fontId="3" fillId="3" borderId="0" xfId="0" applyFont="1" applyFill="1" applyProtection="1">
      <protection locked="0"/>
    </xf>
    <xf numFmtId="0" fontId="0" fillId="0" borderId="0" xfId="0" applyAlignment="1" applyProtection="1">
      <protection locked="0"/>
    </xf>
    <xf numFmtId="0" fontId="13" fillId="2" borderId="0" xfId="0" applyFont="1" applyFill="1" applyAlignment="1" applyProtection="1">
      <alignment horizontal="left" vertical="top" wrapText="1" indent="7"/>
    </xf>
    <xf numFmtId="167" fontId="0" fillId="0" borderId="4" xfId="2" applyNumberFormat="1" applyFont="1" applyBorder="1" applyAlignment="1" applyProtection="1">
      <alignment horizontal="right"/>
    </xf>
    <xf numFmtId="164" fontId="0" fillId="0" borderId="0" xfId="0" applyNumberFormat="1" applyFill="1" applyAlignment="1" applyProtection="1"/>
    <xf numFmtId="0" fontId="5" fillId="0" borderId="0" xfId="0" applyFont="1" applyFill="1" applyBorder="1" applyAlignment="1" applyProtection="1">
      <alignment horizontal="center" vertical="center"/>
    </xf>
    <xf numFmtId="0" fontId="3" fillId="0" borderId="0" xfId="0" applyFont="1" applyFill="1" applyBorder="1" applyAlignment="1" applyProtection="1">
      <alignment horizontal="center" vertical="center" wrapText="1"/>
    </xf>
    <xf numFmtId="168" fontId="0" fillId="3" borderId="0" xfId="0" applyNumberFormat="1" applyFill="1" applyProtection="1">
      <protection locked="0"/>
    </xf>
    <xf numFmtId="0" fontId="25" fillId="2" borderId="0" xfId="0" applyFont="1" applyFill="1" applyProtection="1"/>
    <xf numFmtId="0" fontId="27" fillId="2" borderId="0" xfId="0" applyFont="1" applyFill="1" applyAlignment="1" applyProtection="1">
      <alignment horizontal="center" wrapText="1"/>
    </xf>
    <xf numFmtId="0" fontId="0" fillId="3" borderId="0" xfId="0" applyFill="1" applyAlignment="1" applyProtection="1">
      <alignment wrapText="1"/>
      <protection locked="0"/>
    </xf>
    <xf numFmtId="0" fontId="10" fillId="0" borderId="0" xfId="0" applyFont="1" applyBorder="1" applyAlignment="1" applyProtection="1">
      <alignment horizontal="left"/>
    </xf>
    <xf numFmtId="167" fontId="0" fillId="0" borderId="0" xfId="2" applyNumberFormat="1" applyFont="1" applyFill="1" applyBorder="1" applyAlignment="1" applyProtection="1">
      <alignment horizontal="right"/>
    </xf>
    <xf numFmtId="167" fontId="0" fillId="0" borderId="0" xfId="0" applyNumberFormat="1" applyAlignment="1" applyProtection="1"/>
    <xf numFmtId="167" fontId="0" fillId="0" borderId="0" xfId="0" applyNumberFormat="1" applyBorder="1" applyAlignment="1" applyProtection="1"/>
    <xf numFmtId="167" fontId="0" fillId="0" borderId="0" xfId="2" applyNumberFormat="1" applyFont="1" applyAlignment="1" applyProtection="1">
      <alignment horizontal="right"/>
    </xf>
    <xf numFmtId="167" fontId="7" fillId="0" borderId="0" xfId="0" applyNumberFormat="1" applyFont="1" applyAlignment="1" applyProtection="1">
      <alignment horizontal="right"/>
    </xf>
    <xf numFmtId="0" fontId="13" fillId="2" borderId="0" xfId="0" applyFont="1" applyFill="1" applyAlignment="1" applyProtection="1">
      <alignment horizontal="left" vertical="top" wrapText="1" indent="8"/>
    </xf>
    <xf numFmtId="0" fontId="14" fillId="2" borderId="0" xfId="0" applyFont="1" applyFill="1" applyBorder="1" applyAlignment="1" applyProtection="1">
      <alignment horizontal="left" indent="8"/>
    </xf>
    <xf numFmtId="164" fontId="0" fillId="0" borderId="0" xfId="2" applyNumberFormat="1" applyFont="1" applyFill="1" applyBorder="1" applyProtection="1"/>
    <xf numFmtId="49" fontId="10" fillId="0" borderId="0" xfId="0" applyNumberFormat="1" applyFont="1" applyBorder="1" applyAlignment="1" applyProtection="1">
      <alignment horizontal="left"/>
    </xf>
    <xf numFmtId="167" fontId="0" fillId="0" borderId="0" xfId="0" applyNumberFormat="1" applyBorder="1" applyAlignment="1" applyProtection="1">
      <alignment horizontal="center"/>
    </xf>
    <xf numFmtId="167" fontId="0" fillId="0" borderId="0" xfId="0" applyNumberFormat="1" applyBorder="1" applyAlignment="1" applyProtection="1">
      <alignment horizontal="right"/>
    </xf>
    <xf numFmtId="167" fontId="0" fillId="0" borderId="0" xfId="0" applyNumberFormat="1" applyFill="1" applyBorder="1" applyAlignment="1" applyProtection="1">
      <alignment horizontal="right"/>
    </xf>
    <xf numFmtId="167" fontId="0" fillId="0" borderId="0" xfId="0" applyNumberFormat="1" applyFill="1" applyBorder="1" applyProtection="1"/>
    <xf numFmtId="10" fontId="0" fillId="0" borderId="0" xfId="0" applyNumberFormat="1" applyBorder="1" applyProtection="1"/>
    <xf numFmtId="164" fontId="0" fillId="0" borderId="0" xfId="0" applyNumberFormat="1" applyFill="1" applyBorder="1" applyAlignment="1" applyProtection="1">
      <alignment horizontal="right"/>
    </xf>
    <xf numFmtId="0" fontId="9" fillId="0" borderId="0" xfId="0" applyFont="1" applyFill="1" applyBorder="1" applyProtection="1"/>
    <xf numFmtId="9" fontId="0" fillId="0" borderId="0" xfId="6" applyFont="1" applyFill="1" applyBorder="1" applyAlignment="1" applyProtection="1">
      <alignment horizontal="right"/>
    </xf>
    <xf numFmtId="0" fontId="3" fillId="0" borderId="0" xfId="0" applyFont="1" applyAlignment="1" applyProtection="1">
      <alignment wrapText="1"/>
    </xf>
    <xf numFmtId="0" fontId="1" fillId="0" borderId="0" xfId="0" applyFont="1" applyFill="1" applyAlignment="1" applyProtection="1">
      <alignment wrapText="1"/>
    </xf>
    <xf numFmtId="0" fontId="12" fillId="0" borderId="0" xfId="0" quotePrefix="1" applyFont="1" applyProtection="1"/>
    <xf numFmtId="0" fontId="3" fillId="0" borderId="0" xfId="0" applyFont="1" applyFill="1" applyBorder="1" applyAlignment="1" applyProtection="1">
      <alignment horizontal="center" wrapText="1"/>
    </xf>
    <xf numFmtId="168" fontId="0" fillId="3" borderId="0" xfId="0" applyNumberFormat="1" applyFill="1" applyBorder="1" applyProtection="1">
      <protection locked="0"/>
    </xf>
    <xf numFmtId="0" fontId="0" fillId="0" borderId="0" xfId="0" quotePrefix="1" applyBorder="1" applyAlignment="1" applyProtection="1">
      <alignment horizontal="center"/>
    </xf>
    <xf numFmtId="0" fontId="3" fillId="0" borderId="0" xfId="0" applyFont="1" applyAlignment="1" applyProtection="1">
      <alignment vertical="top"/>
    </xf>
    <xf numFmtId="165" fontId="0" fillId="0" borderId="0" xfId="6" applyNumberFormat="1" applyFont="1" applyFill="1" applyBorder="1" applyProtection="1"/>
    <xf numFmtId="165" fontId="0" fillId="0" borderId="6" xfId="6" applyNumberFormat="1" applyFont="1" applyFill="1" applyBorder="1" applyProtection="1"/>
    <xf numFmtId="0" fontId="28" fillId="0" borderId="0" xfId="0" applyFont="1" applyProtection="1"/>
    <xf numFmtId="0" fontId="3" fillId="0" borderId="0" xfId="0" applyFont="1" applyAlignment="1" applyProtection="1">
      <alignment horizontal="center"/>
    </xf>
    <xf numFmtId="0" fontId="3" fillId="0" borderId="1" xfId="0" applyFont="1" applyBorder="1" applyAlignment="1" applyProtection="1">
      <alignment horizontal="center"/>
    </xf>
    <xf numFmtId="0" fontId="3" fillId="0" borderId="8" xfId="0" quotePrefix="1" applyFont="1" applyBorder="1" applyAlignment="1" applyProtection="1">
      <alignment horizontal="center"/>
    </xf>
    <xf numFmtId="0" fontId="3" fillId="0" borderId="10" xfId="0" applyFont="1" applyBorder="1" applyAlignment="1" applyProtection="1">
      <alignment horizontal="center"/>
    </xf>
    <xf numFmtId="0" fontId="3" fillId="0" borderId="11" xfId="0" applyFont="1" applyBorder="1" applyAlignment="1" applyProtection="1">
      <alignment horizontal="center"/>
    </xf>
    <xf numFmtId="0" fontId="3" fillId="0" borderId="12" xfId="0" quotePrefix="1" applyFont="1" applyBorder="1" applyAlignment="1" applyProtection="1">
      <alignment horizontal="center"/>
    </xf>
    <xf numFmtId="0" fontId="0" fillId="0" borderId="13" xfId="0" applyBorder="1" applyProtection="1"/>
    <xf numFmtId="0" fontId="0" fillId="0" borderId="14" xfId="0" applyBorder="1" applyProtection="1"/>
    <xf numFmtId="44" fontId="3" fillId="0" borderId="15" xfId="0" applyNumberFormat="1" applyFont="1" applyBorder="1" applyProtection="1"/>
    <xf numFmtId="0" fontId="0" fillId="0" borderId="16" xfId="0" applyBorder="1" applyProtection="1"/>
    <xf numFmtId="44" fontId="3" fillId="0" borderId="13" xfId="0" applyNumberFormat="1" applyFont="1" applyBorder="1" applyProtection="1"/>
    <xf numFmtId="167" fontId="0" fillId="0" borderId="0" xfId="2" applyNumberFormat="1" applyFont="1" applyAlignment="1" applyProtection="1"/>
    <xf numFmtId="0" fontId="28" fillId="0" borderId="0" xfId="0" applyFont="1" applyFill="1" applyProtection="1"/>
    <xf numFmtId="10" fontId="1" fillId="0" borderId="17" xfId="6" applyNumberFormat="1" applyFill="1" applyBorder="1" applyProtection="1"/>
    <xf numFmtId="0" fontId="0" fillId="0" borderId="0" xfId="0" applyFill="1" applyAlignment="1" applyProtection="1">
      <alignment wrapText="1"/>
    </xf>
    <xf numFmtId="10" fontId="0" fillId="0" borderId="4" xfId="0" applyNumberFormat="1" applyBorder="1" applyProtection="1"/>
    <xf numFmtId="0" fontId="3" fillId="3" borderId="17" xfId="0" applyFont="1" applyFill="1" applyBorder="1" applyProtection="1">
      <protection locked="0"/>
    </xf>
    <xf numFmtId="0" fontId="0" fillId="3" borderId="0" xfId="0" applyFill="1" applyProtection="1">
      <protection locked="0"/>
    </xf>
    <xf numFmtId="10" fontId="0" fillId="3" borderId="17" xfId="6" applyNumberFormat="1" applyFont="1" applyFill="1" applyBorder="1" applyProtection="1">
      <protection locked="0"/>
    </xf>
    <xf numFmtId="10" fontId="0" fillId="0" borderId="0" xfId="6" applyNumberFormat="1" applyFont="1" applyFill="1" applyProtection="1"/>
    <xf numFmtId="168" fontId="0" fillId="0" borderId="0" xfId="0" applyNumberFormat="1" applyFill="1" applyProtection="1"/>
    <xf numFmtId="168" fontId="3" fillId="0" borderId="0" xfId="0" quotePrefix="1" applyNumberFormat="1" applyFont="1" applyFill="1" applyProtection="1"/>
    <xf numFmtId="165" fontId="0" fillId="0" borderId="0" xfId="0" applyNumberFormat="1" applyFill="1" applyProtection="1"/>
    <xf numFmtId="10" fontId="0" fillId="0" borderId="0" xfId="0" applyNumberFormat="1" applyFill="1" applyProtection="1"/>
    <xf numFmtId="0" fontId="0" fillId="0" borderId="0" xfId="0" applyFill="1" applyAlignment="1" applyProtection="1">
      <alignment horizontal="left"/>
    </xf>
    <xf numFmtId="0" fontId="3" fillId="0" borderId="0" xfId="0" quotePrefix="1" applyFont="1" applyFill="1" applyProtection="1"/>
    <xf numFmtId="168" fontId="0" fillId="0" borderId="0" xfId="0" applyNumberFormat="1" applyFill="1" applyBorder="1" applyProtection="1"/>
    <xf numFmtId="164" fontId="7" fillId="2" borderId="0" xfId="0" applyNumberFormat="1" applyFont="1" applyFill="1" applyBorder="1" applyAlignment="1" applyProtection="1">
      <alignment horizontal="center" vertical="center"/>
    </xf>
    <xf numFmtId="164" fontId="7" fillId="2" borderId="0" xfId="0" applyNumberFormat="1" applyFont="1" applyFill="1" applyProtection="1"/>
    <xf numFmtId="164" fontId="7" fillId="0" borderId="0" xfId="0" applyNumberFormat="1" applyFont="1" applyBorder="1" applyProtection="1"/>
    <xf numFmtId="164" fontId="7" fillId="0" borderId="0" xfId="0" applyNumberFormat="1" applyFont="1" applyFill="1" applyBorder="1" applyProtection="1"/>
    <xf numFmtId="164" fontId="7" fillId="2" borderId="0" xfId="0" applyNumberFormat="1" applyFont="1" applyFill="1" applyBorder="1" applyAlignment="1" applyProtection="1">
      <alignment horizontal="right"/>
    </xf>
    <xf numFmtId="164" fontId="7" fillId="2" borderId="0" xfId="0" applyNumberFormat="1" applyFont="1" applyFill="1" applyBorder="1" applyAlignment="1" applyProtection="1"/>
    <xf numFmtId="164" fontId="7" fillId="2" borderId="0" xfId="0" applyNumberFormat="1" applyFont="1" applyFill="1" applyBorder="1" applyProtection="1"/>
    <xf numFmtId="164" fontId="7" fillId="0" borderId="0" xfId="0" applyNumberFormat="1" applyFont="1" applyFill="1" applyBorder="1" applyAlignment="1" applyProtection="1">
      <alignment horizontal="right"/>
    </xf>
    <xf numFmtId="164" fontId="3" fillId="2" borderId="0" xfId="0" quotePrefix="1" applyNumberFormat="1" applyFont="1" applyFill="1" applyBorder="1" applyAlignment="1" applyProtection="1">
      <alignment horizontal="right"/>
    </xf>
    <xf numFmtId="0" fontId="3" fillId="2" borderId="0" xfId="0" quotePrefix="1" applyFont="1" applyFill="1" applyProtection="1"/>
    <xf numFmtId="0" fontId="0" fillId="3" borderId="0" xfId="0" applyFill="1" applyAlignment="1" applyProtection="1"/>
    <xf numFmtId="0" fontId="0" fillId="0" borderId="0" xfId="0" applyAlignment="1" applyProtection="1">
      <alignment vertical="top" wrapText="1"/>
    </xf>
    <xf numFmtId="0" fontId="0" fillId="0" borderId="0" xfId="0" applyAlignment="1" applyProtection="1">
      <alignment vertical="top"/>
    </xf>
    <xf numFmtId="0" fontId="0" fillId="4" borderId="0" xfId="0" applyFill="1" applyAlignment="1" applyProtection="1">
      <alignment vertical="top"/>
      <protection locked="0"/>
    </xf>
    <xf numFmtId="0" fontId="0" fillId="0" borderId="0" xfId="0" applyFill="1" applyAlignment="1" applyProtection="1">
      <alignment vertical="top"/>
    </xf>
    <xf numFmtId="169" fontId="0" fillId="3" borderId="18" xfId="2" applyNumberFormat="1" applyFont="1" applyFill="1" applyBorder="1" applyAlignment="1" applyProtection="1">
      <alignment vertical="top"/>
      <protection locked="0"/>
    </xf>
    <xf numFmtId="0" fontId="0" fillId="0" borderId="18" xfId="0" applyFill="1" applyBorder="1" applyAlignment="1" applyProtection="1">
      <alignment vertical="top"/>
    </xf>
    <xf numFmtId="44" fontId="0" fillId="0" borderId="1" xfId="2" applyFont="1" applyBorder="1" applyAlignment="1" applyProtection="1">
      <alignment vertical="top"/>
    </xf>
    <xf numFmtId="0" fontId="0" fillId="0" borderId="1" xfId="0" applyFill="1" applyBorder="1" applyAlignment="1" applyProtection="1">
      <alignment vertical="top"/>
    </xf>
    <xf numFmtId="44" fontId="0" fillId="0" borderId="18" xfId="0" applyNumberFormat="1" applyBorder="1" applyAlignment="1" applyProtection="1">
      <alignment vertical="top"/>
    </xf>
    <xf numFmtId="0" fontId="0" fillId="0" borderId="1" xfId="0" applyBorder="1" applyAlignment="1" applyProtection="1">
      <alignment vertical="top"/>
    </xf>
    <xf numFmtId="0" fontId="0" fillId="3" borderId="0" xfId="0" applyFill="1" applyAlignment="1" applyProtection="1">
      <alignment vertical="top"/>
      <protection locked="0"/>
    </xf>
    <xf numFmtId="0" fontId="0" fillId="3" borderId="18" xfId="0" applyFill="1" applyBorder="1" applyAlignment="1" applyProtection="1">
      <alignment vertical="top"/>
      <protection locked="0"/>
    </xf>
    <xf numFmtId="0" fontId="0" fillId="3" borderId="1" xfId="0" applyFill="1" applyBorder="1" applyAlignment="1" applyProtection="1">
      <alignment vertical="top"/>
      <protection locked="0"/>
    </xf>
    <xf numFmtId="0" fontId="0" fillId="0" borderId="0" xfId="0" applyAlignment="1" applyProtection="1">
      <alignment vertical="center"/>
    </xf>
    <xf numFmtId="0" fontId="0" fillId="0" borderId="0" xfId="0" applyFill="1" applyAlignment="1" applyProtection="1">
      <alignment vertical="center"/>
    </xf>
    <xf numFmtId="169" fontId="0" fillId="3" borderId="18" xfId="2" applyNumberFormat="1" applyFont="1" applyFill="1" applyBorder="1" applyAlignment="1" applyProtection="1">
      <alignment vertical="center"/>
      <protection locked="0"/>
    </xf>
    <xf numFmtId="0" fontId="0" fillId="0" borderId="18" xfId="0" applyFill="1" applyBorder="1" applyAlignment="1" applyProtection="1">
      <alignment vertical="center"/>
    </xf>
    <xf numFmtId="44" fontId="0" fillId="0" borderId="1" xfId="2" applyFont="1" applyBorder="1" applyAlignment="1" applyProtection="1">
      <alignment vertical="center"/>
    </xf>
    <xf numFmtId="0" fontId="0" fillId="0" borderId="1" xfId="0" applyFill="1" applyBorder="1" applyAlignment="1" applyProtection="1">
      <alignment vertical="center"/>
    </xf>
    <xf numFmtId="44" fontId="0" fillId="0" borderId="18" xfId="0" applyNumberFormat="1" applyBorder="1" applyAlignment="1" applyProtection="1">
      <alignment vertical="center"/>
    </xf>
    <xf numFmtId="0" fontId="0" fillId="0" borderId="0" xfId="0" applyAlignment="1" applyProtection="1">
      <alignment vertical="center" wrapText="1"/>
    </xf>
    <xf numFmtId="0" fontId="3" fillId="0" borderId="0" xfId="0" applyFont="1" applyAlignment="1" applyProtection="1">
      <alignment vertical="top" wrapText="1"/>
    </xf>
    <xf numFmtId="0" fontId="0" fillId="0" borderId="13" xfId="0" applyBorder="1" applyAlignment="1" applyProtection="1">
      <alignment vertical="top"/>
    </xf>
    <xf numFmtId="0" fontId="0" fillId="0" borderId="14" xfId="0" applyBorder="1" applyAlignment="1" applyProtection="1">
      <alignment vertical="top"/>
    </xf>
    <xf numFmtId="44" fontId="3" fillId="0" borderId="15" xfId="0" applyNumberFormat="1" applyFont="1" applyBorder="1" applyAlignment="1" applyProtection="1">
      <alignment vertical="top"/>
    </xf>
    <xf numFmtId="0" fontId="3" fillId="0" borderId="13" xfId="0" applyFont="1" applyBorder="1" applyAlignment="1" applyProtection="1">
      <alignment vertical="top"/>
    </xf>
    <xf numFmtId="0" fontId="3" fillId="0" borderId="16" xfId="0" applyFont="1" applyBorder="1" applyAlignment="1" applyProtection="1">
      <alignment vertical="top"/>
    </xf>
    <xf numFmtId="44" fontId="3" fillId="0" borderId="13" xfId="0" applyNumberFormat="1" applyFont="1" applyBorder="1" applyAlignment="1" applyProtection="1">
      <alignment vertical="top"/>
    </xf>
    <xf numFmtId="0" fontId="3" fillId="0" borderId="0" xfId="0" applyFont="1" applyFill="1" applyAlignment="1" applyProtection="1">
      <alignment vertical="top"/>
    </xf>
    <xf numFmtId="9" fontId="0" fillId="0" borderId="13" xfId="0" applyNumberFormat="1" applyBorder="1" applyAlignment="1" applyProtection="1">
      <alignment vertical="top"/>
    </xf>
    <xf numFmtId="9" fontId="0" fillId="0" borderId="14" xfId="0" applyNumberFormat="1" applyBorder="1" applyAlignment="1" applyProtection="1">
      <alignment vertical="top"/>
    </xf>
    <xf numFmtId="9" fontId="3" fillId="0" borderId="13" xfId="0" applyNumberFormat="1" applyFont="1" applyBorder="1" applyAlignment="1" applyProtection="1">
      <alignment vertical="top"/>
    </xf>
    <xf numFmtId="9" fontId="3" fillId="0" borderId="16" xfId="0" applyNumberFormat="1" applyFont="1" applyBorder="1" applyAlignment="1" applyProtection="1">
      <alignment vertical="top"/>
    </xf>
    <xf numFmtId="9" fontId="0" fillId="3" borderId="18" xfId="0" applyNumberFormat="1" applyFill="1" applyBorder="1" applyAlignment="1" applyProtection="1">
      <alignment vertical="top"/>
      <protection locked="0"/>
    </xf>
    <xf numFmtId="0" fontId="0" fillId="0" borderId="18" xfId="0" applyBorder="1" applyAlignment="1" applyProtection="1">
      <alignment vertical="top"/>
    </xf>
    <xf numFmtId="44" fontId="0" fillId="0" borderId="1" xfId="0" applyNumberFormat="1" applyBorder="1" applyAlignment="1" applyProtection="1">
      <alignment vertical="top"/>
    </xf>
    <xf numFmtId="170" fontId="0" fillId="3" borderId="18" xfId="2" applyNumberFormat="1" applyFont="1" applyFill="1" applyBorder="1" applyAlignment="1" applyProtection="1">
      <alignment vertical="top"/>
      <protection locked="0"/>
    </xf>
    <xf numFmtId="10" fontId="0" fillId="0" borderId="1" xfId="6" applyNumberFormat="1" applyFont="1" applyBorder="1" applyAlignment="1" applyProtection="1">
      <alignment vertical="top"/>
    </xf>
    <xf numFmtId="10" fontId="3" fillId="0" borderId="15" xfId="6" applyNumberFormat="1" applyFont="1" applyBorder="1" applyProtection="1"/>
    <xf numFmtId="10" fontId="0" fillId="0" borderId="1" xfId="6" applyNumberFormat="1" applyFont="1" applyBorder="1" applyAlignment="1" applyProtection="1">
      <alignment vertical="center"/>
    </xf>
    <xf numFmtId="10" fontId="3" fillId="0" borderId="15" xfId="6" applyNumberFormat="1" applyFont="1" applyBorder="1" applyAlignment="1" applyProtection="1">
      <alignment vertical="top"/>
    </xf>
    <xf numFmtId="169" fontId="1" fillId="3" borderId="18" xfId="2" applyNumberFormat="1" applyFill="1" applyBorder="1" applyAlignment="1" applyProtection="1">
      <alignment vertical="top"/>
      <protection locked="0"/>
    </xf>
    <xf numFmtId="44" fontId="1" fillId="0" borderId="1" xfId="2" applyBorder="1" applyAlignment="1" applyProtection="1">
      <alignment vertical="top"/>
    </xf>
    <xf numFmtId="0" fontId="0" fillId="0" borderId="16" xfId="0" applyBorder="1" applyAlignment="1" applyProtection="1">
      <alignment vertical="top"/>
    </xf>
    <xf numFmtId="9" fontId="0" fillId="0" borderId="18" xfId="0" applyNumberFormat="1" applyFill="1" applyBorder="1" applyAlignment="1" applyProtection="1">
      <alignment vertical="top"/>
    </xf>
    <xf numFmtId="0" fontId="0" fillId="0" borderId="5" xfId="0" applyBorder="1" applyAlignment="1" applyProtection="1">
      <alignment vertical="top"/>
    </xf>
    <xf numFmtId="0" fontId="3" fillId="0" borderId="0" xfId="0" applyFont="1" applyBorder="1" applyAlignment="1" applyProtection="1">
      <alignment vertical="top"/>
    </xf>
    <xf numFmtId="167" fontId="0" fillId="0" borderId="1" xfId="2" applyNumberFormat="1" applyFont="1" applyBorder="1" applyAlignment="1" applyProtection="1">
      <alignment vertical="top"/>
    </xf>
    <xf numFmtId="167" fontId="0" fillId="0" borderId="5" xfId="2" applyNumberFormat="1" applyFont="1" applyBorder="1" applyAlignment="1" applyProtection="1">
      <alignment vertical="top"/>
    </xf>
    <xf numFmtId="167" fontId="0" fillId="0" borderId="7" xfId="2" applyNumberFormat="1" applyFont="1" applyBorder="1" applyAlignment="1" applyProtection="1">
      <alignment vertical="top"/>
    </xf>
    <xf numFmtId="167" fontId="0" fillId="0" borderId="8" xfId="2" applyNumberFormat="1" applyFont="1" applyBorder="1" applyAlignment="1" applyProtection="1">
      <alignment vertical="top"/>
    </xf>
    <xf numFmtId="167" fontId="0" fillId="0" borderId="19" xfId="2" applyNumberFormat="1" applyFont="1" applyBorder="1" applyAlignment="1" applyProtection="1">
      <alignment vertical="top"/>
    </xf>
    <xf numFmtId="167" fontId="0" fillId="0" borderId="20" xfId="2" applyNumberFormat="1" applyFont="1" applyBorder="1" applyAlignment="1" applyProtection="1">
      <alignment vertical="top"/>
    </xf>
    <xf numFmtId="167" fontId="0" fillId="0" borderId="19" xfId="0" applyNumberFormat="1" applyBorder="1" applyAlignment="1" applyProtection="1">
      <alignment vertical="top"/>
    </xf>
    <xf numFmtId="167" fontId="0" fillId="0" borderId="5" xfId="0" applyNumberFormat="1" applyBorder="1" applyAlignment="1" applyProtection="1">
      <alignment vertical="top"/>
    </xf>
    <xf numFmtId="167" fontId="0" fillId="0" borderId="1" xfId="0" applyNumberFormat="1" applyBorder="1" applyAlignment="1" applyProtection="1">
      <alignment vertical="top"/>
    </xf>
    <xf numFmtId="10" fontId="0" fillId="0" borderId="5" xfId="6" applyNumberFormat="1" applyFont="1" applyBorder="1" applyAlignment="1" applyProtection="1">
      <alignment vertical="top"/>
    </xf>
    <xf numFmtId="10" fontId="3" fillId="0" borderId="0" xfId="0" applyNumberFormat="1" applyFont="1" applyBorder="1" applyAlignment="1" applyProtection="1">
      <alignment vertical="top"/>
    </xf>
    <xf numFmtId="10" fontId="0" fillId="0" borderId="0" xfId="0" applyNumberFormat="1" applyAlignment="1" applyProtection="1">
      <alignment vertical="top"/>
    </xf>
    <xf numFmtId="167" fontId="1" fillId="0" borderId="5" xfId="2" applyNumberFormat="1" applyFont="1" applyFill="1" applyBorder="1" applyAlignment="1" applyProtection="1">
      <alignment vertical="top"/>
    </xf>
    <xf numFmtId="0" fontId="3" fillId="0" borderId="0" xfId="0" applyFont="1" applyFill="1" applyBorder="1" applyAlignment="1" applyProtection="1">
      <alignment vertical="top"/>
    </xf>
    <xf numFmtId="167" fontId="1" fillId="0" borderId="1" xfId="0" applyNumberFormat="1" applyFont="1" applyFill="1" applyBorder="1" applyAlignment="1" applyProtection="1">
      <alignment vertical="top"/>
    </xf>
    <xf numFmtId="166" fontId="1" fillId="0" borderId="5" xfId="2" applyNumberFormat="1" applyFont="1" applyFill="1" applyBorder="1" applyAlignment="1" applyProtection="1">
      <alignment vertical="top"/>
    </xf>
    <xf numFmtId="166" fontId="1" fillId="0" borderId="1" xfId="0" applyNumberFormat="1" applyFont="1" applyFill="1" applyBorder="1" applyAlignment="1" applyProtection="1">
      <alignment vertical="top"/>
    </xf>
    <xf numFmtId="10" fontId="0" fillId="0" borderId="7" xfId="6" applyNumberFormat="1" applyFont="1" applyBorder="1" applyAlignment="1" applyProtection="1">
      <alignment vertical="top"/>
    </xf>
    <xf numFmtId="10" fontId="0" fillId="0" borderId="8" xfId="6" applyNumberFormat="1" applyFont="1" applyBorder="1" applyAlignment="1" applyProtection="1">
      <alignment vertical="top"/>
    </xf>
    <xf numFmtId="10" fontId="0" fillId="0" borderId="7" xfId="0" applyNumberFormat="1" applyBorder="1" applyAlignment="1" applyProtection="1">
      <alignment vertical="top"/>
    </xf>
    <xf numFmtId="10" fontId="0" fillId="0" borderId="5" xfId="0" applyNumberFormat="1" applyBorder="1" applyAlignment="1" applyProtection="1">
      <alignment vertical="top"/>
    </xf>
    <xf numFmtId="10" fontId="0" fillId="0" borderId="8" xfId="0" applyNumberFormat="1" applyBorder="1" applyAlignment="1" applyProtection="1">
      <alignment vertical="top"/>
    </xf>
    <xf numFmtId="10" fontId="0" fillId="0" borderId="1" xfId="0" applyNumberFormat="1" applyBorder="1" applyAlignment="1" applyProtection="1">
      <alignment vertical="top"/>
    </xf>
    <xf numFmtId="164" fontId="3" fillId="0" borderId="0" xfId="0" applyNumberFormat="1" applyFont="1" applyBorder="1" applyAlignment="1" applyProtection="1">
      <alignment vertical="top"/>
    </xf>
    <xf numFmtId="164" fontId="0" fillId="0" borderId="0" xfId="0" applyNumberFormat="1" applyAlignment="1" applyProtection="1">
      <alignment vertical="top"/>
    </xf>
    <xf numFmtId="164" fontId="3" fillId="0" borderId="2" xfId="0" quotePrefix="1" applyNumberFormat="1" applyFont="1" applyBorder="1" applyAlignment="1" applyProtection="1">
      <alignment vertical="top"/>
    </xf>
    <xf numFmtId="164" fontId="0" fillId="0" borderId="8" xfId="0" applyNumberFormat="1" applyBorder="1" applyAlignment="1" applyProtection="1">
      <alignment vertical="top"/>
    </xf>
    <xf numFmtId="167" fontId="0" fillId="3" borderId="0" xfId="2" applyNumberFormat="1" applyFont="1" applyFill="1" applyAlignment="1" applyProtection="1">
      <alignment vertical="top"/>
      <protection locked="0"/>
    </xf>
    <xf numFmtId="167" fontId="0" fillId="0" borderId="0" xfId="2" applyNumberFormat="1" applyFont="1" applyFill="1" applyAlignment="1" applyProtection="1">
      <alignment vertical="top"/>
    </xf>
    <xf numFmtId="168" fontId="0" fillId="3" borderId="0" xfId="0" applyNumberFormat="1" applyFill="1" applyAlignment="1" applyProtection="1">
      <alignment vertical="top"/>
      <protection locked="0"/>
    </xf>
    <xf numFmtId="166" fontId="0" fillId="0" borderId="0" xfId="2" applyNumberFormat="1" applyFont="1" applyFill="1" applyBorder="1" applyAlignment="1" applyProtection="1">
      <alignment vertical="top"/>
    </xf>
    <xf numFmtId="164" fontId="0" fillId="0" borderId="0" xfId="2" applyNumberFormat="1" applyFont="1" applyFill="1" applyAlignment="1" applyProtection="1">
      <alignment vertical="top"/>
    </xf>
    <xf numFmtId="166" fontId="0" fillId="0" borderId="0" xfId="2" applyNumberFormat="1" applyFont="1" applyFill="1" applyAlignment="1" applyProtection="1">
      <alignment vertical="top"/>
    </xf>
    <xf numFmtId="164" fontId="0" fillId="0" borderId="0" xfId="0" applyNumberFormat="1" applyFill="1" applyAlignment="1" applyProtection="1">
      <alignment vertical="top"/>
    </xf>
    <xf numFmtId="166" fontId="0" fillId="0" borderId="0" xfId="2" applyNumberFormat="1" applyFont="1" applyAlignment="1" applyProtection="1">
      <alignment vertical="top"/>
    </xf>
    <xf numFmtId="10" fontId="0" fillId="3" borderId="0" xfId="6" applyNumberFormat="1" applyFont="1" applyFill="1" applyAlignment="1" applyProtection="1">
      <alignment vertical="top"/>
      <protection locked="0"/>
    </xf>
    <xf numFmtId="10" fontId="0" fillId="0" borderId="0" xfId="6" applyNumberFormat="1" applyFont="1" applyFill="1" applyAlignment="1" applyProtection="1">
      <alignment vertical="top"/>
    </xf>
    <xf numFmtId="168" fontId="0" fillId="0" borderId="0" xfId="0" applyNumberFormat="1" applyFill="1" applyAlignment="1" applyProtection="1">
      <alignment vertical="top"/>
    </xf>
    <xf numFmtId="0" fontId="3" fillId="3" borderId="0" xfId="0" quotePrefix="1" applyFont="1" applyFill="1" applyAlignment="1" applyProtection="1">
      <alignment vertical="top"/>
      <protection locked="0"/>
    </xf>
    <xf numFmtId="0" fontId="0" fillId="0" borderId="0" xfId="0" applyFill="1" applyBorder="1" applyAlignment="1" applyProtection="1">
      <alignment vertical="top"/>
    </xf>
    <xf numFmtId="164" fontId="0" fillId="0" borderId="0" xfId="0" applyNumberFormat="1" applyFill="1" applyBorder="1" applyAlignment="1" applyProtection="1">
      <alignment vertical="top"/>
    </xf>
    <xf numFmtId="168" fontId="3" fillId="0" borderId="0" xfId="0" quotePrefix="1" applyNumberFormat="1" applyFont="1" applyFill="1" applyAlignment="1" applyProtection="1">
      <alignment vertical="top"/>
    </xf>
    <xf numFmtId="165" fontId="0" fillId="3" borderId="0" xfId="0" applyNumberFormat="1" applyFill="1" applyAlignment="1" applyProtection="1">
      <alignment vertical="top"/>
      <protection locked="0"/>
    </xf>
    <xf numFmtId="165" fontId="0" fillId="0" borderId="0" xfId="0" applyNumberFormat="1" applyFill="1" applyAlignment="1" applyProtection="1">
      <alignment vertical="top"/>
    </xf>
    <xf numFmtId="165" fontId="0" fillId="3" borderId="0" xfId="0" applyNumberFormat="1" applyFill="1" applyBorder="1" applyAlignment="1" applyProtection="1">
      <alignment vertical="top"/>
      <protection locked="0"/>
    </xf>
    <xf numFmtId="165" fontId="0" fillId="0" borderId="21" xfId="0" applyNumberFormat="1" applyFill="1" applyBorder="1" applyAlignment="1" applyProtection="1">
      <alignment vertical="top"/>
    </xf>
    <xf numFmtId="9" fontId="11" fillId="0" borderId="0" xfId="6" applyFont="1" applyFill="1" applyAlignment="1" applyProtection="1">
      <alignment vertical="top" wrapText="1"/>
    </xf>
    <xf numFmtId="9" fontId="0" fillId="0" borderId="0" xfId="6" applyFont="1" applyFill="1" applyAlignment="1" applyProtection="1">
      <alignment vertical="top"/>
    </xf>
    <xf numFmtId="10" fontId="0" fillId="3" borderId="0" xfId="0" applyNumberFormat="1" applyFill="1" applyAlignment="1" applyProtection="1">
      <alignment vertical="top"/>
      <protection locked="0"/>
    </xf>
    <xf numFmtId="10" fontId="0" fillId="0" borderId="0" xfId="0" applyNumberFormat="1" applyFill="1" applyAlignment="1" applyProtection="1">
      <alignment vertical="top"/>
    </xf>
    <xf numFmtId="167" fontId="0" fillId="0" borderId="2" xfId="2" applyNumberFormat="1" applyFont="1" applyFill="1" applyBorder="1" applyAlignment="1" applyProtection="1">
      <alignment vertical="top"/>
    </xf>
    <xf numFmtId="167" fontId="0" fillId="0" borderId="0" xfId="2" applyNumberFormat="1" applyFont="1" applyFill="1" applyBorder="1" applyAlignment="1" applyProtection="1">
      <alignment vertical="top"/>
    </xf>
    <xf numFmtId="167" fontId="0" fillId="0" borderId="0" xfId="2" applyNumberFormat="1" applyFont="1" applyBorder="1" applyAlignment="1" applyProtection="1">
      <alignment vertical="top"/>
    </xf>
    <xf numFmtId="164" fontId="0" fillId="0" borderId="0" xfId="2" applyNumberFormat="1" applyFont="1" applyAlignment="1" applyProtection="1">
      <alignment vertical="top"/>
    </xf>
    <xf numFmtId="167" fontId="0" fillId="0" borderId="0" xfId="2" applyNumberFormat="1" applyFont="1" applyAlignment="1" applyProtection="1">
      <alignment vertical="top"/>
    </xf>
    <xf numFmtId="167" fontId="0" fillId="0" borderId="0" xfId="2" applyNumberFormat="1" applyFont="1" applyBorder="1" applyAlignment="1" applyProtection="1">
      <alignment horizontal="right" vertical="top"/>
    </xf>
    <xf numFmtId="167" fontId="0" fillId="0" borderId="2" xfId="2" applyNumberFormat="1" applyFont="1" applyBorder="1" applyAlignment="1" applyProtection="1">
      <alignment horizontal="right" vertical="top"/>
    </xf>
    <xf numFmtId="164" fontId="0" fillId="0" borderId="0" xfId="0" applyNumberFormat="1" applyBorder="1" applyAlignment="1" applyProtection="1">
      <alignment vertical="top"/>
    </xf>
    <xf numFmtId="167" fontId="0" fillId="0" borderId="0" xfId="0" applyNumberFormat="1" applyAlignment="1" applyProtection="1">
      <alignment vertical="top"/>
    </xf>
    <xf numFmtId="167" fontId="0" fillId="0" borderId="4" xfId="0" applyNumberFormat="1" applyFill="1" applyBorder="1" applyAlignment="1" applyProtection="1">
      <alignment vertical="top"/>
    </xf>
    <xf numFmtId="167" fontId="0" fillId="0" borderId="0" xfId="0" applyNumberFormat="1" applyFill="1" applyBorder="1" applyAlignment="1" applyProtection="1">
      <alignment vertical="top"/>
    </xf>
    <xf numFmtId="167" fontId="8" fillId="0" borderId="0" xfId="0" applyNumberFormat="1" applyFont="1" applyAlignment="1" applyProtection="1">
      <alignment vertical="top"/>
    </xf>
    <xf numFmtId="164" fontId="8" fillId="0" borderId="0" xfId="0" applyNumberFormat="1" applyFont="1" applyBorder="1" applyAlignment="1" applyProtection="1">
      <alignment vertical="top"/>
    </xf>
    <xf numFmtId="167" fontId="1" fillId="0" borderId="0" xfId="0" applyNumberFormat="1" applyFont="1" applyFill="1" applyAlignment="1" applyProtection="1">
      <alignment vertical="top"/>
    </xf>
    <xf numFmtId="164" fontId="0" fillId="0" borderId="0" xfId="0" applyNumberFormat="1" applyBorder="1" applyAlignment="1" applyProtection="1">
      <alignment horizontal="right" vertical="top"/>
    </xf>
    <xf numFmtId="164" fontId="0" fillId="0" borderId="0" xfId="0" applyNumberFormat="1" applyFill="1" applyBorder="1" applyAlignment="1" applyProtection="1">
      <alignment horizontal="right" vertical="top"/>
    </xf>
    <xf numFmtId="167" fontId="0" fillId="0" borderId="0" xfId="2" applyNumberFormat="1" applyFont="1" applyBorder="1" applyAlignment="1" applyProtection="1">
      <alignment horizontal="center" vertical="top"/>
    </xf>
    <xf numFmtId="167" fontId="0" fillId="0" borderId="4" xfId="2" applyNumberFormat="1" applyFont="1" applyBorder="1" applyAlignment="1" applyProtection="1">
      <alignment horizontal="right" vertical="top"/>
    </xf>
    <xf numFmtId="168" fontId="0" fillId="0" borderId="0" xfId="0" applyNumberFormat="1" applyFill="1" applyAlignment="1" applyProtection="1">
      <alignment vertical="top"/>
      <protection locked="0"/>
    </xf>
    <xf numFmtId="164" fontId="0" fillId="0" borderId="0" xfId="2" applyNumberFormat="1" applyFont="1" applyAlignment="1" applyProtection="1"/>
    <xf numFmtId="164" fontId="0" fillId="0" borderId="0" xfId="2" applyNumberFormat="1" applyFont="1" applyFill="1" applyAlignment="1" applyProtection="1"/>
    <xf numFmtId="0" fontId="0" fillId="0" borderId="22" xfId="0" applyBorder="1" applyAlignment="1" applyProtection="1">
      <alignment vertical="top"/>
    </xf>
    <xf numFmtId="0" fontId="0" fillId="0" borderId="23" xfId="0" applyBorder="1" applyAlignment="1" applyProtection="1">
      <alignment vertical="top"/>
    </xf>
    <xf numFmtId="44" fontId="3" fillId="0" borderId="24" xfId="0" applyNumberFormat="1" applyFont="1" applyBorder="1" applyAlignment="1" applyProtection="1">
      <alignment vertical="top"/>
    </xf>
    <xf numFmtId="0" fontId="3" fillId="0" borderId="25" xfId="0" applyFont="1" applyBorder="1" applyAlignment="1" applyProtection="1">
      <alignment vertical="top"/>
    </xf>
    <xf numFmtId="0" fontId="3" fillId="0" borderId="26" xfId="0" applyFont="1" applyBorder="1" applyAlignment="1" applyProtection="1">
      <alignment vertical="top"/>
    </xf>
    <xf numFmtId="44" fontId="3" fillId="0" borderId="27" xfId="0" applyNumberFormat="1" applyFont="1" applyBorder="1" applyAlignment="1" applyProtection="1">
      <alignment vertical="top"/>
    </xf>
    <xf numFmtId="0" fontId="0" fillId="0" borderId="26" xfId="0" applyBorder="1" applyProtection="1"/>
    <xf numFmtId="0" fontId="0" fillId="0" borderId="22" xfId="0" applyBorder="1" applyProtection="1"/>
    <xf numFmtId="44" fontId="3" fillId="0" borderId="25" xfId="0" applyNumberFormat="1" applyFont="1" applyBorder="1" applyAlignment="1" applyProtection="1">
      <alignment vertical="top"/>
    </xf>
    <xf numFmtId="10" fontId="3" fillId="0" borderId="28" xfId="6" applyNumberFormat="1" applyFont="1" applyBorder="1" applyAlignment="1" applyProtection="1">
      <alignment vertical="top"/>
    </xf>
    <xf numFmtId="10" fontId="3" fillId="0" borderId="29" xfId="6" applyNumberFormat="1" applyFont="1" applyBorder="1" applyAlignment="1" applyProtection="1">
      <alignment vertical="top"/>
    </xf>
    <xf numFmtId="44" fontId="3" fillId="0" borderId="28" xfId="0" applyNumberFormat="1" applyFont="1" applyBorder="1" applyAlignment="1" applyProtection="1">
      <alignment vertical="top"/>
    </xf>
    <xf numFmtId="0" fontId="3" fillId="0" borderId="30" xfId="0" applyFont="1" applyBorder="1" applyAlignment="1" applyProtection="1">
      <alignment vertical="top"/>
    </xf>
    <xf numFmtId="0" fontId="3" fillId="0" borderId="31" xfId="0" applyFont="1" applyBorder="1" applyAlignment="1" applyProtection="1">
      <alignment vertical="top"/>
    </xf>
    <xf numFmtId="0" fontId="0" fillId="0" borderId="31" xfId="0" applyBorder="1" applyAlignment="1" applyProtection="1">
      <alignment vertical="top"/>
    </xf>
    <xf numFmtId="9" fontId="0" fillId="0" borderId="32" xfId="0" applyNumberFormat="1" applyBorder="1" applyAlignment="1" applyProtection="1">
      <alignment vertical="top"/>
    </xf>
    <xf numFmtId="9" fontId="3" fillId="0" borderId="33" xfId="0" applyNumberFormat="1" applyFont="1" applyBorder="1" applyAlignment="1" applyProtection="1">
      <alignment vertical="top"/>
    </xf>
    <xf numFmtId="9" fontId="7" fillId="0" borderId="0" xfId="0" applyNumberFormat="1" applyFont="1" applyBorder="1" applyAlignment="1" applyProtection="1">
      <alignment vertical="top"/>
    </xf>
    <xf numFmtId="0" fontId="26" fillId="0" borderId="0" xfId="5" applyFill="1" applyBorder="1"/>
    <xf numFmtId="0" fontId="26" fillId="0" borderId="0" xfId="4" applyFont="1" applyFill="1" applyBorder="1"/>
    <xf numFmtId="0" fontId="14" fillId="0" borderId="0" xfId="0" applyFont="1" applyFill="1" applyBorder="1" applyAlignment="1" applyProtection="1">
      <alignment horizontal="left"/>
    </xf>
    <xf numFmtId="0" fontId="3" fillId="0" borderId="0" xfId="0" quotePrefix="1" applyFont="1" applyFill="1" applyBorder="1" applyAlignment="1" applyProtection="1">
      <alignment vertical="top"/>
    </xf>
    <xf numFmtId="0" fontId="14" fillId="0" borderId="0" xfId="0" applyFont="1" applyFill="1" applyBorder="1" applyAlignment="1" applyProtection="1">
      <alignment horizontal="left" indent="1"/>
    </xf>
    <xf numFmtId="0" fontId="15" fillId="0" borderId="0" xfId="0" quotePrefix="1" applyFont="1" applyFill="1" applyBorder="1" applyProtection="1"/>
    <xf numFmtId="0" fontId="14" fillId="0" borderId="0" xfId="0" applyFont="1" applyFill="1" applyBorder="1" applyProtection="1"/>
    <xf numFmtId="0" fontId="27" fillId="0" borderId="0" xfId="0" applyFont="1" applyFill="1" applyBorder="1" applyProtection="1"/>
    <xf numFmtId="2" fontId="27" fillId="0" borderId="0" xfId="0" applyNumberFormat="1" applyFont="1" applyFill="1" applyBorder="1" applyAlignment="1" applyProtection="1">
      <alignment horizontal="left" indent="1"/>
    </xf>
    <xf numFmtId="0" fontId="13" fillId="0" borderId="0" xfId="0" applyFont="1" applyFill="1" applyBorder="1" applyAlignment="1" applyProtection="1">
      <alignment vertical="top" wrapText="1"/>
    </xf>
    <xf numFmtId="0" fontId="14" fillId="0" borderId="0" xfId="0" applyFont="1" applyFill="1" applyBorder="1" applyAlignment="1" applyProtection="1">
      <alignment horizontal="left" indent="1"/>
      <protection locked="0"/>
    </xf>
    <xf numFmtId="0" fontId="0" fillId="0" borderId="0" xfId="0" applyAlignment="1" applyProtection="1">
      <alignment horizontal="left"/>
      <protection locked="0"/>
    </xf>
    <xf numFmtId="0" fontId="0" fillId="0" borderId="0" xfId="0" applyAlignment="1" applyProtection="1">
      <alignment horizontal="center"/>
      <protection locked="0"/>
    </xf>
    <xf numFmtId="0" fontId="29" fillId="0" borderId="0" xfId="0" applyFont="1" applyProtection="1"/>
    <xf numFmtId="0" fontId="3" fillId="0" borderId="0" xfId="0" applyFont="1" applyAlignment="1" applyProtection="1">
      <alignment horizontal="left"/>
      <protection locked="0"/>
    </xf>
    <xf numFmtId="0" fontId="3" fillId="0" borderId="0" xfId="0" applyFont="1" applyAlignment="1" applyProtection="1">
      <alignment horizontal="center"/>
      <protection locked="0"/>
    </xf>
    <xf numFmtId="22" fontId="0" fillId="0" borderId="0" xfId="0" applyNumberFormat="1" applyAlignment="1" applyProtection="1">
      <alignment horizontal="left"/>
      <protection locked="0"/>
    </xf>
    <xf numFmtId="0" fontId="1" fillId="0" borderId="0" xfId="1" applyNumberFormat="1" applyFont="1" applyAlignment="1" applyProtection="1">
      <alignment horizontal="center"/>
      <protection locked="0"/>
    </xf>
    <xf numFmtId="22" fontId="0" fillId="0" borderId="0" xfId="0" applyNumberFormat="1" applyAlignment="1" applyProtection="1">
      <alignment horizontal="center"/>
      <protection locked="0"/>
    </xf>
    <xf numFmtId="0" fontId="33" fillId="2" borderId="0" xfId="0" applyFont="1" applyFill="1" applyBorder="1" applyAlignment="1" applyProtection="1"/>
    <xf numFmtId="0" fontId="34" fillId="2" borderId="0" xfId="0" applyFont="1" applyFill="1" applyProtection="1"/>
    <xf numFmtId="0" fontId="24" fillId="2" borderId="0" xfId="0" applyNumberFormat="1" applyFont="1" applyFill="1" applyAlignment="1" applyProtection="1">
      <alignment vertical="top" wrapText="1"/>
    </xf>
    <xf numFmtId="0" fontId="17" fillId="2" borderId="0" xfId="0" applyNumberFormat="1" applyFont="1" applyFill="1" applyBorder="1" applyAlignment="1" applyProtection="1">
      <alignment horizontal="center"/>
    </xf>
    <xf numFmtId="0" fontId="21" fillId="2" borderId="0" xfId="0" applyFont="1" applyFill="1" applyBorder="1" applyAlignment="1" applyProtection="1">
      <alignment vertical="center" wrapText="1"/>
    </xf>
    <xf numFmtId="0" fontId="18" fillId="2" borderId="0" xfId="0" applyFont="1" applyFill="1" applyBorder="1" applyProtection="1"/>
    <xf numFmtId="0" fontId="36" fillId="2" borderId="0" xfId="0" applyFont="1" applyFill="1" applyBorder="1" applyProtection="1"/>
    <xf numFmtId="0" fontId="35" fillId="2" borderId="0" xfId="0" applyFont="1" applyFill="1" applyBorder="1" applyAlignment="1" applyProtection="1">
      <alignment horizontal="left"/>
      <protection locked="0"/>
    </xf>
    <xf numFmtId="0" fontId="35" fillId="2" borderId="0" xfId="0" applyFont="1" applyFill="1" applyBorder="1" applyProtection="1"/>
    <xf numFmtId="0" fontId="36" fillId="0" borderId="0" xfId="0" applyFont="1" applyProtection="1"/>
    <xf numFmtId="0" fontId="35" fillId="2" borderId="0" xfId="0" applyFont="1" applyFill="1" applyBorder="1" applyAlignment="1" applyProtection="1">
      <alignment horizontal="center"/>
    </xf>
    <xf numFmtId="0" fontId="18" fillId="2" borderId="0" xfId="0" applyFont="1" applyFill="1" applyBorder="1" applyAlignment="1" applyProtection="1"/>
    <xf numFmtId="0" fontId="18" fillId="2" borderId="0" xfId="0" applyFont="1" applyFill="1" applyBorder="1" applyAlignment="1" applyProtection="1">
      <alignment horizontal="left"/>
    </xf>
    <xf numFmtId="0" fontId="14" fillId="2" borderId="0" xfId="0" applyFont="1" applyFill="1" applyBorder="1" applyAlignment="1" applyProtection="1"/>
    <xf numFmtId="0" fontId="37" fillId="2" borderId="0" xfId="0" applyFont="1" applyFill="1" applyBorder="1" applyAlignment="1" applyProtection="1">
      <alignment horizontal="left" indent="7"/>
    </xf>
    <xf numFmtId="0" fontId="12" fillId="0" borderId="0" xfId="0" quotePrefix="1" applyFont="1" applyBorder="1" applyAlignment="1" applyProtection="1"/>
    <xf numFmtId="0" fontId="3" fillId="0" borderId="2" xfId="0" applyFont="1" applyFill="1" applyBorder="1" applyAlignment="1" applyProtection="1">
      <alignment horizontal="center" vertical="center" wrapText="1"/>
    </xf>
    <xf numFmtId="0" fontId="17" fillId="0" borderId="0" xfId="0" applyFont="1" applyAlignment="1" applyProtection="1">
      <alignment horizontal="center"/>
    </xf>
    <xf numFmtId="0" fontId="0" fillId="0" borderId="0" xfId="0" applyAlignment="1" applyProtection="1">
      <alignment horizontal="center"/>
    </xf>
    <xf numFmtId="0" fontId="3" fillId="0" borderId="0" xfId="0" quotePrefix="1" applyFont="1" applyAlignment="1" applyProtection="1">
      <alignment horizontal="center"/>
    </xf>
    <xf numFmtId="168" fontId="3" fillId="0" borderId="0" xfId="0" quotePrefix="1" applyNumberFormat="1" applyFont="1" applyFill="1" applyAlignment="1" applyProtection="1">
      <alignment horizontal="center" vertical="top" wrapText="1"/>
    </xf>
    <xf numFmtId="168" fontId="0" fillId="3" borderId="34" xfId="0" applyNumberFormat="1" applyFill="1" applyBorder="1" applyAlignment="1" applyProtection="1">
      <protection locked="0"/>
    </xf>
    <xf numFmtId="0" fontId="0" fillId="0" borderId="0" xfId="0" applyFill="1" applyBorder="1" applyAlignment="1" applyProtection="1">
      <alignment horizontal="center"/>
    </xf>
    <xf numFmtId="0" fontId="0" fillId="0" borderId="0" xfId="0" applyFill="1" applyAlignment="1" applyProtection="1"/>
    <xf numFmtId="0" fontId="3" fillId="0" borderId="0" xfId="0" quotePrefix="1" applyFont="1" applyFill="1" applyAlignment="1" applyProtection="1"/>
    <xf numFmtId="0" fontId="3" fillId="3" borderId="0" xfId="0" applyFont="1" applyFill="1" applyAlignment="1" applyProtection="1">
      <alignment vertical="top"/>
    </xf>
    <xf numFmtId="0" fontId="3" fillId="2" borderId="2" xfId="0" applyFont="1" applyFill="1" applyBorder="1" applyAlignment="1" applyProtection="1">
      <alignment horizontal="center" vertical="center"/>
    </xf>
    <xf numFmtId="0" fontId="3" fillId="2" borderId="0" xfId="0" applyFont="1" applyFill="1" applyBorder="1" applyAlignment="1" applyProtection="1">
      <alignment horizontal="center" vertical="center"/>
    </xf>
    <xf numFmtId="0" fontId="3" fillId="2" borderId="2" xfId="0" applyFont="1" applyFill="1" applyBorder="1" applyAlignment="1" applyProtection="1">
      <alignment horizontal="center" vertical="center" wrapText="1"/>
    </xf>
    <xf numFmtId="0" fontId="5" fillId="2" borderId="0" xfId="0" applyFont="1" applyFill="1" applyAlignment="1" applyProtection="1">
      <alignment horizontal="center"/>
    </xf>
    <xf numFmtId="0" fontId="5" fillId="2" borderId="0" xfId="0" applyFont="1" applyFill="1" applyAlignment="1" applyProtection="1"/>
    <xf numFmtId="0" fontId="0" fillId="2" borderId="3" xfId="0" applyFill="1" applyBorder="1" applyProtection="1"/>
    <xf numFmtId="0" fontId="0" fillId="2" borderId="0" xfId="0" applyFill="1" applyProtection="1"/>
    <xf numFmtId="0" fontId="0" fillId="3" borderId="0" xfId="0" applyFill="1" applyProtection="1"/>
    <xf numFmtId="167" fontId="7" fillId="3" borderId="0" xfId="2" applyNumberFormat="1" applyFont="1" applyFill="1" applyAlignment="1" applyProtection="1">
      <alignment vertical="top"/>
      <protection locked="0"/>
    </xf>
    <xf numFmtId="0" fontId="19" fillId="0" borderId="0" xfId="0" applyFont="1" applyBorder="1" applyProtection="1"/>
    <xf numFmtId="0" fontId="22" fillId="0" borderId="0" xfId="0" applyFont="1" applyAlignment="1" applyProtection="1">
      <alignment vertical="top"/>
    </xf>
    <xf numFmtId="0" fontId="23" fillId="0" borderId="0" xfId="0" applyFont="1" applyProtection="1"/>
    <xf numFmtId="0" fontId="23" fillId="0" borderId="0" xfId="0" applyFont="1" applyBorder="1" applyProtection="1"/>
    <xf numFmtId="167" fontId="23" fillId="0" borderId="2" xfId="2" applyNumberFormat="1" applyFont="1" applyFill="1" applyBorder="1" applyAlignment="1" applyProtection="1">
      <alignment vertical="top"/>
    </xf>
    <xf numFmtId="167" fontId="23" fillId="0" borderId="0" xfId="2" applyNumberFormat="1" applyFont="1" applyFill="1" applyBorder="1" applyAlignment="1" applyProtection="1">
      <alignment vertical="top"/>
    </xf>
    <xf numFmtId="167" fontId="23" fillId="0" borderId="0" xfId="2" quotePrefix="1" applyNumberFormat="1" applyFont="1" applyFill="1" applyBorder="1" applyAlignment="1" applyProtection="1">
      <alignment vertical="top"/>
    </xf>
    <xf numFmtId="168" fontId="23" fillId="0" borderId="0" xfId="0" applyNumberFormat="1" applyFont="1" applyFill="1" applyAlignment="1" applyProtection="1">
      <alignment vertical="top"/>
    </xf>
    <xf numFmtId="168" fontId="23" fillId="0" borderId="0" xfId="0" quotePrefix="1" applyNumberFormat="1" applyFont="1" applyFill="1" applyAlignment="1" applyProtection="1">
      <alignment vertical="top"/>
    </xf>
    <xf numFmtId="167" fontId="23" fillId="0" borderId="0" xfId="2" applyNumberFormat="1" applyFont="1" applyFill="1" applyBorder="1" applyProtection="1"/>
    <xf numFmtId="168" fontId="23" fillId="0" borderId="0" xfId="0" quotePrefix="1" applyNumberFormat="1" applyFont="1" applyFill="1" applyProtection="1"/>
    <xf numFmtId="0" fontId="22" fillId="0" borderId="0" xfId="0" quotePrefix="1" applyFont="1" applyFill="1" applyProtection="1"/>
    <xf numFmtId="0" fontId="23" fillId="0" borderId="0" xfId="0" applyFont="1" applyFill="1" applyProtection="1"/>
    <xf numFmtId="0" fontId="38" fillId="0" borderId="0" xfId="0" applyFont="1" applyAlignment="1" applyProtection="1">
      <alignment vertical="top"/>
    </xf>
    <xf numFmtId="167" fontId="28" fillId="0" borderId="0" xfId="2" applyNumberFormat="1" applyFont="1" applyProtection="1"/>
    <xf numFmtId="168" fontId="28" fillId="0" borderId="0" xfId="0" applyNumberFormat="1" applyFont="1" applyFill="1" applyBorder="1" applyProtection="1">
      <protection locked="0"/>
    </xf>
    <xf numFmtId="164" fontId="28" fillId="2" borderId="0" xfId="0" applyNumberFormat="1" applyFont="1" applyFill="1" applyProtection="1"/>
    <xf numFmtId="167" fontId="28" fillId="0" borderId="0" xfId="2" applyNumberFormat="1" applyFont="1" applyAlignment="1" applyProtection="1"/>
    <xf numFmtId="167" fontId="28" fillId="0" borderId="0" xfId="0" applyNumberFormat="1" applyFont="1" applyAlignment="1" applyProtection="1"/>
    <xf numFmtId="0" fontId="28" fillId="0" borderId="0" xfId="0" applyFont="1" applyAlignment="1" applyProtection="1">
      <alignment horizontal="center"/>
    </xf>
    <xf numFmtId="164" fontId="28" fillId="0" borderId="0" xfId="2" applyNumberFormat="1" applyFont="1" applyFill="1" applyAlignment="1" applyProtection="1">
      <alignment vertical="top"/>
    </xf>
    <xf numFmtId="0" fontId="28" fillId="0" borderId="0" xfId="0" applyFont="1" applyFill="1" applyAlignment="1" applyProtection="1">
      <alignment vertical="top"/>
    </xf>
    <xf numFmtId="164" fontId="28" fillId="0" borderId="0" xfId="0" applyNumberFormat="1" applyFont="1" applyFill="1" applyAlignment="1" applyProtection="1">
      <alignment vertical="top"/>
    </xf>
    <xf numFmtId="0" fontId="28" fillId="0" borderId="0" xfId="0" applyFont="1" applyAlignment="1" applyProtection="1">
      <alignment vertical="top"/>
    </xf>
    <xf numFmtId="164" fontId="28" fillId="0" borderId="0" xfId="2" applyNumberFormat="1" applyFont="1" applyFill="1" applyProtection="1"/>
    <xf numFmtId="0" fontId="36" fillId="2" borderId="0" xfId="3" applyFont="1" applyFill="1" applyBorder="1" applyAlignment="1" applyProtection="1"/>
    <xf numFmtId="0" fontId="15" fillId="2" borderId="0" xfId="0" applyFont="1" applyFill="1" applyBorder="1" applyAlignment="1" applyProtection="1"/>
    <xf numFmtId="0" fontId="39" fillId="2" borderId="0" xfId="0" applyFont="1" applyFill="1" applyBorder="1" applyProtection="1"/>
    <xf numFmtId="0" fontId="40" fillId="2" borderId="0" xfId="0" applyFont="1" applyFill="1" applyBorder="1" applyProtection="1"/>
    <xf numFmtId="0" fontId="40" fillId="2" borderId="0" xfId="0" applyFont="1" applyFill="1" applyBorder="1" applyProtection="1">
      <protection locked="0"/>
    </xf>
    <xf numFmtId="0" fontId="41" fillId="2" borderId="0" xfId="0" applyFont="1" applyFill="1" applyBorder="1" applyAlignment="1" applyProtection="1">
      <protection locked="0"/>
    </xf>
    <xf numFmtId="0" fontId="41" fillId="2" borderId="0" xfId="0" applyFont="1" applyFill="1" applyBorder="1" applyAlignment="1" applyProtection="1">
      <alignment horizontal="left"/>
      <protection locked="0"/>
    </xf>
    <xf numFmtId="0" fontId="40" fillId="2" borderId="0" xfId="0" applyFont="1" applyFill="1" applyBorder="1" applyAlignment="1" applyProtection="1"/>
    <xf numFmtId="0" fontId="40" fillId="2" borderId="0" xfId="0" applyFont="1" applyFill="1" applyBorder="1" applyAlignment="1" applyProtection="1">
      <alignment horizontal="left"/>
    </xf>
    <xf numFmtId="0" fontId="41" fillId="2" borderId="0" xfId="0" applyFont="1" applyFill="1" applyBorder="1" applyProtection="1">
      <protection locked="0"/>
    </xf>
    <xf numFmtId="0" fontId="39" fillId="0" borderId="0" xfId="0" applyFont="1" applyProtection="1"/>
    <xf numFmtId="167" fontId="0" fillId="0" borderId="0" xfId="2" applyNumberFormat="1" applyFont="1" applyFill="1" applyAlignment="1" applyProtection="1">
      <alignment vertical="top"/>
      <protection locked="0"/>
    </xf>
    <xf numFmtId="168" fontId="0" fillId="0" borderId="0" xfId="0" applyNumberFormat="1" applyFill="1" applyProtection="1">
      <protection locked="0"/>
    </xf>
    <xf numFmtId="167" fontId="0" fillId="0" borderId="6" xfId="2" applyNumberFormat="1" applyFont="1" applyBorder="1" applyAlignment="1" applyProtection="1"/>
    <xf numFmtId="164" fontId="7" fillId="0" borderId="0" xfId="0" applyNumberFormat="1" applyFont="1" applyFill="1" applyBorder="1" applyAlignment="1" applyProtection="1"/>
    <xf numFmtId="0" fontId="3" fillId="0" borderId="0" xfId="0" applyFont="1" applyAlignment="1" applyProtection="1">
      <alignment horizontal="center" vertical="top"/>
    </xf>
    <xf numFmtId="44" fontId="0" fillId="3" borderId="1" xfId="0" applyNumberFormat="1" applyFill="1" applyBorder="1" applyAlignment="1" applyProtection="1">
      <alignment vertical="top"/>
      <protection locked="0"/>
    </xf>
    <xf numFmtId="0" fontId="29" fillId="0" borderId="0" xfId="0" applyFont="1" applyAlignment="1" applyProtection="1">
      <alignment horizontal="left" indent="4"/>
    </xf>
    <xf numFmtId="0" fontId="24" fillId="2" borderId="0" xfId="0" applyNumberFormat="1" applyFont="1" applyFill="1" applyAlignment="1" applyProtection="1">
      <alignment horizontal="left" vertical="top" wrapText="1" indent="4"/>
    </xf>
    <xf numFmtId="0" fontId="31" fillId="0" borderId="0" xfId="0" applyFont="1" applyFill="1" applyAlignment="1" applyProtection="1">
      <alignment horizontal="left"/>
    </xf>
    <xf numFmtId="0" fontId="32" fillId="0" borderId="35" xfId="0" applyFont="1" applyFill="1" applyBorder="1" applyAlignment="1" applyProtection="1">
      <alignment horizontal="left"/>
      <protection locked="0"/>
    </xf>
    <xf numFmtId="0" fontId="32" fillId="0" borderId="36" xfId="0" applyFont="1" applyFill="1" applyBorder="1" applyAlignment="1" applyProtection="1">
      <alignment horizontal="left"/>
      <protection locked="0"/>
    </xf>
    <xf numFmtId="0" fontId="32" fillId="0" borderId="37" xfId="0" applyFont="1" applyFill="1" applyBorder="1" applyAlignment="1" applyProtection="1">
      <alignment horizontal="left"/>
      <protection locked="0"/>
    </xf>
    <xf numFmtId="0" fontId="13" fillId="0" borderId="0" xfId="0" applyFont="1" applyFill="1" applyBorder="1" applyAlignment="1" applyProtection="1">
      <alignment horizontal="left" vertical="top" wrapText="1"/>
    </xf>
    <xf numFmtId="0" fontId="14" fillId="0" borderId="0" xfId="0" applyFont="1" applyFill="1" applyBorder="1" applyAlignment="1" applyProtection="1">
      <alignment horizontal="left" indent="1"/>
      <protection locked="0"/>
    </xf>
    <xf numFmtId="0" fontId="21" fillId="2" borderId="0" xfId="0" applyFont="1" applyFill="1" applyBorder="1" applyAlignment="1" applyProtection="1">
      <alignment horizontal="left" vertical="center" wrapText="1"/>
    </xf>
    <xf numFmtId="0" fontId="7" fillId="3" borderId="0" xfId="0" applyFont="1" applyFill="1" applyBorder="1" applyAlignment="1" applyProtection="1">
      <alignment horizontal="left"/>
    </xf>
    <xf numFmtId="0" fontId="7" fillId="4" borderId="0" xfId="0" applyFont="1" applyFill="1" applyBorder="1" applyAlignment="1" applyProtection="1">
      <alignment horizontal="left"/>
    </xf>
    <xf numFmtId="0" fontId="13" fillId="2" borderId="0" xfId="0" applyFont="1" applyFill="1" applyAlignment="1" applyProtection="1">
      <alignment horizontal="left" vertical="top" wrapText="1"/>
    </xf>
    <xf numFmtId="0" fontId="5" fillId="0" borderId="0" xfId="0" applyFont="1" applyFill="1" applyBorder="1" applyAlignment="1" applyProtection="1">
      <alignment horizontal="center" vertical="center"/>
    </xf>
    <xf numFmtId="0" fontId="3" fillId="0" borderId="0" xfId="0" applyFont="1" applyFill="1" applyBorder="1" applyAlignment="1" applyProtection="1">
      <alignment horizontal="center" vertical="center"/>
    </xf>
    <xf numFmtId="0" fontId="22" fillId="2" borderId="0" xfId="0" quotePrefix="1" applyFont="1" applyFill="1" applyAlignment="1" applyProtection="1">
      <alignment wrapText="1"/>
    </xf>
    <xf numFmtId="0" fontId="23" fillId="2" borderId="0" xfId="0" applyFont="1" applyFill="1" applyAlignment="1" applyProtection="1">
      <alignment wrapText="1"/>
    </xf>
    <xf numFmtId="0" fontId="0" fillId="0" borderId="0" xfId="0" applyAlignment="1" applyProtection="1"/>
    <xf numFmtId="0" fontId="0" fillId="0" borderId="0" xfId="0" applyAlignment="1" applyProtection="1">
      <alignment horizontal="left"/>
    </xf>
    <xf numFmtId="0" fontId="0" fillId="3" borderId="0" xfId="0" applyFill="1" applyAlignment="1" applyProtection="1">
      <alignment horizontal="left" wrapText="1"/>
      <protection locked="0"/>
    </xf>
    <xf numFmtId="0" fontId="0" fillId="0" borderId="0" xfId="0" applyFill="1" applyAlignment="1" applyProtection="1">
      <alignment horizontal="left" vertical="top" wrapText="1"/>
    </xf>
    <xf numFmtId="0" fontId="0" fillId="0" borderId="0" xfId="0" applyFill="1" applyAlignment="1" applyProtection="1">
      <alignment horizontal="left" wrapText="1"/>
    </xf>
    <xf numFmtId="0" fontId="0" fillId="0" borderId="0" xfId="0" applyFill="1" applyAlignment="1" applyProtection="1">
      <alignment wrapText="1"/>
    </xf>
    <xf numFmtId="0" fontId="14" fillId="2" borderId="0" xfId="0" applyFont="1" applyFill="1" applyBorder="1" applyAlignment="1" applyProtection="1">
      <alignment horizontal="left" indent="7"/>
    </xf>
    <xf numFmtId="0" fontId="0" fillId="0" borderId="0" xfId="0" applyAlignment="1" applyProtection="1">
      <alignment wrapText="1"/>
    </xf>
    <xf numFmtId="0" fontId="3" fillId="0" borderId="0" xfId="0" applyFont="1" applyFill="1" applyBorder="1" applyAlignment="1" applyProtection="1">
      <alignment horizontal="center" vertical="center" wrapText="1"/>
    </xf>
    <xf numFmtId="0" fontId="3" fillId="0" borderId="2" xfId="0" applyFont="1" applyFill="1" applyBorder="1" applyAlignment="1" applyProtection="1">
      <alignment horizontal="center" vertical="center" wrapText="1"/>
    </xf>
    <xf numFmtId="0" fontId="3" fillId="4" borderId="0" xfId="0" applyFont="1" applyFill="1" applyBorder="1" applyAlignment="1" applyProtection="1">
      <alignment horizontal="center" vertical="center" wrapText="1"/>
      <protection locked="0"/>
    </xf>
    <xf numFmtId="0" fontId="0" fillId="3" borderId="0" xfId="0" applyFill="1" applyAlignment="1" applyProtection="1">
      <alignment wrapText="1"/>
      <protection locked="0"/>
    </xf>
    <xf numFmtId="0" fontId="13" fillId="2" borderId="0" xfId="0" applyFont="1" applyFill="1" applyAlignment="1" applyProtection="1">
      <alignment horizontal="left" vertical="top" wrapText="1" indent="7"/>
    </xf>
    <xf numFmtId="0" fontId="10" fillId="0" borderId="0" xfId="0" applyFont="1" applyBorder="1" applyAlignment="1" applyProtection="1">
      <alignment horizontal="left" wrapText="1"/>
    </xf>
    <xf numFmtId="0" fontId="5" fillId="0" borderId="0" xfId="0" applyFont="1" applyFill="1" applyAlignment="1" applyProtection="1">
      <alignment horizontal="center"/>
    </xf>
    <xf numFmtId="167" fontId="0" fillId="0" borderId="3" xfId="2" applyNumberFormat="1" applyFont="1" applyBorder="1" applyAlignment="1" applyProtection="1">
      <alignment horizontal="right"/>
    </xf>
    <xf numFmtId="167" fontId="0" fillId="0" borderId="4" xfId="2" applyNumberFormat="1" applyFont="1" applyBorder="1" applyAlignment="1" applyProtection="1">
      <alignment horizontal="right"/>
    </xf>
    <xf numFmtId="0" fontId="3" fillId="0" borderId="0" xfId="0" applyFont="1" applyBorder="1" applyAlignment="1" applyProtection="1">
      <alignment horizontal="left"/>
    </xf>
    <xf numFmtId="0" fontId="3" fillId="0" borderId="4" xfId="0" applyFont="1" applyBorder="1" applyAlignment="1" applyProtection="1">
      <alignment horizontal="left"/>
    </xf>
    <xf numFmtId="0" fontId="12" fillId="0" borderId="2" xfId="0" applyFont="1" applyFill="1" applyBorder="1" applyAlignment="1" applyProtection="1">
      <alignment horizontal="left"/>
    </xf>
    <xf numFmtId="0" fontId="3" fillId="0" borderId="2" xfId="0" applyFont="1" applyFill="1" applyBorder="1" applyAlignment="1" applyProtection="1">
      <alignment horizontal="left"/>
    </xf>
    <xf numFmtId="0" fontId="0" fillId="3" borderId="0" xfId="0" applyFill="1" applyBorder="1" applyAlignment="1" applyProtection="1">
      <alignment wrapText="1"/>
      <protection locked="0"/>
    </xf>
    <xf numFmtId="167" fontId="0" fillId="0" borderId="3" xfId="2" applyNumberFormat="1" applyFont="1" applyBorder="1" applyAlignment="1" applyProtection="1"/>
    <xf numFmtId="167" fontId="0" fillId="0" borderId="4" xfId="2" applyNumberFormat="1" applyFont="1" applyBorder="1" applyAlignment="1" applyProtection="1"/>
    <xf numFmtId="167" fontId="0" fillId="0" borderId="3" xfId="0" applyNumberFormat="1" applyBorder="1" applyAlignment="1" applyProtection="1">
      <alignment horizontal="right"/>
    </xf>
    <xf numFmtId="167" fontId="0" fillId="0" borderId="4" xfId="0" applyNumberFormat="1" applyBorder="1" applyAlignment="1" applyProtection="1">
      <alignment horizontal="right"/>
    </xf>
    <xf numFmtId="0" fontId="10" fillId="0" borderId="0" xfId="0" applyFont="1" applyBorder="1" applyAlignment="1" applyProtection="1">
      <alignment horizontal="left"/>
    </xf>
    <xf numFmtId="167" fontId="0" fillId="0" borderId="3" xfId="2" applyNumberFormat="1" applyFont="1" applyFill="1" applyBorder="1" applyAlignment="1" applyProtection="1">
      <alignment horizontal="right"/>
    </xf>
    <xf numFmtId="167" fontId="0" fillId="0" borderId="4" xfId="2" applyNumberFormat="1" applyFont="1" applyFill="1" applyBorder="1" applyAlignment="1" applyProtection="1">
      <alignment horizontal="right"/>
    </xf>
    <xf numFmtId="167" fontId="0" fillId="0" borderId="0" xfId="2" applyNumberFormat="1" applyFont="1" applyBorder="1" applyAlignment="1" applyProtection="1">
      <alignment horizontal="right"/>
    </xf>
    <xf numFmtId="167" fontId="0" fillId="0" borderId="2" xfId="2" applyNumberFormat="1" applyFont="1" applyBorder="1" applyAlignment="1" applyProtection="1"/>
    <xf numFmtId="167" fontId="0" fillId="0" borderId="21" xfId="2" applyNumberFormat="1" applyFont="1" applyBorder="1" applyAlignment="1" applyProtection="1">
      <alignment horizontal="right"/>
    </xf>
    <xf numFmtId="167" fontId="0" fillId="0" borderId="2" xfId="2" applyNumberFormat="1" applyFont="1" applyBorder="1" applyAlignment="1" applyProtection="1">
      <alignment horizontal="right"/>
    </xf>
    <xf numFmtId="49" fontId="10" fillId="0" borderId="0" xfId="0" applyNumberFormat="1" applyFont="1" applyBorder="1" applyAlignment="1" applyProtection="1">
      <alignment horizontal="left"/>
    </xf>
    <xf numFmtId="0" fontId="0" fillId="0" borderId="0" xfId="0" applyAlignment="1" applyProtection="1">
      <alignment horizontal="left" wrapText="1"/>
    </xf>
    <xf numFmtId="0" fontId="23" fillId="0" borderId="0" xfId="0" applyFont="1" applyFill="1" applyAlignment="1" applyProtection="1">
      <alignment wrapText="1"/>
    </xf>
    <xf numFmtId="0" fontId="13" fillId="2" borderId="0" xfId="0" applyFont="1" applyFill="1" applyAlignment="1" applyProtection="1">
      <alignment horizontal="left" vertical="top" wrapText="1" indent="8"/>
    </xf>
    <xf numFmtId="0" fontId="14" fillId="2" borderId="0" xfId="0" applyFont="1" applyFill="1" applyBorder="1" applyAlignment="1" applyProtection="1">
      <alignment horizontal="left" indent="8"/>
    </xf>
    <xf numFmtId="0" fontId="5" fillId="0" borderId="0" xfId="0" applyFont="1" applyFill="1" applyAlignment="1" applyProtection="1">
      <alignment horizontal="center" vertical="center"/>
    </xf>
    <xf numFmtId="0" fontId="3" fillId="0" borderId="2" xfId="0" applyFont="1" applyBorder="1" applyAlignment="1" applyProtection="1">
      <alignment horizontal="center" vertical="center"/>
    </xf>
    <xf numFmtId="0" fontId="3" fillId="0" borderId="0" xfId="0" applyNumberFormat="1" applyFont="1" applyFill="1" applyBorder="1" applyAlignment="1" applyProtection="1">
      <alignment horizontal="center"/>
    </xf>
    <xf numFmtId="49" fontId="3" fillId="0" borderId="0" xfId="0" applyNumberFormat="1" applyFont="1" applyFill="1" applyBorder="1" applyAlignment="1" applyProtection="1">
      <alignment horizontal="center"/>
    </xf>
    <xf numFmtId="0" fontId="13" fillId="2" borderId="0" xfId="0" applyFont="1" applyFill="1" applyAlignment="1" applyProtection="1">
      <alignment horizontal="left" vertical="top" wrapText="1" indent="6"/>
    </xf>
    <xf numFmtId="0" fontId="14" fillId="2" borderId="0" xfId="0" applyFont="1" applyFill="1" applyBorder="1" applyAlignment="1" applyProtection="1">
      <alignment horizontal="left" indent="6"/>
    </xf>
    <xf numFmtId="0" fontId="3" fillId="0" borderId="0" xfId="0" applyFont="1" applyAlignment="1" applyProtection="1">
      <alignment horizontal="left"/>
    </xf>
    <xf numFmtId="0" fontId="3" fillId="0" borderId="0" xfId="0" applyFont="1" applyBorder="1" applyAlignment="1" applyProtection="1">
      <alignment horizontal="center" vertical="center"/>
    </xf>
    <xf numFmtId="0" fontId="3" fillId="0" borderId="0" xfId="0" applyFont="1" applyBorder="1" applyAlignment="1" applyProtection="1">
      <alignment horizontal="center" wrapText="1"/>
    </xf>
    <xf numFmtId="0" fontId="3" fillId="0" borderId="2" xfId="0" applyFont="1" applyBorder="1" applyAlignment="1" applyProtection="1">
      <alignment horizontal="center" wrapText="1"/>
    </xf>
    <xf numFmtId="0" fontId="3" fillId="2" borderId="2" xfId="0" applyFont="1" applyFill="1" applyBorder="1" applyAlignment="1" applyProtection="1">
      <alignment horizontal="center"/>
    </xf>
    <xf numFmtId="0" fontId="3" fillId="2" borderId="38" xfId="0" applyFont="1" applyFill="1" applyBorder="1" applyAlignment="1" applyProtection="1">
      <alignment horizontal="center" vertical="center" wrapText="1"/>
    </xf>
    <xf numFmtId="0" fontId="3" fillId="2" borderId="7" xfId="0" applyFont="1" applyFill="1" applyBorder="1" applyAlignment="1" applyProtection="1">
      <alignment horizontal="center" vertical="center" wrapText="1"/>
    </xf>
    <xf numFmtId="0" fontId="3" fillId="2" borderId="10" xfId="0" applyFont="1" applyFill="1" applyBorder="1" applyAlignment="1" applyProtection="1">
      <alignment horizontal="center" vertical="center" wrapText="1"/>
    </xf>
    <xf numFmtId="0" fontId="3" fillId="2" borderId="8" xfId="0" applyFont="1" applyFill="1" applyBorder="1" applyAlignment="1" applyProtection="1">
      <alignment horizontal="center" vertical="center" wrapText="1"/>
    </xf>
    <xf numFmtId="167" fontId="7" fillId="0" borderId="0" xfId="2" applyNumberFormat="1" applyFont="1" applyBorder="1" applyAlignment="1" applyProtection="1">
      <alignment horizontal="right" vertical="center"/>
    </xf>
    <xf numFmtId="167" fontId="7" fillId="0" borderId="0" xfId="0" applyNumberFormat="1" applyFont="1" applyAlignment="1" applyProtection="1">
      <alignment horizontal="right"/>
    </xf>
    <xf numFmtId="0" fontId="3" fillId="2" borderId="2" xfId="0" applyFont="1" applyFill="1" applyBorder="1" applyAlignment="1" applyProtection="1">
      <alignment horizontal="center" vertical="center" wrapText="1"/>
    </xf>
    <xf numFmtId="0" fontId="27" fillId="2" borderId="0" xfId="0" applyFont="1" applyFill="1" applyAlignment="1" applyProtection="1">
      <alignment horizontal="left" wrapText="1"/>
    </xf>
    <xf numFmtId="167" fontId="0" fillId="0" borderId="0" xfId="2" applyNumberFormat="1" applyFont="1" applyAlignment="1" applyProtection="1">
      <alignment horizontal="right"/>
    </xf>
    <xf numFmtId="167" fontId="0" fillId="0" borderId="0" xfId="2" applyNumberFormat="1" applyFont="1" applyAlignment="1" applyProtection="1"/>
    <xf numFmtId="167" fontId="0" fillId="0" borderId="0" xfId="0" applyNumberFormat="1" applyAlignment="1" applyProtection="1"/>
    <xf numFmtId="167" fontId="0" fillId="0" borderId="0" xfId="2" applyNumberFormat="1" applyFont="1" applyBorder="1" applyAlignment="1" applyProtection="1"/>
    <xf numFmtId="167" fontId="0" fillId="0" borderId="0" xfId="0" applyNumberFormat="1" applyBorder="1" applyAlignment="1" applyProtection="1"/>
    <xf numFmtId="167" fontId="28" fillId="0" borderId="0" xfId="2" applyNumberFormat="1" applyFont="1" applyAlignment="1" applyProtection="1"/>
    <xf numFmtId="167" fontId="28" fillId="0" borderId="0" xfId="0" applyNumberFormat="1" applyFont="1" applyAlignment="1" applyProtection="1"/>
    <xf numFmtId="167" fontId="0" fillId="0" borderId="0" xfId="2" applyNumberFormat="1" applyFont="1" applyFill="1" applyBorder="1" applyAlignment="1" applyProtection="1">
      <alignment horizontal="right"/>
    </xf>
    <xf numFmtId="167" fontId="0" fillId="0" borderId="2" xfId="2" applyNumberFormat="1" applyFont="1" applyFill="1" applyBorder="1" applyAlignment="1" applyProtection="1">
      <alignment horizontal="right"/>
    </xf>
    <xf numFmtId="167" fontId="0" fillId="0" borderId="21" xfId="0" applyNumberFormat="1" applyBorder="1" applyAlignment="1" applyProtection="1">
      <alignment horizontal="center"/>
    </xf>
    <xf numFmtId="167" fontId="0" fillId="0" borderId="6" xfId="2" applyNumberFormat="1" applyFont="1" applyBorder="1" applyAlignment="1" applyProtection="1">
      <alignment horizontal="right"/>
    </xf>
    <xf numFmtId="167" fontId="0" fillId="0" borderId="2" xfId="0" applyNumberFormat="1" applyBorder="1" applyAlignment="1" applyProtection="1"/>
    <xf numFmtId="167" fontId="0" fillId="0" borderId="2" xfId="0" applyNumberFormat="1" applyBorder="1" applyAlignment="1" applyProtection="1">
      <alignment horizontal="right"/>
    </xf>
    <xf numFmtId="167" fontId="0" fillId="0" borderId="3" xfId="0" applyNumberFormat="1" applyFill="1" applyBorder="1" applyAlignment="1" applyProtection="1">
      <alignment horizontal="right"/>
    </xf>
    <xf numFmtId="167" fontId="0" fillId="0" borderId="4" xfId="0" applyNumberFormat="1" applyFill="1" applyBorder="1" applyAlignment="1" applyProtection="1">
      <alignment horizontal="right"/>
    </xf>
    <xf numFmtId="0" fontId="0" fillId="3" borderId="5" xfId="0" applyFill="1" applyBorder="1" applyAlignment="1" applyProtection="1">
      <alignment vertical="top" wrapText="1"/>
      <protection locked="0"/>
    </xf>
    <xf numFmtId="0" fontId="0" fillId="0" borderId="0" xfId="0" applyAlignment="1">
      <alignment vertical="top" wrapText="1"/>
    </xf>
    <xf numFmtId="0" fontId="0" fillId="0" borderId="1" xfId="0" applyBorder="1" applyAlignment="1">
      <alignment vertical="top" wrapText="1"/>
    </xf>
    <xf numFmtId="0" fontId="0" fillId="3" borderId="7" xfId="0" applyFill="1" applyBorder="1" applyAlignment="1" applyProtection="1">
      <alignment vertical="top" wrapText="1"/>
      <protection locked="0"/>
    </xf>
    <xf numFmtId="0" fontId="0" fillId="0" borderId="2" xfId="0" applyBorder="1" applyAlignment="1">
      <alignment vertical="top" wrapText="1"/>
    </xf>
    <xf numFmtId="0" fontId="0" fillId="0" borderId="8" xfId="0" applyBorder="1" applyAlignment="1">
      <alignment vertical="top" wrapText="1"/>
    </xf>
    <xf numFmtId="0" fontId="3" fillId="0" borderId="0" xfId="0" applyFont="1" applyAlignment="1" applyProtection="1">
      <alignment horizontal="center" wrapText="1"/>
    </xf>
    <xf numFmtId="0" fontId="0" fillId="0" borderId="0" xfId="0" applyAlignment="1">
      <alignment horizontal="center" wrapText="1"/>
    </xf>
    <xf numFmtId="0" fontId="3" fillId="0" borderId="18" xfId="0" applyFont="1" applyFill="1" applyBorder="1" applyAlignment="1" applyProtection="1">
      <alignment horizontal="center" wrapText="1"/>
    </xf>
    <xf numFmtId="0" fontId="0" fillId="0" borderId="12" xfId="0" applyBorder="1" applyAlignment="1">
      <alignment wrapText="1"/>
    </xf>
    <xf numFmtId="0" fontId="3" fillId="0" borderId="1" xfId="0" applyFont="1" applyFill="1" applyBorder="1" applyAlignment="1" applyProtection="1">
      <alignment horizontal="center" wrapText="1"/>
    </xf>
    <xf numFmtId="0" fontId="0" fillId="0" borderId="8" xfId="0" applyBorder="1" applyAlignment="1">
      <alignment wrapText="1"/>
    </xf>
    <xf numFmtId="0" fontId="0" fillId="3" borderId="38" xfId="0" applyFill="1" applyBorder="1" applyAlignment="1" applyProtection="1">
      <alignment vertical="top" wrapText="1"/>
      <protection locked="0"/>
    </xf>
    <xf numFmtId="0" fontId="0" fillId="0" borderId="3" xfId="0" applyBorder="1" applyAlignment="1">
      <alignment vertical="top" wrapText="1"/>
    </xf>
    <xf numFmtId="0" fontId="0" fillId="0" borderId="10" xfId="0" applyBorder="1" applyAlignment="1">
      <alignment vertical="top" wrapText="1"/>
    </xf>
    <xf numFmtId="0" fontId="3" fillId="0" borderId="39" xfId="0" applyFont="1" applyBorder="1" applyAlignment="1" applyProtection="1">
      <alignment horizontal="center"/>
    </xf>
    <xf numFmtId="0" fontId="3" fillId="0" borderId="40" xfId="0" applyFont="1" applyBorder="1" applyAlignment="1" applyProtection="1">
      <alignment horizontal="center"/>
    </xf>
    <xf numFmtId="0" fontId="3" fillId="0" borderId="41" xfId="0" applyFont="1" applyBorder="1" applyAlignment="1" applyProtection="1">
      <alignment horizontal="center"/>
    </xf>
    <xf numFmtId="0" fontId="5" fillId="0" borderId="0" xfId="0" applyFont="1" applyAlignment="1" applyProtection="1">
      <alignment horizontal="center"/>
    </xf>
  </cellXfs>
  <cellStyles count="7">
    <cellStyle name="Comma" xfId="1" builtinId="3"/>
    <cellStyle name="Currency" xfId="2" builtinId="4"/>
    <cellStyle name="Hyperlink" xfId="3" builtinId="8"/>
    <cellStyle name="Normal" xfId="0" builtinId="0"/>
    <cellStyle name="Normal_Sheet3" xfId="4"/>
    <cellStyle name="Normal_Table of Contents" xfId="5"/>
    <cellStyle name="Percent" xfId="6" builtinId="5"/>
  </cellStyles>
  <dxfs count="11">
    <dxf>
      <fill>
        <patternFill patternType="none">
          <bgColor indexed="65"/>
        </patternFill>
      </fill>
      <border>
        <bottom/>
      </border>
    </dxf>
    <dxf>
      <fill>
        <patternFill patternType="none">
          <bgColor indexed="65"/>
        </patternFill>
      </fill>
      <border>
        <left/>
        <right/>
        <top/>
        <bottom/>
      </border>
    </dxf>
    <dxf>
      <fill>
        <patternFill>
          <bgColor indexed="9"/>
        </patternFill>
      </fill>
      <border>
        <left/>
        <right/>
        <top/>
        <bottom/>
      </border>
    </dxf>
    <dxf>
      <fill>
        <patternFill patternType="solid">
          <bgColor indexed="9"/>
        </patternFill>
      </fill>
      <border>
        <bottom/>
      </border>
    </dxf>
    <dxf>
      <fill>
        <patternFill patternType="none">
          <bgColor indexed="65"/>
        </patternFill>
      </fill>
      <border>
        <bottom/>
      </border>
    </dxf>
    <dxf>
      <fill>
        <patternFill patternType="none">
          <bgColor indexed="65"/>
        </patternFill>
      </fill>
      <border>
        <top/>
        <bottom/>
      </border>
    </dxf>
    <dxf>
      <fill>
        <patternFill>
          <bgColor indexed="9"/>
        </patternFill>
      </fill>
      <border>
        <bottom style="thin">
          <color indexed="64"/>
        </bottom>
      </border>
    </dxf>
    <dxf>
      <fill>
        <patternFill>
          <bgColor indexed="9"/>
        </patternFill>
      </fill>
      <border>
        <bottom style="thin">
          <color indexed="64"/>
        </bottom>
      </border>
    </dxf>
    <dxf>
      <font>
        <condense val="0"/>
        <extend val="0"/>
        <color indexed="9"/>
      </font>
    </dxf>
    <dxf>
      <font>
        <condense val="0"/>
        <extend val="0"/>
        <color indexed="42"/>
      </font>
    </dxf>
    <dxf>
      <font>
        <condense val="0"/>
        <extend val="0"/>
        <color indexed="9"/>
      </font>
      <border>
        <top/>
      </border>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activeX1.xml><?xml version="1.0" encoding="utf-8"?>
<ax:ocx xmlns:ax="http://schemas.microsoft.com/office/2006/activeX" xmlns:r="http://schemas.openxmlformats.org/officeDocument/2006/relationships" ax:classid="{8BD21D50-EC42-11CE-9E0D-00AA006002F3}" ax:persistence="persistStreamInit" r:id="rId1"/>
</file>

<file path=xl/activeX/activeX2.xml><?xml version="1.0" encoding="utf-8"?>
<ax:ocx xmlns:ax="http://schemas.microsoft.com/office/2006/activeX" xmlns:r="http://schemas.openxmlformats.org/officeDocument/2006/relationships" ax:classid="{8BD21D50-EC42-11CE-9E0D-00AA006002F3}" ax:persistence="persistStreamInit" r:id="rId1"/>
</file>

<file path=xl/activeX/activeX3.xml><?xml version="1.0" encoding="utf-8"?>
<ax:ocx xmlns:ax="http://schemas.microsoft.com/office/2006/activeX" xmlns:r="http://schemas.openxmlformats.org/officeDocument/2006/relationships" ax:classid="{8BD21D50-EC42-11CE-9E0D-00AA006002F3}" ax:persistence="persistStreamInit" r:id="rId1"/>
</file>

<file path=xl/activeX/activeX4.xml><?xml version="1.0" encoding="utf-8"?>
<ax:ocx xmlns:ax="http://schemas.microsoft.com/office/2006/activeX" xmlns:r="http://schemas.openxmlformats.org/officeDocument/2006/relationships" ax:classid="{8BD21D50-EC42-11CE-9E0D-00AA006002F3}" ax:persistence="persistStreamInit" r:id="rId1"/>
</file>

<file path=xl/ctrlProps/ctrlProp1.xml><?xml version="1.0" encoding="utf-8"?>
<formControlPr xmlns="http://schemas.microsoft.com/office/spreadsheetml/2009/9/main" objectType="List" dx="16" fmlaLink="$AA$1" fmlaRange="$AA$21:$AA$107" sel="79" val="77"/>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jpeg"/><Relationship Id="rId4" Type="http://schemas.openxmlformats.org/officeDocument/2006/relationships/image" Target="../media/image4.png"/></Relationships>
</file>

<file path=xl/drawings/_rels/drawing10.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11.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4.png"/><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4.png"/><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4.png"/><Relationship Id="rId1" Type="http://schemas.openxmlformats.org/officeDocument/2006/relationships/image" Target="../media/image3.png"/></Relationships>
</file>

<file path=xl/drawings/_rels/drawing8.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9.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6.emf"/><Relationship Id="rId1" Type="http://schemas.openxmlformats.org/officeDocument/2006/relationships/image" Target="../media/image7.emf"/></Relationships>
</file>

<file path=xl/drawings/_rels/vmlDrawing3.vml.rels><?xml version="1.0" encoding="UTF-8" standalone="yes"?>
<Relationships xmlns="http://schemas.openxmlformats.org/package/2006/relationships"><Relationship Id="rId2" Type="http://schemas.openxmlformats.org/officeDocument/2006/relationships/image" Target="../media/image8.emf"/><Relationship Id="rId1" Type="http://schemas.openxmlformats.org/officeDocument/2006/relationships/image" Target="../media/image9.emf"/></Relationships>
</file>

<file path=xl/drawings/drawing1.xml><?xml version="1.0" encoding="utf-8"?>
<xdr:wsDr xmlns:xdr="http://schemas.openxmlformats.org/drawingml/2006/spreadsheetDrawing" xmlns:a="http://schemas.openxmlformats.org/drawingml/2006/main">
  <xdr:twoCellAnchor>
    <xdr:from>
      <xdr:col>1</xdr:col>
      <xdr:colOff>457200</xdr:colOff>
      <xdr:row>18</xdr:row>
      <xdr:rowOff>104775</xdr:rowOff>
    </xdr:from>
    <xdr:to>
      <xdr:col>6</xdr:col>
      <xdr:colOff>266700</xdr:colOff>
      <xdr:row>20</xdr:row>
      <xdr:rowOff>19050</xdr:rowOff>
    </xdr:to>
    <xdr:grpSp>
      <xdr:nvGrpSpPr>
        <xdr:cNvPr id="12338" name="Group 19"/>
        <xdr:cNvGrpSpPr>
          <a:grpSpLocks/>
        </xdr:cNvGrpSpPr>
      </xdr:nvGrpSpPr>
      <xdr:grpSpPr bwMode="auto">
        <a:xfrm>
          <a:off x="1066800" y="3019425"/>
          <a:ext cx="2857500" cy="285750"/>
          <a:chOff x="130" y="598"/>
          <a:chExt cx="300" cy="30"/>
        </a:xfrm>
      </xdr:grpSpPr>
      <xdr:pic>
        <xdr:nvPicPr>
          <xdr:cNvPr id="12358" name="Picture 20"/>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47421" t="45313" r="24376" b="50000"/>
          <a:stretch>
            <a:fillRect/>
          </a:stretch>
        </xdr:blipFill>
        <xdr:spPr bwMode="auto">
          <a:xfrm>
            <a:off x="130" y="598"/>
            <a:ext cx="264" cy="28"/>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sp macro="" textlink="">
        <xdr:nvSpPr>
          <xdr:cNvPr id="12309" name="Text Box 21"/>
          <xdr:cNvSpPr txBox="1">
            <a:spLocks noChangeArrowheads="1"/>
          </xdr:cNvSpPr>
        </xdr:nvSpPr>
        <xdr:spPr bwMode="auto">
          <a:xfrm>
            <a:off x="131" y="599"/>
            <a:ext cx="299" cy="2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32004" rIns="0" bIns="0" anchor="t" upright="1"/>
          <a:lstStyle/>
          <a:p>
            <a:pPr algn="l" rtl="0">
              <a:defRPr sz="1000"/>
            </a:pPr>
            <a:r>
              <a:rPr lang="en-CA" sz="1200" b="1" i="0" u="none" strike="noStrike" baseline="0">
                <a:solidFill>
                  <a:srgbClr val="FFFFFF"/>
                </a:solidFill>
                <a:latin typeface="Book Antiqua"/>
              </a:rPr>
              <a:t>Application Contact Information</a:t>
            </a:r>
          </a:p>
        </xdr:txBody>
      </xdr:sp>
    </xdr:grpSp>
    <xdr:clientData/>
  </xdr:twoCellAnchor>
  <xdr:twoCellAnchor>
    <xdr:from>
      <xdr:col>1</xdr:col>
      <xdr:colOff>457200</xdr:colOff>
      <xdr:row>31</xdr:row>
      <xdr:rowOff>95250</xdr:rowOff>
    </xdr:from>
    <xdr:to>
      <xdr:col>3</xdr:col>
      <xdr:colOff>266700</xdr:colOff>
      <xdr:row>33</xdr:row>
      <xdr:rowOff>57150</xdr:rowOff>
    </xdr:to>
    <xdr:grpSp>
      <xdr:nvGrpSpPr>
        <xdr:cNvPr id="12339" name="Group 22"/>
        <xdr:cNvGrpSpPr>
          <a:grpSpLocks/>
        </xdr:cNvGrpSpPr>
      </xdr:nvGrpSpPr>
      <xdr:grpSpPr bwMode="auto">
        <a:xfrm>
          <a:off x="1066800" y="5629275"/>
          <a:ext cx="1028700" cy="342900"/>
          <a:chOff x="240" y="648"/>
          <a:chExt cx="108" cy="30"/>
        </a:xfrm>
      </xdr:grpSpPr>
      <xdr:pic>
        <xdr:nvPicPr>
          <xdr:cNvPr id="12356" name="Picture 2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47421" t="45313" r="24376" b="50000"/>
          <a:stretch>
            <a:fillRect/>
          </a:stretch>
        </xdr:blipFill>
        <xdr:spPr bwMode="auto">
          <a:xfrm>
            <a:off x="240" y="648"/>
            <a:ext cx="95" cy="28"/>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sp macro="" textlink="">
        <xdr:nvSpPr>
          <xdr:cNvPr id="12312" name="Text Box 24"/>
          <xdr:cNvSpPr txBox="1">
            <a:spLocks noChangeArrowheads="1"/>
          </xdr:cNvSpPr>
        </xdr:nvSpPr>
        <xdr:spPr bwMode="auto">
          <a:xfrm>
            <a:off x="241" y="649"/>
            <a:ext cx="107" cy="2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32004" rIns="0" bIns="0" anchor="t" upright="1"/>
          <a:lstStyle/>
          <a:p>
            <a:pPr algn="l" rtl="0">
              <a:defRPr sz="1000"/>
            </a:pPr>
            <a:r>
              <a:rPr lang="en-CA" sz="1200" b="1" i="0" u="none" strike="noStrike" baseline="0">
                <a:solidFill>
                  <a:srgbClr val="FFFFFF"/>
                </a:solidFill>
                <a:latin typeface="Book Antiqua"/>
              </a:rPr>
              <a:t>Copyright</a:t>
            </a:r>
          </a:p>
        </xdr:txBody>
      </xdr:sp>
    </xdr:grpSp>
    <xdr:clientData/>
  </xdr:twoCellAnchor>
  <xdr:twoCellAnchor>
    <xdr:from>
      <xdr:col>1</xdr:col>
      <xdr:colOff>447675</xdr:colOff>
      <xdr:row>34</xdr:row>
      <xdr:rowOff>28575</xdr:rowOff>
    </xdr:from>
    <xdr:to>
      <xdr:col>12</xdr:col>
      <xdr:colOff>228600</xdr:colOff>
      <xdr:row>42</xdr:row>
      <xdr:rowOff>19050</xdr:rowOff>
    </xdr:to>
    <xdr:grpSp>
      <xdr:nvGrpSpPr>
        <xdr:cNvPr id="12340" name="Group 49"/>
        <xdr:cNvGrpSpPr>
          <a:grpSpLocks/>
        </xdr:cNvGrpSpPr>
      </xdr:nvGrpSpPr>
      <xdr:grpSpPr bwMode="auto">
        <a:xfrm>
          <a:off x="1057275" y="6134100"/>
          <a:ext cx="6486525" cy="1485900"/>
          <a:chOff x="111" y="644"/>
          <a:chExt cx="681" cy="156"/>
        </a:xfrm>
      </xdr:grpSpPr>
      <xdr:pic>
        <xdr:nvPicPr>
          <xdr:cNvPr id="12354" name="Picture 2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75937" t="68555" r="12968" b="23633"/>
          <a:stretch>
            <a:fillRect/>
          </a:stretch>
        </xdr:blipFill>
        <xdr:spPr bwMode="auto">
          <a:xfrm>
            <a:off x="111" y="644"/>
            <a:ext cx="681" cy="156"/>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sp macro="" textlink="">
        <xdr:nvSpPr>
          <xdr:cNvPr id="12314" name="Text Box 26"/>
          <xdr:cNvSpPr txBox="1">
            <a:spLocks noChangeArrowheads="1"/>
          </xdr:cNvSpPr>
        </xdr:nvSpPr>
        <xdr:spPr bwMode="auto">
          <a:xfrm>
            <a:off x="116" y="653"/>
            <a:ext cx="663" cy="13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CA" sz="900" b="1" i="1" u="none" strike="noStrike" baseline="0">
                <a:solidFill>
                  <a:srgbClr val="000000"/>
                </a:solidFill>
                <a:latin typeface="Arial"/>
                <a:cs typeface="Arial"/>
              </a:rPr>
              <a:t>This Revenue Requirement Work Form Model is protected by copyright and is being made available to you solely for the purpose of your application, any subsequent updates and preparing or reviewing your draft rate order.   You may use and copy this model for that purpose, and provide a copy of this model to any person that is advising or assisting you in that regard.  Except as indicated above, any copying, reproduction, publication, sale, adaptation, translation, modification, reverse engineering or other use or dissemination of this model without the express written consent of the Ontario Energy Board is prohibited.  If you provide a copy of this model to a person that is advising or assisting you in preparing or reviewing your draft rate order, you must ensure that the person understands and agrees to the restrictions noted above.</a:t>
            </a:r>
          </a:p>
        </xdr:txBody>
      </xdr:sp>
    </xdr:grpSp>
    <xdr:clientData/>
  </xdr:twoCellAnchor>
  <xdr:twoCellAnchor>
    <xdr:from>
      <xdr:col>0</xdr:col>
      <xdr:colOff>19050</xdr:colOff>
      <xdr:row>0</xdr:row>
      <xdr:rowOff>28575</xdr:rowOff>
    </xdr:from>
    <xdr:to>
      <xdr:col>17</xdr:col>
      <xdr:colOff>38100</xdr:colOff>
      <xdr:row>17</xdr:row>
      <xdr:rowOff>19050</xdr:rowOff>
    </xdr:to>
    <xdr:pic>
      <xdr:nvPicPr>
        <xdr:cNvPr id="12341" name="Picture 29"/>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4688" t="6152" r="10156" b="67480"/>
        <a:stretch>
          <a:fillRect/>
        </a:stretch>
      </xdr:blipFill>
      <xdr:spPr bwMode="auto">
        <a:xfrm>
          <a:off x="19050" y="28575"/>
          <a:ext cx="10382250" cy="27432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9</xdr:col>
      <xdr:colOff>190500</xdr:colOff>
      <xdr:row>0</xdr:row>
      <xdr:rowOff>19050</xdr:rowOff>
    </xdr:from>
    <xdr:to>
      <xdr:col>17</xdr:col>
      <xdr:colOff>38100</xdr:colOff>
      <xdr:row>1</xdr:row>
      <xdr:rowOff>104775</xdr:rowOff>
    </xdr:to>
    <xdr:pic>
      <xdr:nvPicPr>
        <xdr:cNvPr id="12342" name="Picture 30"/>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51094" t="7813" r="10156" b="89844"/>
        <a:stretch>
          <a:fillRect/>
        </a:stretch>
      </xdr:blipFill>
      <xdr:spPr bwMode="auto">
        <a:xfrm>
          <a:off x="5676900" y="19050"/>
          <a:ext cx="4724400" cy="2476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1</xdr:col>
      <xdr:colOff>457200</xdr:colOff>
      <xdr:row>12</xdr:row>
      <xdr:rowOff>123825</xdr:rowOff>
    </xdr:from>
    <xdr:to>
      <xdr:col>17</xdr:col>
      <xdr:colOff>47625</xdr:colOff>
      <xdr:row>17</xdr:row>
      <xdr:rowOff>9525</xdr:rowOff>
    </xdr:to>
    <xdr:pic>
      <xdr:nvPicPr>
        <xdr:cNvPr id="12343" name="Picture 31"/>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l="82187" t="25977" r="10547" b="67773"/>
        <a:stretch>
          <a:fillRect/>
        </a:stretch>
      </xdr:blipFill>
      <xdr:spPr bwMode="auto">
        <a:xfrm>
          <a:off x="1066800" y="2066925"/>
          <a:ext cx="9344025" cy="69532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9</xdr:col>
      <xdr:colOff>466725</xdr:colOff>
      <xdr:row>6</xdr:row>
      <xdr:rowOff>19050</xdr:rowOff>
    </xdr:from>
    <xdr:to>
      <xdr:col>17</xdr:col>
      <xdr:colOff>28575</xdr:colOff>
      <xdr:row>10</xdr:row>
      <xdr:rowOff>114300</xdr:rowOff>
    </xdr:to>
    <xdr:pic>
      <xdr:nvPicPr>
        <xdr:cNvPr id="12344" name="Picture 32"/>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52969" t="22168" r="10625" b="74707"/>
        <a:stretch>
          <a:fillRect/>
        </a:stretch>
      </xdr:blipFill>
      <xdr:spPr bwMode="auto">
        <a:xfrm>
          <a:off x="5953125" y="990600"/>
          <a:ext cx="4438650" cy="7429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10</xdr:col>
      <xdr:colOff>114300</xdr:colOff>
      <xdr:row>5</xdr:row>
      <xdr:rowOff>38100</xdr:rowOff>
    </xdr:from>
    <xdr:to>
      <xdr:col>15</xdr:col>
      <xdr:colOff>38100</xdr:colOff>
      <xdr:row>12</xdr:row>
      <xdr:rowOff>76200</xdr:rowOff>
    </xdr:to>
    <xdr:sp macro="" textlink="">
      <xdr:nvSpPr>
        <xdr:cNvPr id="12321" name="Text Box 33"/>
        <xdr:cNvSpPr txBox="1">
          <a:spLocks noChangeArrowheads="1"/>
        </xdr:cNvSpPr>
      </xdr:nvSpPr>
      <xdr:spPr bwMode="auto">
        <a:xfrm>
          <a:off x="6210300" y="847725"/>
          <a:ext cx="2971800" cy="11715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36576" bIns="0" anchor="t" upright="1"/>
        <a:lstStyle/>
        <a:p>
          <a:pPr algn="ctr" rtl="0">
            <a:defRPr sz="1000"/>
          </a:pPr>
          <a:r>
            <a:rPr lang="en-CA" sz="1600" b="1" i="0" u="none" strike="noStrike" baseline="0">
              <a:solidFill>
                <a:srgbClr val="FF0000"/>
              </a:solidFill>
              <a:latin typeface="Book Antiqua"/>
            </a:rPr>
            <a:t>REVENUE REQUIREMENT WORK FORM</a:t>
          </a:r>
        </a:p>
        <a:p>
          <a:pPr algn="ctr" rtl="0">
            <a:defRPr sz="1000"/>
          </a:pPr>
          <a:endParaRPr lang="en-CA" sz="1600" b="1" i="0" u="none" strike="noStrike" baseline="0">
            <a:solidFill>
              <a:srgbClr val="FF0000"/>
            </a:solidFill>
            <a:latin typeface="Book Antiqua"/>
          </a:endParaRPr>
        </a:p>
        <a:p>
          <a:pPr algn="ctr" rtl="0">
            <a:defRPr sz="1000"/>
          </a:pPr>
          <a:r>
            <a:rPr lang="en-CA" sz="1200" b="1" i="0" u="none" strike="noStrike" baseline="0">
              <a:solidFill>
                <a:srgbClr val="FF0000"/>
              </a:solidFill>
              <a:latin typeface="Book Antiqua"/>
            </a:rPr>
            <a:t>Version 2.20</a:t>
          </a:r>
        </a:p>
      </xdr:txBody>
    </xdr:sp>
    <xdr:clientData/>
  </xdr:twoCellAnchor>
  <xdr:twoCellAnchor>
    <xdr:from>
      <xdr:col>1</xdr:col>
      <xdr:colOff>514350</xdr:colOff>
      <xdr:row>12</xdr:row>
      <xdr:rowOff>104775</xdr:rowOff>
    </xdr:from>
    <xdr:to>
      <xdr:col>6</xdr:col>
      <xdr:colOff>523875</xdr:colOff>
      <xdr:row>14</xdr:row>
      <xdr:rowOff>76200</xdr:rowOff>
    </xdr:to>
    <xdr:sp macro="" textlink="">
      <xdr:nvSpPr>
        <xdr:cNvPr id="12322" name="Text Box 34"/>
        <xdr:cNvSpPr txBox="1">
          <a:spLocks noChangeArrowheads="1"/>
        </xdr:cNvSpPr>
      </xdr:nvSpPr>
      <xdr:spPr bwMode="auto">
        <a:xfrm>
          <a:off x="1123950" y="2047875"/>
          <a:ext cx="3057525" cy="2952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32004" rIns="0" bIns="0" anchor="t" upright="1"/>
        <a:lstStyle/>
        <a:p>
          <a:pPr algn="l" rtl="0">
            <a:defRPr sz="1000"/>
          </a:pPr>
          <a:r>
            <a:rPr lang="en-CA" sz="1200" b="1" i="0" u="none" strike="noStrike" baseline="0">
              <a:solidFill>
                <a:srgbClr val="FFFFFF"/>
              </a:solidFill>
              <a:latin typeface="Book Antiqua"/>
            </a:rPr>
            <a:t>Choose Your Utility:</a:t>
          </a:r>
        </a:p>
      </xdr:txBody>
    </xdr:sp>
    <xdr:clientData/>
  </xdr:twoCellAnchor>
  <xdr:twoCellAnchor>
    <xdr:from>
      <xdr:col>7</xdr:col>
      <xdr:colOff>209550</xdr:colOff>
      <xdr:row>12</xdr:row>
      <xdr:rowOff>104775</xdr:rowOff>
    </xdr:from>
    <xdr:to>
      <xdr:col>8</xdr:col>
      <xdr:colOff>600075</xdr:colOff>
      <xdr:row>14</xdr:row>
      <xdr:rowOff>76200</xdr:rowOff>
    </xdr:to>
    <xdr:sp macro="" textlink="">
      <xdr:nvSpPr>
        <xdr:cNvPr id="12323" name="Text Box 35"/>
        <xdr:cNvSpPr txBox="1">
          <a:spLocks noChangeArrowheads="1"/>
        </xdr:cNvSpPr>
      </xdr:nvSpPr>
      <xdr:spPr bwMode="auto">
        <a:xfrm>
          <a:off x="4476750" y="2047875"/>
          <a:ext cx="1000125" cy="2952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32004" rIns="0" bIns="0" anchor="t" upright="1"/>
        <a:lstStyle/>
        <a:p>
          <a:pPr algn="l" rtl="0">
            <a:defRPr sz="1000"/>
          </a:pPr>
          <a:r>
            <a:rPr lang="en-CA" sz="1200" b="1" i="0" u="none" strike="noStrike" baseline="0">
              <a:solidFill>
                <a:srgbClr val="FFFFFF"/>
              </a:solidFill>
              <a:latin typeface="Book Antiqua"/>
            </a:rPr>
            <a:t>File Number:</a:t>
          </a:r>
        </a:p>
      </xdr:txBody>
    </xdr:sp>
    <xdr:clientData/>
  </xdr:twoCellAnchor>
  <xdr:twoCellAnchor editAs="absolute">
    <xdr:from>
      <xdr:col>7</xdr:col>
      <xdr:colOff>228600</xdr:colOff>
      <xdr:row>14</xdr:row>
      <xdr:rowOff>28575</xdr:rowOff>
    </xdr:from>
    <xdr:to>
      <xdr:col>10</xdr:col>
      <xdr:colOff>323850</xdr:colOff>
      <xdr:row>15</xdr:row>
      <xdr:rowOff>123825</xdr:rowOff>
    </xdr:to>
    <xdr:sp macro="" textlink="" fLocksText="0">
      <xdr:nvSpPr>
        <xdr:cNvPr id="12324" name="Text Box 36"/>
        <xdr:cNvSpPr txBox="1">
          <a:spLocks noChangeArrowheads="1"/>
        </xdr:cNvSpPr>
      </xdr:nvSpPr>
      <xdr:spPr bwMode="auto">
        <a:xfrm>
          <a:off x="4495800" y="2295525"/>
          <a:ext cx="1924050" cy="25717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0" anchor="t" upright="1"/>
        <a:lstStyle/>
        <a:p>
          <a:pPr algn="l" rtl="0">
            <a:defRPr sz="1000"/>
          </a:pPr>
          <a:r>
            <a:rPr lang="en-CA" sz="1400" b="1" i="0" u="none" strike="noStrike" baseline="0">
              <a:solidFill>
                <a:srgbClr val="000000"/>
              </a:solidFill>
              <a:latin typeface="Book Antiqua"/>
            </a:rPr>
            <a:t>EB-2011-0103		</a:t>
          </a:r>
        </a:p>
      </xdr:txBody>
    </xdr:sp>
    <xdr:clientData/>
  </xdr:twoCellAnchor>
  <xdr:twoCellAnchor>
    <xdr:from>
      <xdr:col>10</xdr:col>
      <xdr:colOff>476250</xdr:colOff>
      <xdr:row>12</xdr:row>
      <xdr:rowOff>104775</xdr:rowOff>
    </xdr:from>
    <xdr:to>
      <xdr:col>12</xdr:col>
      <xdr:colOff>257175</xdr:colOff>
      <xdr:row>14</xdr:row>
      <xdr:rowOff>76200</xdr:rowOff>
    </xdr:to>
    <xdr:sp macro="" textlink="">
      <xdr:nvSpPr>
        <xdr:cNvPr id="12325" name="Text Box 37"/>
        <xdr:cNvSpPr txBox="1">
          <a:spLocks noChangeArrowheads="1"/>
        </xdr:cNvSpPr>
      </xdr:nvSpPr>
      <xdr:spPr bwMode="auto">
        <a:xfrm>
          <a:off x="6572250" y="2047875"/>
          <a:ext cx="1000125" cy="2952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32004" rIns="0" bIns="0" anchor="t" upright="1"/>
        <a:lstStyle/>
        <a:p>
          <a:pPr algn="l" rtl="0">
            <a:defRPr sz="1000"/>
          </a:pPr>
          <a:r>
            <a:rPr lang="en-CA" sz="1200" b="1" i="0" u="none" strike="noStrike" baseline="0">
              <a:solidFill>
                <a:srgbClr val="FFFFFF"/>
              </a:solidFill>
              <a:latin typeface="Book Antiqua"/>
            </a:rPr>
            <a:t>Rate Year:</a:t>
          </a:r>
        </a:p>
      </xdr:txBody>
    </xdr:sp>
    <xdr:clientData/>
  </xdr:twoCellAnchor>
  <xdr:twoCellAnchor editAs="absolute">
    <xdr:from>
      <xdr:col>10</xdr:col>
      <xdr:colOff>495300</xdr:colOff>
      <xdr:row>14</xdr:row>
      <xdr:rowOff>28575</xdr:rowOff>
    </xdr:from>
    <xdr:to>
      <xdr:col>13</xdr:col>
      <xdr:colOff>590550</xdr:colOff>
      <xdr:row>15</xdr:row>
      <xdr:rowOff>123825</xdr:rowOff>
    </xdr:to>
    <xdr:sp macro="" textlink="" fLocksText="0">
      <xdr:nvSpPr>
        <xdr:cNvPr id="12326" name="Text Box 38"/>
        <xdr:cNvSpPr txBox="1">
          <a:spLocks noChangeArrowheads="1"/>
        </xdr:cNvSpPr>
      </xdr:nvSpPr>
      <xdr:spPr bwMode="auto">
        <a:xfrm>
          <a:off x="6591300" y="2295525"/>
          <a:ext cx="1924050" cy="25717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0" anchor="t" upright="1"/>
        <a:lstStyle/>
        <a:p>
          <a:pPr algn="l" rtl="0">
            <a:defRPr sz="1000"/>
          </a:pPr>
          <a:r>
            <a:rPr lang="en-CA" sz="1400" b="1" i="0" u="none" strike="noStrike" baseline="0">
              <a:solidFill>
                <a:srgbClr val="000000"/>
              </a:solidFill>
              <a:latin typeface="Book Antiqua"/>
            </a:rPr>
            <a:t>2012</a:t>
          </a:r>
        </a:p>
        <a:p>
          <a:pPr algn="l" rtl="0">
            <a:defRPr sz="1000"/>
          </a:pPr>
          <a:endParaRPr lang="en-CA" sz="1400" b="1" i="0" u="none" strike="noStrike" baseline="0">
            <a:solidFill>
              <a:srgbClr val="000000"/>
            </a:solidFill>
            <a:latin typeface="Book Antiqua"/>
          </a:endParaRPr>
        </a:p>
      </xdr:txBody>
    </xdr:sp>
    <xdr:clientData/>
  </xdr:twoCellAnchor>
  <mc:AlternateContent xmlns:mc="http://schemas.openxmlformats.org/markup-compatibility/2006">
    <mc:Choice xmlns:a14="http://schemas.microsoft.com/office/drawing/2010/main" Requires="a14">
      <xdr:twoCellAnchor>
        <xdr:from>
          <xdr:col>1</xdr:col>
          <xdr:colOff>542925</xdr:colOff>
          <xdr:row>14</xdr:row>
          <xdr:rowOff>28575</xdr:rowOff>
        </xdr:from>
        <xdr:to>
          <xdr:col>6</xdr:col>
          <xdr:colOff>571500</xdr:colOff>
          <xdr:row>16</xdr:row>
          <xdr:rowOff>114300</xdr:rowOff>
        </xdr:to>
        <xdr:sp macro="" textlink="">
          <xdr:nvSpPr>
            <xdr:cNvPr id="12327" name="List Box 39" hidden="1">
              <a:extLst>
                <a:ext uri="{63B3BB69-23CF-44E3-9099-C40C66FF867C}">
                  <a14:compatExt spid="_x0000_s12327"/>
                </a:ext>
              </a:extLst>
            </xdr:cNvPr>
            <xdr:cNvSpPr/>
          </xdr:nvSpPr>
          <xdr:spPr>
            <a:xfrm>
              <a:off x="0" y="0"/>
              <a:ext cx="0" cy="0"/>
            </a:xfrm>
            <a:prstGeom prst="rect">
              <a:avLst/>
            </a:prstGeom>
          </xdr:spPr>
        </xdr:sp>
        <xdr:clientData/>
      </xdr:twoCellAnchor>
    </mc:Choice>
    <mc:Fallback/>
  </mc:AlternateContent>
  <xdr:twoCellAnchor>
    <xdr:from>
      <xdr:col>14</xdr:col>
      <xdr:colOff>476250</xdr:colOff>
      <xdr:row>12</xdr:row>
      <xdr:rowOff>142875</xdr:rowOff>
    </xdr:from>
    <xdr:to>
      <xdr:col>17</xdr:col>
      <xdr:colOff>0</xdr:colOff>
      <xdr:row>16</xdr:row>
      <xdr:rowOff>133350</xdr:rowOff>
    </xdr:to>
    <xdr:grpSp>
      <xdr:nvGrpSpPr>
        <xdr:cNvPr id="12351" name="Group 46"/>
        <xdr:cNvGrpSpPr>
          <a:grpSpLocks/>
        </xdr:cNvGrpSpPr>
      </xdr:nvGrpSpPr>
      <xdr:grpSpPr bwMode="auto">
        <a:xfrm>
          <a:off x="9010650" y="2085975"/>
          <a:ext cx="1352550" cy="638175"/>
          <a:chOff x="946" y="219"/>
          <a:chExt cx="142" cy="67"/>
        </a:xfrm>
      </xdr:grpSpPr>
      <xdr:sp macro="[0]!printmacro" textlink="">
        <xdr:nvSpPr>
          <xdr:cNvPr id="12332" name="Text Box 3"/>
          <xdr:cNvSpPr txBox="1">
            <a:spLocks noChangeArrowheads="1"/>
          </xdr:cNvSpPr>
        </xdr:nvSpPr>
        <xdr:spPr bwMode="auto">
          <a:xfrm>
            <a:off x="1014" y="224"/>
            <a:ext cx="74" cy="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0" rIns="27432" bIns="22860" anchor="b"/>
          <a:lstStyle/>
          <a:p>
            <a:pPr algn="ctr" rtl="0">
              <a:defRPr sz="1000"/>
            </a:pPr>
            <a:r>
              <a:rPr lang="en-CA" sz="800" b="1" i="0" u="none" strike="noStrike" baseline="0">
                <a:solidFill>
                  <a:srgbClr val="FFFFFF"/>
                </a:solidFill>
                <a:latin typeface="Arial"/>
                <a:cs typeface="Arial"/>
              </a:rPr>
              <a:t>Click here to print the entire workbook</a:t>
            </a:r>
          </a:p>
        </xdr:txBody>
      </xdr:sp>
      <xdr:pic macro="[0]!printmacro">
        <xdr:nvPicPr>
          <xdr:cNvPr id="12353" name="Picture 2" descr="5aa81ab9080e3a4c"/>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946" y="219"/>
            <a:ext cx="68" cy="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19050</xdr:colOff>
      <xdr:row>0</xdr:row>
      <xdr:rowOff>0</xdr:rowOff>
    </xdr:from>
    <xdr:to>
      <xdr:col>19</xdr:col>
      <xdr:colOff>266700</xdr:colOff>
      <xdr:row>5</xdr:row>
      <xdr:rowOff>419100</xdr:rowOff>
    </xdr:to>
    <xdr:grpSp>
      <xdr:nvGrpSpPr>
        <xdr:cNvPr id="10272" name="Group 25"/>
        <xdr:cNvGrpSpPr>
          <a:grpSpLocks/>
        </xdr:cNvGrpSpPr>
      </xdr:nvGrpSpPr>
      <xdr:grpSpPr bwMode="auto">
        <a:xfrm>
          <a:off x="19050" y="0"/>
          <a:ext cx="9753600" cy="2752725"/>
          <a:chOff x="2" y="0"/>
          <a:chExt cx="1024" cy="289"/>
        </a:xfrm>
      </xdr:grpSpPr>
      <xdr:grpSp>
        <xdr:nvGrpSpPr>
          <xdr:cNvPr id="10273" name="Group 16"/>
          <xdr:cNvGrpSpPr>
            <a:grpSpLocks/>
          </xdr:cNvGrpSpPr>
        </xdr:nvGrpSpPr>
        <xdr:grpSpPr bwMode="auto">
          <a:xfrm>
            <a:off x="2" y="0"/>
            <a:ext cx="1024" cy="289"/>
            <a:chOff x="2" y="2"/>
            <a:chExt cx="1069" cy="289"/>
          </a:xfrm>
        </xdr:grpSpPr>
        <xdr:pic>
          <xdr:nvPicPr>
            <xdr:cNvPr id="10275" name="Picture 17"/>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4688" t="6152" r="10156" b="67480"/>
            <a:stretch>
              <a:fillRect/>
            </a:stretch>
          </xdr:blipFill>
          <xdr:spPr bwMode="auto">
            <a:xfrm>
              <a:off x="2" y="3"/>
              <a:ext cx="1068" cy="288"/>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pic>
          <xdr:nvPicPr>
            <xdr:cNvPr id="10276" name="Picture 18"/>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51094" t="7813" r="10156" b="89844"/>
            <a:stretch>
              <a:fillRect/>
            </a:stretch>
          </xdr:blipFill>
          <xdr:spPr bwMode="auto">
            <a:xfrm>
              <a:off x="584" y="2"/>
              <a:ext cx="486" cy="26"/>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pic>
          <xdr:nvPicPr>
            <xdr:cNvPr id="10277" name="Picture 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82187" t="25977" r="10547" b="67773"/>
            <a:stretch>
              <a:fillRect/>
            </a:stretch>
          </xdr:blipFill>
          <xdr:spPr bwMode="auto">
            <a:xfrm>
              <a:off x="110" y="217"/>
              <a:ext cx="961" cy="73"/>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pic>
          <xdr:nvPicPr>
            <xdr:cNvPr id="10278" name="Picture 20"/>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52969" t="22168" r="10625" b="74707"/>
            <a:stretch>
              <a:fillRect/>
            </a:stretch>
          </xdr:blipFill>
          <xdr:spPr bwMode="auto">
            <a:xfrm>
              <a:off x="612" y="104"/>
              <a:ext cx="457" cy="78"/>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sp macro="" textlink="">
          <xdr:nvSpPr>
            <xdr:cNvPr id="10261" name="Text Box 21"/>
            <xdr:cNvSpPr txBox="1">
              <a:spLocks noChangeArrowheads="1"/>
            </xdr:cNvSpPr>
          </xdr:nvSpPr>
          <xdr:spPr bwMode="auto">
            <a:xfrm>
              <a:off x="639" y="89"/>
              <a:ext cx="306" cy="12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36576" bIns="0" anchor="t" upright="1"/>
            <a:lstStyle/>
            <a:p>
              <a:pPr algn="ctr" rtl="0">
                <a:defRPr sz="1000"/>
              </a:pPr>
              <a:r>
                <a:rPr lang="en-CA" sz="1600" b="1" i="0" u="none" strike="noStrike" baseline="0">
                  <a:solidFill>
                    <a:srgbClr val="FF0000"/>
                  </a:solidFill>
                  <a:latin typeface="Book Antiqua"/>
                </a:rPr>
                <a:t>REVENUE REQUIREMENT WORK FORM</a:t>
              </a:r>
            </a:p>
            <a:p>
              <a:pPr algn="ctr" rtl="0">
                <a:defRPr sz="1000"/>
              </a:pPr>
              <a:endParaRPr lang="en-CA" sz="1600" b="1" i="0" u="none" strike="noStrike" baseline="0">
                <a:solidFill>
                  <a:srgbClr val="FF0000"/>
                </a:solidFill>
                <a:latin typeface="Book Antiqua"/>
              </a:endParaRPr>
            </a:p>
            <a:p>
              <a:pPr algn="ctr" rtl="0">
                <a:defRPr sz="1000"/>
              </a:pPr>
              <a:r>
                <a:rPr lang="en-CA" sz="1200" b="1" i="0" u="none" strike="noStrike" baseline="0">
                  <a:solidFill>
                    <a:srgbClr val="FF0000"/>
                  </a:solidFill>
                  <a:latin typeface="Book Antiqua"/>
                </a:rPr>
                <a:t>Version 2.20</a:t>
              </a:r>
            </a:p>
          </xdr:txBody>
        </xdr:sp>
        <xdr:sp macro="" textlink="'1. Info'!AB1">
          <xdr:nvSpPr>
            <xdr:cNvPr id="10262" name="Text Box 22"/>
            <xdr:cNvSpPr txBox="1">
              <a:spLocks noChangeArrowheads="1" noTextEdit="1"/>
            </xdr:cNvSpPr>
          </xdr:nvSpPr>
          <xdr:spPr bwMode="auto">
            <a:xfrm>
              <a:off x="116" y="220"/>
              <a:ext cx="409" cy="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0" bIns="0" anchor="t" upright="1"/>
            <a:lstStyle/>
            <a:p>
              <a:pPr algn="l" rtl="0">
                <a:defRPr sz="1000"/>
              </a:pPr>
              <a:fld id="{9A44B09C-9CEE-444E-B0B6-8868B3EB7C5E}" type="TxLink">
                <a:rPr lang="en-CA" sz="1600" b="0" i="0" u="none" strike="noStrike" baseline="0">
                  <a:solidFill>
                    <a:srgbClr val="FFFFFF"/>
                  </a:solidFill>
                  <a:latin typeface="Book Antiqua"/>
                </a:rPr>
                <a:pPr algn="l" rtl="0">
                  <a:defRPr sz="1000"/>
                </a:pPr>
                <a:t>Wasaga Distribution Inc.</a:t>
              </a:fld>
              <a:endParaRPr lang="en-CA" sz="1600" b="0" i="0" u="none" strike="noStrike" baseline="0">
                <a:solidFill>
                  <a:srgbClr val="FFFFFF"/>
                </a:solidFill>
                <a:latin typeface="Book Antiqua"/>
              </a:endParaRPr>
            </a:p>
          </xdr:txBody>
        </xdr:sp>
      </xdr:grpSp>
      <xdr:sp macro="" textlink="">
        <xdr:nvSpPr>
          <xdr:cNvPr id="10263" name="Text Box 23"/>
          <xdr:cNvSpPr txBox="1">
            <a:spLocks noChangeArrowheads="1"/>
          </xdr:cNvSpPr>
        </xdr:nvSpPr>
        <xdr:spPr bwMode="auto">
          <a:xfrm>
            <a:off x="107" y="249"/>
            <a:ext cx="918" cy="3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0" anchor="t" upright="1"/>
          <a:lstStyle/>
          <a:p>
            <a:pPr algn="l" rtl="0">
              <a:defRPr sz="1000"/>
            </a:pPr>
            <a:r>
              <a:rPr lang="en-CA" sz="1600" b="1" i="0" u="none" strike="noStrike" baseline="0">
                <a:solidFill>
                  <a:srgbClr val="FFFFFF"/>
                </a:solidFill>
                <a:latin typeface="Book Antiqua"/>
              </a:rPr>
              <a:t>Bill Impacts - Residential</a:t>
            </a:r>
          </a:p>
        </xdr:txBody>
      </xdr:sp>
    </xdr:grpSp>
    <xdr:clientData/>
  </xdr:twoCellAnchor>
  <mc:AlternateContent xmlns:mc="http://schemas.openxmlformats.org/markup-compatibility/2006">
    <mc:Choice xmlns:a14="http://schemas.microsoft.com/office/drawing/2010/main" Requires="a14">
      <xdr:twoCellAnchor editAs="absolute">
        <xdr:from>
          <xdr:col>3</xdr:col>
          <xdr:colOff>1314450</xdr:colOff>
          <xdr:row>6</xdr:row>
          <xdr:rowOff>19050</xdr:rowOff>
        </xdr:from>
        <xdr:to>
          <xdr:col>11</xdr:col>
          <xdr:colOff>552450</xdr:colOff>
          <xdr:row>7</xdr:row>
          <xdr:rowOff>238125</xdr:rowOff>
        </xdr:to>
        <xdr:sp macro="" textlink="">
          <xdr:nvSpPr>
            <xdr:cNvPr id="10268" name="OptionButton1" hidden="1">
              <a:extLst>
                <a:ext uri="{63B3BB69-23CF-44E3-9099-C40C66FF867C}">
                  <a14:compatExt spid="_x0000_s1026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11</xdr:col>
          <xdr:colOff>552450</xdr:colOff>
          <xdr:row>5</xdr:row>
          <xdr:rowOff>428625</xdr:rowOff>
        </xdr:from>
        <xdr:to>
          <xdr:col>20</xdr:col>
          <xdr:colOff>133350</xdr:colOff>
          <xdr:row>7</xdr:row>
          <xdr:rowOff>342900</xdr:rowOff>
        </xdr:to>
        <xdr:sp macro="" textlink="">
          <xdr:nvSpPr>
            <xdr:cNvPr id="10269" name="OptionButton2" hidden="1">
              <a:extLst>
                <a:ext uri="{63B3BB69-23CF-44E3-9099-C40C66FF867C}">
                  <a14:compatExt spid="_x0000_s10269"/>
                </a:ext>
              </a:extLst>
            </xdr:cNvPr>
            <xdr:cNvSpPr/>
          </xdr:nvSpPr>
          <xdr:spPr>
            <a:xfrm>
              <a:off x="0" y="0"/>
              <a:ext cx="0" cy="0"/>
            </a:xfrm>
            <a:prstGeom prst="rect">
              <a:avLst/>
            </a:prstGeom>
          </xdr:spPr>
        </xdr:sp>
        <xdr:clientData/>
      </xdr:twoCellAnchor>
    </mc:Choice>
    <mc:Fallback/>
  </mc:AlternateContent>
</xdr:wsDr>
</file>

<file path=xl/drawings/drawing11.xml><?xml version="1.0" encoding="utf-8"?>
<xdr:wsDr xmlns:xdr="http://schemas.openxmlformats.org/drawingml/2006/spreadsheetDrawing" xmlns:a="http://schemas.openxmlformats.org/drawingml/2006/main">
  <xdr:twoCellAnchor>
    <xdr:from>
      <xdr:col>0</xdr:col>
      <xdr:colOff>19050</xdr:colOff>
      <xdr:row>0</xdr:row>
      <xdr:rowOff>0</xdr:rowOff>
    </xdr:from>
    <xdr:to>
      <xdr:col>19</xdr:col>
      <xdr:colOff>57150</xdr:colOff>
      <xdr:row>5</xdr:row>
      <xdr:rowOff>419100</xdr:rowOff>
    </xdr:to>
    <xdr:grpSp>
      <xdr:nvGrpSpPr>
        <xdr:cNvPr id="11289" name="Group 20"/>
        <xdr:cNvGrpSpPr>
          <a:grpSpLocks/>
        </xdr:cNvGrpSpPr>
      </xdr:nvGrpSpPr>
      <xdr:grpSpPr bwMode="auto">
        <a:xfrm>
          <a:off x="19050" y="0"/>
          <a:ext cx="9858375" cy="2752725"/>
          <a:chOff x="2" y="0"/>
          <a:chExt cx="1024" cy="289"/>
        </a:xfrm>
      </xdr:grpSpPr>
      <xdr:grpSp>
        <xdr:nvGrpSpPr>
          <xdr:cNvPr id="11290" name="Group 12"/>
          <xdr:cNvGrpSpPr>
            <a:grpSpLocks/>
          </xdr:cNvGrpSpPr>
        </xdr:nvGrpSpPr>
        <xdr:grpSpPr bwMode="auto">
          <a:xfrm>
            <a:off x="2" y="0"/>
            <a:ext cx="1024" cy="289"/>
            <a:chOff x="2" y="2"/>
            <a:chExt cx="1069" cy="289"/>
          </a:xfrm>
        </xdr:grpSpPr>
        <xdr:pic>
          <xdr:nvPicPr>
            <xdr:cNvPr id="11292" name="Picture 1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4688" t="6152" r="10156" b="67480"/>
            <a:stretch>
              <a:fillRect/>
            </a:stretch>
          </xdr:blipFill>
          <xdr:spPr bwMode="auto">
            <a:xfrm>
              <a:off x="2" y="3"/>
              <a:ext cx="1068" cy="288"/>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pic>
          <xdr:nvPicPr>
            <xdr:cNvPr id="11293" name="Picture 1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51094" t="7813" r="10156" b="89844"/>
            <a:stretch>
              <a:fillRect/>
            </a:stretch>
          </xdr:blipFill>
          <xdr:spPr bwMode="auto">
            <a:xfrm>
              <a:off x="584" y="2"/>
              <a:ext cx="486" cy="26"/>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pic>
          <xdr:nvPicPr>
            <xdr:cNvPr id="11294" name="Picture 1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82187" t="25977" r="10547" b="67773"/>
            <a:stretch>
              <a:fillRect/>
            </a:stretch>
          </xdr:blipFill>
          <xdr:spPr bwMode="auto">
            <a:xfrm>
              <a:off x="110" y="217"/>
              <a:ext cx="961" cy="73"/>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pic>
          <xdr:nvPicPr>
            <xdr:cNvPr id="11295" name="Picture 16"/>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52969" t="22168" r="10625" b="74707"/>
            <a:stretch>
              <a:fillRect/>
            </a:stretch>
          </xdr:blipFill>
          <xdr:spPr bwMode="auto">
            <a:xfrm>
              <a:off x="612" y="104"/>
              <a:ext cx="457" cy="78"/>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sp macro="" textlink="">
          <xdr:nvSpPr>
            <xdr:cNvPr id="11281" name="Text Box 17"/>
            <xdr:cNvSpPr txBox="1">
              <a:spLocks noChangeArrowheads="1"/>
            </xdr:cNvSpPr>
          </xdr:nvSpPr>
          <xdr:spPr bwMode="auto">
            <a:xfrm>
              <a:off x="639" y="89"/>
              <a:ext cx="306" cy="12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36576" bIns="0" anchor="t" upright="1"/>
            <a:lstStyle/>
            <a:p>
              <a:pPr algn="ctr" rtl="0">
                <a:defRPr sz="1000"/>
              </a:pPr>
              <a:r>
                <a:rPr lang="en-CA" sz="1600" b="1" i="0" u="none" strike="noStrike" baseline="0">
                  <a:solidFill>
                    <a:srgbClr val="FF0000"/>
                  </a:solidFill>
                  <a:latin typeface="Book Antiqua"/>
                </a:rPr>
                <a:t>REVENUE REQUIREMENT WORK FORM</a:t>
              </a:r>
            </a:p>
            <a:p>
              <a:pPr algn="ctr" rtl="0">
                <a:defRPr sz="1000"/>
              </a:pPr>
              <a:endParaRPr lang="en-CA" sz="1600" b="1" i="0" u="none" strike="noStrike" baseline="0">
                <a:solidFill>
                  <a:srgbClr val="FF0000"/>
                </a:solidFill>
                <a:latin typeface="Book Antiqua"/>
              </a:endParaRPr>
            </a:p>
            <a:p>
              <a:pPr algn="ctr" rtl="0">
                <a:defRPr sz="1000"/>
              </a:pPr>
              <a:r>
                <a:rPr lang="en-CA" sz="1200" b="1" i="0" u="none" strike="noStrike" baseline="0">
                  <a:solidFill>
                    <a:srgbClr val="FF0000"/>
                  </a:solidFill>
                  <a:latin typeface="Book Antiqua"/>
                </a:rPr>
                <a:t>Version 2.20</a:t>
              </a:r>
            </a:p>
          </xdr:txBody>
        </xdr:sp>
        <xdr:sp macro="" textlink="'1. Info'!AB1">
          <xdr:nvSpPr>
            <xdr:cNvPr id="11282" name="Text Box 18"/>
            <xdr:cNvSpPr txBox="1">
              <a:spLocks noChangeArrowheads="1" noTextEdit="1"/>
            </xdr:cNvSpPr>
          </xdr:nvSpPr>
          <xdr:spPr bwMode="auto">
            <a:xfrm>
              <a:off x="116" y="220"/>
              <a:ext cx="409" cy="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0" bIns="0" anchor="t" upright="1"/>
            <a:lstStyle/>
            <a:p>
              <a:pPr algn="l" rtl="0">
                <a:defRPr sz="1000"/>
              </a:pPr>
              <a:fld id="{604C06D8-5D0F-4E7C-84B0-ECFD65B53F91}" type="TxLink">
                <a:rPr lang="en-CA" sz="1600" b="0" i="0" u="none" strike="noStrike" baseline="0">
                  <a:solidFill>
                    <a:srgbClr val="FFFFFF"/>
                  </a:solidFill>
                  <a:latin typeface="Book Antiqua"/>
                </a:rPr>
                <a:pPr algn="l" rtl="0">
                  <a:defRPr sz="1000"/>
                </a:pPr>
                <a:t>Wasaga Distribution Inc.</a:t>
              </a:fld>
              <a:endParaRPr lang="en-CA" sz="1600" b="0" i="0" u="none" strike="noStrike" baseline="0">
                <a:solidFill>
                  <a:srgbClr val="FFFFFF"/>
                </a:solidFill>
                <a:latin typeface="Book Antiqua"/>
              </a:endParaRPr>
            </a:p>
          </xdr:txBody>
        </xdr:sp>
      </xdr:grpSp>
      <xdr:sp macro="" textlink="">
        <xdr:nvSpPr>
          <xdr:cNvPr id="11283" name="Text Box 19"/>
          <xdr:cNvSpPr txBox="1">
            <a:spLocks noChangeArrowheads="1"/>
          </xdr:cNvSpPr>
        </xdr:nvSpPr>
        <xdr:spPr bwMode="auto">
          <a:xfrm>
            <a:off x="107" y="249"/>
            <a:ext cx="918" cy="3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0" anchor="t" upright="1"/>
          <a:lstStyle/>
          <a:p>
            <a:pPr algn="l" rtl="0">
              <a:defRPr sz="1000"/>
            </a:pPr>
            <a:r>
              <a:rPr lang="en-CA" sz="1600" b="1" i="0" u="none" strike="noStrike" baseline="0">
                <a:solidFill>
                  <a:srgbClr val="FFFFFF"/>
                </a:solidFill>
                <a:latin typeface="Book Antiqua"/>
              </a:rPr>
              <a:t>Bill Impacts - General Service &lt; 50 kW</a:t>
            </a:r>
          </a:p>
        </xdr:txBody>
      </xdr:sp>
    </xdr:grpSp>
    <xdr:clientData/>
  </xdr:twoCellAnchor>
  <mc:AlternateContent xmlns:mc="http://schemas.openxmlformats.org/markup-compatibility/2006">
    <mc:Choice xmlns:a14="http://schemas.microsoft.com/office/drawing/2010/main" Requires="a14">
      <xdr:twoCellAnchor editAs="absolute">
        <xdr:from>
          <xdr:col>3</xdr:col>
          <xdr:colOff>1257300</xdr:colOff>
          <xdr:row>6</xdr:row>
          <xdr:rowOff>38100</xdr:rowOff>
        </xdr:from>
        <xdr:to>
          <xdr:col>11</xdr:col>
          <xdr:colOff>476250</xdr:colOff>
          <xdr:row>7</xdr:row>
          <xdr:rowOff>257175</xdr:rowOff>
        </xdr:to>
        <xdr:sp macro="" textlink="">
          <xdr:nvSpPr>
            <xdr:cNvPr id="11285" name="OptionButton1" hidden="1">
              <a:extLst>
                <a:ext uri="{63B3BB69-23CF-44E3-9099-C40C66FF867C}">
                  <a14:compatExt spid="_x0000_s1128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11</xdr:col>
          <xdr:colOff>428625</xdr:colOff>
          <xdr:row>5</xdr:row>
          <xdr:rowOff>447675</xdr:rowOff>
        </xdr:from>
        <xdr:to>
          <xdr:col>19</xdr:col>
          <xdr:colOff>95250</xdr:colOff>
          <xdr:row>7</xdr:row>
          <xdr:rowOff>381000</xdr:rowOff>
        </xdr:to>
        <xdr:sp macro="" textlink="">
          <xdr:nvSpPr>
            <xdr:cNvPr id="11286" name="OptionButton2" hidden="1">
              <a:extLst>
                <a:ext uri="{63B3BB69-23CF-44E3-9099-C40C66FF867C}">
                  <a14:compatExt spid="_x0000_s11286"/>
                </a:ext>
              </a:extLst>
            </xdr:cNvPr>
            <xdr:cNvSpPr/>
          </xdr:nvSpPr>
          <xdr:spPr>
            <a:xfrm>
              <a:off x="0" y="0"/>
              <a:ext cx="0" cy="0"/>
            </a:xfrm>
            <a:prstGeom prst="rect">
              <a:avLst/>
            </a:prstGeom>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19050</xdr:colOff>
      <xdr:row>0</xdr:row>
      <xdr:rowOff>19050</xdr:rowOff>
    </xdr:from>
    <xdr:to>
      <xdr:col>16</xdr:col>
      <xdr:colOff>19050</xdr:colOff>
      <xdr:row>5</xdr:row>
      <xdr:rowOff>438150</xdr:rowOff>
    </xdr:to>
    <xdr:grpSp>
      <xdr:nvGrpSpPr>
        <xdr:cNvPr id="1076" name="Group 51"/>
        <xdr:cNvGrpSpPr>
          <a:grpSpLocks/>
        </xdr:cNvGrpSpPr>
      </xdr:nvGrpSpPr>
      <xdr:grpSpPr bwMode="auto">
        <a:xfrm>
          <a:off x="19050" y="19050"/>
          <a:ext cx="9753600" cy="2752725"/>
          <a:chOff x="2" y="2"/>
          <a:chExt cx="1024" cy="289"/>
        </a:xfrm>
      </xdr:grpSpPr>
      <xdr:grpSp>
        <xdr:nvGrpSpPr>
          <xdr:cNvPr id="1077" name="Group 48"/>
          <xdr:cNvGrpSpPr>
            <a:grpSpLocks/>
          </xdr:cNvGrpSpPr>
        </xdr:nvGrpSpPr>
        <xdr:grpSpPr bwMode="auto">
          <a:xfrm>
            <a:off x="2" y="2"/>
            <a:ext cx="1024" cy="289"/>
            <a:chOff x="2" y="2"/>
            <a:chExt cx="1069" cy="289"/>
          </a:xfrm>
        </xdr:grpSpPr>
        <xdr:pic>
          <xdr:nvPicPr>
            <xdr:cNvPr id="1079" name="Picture 2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4688" t="6152" r="10156" b="67480"/>
            <a:stretch>
              <a:fillRect/>
            </a:stretch>
          </xdr:blipFill>
          <xdr:spPr bwMode="auto">
            <a:xfrm>
              <a:off x="2" y="3"/>
              <a:ext cx="1068" cy="288"/>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pic>
          <xdr:nvPicPr>
            <xdr:cNvPr id="1080" name="Picture 2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51094" t="7813" r="10156" b="89844"/>
            <a:stretch>
              <a:fillRect/>
            </a:stretch>
          </xdr:blipFill>
          <xdr:spPr bwMode="auto">
            <a:xfrm>
              <a:off x="584" y="2"/>
              <a:ext cx="486" cy="26"/>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pic>
          <xdr:nvPicPr>
            <xdr:cNvPr id="1081" name="Picture 2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82187" t="25977" r="10547" b="67773"/>
            <a:stretch>
              <a:fillRect/>
            </a:stretch>
          </xdr:blipFill>
          <xdr:spPr bwMode="auto">
            <a:xfrm>
              <a:off x="110" y="217"/>
              <a:ext cx="961" cy="73"/>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pic>
          <xdr:nvPicPr>
            <xdr:cNvPr id="1082" name="Picture 2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52969" t="22168" r="10625" b="74707"/>
            <a:stretch>
              <a:fillRect/>
            </a:stretch>
          </xdr:blipFill>
          <xdr:spPr bwMode="auto">
            <a:xfrm>
              <a:off x="612" y="104"/>
              <a:ext cx="457" cy="78"/>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sp macro="" textlink="">
          <xdr:nvSpPr>
            <xdr:cNvPr id="1050" name="Text Box 26"/>
            <xdr:cNvSpPr txBox="1">
              <a:spLocks noChangeArrowheads="1"/>
            </xdr:cNvSpPr>
          </xdr:nvSpPr>
          <xdr:spPr bwMode="auto">
            <a:xfrm>
              <a:off x="639" y="89"/>
              <a:ext cx="306" cy="12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36576" bIns="0" anchor="t" upright="1"/>
            <a:lstStyle/>
            <a:p>
              <a:pPr algn="ctr" rtl="0">
                <a:defRPr sz="1000"/>
              </a:pPr>
              <a:r>
                <a:rPr lang="en-CA" sz="1600" b="1" i="0" u="none" strike="noStrike" baseline="0">
                  <a:solidFill>
                    <a:srgbClr val="FF0000"/>
                  </a:solidFill>
                  <a:latin typeface="Book Antiqua"/>
                </a:rPr>
                <a:t>REVENUE REQUIREMENT WORK FORM</a:t>
              </a:r>
            </a:p>
            <a:p>
              <a:pPr algn="ctr" rtl="0">
                <a:defRPr sz="1000"/>
              </a:pPr>
              <a:endParaRPr lang="en-CA" sz="1600" b="1" i="0" u="none" strike="noStrike" baseline="0">
                <a:solidFill>
                  <a:srgbClr val="FF0000"/>
                </a:solidFill>
                <a:latin typeface="Book Antiqua"/>
              </a:endParaRPr>
            </a:p>
            <a:p>
              <a:pPr algn="ctr" rtl="0">
                <a:defRPr sz="1000"/>
              </a:pPr>
              <a:r>
                <a:rPr lang="en-CA" sz="1200" b="1" i="0" u="none" strike="noStrike" baseline="0">
                  <a:solidFill>
                    <a:srgbClr val="FF0000"/>
                  </a:solidFill>
                  <a:latin typeface="Book Antiqua"/>
                </a:rPr>
                <a:t>Version 2.20</a:t>
              </a:r>
            </a:p>
          </xdr:txBody>
        </xdr:sp>
        <xdr:sp macro="" textlink="'1. Info'!AB1">
          <xdr:nvSpPr>
            <xdr:cNvPr id="1063" name="Text Box 39"/>
            <xdr:cNvSpPr txBox="1">
              <a:spLocks noChangeArrowheads="1" noTextEdit="1"/>
            </xdr:cNvSpPr>
          </xdr:nvSpPr>
          <xdr:spPr bwMode="auto">
            <a:xfrm>
              <a:off x="116" y="220"/>
              <a:ext cx="409" cy="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0" bIns="0" anchor="t" upright="1"/>
            <a:lstStyle/>
            <a:p>
              <a:pPr algn="l" rtl="0">
                <a:defRPr sz="1000"/>
              </a:pPr>
              <a:fld id="{2C0CA654-9C75-48F6-9898-8846EEC42A77}" type="TxLink">
                <a:rPr lang="en-CA" sz="1600" b="0" i="0" u="none" strike="noStrike" baseline="0">
                  <a:solidFill>
                    <a:srgbClr val="FFFFFF"/>
                  </a:solidFill>
                  <a:latin typeface="Book Antiqua"/>
                </a:rPr>
                <a:pPr algn="l" rtl="0">
                  <a:defRPr sz="1000"/>
                </a:pPr>
                <a:t>Wasaga Distribution Inc.</a:t>
              </a:fld>
              <a:endParaRPr lang="en-CA" sz="1600" b="0" i="0" u="none" strike="noStrike" baseline="0">
                <a:solidFill>
                  <a:srgbClr val="FFFFFF"/>
                </a:solidFill>
                <a:latin typeface="Book Antiqua"/>
              </a:endParaRPr>
            </a:p>
          </xdr:txBody>
        </xdr:sp>
      </xdr:grpSp>
      <xdr:sp macro="" textlink="">
        <xdr:nvSpPr>
          <xdr:cNvPr id="1074" name="Text Box 50"/>
          <xdr:cNvSpPr txBox="1">
            <a:spLocks noChangeArrowheads="1"/>
          </xdr:cNvSpPr>
        </xdr:nvSpPr>
        <xdr:spPr bwMode="auto">
          <a:xfrm>
            <a:off x="107" y="249"/>
            <a:ext cx="918" cy="3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0" anchor="t" upright="1"/>
          <a:lstStyle/>
          <a:p>
            <a:pPr algn="l" rtl="0">
              <a:defRPr sz="1000"/>
            </a:pPr>
            <a:r>
              <a:rPr lang="en-CA" sz="1600" b="1" i="0" u="none" strike="noStrike" baseline="0">
                <a:solidFill>
                  <a:srgbClr val="FFFFFF"/>
                </a:solidFill>
                <a:latin typeface="Book Antiqua"/>
              </a:rPr>
              <a:t> Table of Contents</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19050</xdr:colOff>
      <xdr:row>0</xdr:row>
      <xdr:rowOff>19050</xdr:rowOff>
    </xdr:from>
    <xdr:to>
      <xdr:col>23</xdr:col>
      <xdr:colOff>447675</xdr:colOff>
      <xdr:row>5</xdr:row>
      <xdr:rowOff>438150</xdr:rowOff>
    </xdr:to>
    <xdr:grpSp>
      <xdr:nvGrpSpPr>
        <xdr:cNvPr id="2098" name="Group 47"/>
        <xdr:cNvGrpSpPr>
          <a:grpSpLocks/>
        </xdr:cNvGrpSpPr>
      </xdr:nvGrpSpPr>
      <xdr:grpSpPr bwMode="auto">
        <a:xfrm>
          <a:off x="19050" y="19050"/>
          <a:ext cx="10734675" cy="2752725"/>
          <a:chOff x="2" y="2"/>
          <a:chExt cx="1127" cy="289"/>
        </a:xfrm>
      </xdr:grpSpPr>
      <xdr:grpSp>
        <xdr:nvGrpSpPr>
          <xdr:cNvPr id="2099" name="Group 32"/>
          <xdr:cNvGrpSpPr>
            <a:grpSpLocks/>
          </xdr:cNvGrpSpPr>
        </xdr:nvGrpSpPr>
        <xdr:grpSpPr bwMode="auto">
          <a:xfrm>
            <a:off x="2" y="2"/>
            <a:ext cx="1127" cy="289"/>
            <a:chOff x="2" y="2"/>
            <a:chExt cx="1069" cy="289"/>
          </a:xfrm>
        </xdr:grpSpPr>
        <xdr:pic>
          <xdr:nvPicPr>
            <xdr:cNvPr id="2101" name="Picture 3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4688" t="6152" r="10156" b="67480"/>
            <a:stretch>
              <a:fillRect/>
            </a:stretch>
          </xdr:blipFill>
          <xdr:spPr bwMode="auto">
            <a:xfrm>
              <a:off x="2" y="3"/>
              <a:ext cx="1068" cy="288"/>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pic>
          <xdr:nvPicPr>
            <xdr:cNvPr id="2102" name="Picture 3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51094" t="7813" r="10156" b="89844"/>
            <a:stretch>
              <a:fillRect/>
            </a:stretch>
          </xdr:blipFill>
          <xdr:spPr bwMode="auto">
            <a:xfrm>
              <a:off x="584" y="2"/>
              <a:ext cx="486" cy="26"/>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pic>
          <xdr:nvPicPr>
            <xdr:cNvPr id="2103" name="Picture 3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82187" t="25977" r="10547" b="67773"/>
            <a:stretch>
              <a:fillRect/>
            </a:stretch>
          </xdr:blipFill>
          <xdr:spPr bwMode="auto">
            <a:xfrm>
              <a:off x="110" y="217"/>
              <a:ext cx="961" cy="73"/>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pic>
          <xdr:nvPicPr>
            <xdr:cNvPr id="2104" name="Picture 36"/>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52969" t="22168" r="10625" b="74707"/>
            <a:stretch>
              <a:fillRect/>
            </a:stretch>
          </xdr:blipFill>
          <xdr:spPr bwMode="auto">
            <a:xfrm>
              <a:off x="612" y="104"/>
              <a:ext cx="457" cy="78"/>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sp macro="" textlink="">
          <xdr:nvSpPr>
            <xdr:cNvPr id="2085" name="Text Box 37"/>
            <xdr:cNvSpPr txBox="1">
              <a:spLocks noChangeArrowheads="1"/>
            </xdr:cNvSpPr>
          </xdr:nvSpPr>
          <xdr:spPr bwMode="auto">
            <a:xfrm>
              <a:off x="639" y="89"/>
              <a:ext cx="305" cy="12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36576" bIns="0" anchor="t" upright="1"/>
            <a:lstStyle/>
            <a:p>
              <a:pPr algn="ctr" rtl="0">
                <a:defRPr sz="1000"/>
              </a:pPr>
              <a:r>
                <a:rPr lang="en-CA" sz="1600" b="1" i="0" u="none" strike="noStrike" baseline="0">
                  <a:solidFill>
                    <a:srgbClr val="FF0000"/>
                  </a:solidFill>
                  <a:latin typeface="Book Antiqua"/>
                </a:rPr>
                <a:t>REVENUE REQUIREMENT WORK FORM</a:t>
              </a:r>
            </a:p>
            <a:p>
              <a:pPr algn="ctr" rtl="0">
                <a:defRPr sz="1000"/>
              </a:pPr>
              <a:endParaRPr lang="en-CA" sz="1600" b="1" i="0" u="none" strike="noStrike" baseline="0">
                <a:solidFill>
                  <a:srgbClr val="FF0000"/>
                </a:solidFill>
                <a:latin typeface="Book Antiqua"/>
              </a:endParaRPr>
            </a:p>
            <a:p>
              <a:pPr algn="ctr" rtl="0">
                <a:defRPr sz="1000"/>
              </a:pPr>
              <a:r>
                <a:rPr lang="en-CA" sz="1200" b="1" i="0" u="none" strike="noStrike" baseline="0">
                  <a:solidFill>
                    <a:srgbClr val="FF0000"/>
                  </a:solidFill>
                  <a:latin typeface="Book Antiqua"/>
                </a:rPr>
                <a:t>Version 2.20</a:t>
              </a:r>
            </a:p>
          </xdr:txBody>
        </xdr:sp>
        <xdr:sp macro="" textlink="'1. Info'!AB1">
          <xdr:nvSpPr>
            <xdr:cNvPr id="2086" name="Text Box 38"/>
            <xdr:cNvSpPr txBox="1">
              <a:spLocks noChangeArrowheads="1" noTextEdit="1"/>
            </xdr:cNvSpPr>
          </xdr:nvSpPr>
          <xdr:spPr bwMode="auto">
            <a:xfrm>
              <a:off x="116" y="220"/>
              <a:ext cx="409" cy="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0" bIns="0" anchor="t" upright="1"/>
            <a:lstStyle/>
            <a:p>
              <a:pPr algn="l" rtl="0">
                <a:defRPr sz="1000"/>
              </a:pPr>
              <a:fld id="{C56C061A-4E01-42A8-B085-0FBC0B5E64F9}" type="TxLink">
                <a:rPr lang="en-CA" sz="1600" b="0" i="0" u="none" strike="noStrike" baseline="0">
                  <a:solidFill>
                    <a:srgbClr val="FFFFFF"/>
                  </a:solidFill>
                  <a:latin typeface="Book Antiqua"/>
                </a:rPr>
                <a:pPr algn="l" rtl="0">
                  <a:defRPr sz="1000"/>
                </a:pPr>
                <a:t>Wasaga Distribution Inc.</a:t>
              </a:fld>
              <a:endParaRPr lang="en-CA" sz="1600" b="0" i="0" u="none" strike="noStrike" baseline="0">
                <a:solidFill>
                  <a:srgbClr val="FFFFFF"/>
                </a:solidFill>
                <a:latin typeface="Book Antiqua"/>
              </a:endParaRPr>
            </a:p>
          </xdr:txBody>
        </xdr:sp>
      </xdr:grpSp>
      <xdr:sp macro="" textlink="">
        <xdr:nvSpPr>
          <xdr:cNvPr id="2090" name="Text Box 42"/>
          <xdr:cNvSpPr txBox="1">
            <a:spLocks noChangeArrowheads="1"/>
          </xdr:cNvSpPr>
        </xdr:nvSpPr>
        <xdr:spPr bwMode="auto">
          <a:xfrm>
            <a:off x="121" y="249"/>
            <a:ext cx="959" cy="3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0" anchor="t" upright="1"/>
          <a:lstStyle/>
          <a:p>
            <a:pPr algn="l" rtl="0">
              <a:defRPr sz="1000"/>
            </a:pPr>
            <a:r>
              <a:rPr lang="en-CA" sz="1600" b="1" i="0" u="none" strike="noStrike" baseline="0">
                <a:solidFill>
                  <a:srgbClr val="FFFFFF"/>
                </a:solidFill>
                <a:latin typeface="Book Antiqua"/>
              </a:rPr>
              <a:t>Data Input </a:t>
            </a:r>
            <a:r>
              <a:rPr lang="en-CA" sz="1600" b="1" i="0" u="none" strike="noStrike" baseline="30000">
                <a:solidFill>
                  <a:srgbClr val="FFFFFF"/>
                </a:solidFill>
                <a:latin typeface="Book Antiqua"/>
              </a:rPr>
              <a:t>(1)</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19050</xdr:colOff>
      <xdr:row>0</xdr:row>
      <xdr:rowOff>0</xdr:rowOff>
    </xdr:from>
    <xdr:to>
      <xdr:col>23</xdr:col>
      <xdr:colOff>28575</xdr:colOff>
      <xdr:row>5</xdr:row>
      <xdr:rowOff>419100</xdr:rowOff>
    </xdr:to>
    <xdr:grpSp>
      <xdr:nvGrpSpPr>
        <xdr:cNvPr id="3111" name="Group 38"/>
        <xdr:cNvGrpSpPr>
          <a:grpSpLocks/>
        </xdr:cNvGrpSpPr>
      </xdr:nvGrpSpPr>
      <xdr:grpSpPr bwMode="auto">
        <a:xfrm>
          <a:off x="19050" y="0"/>
          <a:ext cx="9544050" cy="2752725"/>
          <a:chOff x="2" y="0"/>
          <a:chExt cx="1002" cy="289"/>
        </a:xfrm>
      </xdr:grpSpPr>
      <xdr:grpSp>
        <xdr:nvGrpSpPr>
          <xdr:cNvPr id="3118" name="Group 2"/>
          <xdr:cNvGrpSpPr>
            <a:grpSpLocks/>
          </xdr:cNvGrpSpPr>
        </xdr:nvGrpSpPr>
        <xdr:grpSpPr bwMode="auto">
          <a:xfrm>
            <a:off x="2" y="0"/>
            <a:ext cx="1002" cy="289"/>
            <a:chOff x="2" y="2"/>
            <a:chExt cx="1069" cy="289"/>
          </a:xfrm>
        </xdr:grpSpPr>
        <xdr:pic>
          <xdr:nvPicPr>
            <xdr:cNvPr id="3120" name="Picture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4688" t="6152" r="10156" b="67480"/>
            <a:stretch>
              <a:fillRect/>
            </a:stretch>
          </xdr:blipFill>
          <xdr:spPr bwMode="auto">
            <a:xfrm>
              <a:off x="2" y="3"/>
              <a:ext cx="1068" cy="288"/>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pic>
          <xdr:nvPicPr>
            <xdr:cNvPr id="3121" name="Picture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51094" t="7813" r="10156" b="89844"/>
            <a:stretch>
              <a:fillRect/>
            </a:stretch>
          </xdr:blipFill>
          <xdr:spPr bwMode="auto">
            <a:xfrm>
              <a:off x="584" y="2"/>
              <a:ext cx="486" cy="26"/>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pic>
          <xdr:nvPicPr>
            <xdr:cNvPr id="3122" name="Picture 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82187" t="25977" r="10547" b="67773"/>
            <a:stretch>
              <a:fillRect/>
            </a:stretch>
          </xdr:blipFill>
          <xdr:spPr bwMode="auto">
            <a:xfrm>
              <a:off x="110" y="217"/>
              <a:ext cx="961" cy="73"/>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pic>
          <xdr:nvPicPr>
            <xdr:cNvPr id="3123" name="Picture 6"/>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52969" t="22168" r="10625" b="74707"/>
            <a:stretch>
              <a:fillRect/>
            </a:stretch>
          </xdr:blipFill>
          <xdr:spPr bwMode="auto">
            <a:xfrm>
              <a:off x="612" y="104"/>
              <a:ext cx="457" cy="78"/>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sp macro="" textlink="">
          <xdr:nvSpPr>
            <xdr:cNvPr id="3079" name="Text Box 7"/>
            <xdr:cNvSpPr txBox="1">
              <a:spLocks noChangeArrowheads="1"/>
            </xdr:cNvSpPr>
          </xdr:nvSpPr>
          <xdr:spPr bwMode="auto">
            <a:xfrm>
              <a:off x="639" y="89"/>
              <a:ext cx="306" cy="12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36576" bIns="0" anchor="t" upright="1"/>
            <a:lstStyle/>
            <a:p>
              <a:pPr algn="ctr" rtl="0">
                <a:defRPr sz="1000"/>
              </a:pPr>
              <a:r>
                <a:rPr lang="en-CA" sz="1600" b="1" i="0" u="none" strike="noStrike" baseline="0">
                  <a:solidFill>
                    <a:srgbClr val="FF0000"/>
                  </a:solidFill>
                  <a:latin typeface="Book Antiqua"/>
                </a:rPr>
                <a:t>REVENUE REQUIREMENT WORK FORM</a:t>
              </a:r>
            </a:p>
            <a:p>
              <a:pPr algn="ctr" rtl="0">
                <a:defRPr sz="1000"/>
              </a:pPr>
              <a:endParaRPr lang="en-CA" sz="1600" b="1" i="0" u="none" strike="noStrike" baseline="0">
                <a:solidFill>
                  <a:srgbClr val="FF0000"/>
                </a:solidFill>
                <a:latin typeface="Book Antiqua"/>
              </a:endParaRPr>
            </a:p>
            <a:p>
              <a:pPr algn="ctr" rtl="0">
                <a:defRPr sz="1000"/>
              </a:pPr>
              <a:r>
                <a:rPr lang="en-CA" sz="1200" b="1" i="0" u="none" strike="noStrike" baseline="0">
                  <a:solidFill>
                    <a:srgbClr val="FF0000"/>
                  </a:solidFill>
                  <a:latin typeface="Book Antiqua"/>
                </a:rPr>
                <a:t>Version 2.20</a:t>
              </a:r>
            </a:p>
          </xdr:txBody>
        </xdr:sp>
        <xdr:sp macro="" textlink="'1. Info'!AB1">
          <xdr:nvSpPr>
            <xdr:cNvPr id="3080" name="Text Box 8"/>
            <xdr:cNvSpPr txBox="1">
              <a:spLocks noChangeArrowheads="1" noTextEdit="1"/>
            </xdr:cNvSpPr>
          </xdr:nvSpPr>
          <xdr:spPr bwMode="auto">
            <a:xfrm>
              <a:off x="116" y="220"/>
              <a:ext cx="409" cy="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0" bIns="0" anchor="t" upright="1"/>
            <a:lstStyle/>
            <a:p>
              <a:pPr algn="l" rtl="0">
                <a:defRPr sz="1000"/>
              </a:pPr>
              <a:fld id="{5460717F-0A09-4E20-8310-5265161B87ED}" type="TxLink">
                <a:rPr lang="en-CA" sz="1600" b="0" i="0" u="none" strike="noStrike" baseline="0">
                  <a:solidFill>
                    <a:srgbClr val="FFFFFF"/>
                  </a:solidFill>
                  <a:latin typeface="Book Antiqua"/>
                </a:rPr>
                <a:pPr algn="l" rtl="0">
                  <a:defRPr sz="1000"/>
                </a:pPr>
                <a:t>Wasaga Distribution Inc.</a:t>
              </a:fld>
              <a:endParaRPr lang="en-CA" sz="1600" b="0" i="0" u="none" strike="noStrike" baseline="0">
                <a:solidFill>
                  <a:srgbClr val="FFFFFF"/>
                </a:solidFill>
                <a:latin typeface="Book Antiqua"/>
              </a:endParaRPr>
            </a:p>
          </xdr:txBody>
        </xdr:sp>
      </xdr:grpSp>
      <xdr:sp macro="" textlink="">
        <xdr:nvSpPr>
          <xdr:cNvPr id="3103" name="Text Box 31"/>
          <xdr:cNvSpPr txBox="1">
            <a:spLocks noChangeArrowheads="1"/>
          </xdr:cNvSpPr>
        </xdr:nvSpPr>
        <xdr:spPr bwMode="auto">
          <a:xfrm>
            <a:off x="104" y="248"/>
            <a:ext cx="899" cy="3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0" anchor="t" upright="1"/>
          <a:lstStyle/>
          <a:p>
            <a:pPr algn="l" rtl="0">
              <a:defRPr sz="1000"/>
            </a:pPr>
            <a:r>
              <a:rPr lang="en-CA" sz="1600" b="1" i="0" u="none" strike="noStrike" baseline="0">
                <a:solidFill>
                  <a:srgbClr val="FFFFFF"/>
                </a:solidFill>
                <a:latin typeface="Book Antiqua"/>
              </a:rPr>
              <a:t> Rate Base and Working Capital</a:t>
            </a:r>
          </a:p>
        </xdr:txBody>
      </xdr:sp>
    </xdr:grpSp>
    <xdr:clientData/>
  </xdr:twoCellAnchor>
  <xdr:twoCellAnchor editAs="oneCell">
    <xdr:from>
      <xdr:col>2</xdr:col>
      <xdr:colOff>600075</xdr:colOff>
      <xdr:row>7</xdr:row>
      <xdr:rowOff>0</xdr:rowOff>
    </xdr:from>
    <xdr:to>
      <xdr:col>4</xdr:col>
      <xdr:colOff>19050</xdr:colOff>
      <xdr:row>9</xdr:row>
      <xdr:rowOff>9525</xdr:rowOff>
    </xdr:to>
    <xdr:grpSp>
      <xdr:nvGrpSpPr>
        <xdr:cNvPr id="3112" name="Group 32"/>
        <xdr:cNvGrpSpPr>
          <a:grpSpLocks/>
        </xdr:cNvGrpSpPr>
      </xdr:nvGrpSpPr>
      <xdr:grpSpPr bwMode="auto">
        <a:xfrm>
          <a:off x="1028700" y="2857500"/>
          <a:ext cx="2124075" cy="371475"/>
          <a:chOff x="87" y="538"/>
          <a:chExt cx="352" cy="39"/>
        </a:xfrm>
      </xdr:grpSpPr>
      <xdr:pic>
        <xdr:nvPicPr>
          <xdr:cNvPr id="3116" name="Picture 33"/>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75937" t="68555" r="12968" b="23633"/>
          <a:stretch>
            <a:fillRect/>
          </a:stretch>
        </xdr:blipFill>
        <xdr:spPr bwMode="auto">
          <a:xfrm>
            <a:off x="87" y="538"/>
            <a:ext cx="328" cy="39"/>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sp macro="" textlink="">
        <xdr:nvSpPr>
          <xdr:cNvPr id="3106" name="Text Box 34"/>
          <xdr:cNvSpPr txBox="1">
            <a:spLocks noChangeArrowheads="1"/>
          </xdr:cNvSpPr>
        </xdr:nvSpPr>
        <xdr:spPr bwMode="auto">
          <a:xfrm>
            <a:off x="89" y="546"/>
            <a:ext cx="350" cy="2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0" anchor="t" upright="1"/>
          <a:lstStyle/>
          <a:p>
            <a:pPr algn="l" rtl="0">
              <a:defRPr sz="1000"/>
            </a:pPr>
            <a:r>
              <a:rPr lang="en-CA" sz="1400" b="1" i="0" u="none" strike="noStrike" baseline="0">
                <a:solidFill>
                  <a:srgbClr val="000000"/>
                </a:solidFill>
                <a:latin typeface="Book Antiqua"/>
              </a:rPr>
              <a:t>Rate Base</a:t>
            </a:r>
          </a:p>
        </xdr:txBody>
      </xdr:sp>
    </xdr:grpSp>
    <xdr:clientData/>
  </xdr:twoCellAnchor>
  <xdr:twoCellAnchor editAs="oneCell">
    <xdr:from>
      <xdr:col>2</xdr:col>
      <xdr:colOff>619125</xdr:colOff>
      <xdr:row>18</xdr:row>
      <xdr:rowOff>590550</xdr:rowOff>
    </xdr:from>
    <xdr:to>
      <xdr:col>10</xdr:col>
      <xdr:colOff>314325</xdr:colOff>
      <xdr:row>20</xdr:row>
      <xdr:rowOff>85725</xdr:rowOff>
    </xdr:to>
    <xdr:grpSp>
      <xdr:nvGrpSpPr>
        <xdr:cNvPr id="3113" name="Group 35"/>
        <xdr:cNvGrpSpPr>
          <a:grpSpLocks/>
        </xdr:cNvGrpSpPr>
      </xdr:nvGrpSpPr>
      <xdr:grpSpPr bwMode="auto">
        <a:xfrm>
          <a:off x="1047750" y="5438775"/>
          <a:ext cx="4076700" cy="371475"/>
          <a:chOff x="87" y="538"/>
          <a:chExt cx="352" cy="39"/>
        </a:xfrm>
      </xdr:grpSpPr>
      <xdr:pic>
        <xdr:nvPicPr>
          <xdr:cNvPr id="3114" name="Picture 36"/>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75937" t="68555" r="12968" b="23633"/>
          <a:stretch>
            <a:fillRect/>
          </a:stretch>
        </xdr:blipFill>
        <xdr:spPr bwMode="auto">
          <a:xfrm>
            <a:off x="87" y="538"/>
            <a:ext cx="328" cy="39"/>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sp macro="" textlink="">
        <xdr:nvSpPr>
          <xdr:cNvPr id="3109" name="Text Box 37"/>
          <xdr:cNvSpPr txBox="1">
            <a:spLocks noChangeArrowheads="1"/>
          </xdr:cNvSpPr>
        </xdr:nvSpPr>
        <xdr:spPr bwMode="auto">
          <a:xfrm>
            <a:off x="88" y="546"/>
            <a:ext cx="351" cy="2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0" anchor="t" upright="1"/>
          <a:lstStyle/>
          <a:p>
            <a:pPr algn="l" rtl="0">
              <a:defRPr sz="1000"/>
            </a:pPr>
            <a:r>
              <a:rPr lang="en-CA" sz="1400" b="1" i="0" u="none" strike="noStrike" baseline="0">
                <a:solidFill>
                  <a:srgbClr val="000000"/>
                </a:solidFill>
                <a:latin typeface="Book Antiqua"/>
              </a:rPr>
              <a:t>Allowance for Working Capital - Derivation</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19050</xdr:colOff>
      <xdr:row>0</xdr:row>
      <xdr:rowOff>0</xdr:rowOff>
    </xdr:from>
    <xdr:to>
      <xdr:col>23</xdr:col>
      <xdr:colOff>657225</xdr:colOff>
      <xdr:row>5</xdr:row>
      <xdr:rowOff>419100</xdr:rowOff>
    </xdr:to>
    <xdr:grpSp>
      <xdr:nvGrpSpPr>
        <xdr:cNvPr id="4116" name="Group 16"/>
        <xdr:cNvGrpSpPr>
          <a:grpSpLocks/>
        </xdr:cNvGrpSpPr>
      </xdr:nvGrpSpPr>
      <xdr:grpSpPr bwMode="auto">
        <a:xfrm>
          <a:off x="19050" y="0"/>
          <a:ext cx="10205508" cy="2747433"/>
          <a:chOff x="2" y="0"/>
          <a:chExt cx="1073" cy="289"/>
        </a:xfrm>
      </xdr:grpSpPr>
      <xdr:grpSp>
        <xdr:nvGrpSpPr>
          <xdr:cNvPr id="4120" name="Group 2"/>
          <xdr:cNvGrpSpPr>
            <a:grpSpLocks/>
          </xdr:cNvGrpSpPr>
        </xdr:nvGrpSpPr>
        <xdr:grpSpPr bwMode="auto">
          <a:xfrm>
            <a:off x="2" y="0"/>
            <a:ext cx="1073" cy="289"/>
            <a:chOff x="2" y="2"/>
            <a:chExt cx="1069" cy="289"/>
          </a:xfrm>
        </xdr:grpSpPr>
        <xdr:pic>
          <xdr:nvPicPr>
            <xdr:cNvPr id="4122" name="Picture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4688" t="6152" r="10156" b="67480"/>
            <a:stretch>
              <a:fillRect/>
            </a:stretch>
          </xdr:blipFill>
          <xdr:spPr bwMode="auto">
            <a:xfrm>
              <a:off x="2" y="3"/>
              <a:ext cx="1068" cy="288"/>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pic>
          <xdr:nvPicPr>
            <xdr:cNvPr id="4123" name="Picture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51094" t="7813" r="10156" b="89844"/>
            <a:stretch>
              <a:fillRect/>
            </a:stretch>
          </xdr:blipFill>
          <xdr:spPr bwMode="auto">
            <a:xfrm>
              <a:off x="584" y="2"/>
              <a:ext cx="486" cy="26"/>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pic>
          <xdr:nvPicPr>
            <xdr:cNvPr id="4124" name="Picture 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82187" t="25977" r="10547" b="67773"/>
            <a:stretch>
              <a:fillRect/>
            </a:stretch>
          </xdr:blipFill>
          <xdr:spPr bwMode="auto">
            <a:xfrm>
              <a:off x="110" y="217"/>
              <a:ext cx="961" cy="73"/>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pic>
          <xdr:nvPicPr>
            <xdr:cNvPr id="4125" name="Picture 6"/>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52969" t="22168" r="10625" b="74707"/>
            <a:stretch>
              <a:fillRect/>
            </a:stretch>
          </xdr:blipFill>
          <xdr:spPr bwMode="auto">
            <a:xfrm>
              <a:off x="612" y="104"/>
              <a:ext cx="457" cy="78"/>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sp macro="" textlink="">
          <xdr:nvSpPr>
            <xdr:cNvPr id="4103" name="Text Box 7"/>
            <xdr:cNvSpPr txBox="1">
              <a:spLocks noChangeArrowheads="1"/>
            </xdr:cNvSpPr>
          </xdr:nvSpPr>
          <xdr:spPr bwMode="auto">
            <a:xfrm>
              <a:off x="639" y="89"/>
              <a:ext cx="307" cy="12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36576" bIns="0" anchor="t" upright="1"/>
            <a:lstStyle/>
            <a:p>
              <a:pPr algn="ctr" rtl="0">
                <a:defRPr sz="1000"/>
              </a:pPr>
              <a:r>
                <a:rPr lang="en-CA" sz="1600" b="1" i="0" u="none" strike="noStrike" baseline="0">
                  <a:solidFill>
                    <a:srgbClr val="FF0000"/>
                  </a:solidFill>
                  <a:latin typeface="Book Antiqua"/>
                </a:rPr>
                <a:t>REVENUE REQUIREMENT WORK FORM</a:t>
              </a:r>
            </a:p>
            <a:p>
              <a:pPr algn="ctr" rtl="0">
                <a:defRPr sz="1000"/>
              </a:pPr>
              <a:endParaRPr lang="en-CA" sz="1600" b="1" i="0" u="none" strike="noStrike" baseline="0">
                <a:solidFill>
                  <a:srgbClr val="FF0000"/>
                </a:solidFill>
                <a:latin typeface="Book Antiqua"/>
              </a:endParaRPr>
            </a:p>
            <a:p>
              <a:pPr algn="ctr" rtl="0">
                <a:defRPr sz="1000"/>
              </a:pPr>
              <a:r>
                <a:rPr lang="en-CA" sz="1200" b="1" i="0" u="none" strike="noStrike" baseline="0">
                  <a:solidFill>
                    <a:srgbClr val="FF0000"/>
                  </a:solidFill>
                  <a:latin typeface="Book Antiqua"/>
                </a:rPr>
                <a:t>Version 2.20</a:t>
              </a:r>
            </a:p>
          </xdr:txBody>
        </xdr:sp>
        <xdr:sp macro="" textlink="'1. Info'!AB1">
          <xdr:nvSpPr>
            <xdr:cNvPr id="4104" name="Text Box 8"/>
            <xdr:cNvSpPr txBox="1">
              <a:spLocks noChangeArrowheads="1" noTextEdit="1"/>
            </xdr:cNvSpPr>
          </xdr:nvSpPr>
          <xdr:spPr bwMode="auto">
            <a:xfrm>
              <a:off x="116" y="220"/>
              <a:ext cx="409" cy="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0" bIns="0" anchor="t" upright="1"/>
            <a:lstStyle/>
            <a:p>
              <a:pPr algn="l" rtl="0">
                <a:defRPr sz="1000"/>
              </a:pPr>
              <a:fld id="{3B17B02D-8B2E-46E9-96BC-E7A193CD5E9D}" type="TxLink">
                <a:rPr lang="en-CA" sz="1600" b="0" i="0" u="none" strike="noStrike" baseline="0">
                  <a:solidFill>
                    <a:srgbClr val="FFFFFF"/>
                  </a:solidFill>
                  <a:latin typeface="Book Antiqua"/>
                </a:rPr>
                <a:pPr algn="l" rtl="0">
                  <a:defRPr sz="1000"/>
                </a:pPr>
                <a:t>Wasaga Distribution Inc.</a:t>
              </a:fld>
              <a:endParaRPr lang="en-CA" sz="1600" b="0" i="0" u="none" strike="noStrike" baseline="0">
                <a:solidFill>
                  <a:srgbClr val="FFFFFF"/>
                </a:solidFill>
                <a:latin typeface="Book Antiqua"/>
              </a:endParaRPr>
            </a:p>
          </xdr:txBody>
        </xdr:sp>
      </xdr:grpSp>
      <xdr:sp macro="" textlink="">
        <xdr:nvSpPr>
          <xdr:cNvPr id="4111" name="Text Box 15"/>
          <xdr:cNvSpPr txBox="1">
            <a:spLocks noChangeArrowheads="1"/>
          </xdr:cNvSpPr>
        </xdr:nvSpPr>
        <xdr:spPr bwMode="auto">
          <a:xfrm>
            <a:off x="111" y="249"/>
            <a:ext cx="961" cy="3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0" anchor="t" upright="1"/>
          <a:lstStyle/>
          <a:p>
            <a:pPr algn="l" rtl="0">
              <a:defRPr sz="1000"/>
            </a:pPr>
            <a:r>
              <a:rPr lang="en-CA" sz="1600" b="1" i="0" u="none" strike="noStrike" baseline="0">
                <a:solidFill>
                  <a:srgbClr val="FFFFFF"/>
                </a:solidFill>
                <a:latin typeface="Book Antiqua"/>
              </a:rPr>
              <a:t> Utility Income</a:t>
            </a:r>
          </a:p>
        </xdr:txBody>
      </xdr:sp>
    </xdr:grpSp>
    <xdr:clientData/>
  </xdr:twoCellAnchor>
  <xdr:twoCellAnchor>
    <xdr:from>
      <xdr:col>2</xdr:col>
      <xdr:colOff>542925</xdr:colOff>
      <xdr:row>37</xdr:row>
      <xdr:rowOff>28575</xdr:rowOff>
    </xdr:from>
    <xdr:to>
      <xdr:col>5</xdr:col>
      <xdr:colOff>762000</xdr:colOff>
      <xdr:row>39</xdr:row>
      <xdr:rowOff>19050</xdr:rowOff>
    </xdr:to>
    <xdr:grpSp>
      <xdr:nvGrpSpPr>
        <xdr:cNvPr id="4117" name="Group 17"/>
        <xdr:cNvGrpSpPr>
          <a:grpSpLocks/>
        </xdr:cNvGrpSpPr>
      </xdr:nvGrpSpPr>
      <xdr:grpSpPr bwMode="auto">
        <a:xfrm>
          <a:off x="987425" y="8230658"/>
          <a:ext cx="2706158" cy="307975"/>
          <a:chOff x="614" y="394"/>
          <a:chExt cx="197" cy="36"/>
        </a:xfrm>
      </xdr:grpSpPr>
      <xdr:pic>
        <xdr:nvPicPr>
          <xdr:cNvPr id="4118" name="Picture 18"/>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75937" t="68555" r="12968" b="23633"/>
          <a:stretch>
            <a:fillRect/>
          </a:stretch>
        </xdr:blipFill>
        <xdr:spPr bwMode="auto">
          <a:xfrm>
            <a:off x="614" y="394"/>
            <a:ext cx="197" cy="36"/>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sp macro="" textlink="">
        <xdr:nvSpPr>
          <xdr:cNvPr id="4115" name="Text Box 19"/>
          <xdr:cNvSpPr txBox="1">
            <a:spLocks noChangeArrowheads="1"/>
          </xdr:cNvSpPr>
        </xdr:nvSpPr>
        <xdr:spPr bwMode="auto">
          <a:xfrm>
            <a:off x="618" y="401"/>
            <a:ext cx="188" cy="2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32004" rIns="27432" bIns="0" anchor="t" upright="1"/>
          <a:lstStyle/>
          <a:p>
            <a:pPr algn="ctr" rtl="0">
              <a:defRPr sz="1000"/>
            </a:pPr>
            <a:r>
              <a:rPr lang="en-CA" sz="1200" b="1" i="0" u="none" strike="noStrike" baseline="0">
                <a:solidFill>
                  <a:srgbClr val="000000"/>
                </a:solidFill>
                <a:latin typeface="Book Antiqua"/>
              </a:rPr>
              <a:t>Other Revenues / Revenue Offsets</a:t>
            </a:r>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19050</xdr:colOff>
      <xdr:row>0</xdr:row>
      <xdr:rowOff>0</xdr:rowOff>
    </xdr:from>
    <xdr:to>
      <xdr:col>20</xdr:col>
      <xdr:colOff>533400</xdr:colOff>
      <xdr:row>5</xdr:row>
      <xdr:rowOff>419100</xdr:rowOff>
    </xdr:to>
    <xdr:grpSp>
      <xdr:nvGrpSpPr>
        <xdr:cNvPr id="5134" name="Group 13"/>
        <xdr:cNvGrpSpPr>
          <a:grpSpLocks/>
        </xdr:cNvGrpSpPr>
      </xdr:nvGrpSpPr>
      <xdr:grpSpPr bwMode="auto">
        <a:xfrm>
          <a:off x="19050" y="0"/>
          <a:ext cx="10201275" cy="2752725"/>
          <a:chOff x="2" y="0"/>
          <a:chExt cx="1071" cy="289"/>
        </a:xfrm>
      </xdr:grpSpPr>
      <xdr:grpSp>
        <xdr:nvGrpSpPr>
          <xdr:cNvPr id="5135" name="Group 2"/>
          <xdr:cNvGrpSpPr>
            <a:grpSpLocks/>
          </xdr:cNvGrpSpPr>
        </xdr:nvGrpSpPr>
        <xdr:grpSpPr bwMode="auto">
          <a:xfrm>
            <a:off x="2" y="0"/>
            <a:ext cx="1071" cy="289"/>
            <a:chOff x="2" y="2"/>
            <a:chExt cx="1069" cy="289"/>
          </a:xfrm>
        </xdr:grpSpPr>
        <xdr:pic>
          <xdr:nvPicPr>
            <xdr:cNvPr id="5137" name="Picture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4688" t="6152" r="10156" b="67480"/>
            <a:stretch>
              <a:fillRect/>
            </a:stretch>
          </xdr:blipFill>
          <xdr:spPr bwMode="auto">
            <a:xfrm>
              <a:off x="2" y="3"/>
              <a:ext cx="1068" cy="288"/>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pic>
          <xdr:nvPicPr>
            <xdr:cNvPr id="5138" name="Picture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51094" t="7813" r="10156" b="89844"/>
            <a:stretch>
              <a:fillRect/>
            </a:stretch>
          </xdr:blipFill>
          <xdr:spPr bwMode="auto">
            <a:xfrm>
              <a:off x="584" y="2"/>
              <a:ext cx="486" cy="26"/>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pic>
          <xdr:nvPicPr>
            <xdr:cNvPr id="5139" name="Picture 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82187" t="25977" r="10547" b="67773"/>
            <a:stretch>
              <a:fillRect/>
            </a:stretch>
          </xdr:blipFill>
          <xdr:spPr bwMode="auto">
            <a:xfrm>
              <a:off x="110" y="217"/>
              <a:ext cx="961" cy="73"/>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pic>
          <xdr:nvPicPr>
            <xdr:cNvPr id="5140" name="Picture 6"/>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52969" t="22168" r="10625" b="74707"/>
            <a:stretch>
              <a:fillRect/>
            </a:stretch>
          </xdr:blipFill>
          <xdr:spPr bwMode="auto">
            <a:xfrm>
              <a:off x="612" y="104"/>
              <a:ext cx="457" cy="78"/>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sp macro="" textlink="">
          <xdr:nvSpPr>
            <xdr:cNvPr id="5127" name="Text Box 7"/>
            <xdr:cNvSpPr txBox="1">
              <a:spLocks noChangeArrowheads="1"/>
            </xdr:cNvSpPr>
          </xdr:nvSpPr>
          <xdr:spPr bwMode="auto">
            <a:xfrm>
              <a:off x="639" y="89"/>
              <a:ext cx="306" cy="12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36576" bIns="0" anchor="t" upright="1"/>
            <a:lstStyle/>
            <a:p>
              <a:pPr algn="ctr" rtl="0">
                <a:defRPr sz="1000"/>
              </a:pPr>
              <a:r>
                <a:rPr lang="en-CA" sz="1600" b="1" i="0" u="none" strike="noStrike" baseline="0">
                  <a:solidFill>
                    <a:srgbClr val="FF0000"/>
                  </a:solidFill>
                  <a:latin typeface="Book Antiqua"/>
                </a:rPr>
                <a:t>REVENUE REQUIREMENT WORK FORM</a:t>
              </a:r>
            </a:p>
            <a:p>
              <a:pPr algn="ctr" rtl="0">
                <a:defRPr sz="1000"/>
              </a:pPr>
              <a:endParaRPr lang="en-CA" sz="1600" b="1" i="0" u="none" strike="noStrike" baseline="0">
                <a:solidFill>
                  <a:srgbClr val="FF0000"/>
                </a:solidFill>
                <a:latin typeface="Book Antiqua"/>
              </a:endParaRPr>
            </a:p>
            <a:p>
              <a:pPr algn="ctr" rtl="0">
                <a:defRPr sz="1000"/>
              </a:pPr>
              <a:r>
                <a:rPr lang="en-CA" sz="1200" b="1" i="0" u="none" strike="noStrike" baseline="0">
                  <a:solidFill>
                    <a:srgbClr val="FF0000"/>
                  </a:solidFill>
                  <a:latin typeface="Book Antiqua"/>
                </a:rPr>
                <a:t>Version 2.20</a:t>
              </a:r>
            </a:p>
          </xdr:txBody>
        </xdr:sp>
        <xdr:sp macro="" textlink="'1. Info'!AB1">
          <xdr:nvSpPr>
            <xdr:cNvPr id="5128" name="Text Box 8"/>
            <xdr:cNvSpPr txBox="1">
              <a:spLocks noChangeArrowheads="1" noTextEdit="1"/>
            </xdr:cNvSpPr>
          </xdr:nvSpPr>
          <xdr:spPr bwMode="auto">
            <a:xfrm>
              <a:off x="116" y="220"/>
              <a:ext cx="409" cy="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0" bIns="0" anchor="t" upright="1"/>
            <a:lstStyle/>
            <a:p>
              <a:pPr algn="l" rtl="0">
                <a:defRPr sz="1000"/>
              </a:pPr>
              <a:fld id="{B2D4BBCA-1415-4066-8CAF-8F21A8869369}" type="TxLink">
                <a:rPr lang="en-CA" sz="1600" b="0" i="0" u="none" strike="noStrike" baseline="0">
                  <a:solidFill>
                    <a:srgbClr val="FFFFFF"/>
                  </a:solidFill>
                  <a:latin typeface="Book Antiqua"/>
                </a:rPr>
                <a:pPr algn="l" rtl="0">
                  <a:defRPr sz="1000"/>
                </a:pPr>
                <a:t>Wasaga Distribution Inc.</a:t>
              </a:fld>
              <a:endParaRPr lang="en-CA" sz="1600" b="0" i="0" u="none" strike="noStrike" baseline="0">
                <a:solidFill>
                  <a:srgbClr val="FFFFFF"/>
                </a:solidFill>
                <a:latin typeface="Book Antiqua"/>
              </a:endParaRPr>
            </a:p>
          </xdr:txBody>
        </xdr:sp>
      </xdr:grpSp>
      <xdr:sp macro="" textlink="">
        <xdr:nvSpPr>
          <xdr:cNvPr id="5132" name="Text Box 12"/>
          <xdr:cNvSpPr txBox="1">
            <a:spLocks noChangeArrowheads="1"/>
          </xdr:cNvSpPr>
        </xdr:nvSpPr>
        <xdr:spPr bwMode="auto">
          <a:xfrm>
            <a:off x="112" y="249"/>
            <a:ext cx="956" cy="3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0" anchor="t" upright="1"/>
          <a:lstStyle/>
          <a:p>
            <a:pPr algn="l" rtl="0">
              <a:defRPr sz="1000"/>
            </a:pPr>
            <a:r>
              <a:rPr lang="en-CA" sz="1600" b="1" i="0" u="none" strike="noStrike" baseline="0">
                <a:solidFill>
                  <a:srgbClr val="FFFFFF"/>
                </a:solidFill>
                <a:latin typeface="Book Antiqua"/>
              </a:rPr>
              <a:t> Taxes/PILs</a:t>
            </a:r>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19050</xdr:colOff>
      <xdr:row>0</xdr:row>
      <xdr:rowOff>0</xdr:rowOff>
    </xdr:from>
    <xdr:to>
      <xdr:col>21</xdr:col>
      <xdr:colOff>142875</xdr:colOff>
      <xdr:row>5</xdr:row>
      <xdr:rowOff>419100</xdr:rowOff>
    </xdr:to>
    <xdr:grpSp>
      <xdr:nvGrpSpPr>
        <xdr:cNvPr id="6187" name="Group 31"/>
        <xdr:cNvGrpSpPr>
          <a:grpSpLocks/>
        </xdr:cNvGrpSpPr>
      </xdr:nvGrpSpPr>
      <xdr:grpSpPr bwMode="auto">
        <a:xfrm>
          <a:off x="19050" y="0"/>
          <a:ext cx="9382125" cy="2752725"/>
          <a:chOff x="2" y="0"/>
          <a:chExt cx="1062" cy="289"/>
        </a:xfrm>
      </xdr:grpSpPr>
      <xdr:grpSp>
        <xdr:nvGrpSpPr>
          <xdr:cNvPr id="6197" name="Group 2"/>
          <xdr:cNvGrpSpPr>
            <a:grpSpLocks/>
          </xdr:cNvGrpSpPr>
        </xdr:nvGrpSpPr>
        <xdr:grpSpPr bwMode="auto">
          <a:xfrm>
            <a:off x="2" y="0"/>
            <a:ext cx="1062" cy="289"/>
            <a:chOff x="2" y="2"/>
            <a:chExt cx="1069" cy="289"/>
          </a:xfrm>
        </xdr:grpSpPr>
        <xdr:pic>
          <xdr:nvPicPr>
            <xdr:cNvPr id="6199" name="Picture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4688" t="6152" r="10156" b="67480"/>
            <a:stretch>
              <a:fillRect/>
            </a:stretch>
          </xdr:blipFill>
          <xdr:spPr bwMode="auto">
            <a:xfrm>
              <a:off x="2" y="3"/>
              <a:ext cx="1068" cy="288"/>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pic>
          <xdr:nvPicPr>
            <xdr:cNvPr id="6200" name="Picture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51094" t="7813" r="10156" b="89844"/>
            <a:stretch>
              <a:fillRect/>
            </a:stretch>
          </xdr:blipFill>
          <xdr:spPr bwMode="auto">
            <a:xfrm>
              <a:off x="584" y="2"/>
              <a:ext cx="486" cy="26"/>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pic>
          <xdr:nvPicPr>
            <xdr:cNvPr id="6201" name="Picture 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82187" t="25977" r="10547" b="67773"/>
            <a:stretch>
              <a:fillRect/>
            </a:stretch>
          </xdr:blipFill>
          <xdr:spPr bwMode="auto">
            <a:xfrm>
              <a:off x="110" y="217"/>
              <a:ext cx="961" cy="73"/>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pic>
          <xdr:nvPicPr>
            <xdr:cNvPr id="6202" name="Picture 6"/>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52969" t="22168" r="10625" b="74707"/>
            <a:stretch>
              <a:fillRect/>
            </a:stretch>
          </xdr:blipFill>
          <xdr:spPr bwMode="auto">
            <a:xfrm>
              <a:off x="612" y="104"/>
              <a:ext cx="457" cy="78"/>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sp macro="" textlink="">
          <xdr:nvSpPr>
            <xdr:cNvPr id="6151" name="Text Box 7"/>
            <xdr:cNvSpPr txBox="1">
              <a:spLocks noChangeArrowheads="1"/>
            </xdr:cNvSpPr>
          </xdr:nvSpPr>
          <xdr:spPr bwMode="auto">
            <a:xfrm>
              <a:off x="639" y="89"/>
              <a:ext cx="306" cy="12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36576" bIns="0" anchor="t" upright="1"/>
            <a:lstStyle/>
            <a:p>
              <a:pPr algn="ctr" rtl="0">
                <a:lnSpc>
                  <a:spcPts val="1600"/>
                </a:lnSpc>
                <a:defRPr sz="1000"/>
              </a:pPr>
              <a:r>
                <a:rPr lang="en-CA" sz="1600" b="1" i="0" u="none" strike="noStrike" baseline="0">
                  <a:solidFill>
                    <a:srgbClr val="FF0000"/>
                  </a:solidFill>
                  <a:latin typeface="Book Antiqua"/>
                </a:rPr>
                <a:t>REVENUE REQUIREMENT WORK FORM</a:t>
              </a:r>
            </a:p>
            <a:p>
              <a:pPr algn="ctr" rtl="0">
                <a:lnSpc>
                  <a:spcPts val="1500"/>
                </a:lnSpc>
                <a:defRPr sz="1000"/>
              </a:pPr>
              <a:endParaRPr lang="en-CA" sz="1600" b="1" i="0" u="none" strike="noStrike" baseline="0">
                <a:solidFill>
                  <a:srgbClr val="FF0000"/>
                </a:solidFill>
                <a:latin typeface="Book Antiqua"/>
              </a:endParaRPr>
            </a:p>
            <a:p>
              <a:pPr algn="ctr" rtl="0">
                <a:lnSpc>
                  <a:spcPts val="1100"/>
                </a:lnSpc>
                <a:defRPr sz="1000"/>
              </a:pPr>
              <a:r>
                <a:rPr lang="en-CA" sz="1200" b="1" i="0" u="none" strike="noStrike" baseline="0">
                  <a:solidFill>
                    <a:srgbClr val="FF0000"/>
                  </a:solidFill>
                  <a:latin typeface="Book Antiqua"/>
                </a:rPr>
                <a:t>Version 2.20</a:t>
              </a:r>
            </a:p>
          </xdr:txBody>
        </xdr:sp>
        <xdr:sp macro="" textlink="'1. Info'!AB1">
          <xdr:nvSpPr>
            <xdr:cNvPr id="6152" name="Text Box 8"/>
            <xdr:cNvSpPr txBox="1">
              <a:spLocks noChangeArrowheads="1" noTextEdit="1"/>
            </xdr:cNvSpPr>
          </xdr:nvSpPr>
          <xdr:spPr bwMode="auto">
            <a:xfrm>
              <a:off x="116" y="220"/>
              <a:ext cx="409" cy="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0" bIns="0" anchor="t" upright="1"/>
            <a:lstStyle/>
            <a:p>
              <a:pPr algn="l" rtl="0">
                <a:defRPr sz="1000"/>
              </a:pPr>
              <a:fld id="{D1C7F6DC-A3E7-4BFB-A5C1-CE28B6BCC2F1}" type="TxLink">
                <a:rPr lang="en-CA" sz="1600" b="0" i="0" u="none" strike="noStrike" baseline="0">
                  <a:solidFill>
                    <a:srgbClr val="FFFFFF"/>
                  </a:solidFill>
                  <a:latin typeface="Book Antiqua"/>
                </a:rPr>
                <a:pPr algn="l" rtl="0">
                  <a:defRPr sz="1000"/>
                </a:pPr>
                <a:t>Wasaga Distribution Inc.</a:t>
              </a:fld>
              <a:endParaRPr lang="en-CA" sz="1600" b="0" i="0" u="none" strike="noStrike" baseline="0">
                <a:solidFill>
                  <a:srgbClr val="FFFFFF"/>
                </a:solidFill>
                <a:latin typeface="Book Antiqua"/>
              </a:endParaRPr>
            </a:p>
          </xdr:txBody>
        </xdr:sp>
      </xdr:grpSp>
      <xdr:sp macro="" textlink="">
        <xdr:nvSpPr>
          <xdr:cNvPr id="6165" name="Text Box 21"/>
          <xdr:cNvSpPr txBox="1">
            <a:spLocks noChangeArrowheads="1"/>
          </xdr:cNvSpPr>
        </xdr:nvSpPr>
        <xdr:spPr bwMode="auto">
          <a:xfrm>
            <a:off x="109" y="249"/>
            <a:ext cx="951" cy="3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0" anchor="t" upright="1"/>
          <a:lstStyle/>
          <a:p>
            <a:pPr algn="l" rtl="0">
              <a:defRPr sz="1000"/>
            </a:pPr>
            <a:r>
              <a:rPr lang="en-CA" sz="1600" b="1" i="0" u="none" strike="noStrike" baseline="0">
                <a:solidFill>
                  <a:srgbClr val="FFFFFF"/>
                </a:solidFill>
                <a:latin typeface="Book Antiqua"/>
              </a:rPr>
              <a:t> Capitalization/Cost of Capital</a:t>
            </a:r>
          </a:p>
        </xdr:txBody>
      </xdr:sp>
    </xdr:grpSp>
    <xdr:clientData/>
  </xdr:twoCellAnchor>
  <xdr:twoCellAnchor>
    <xdr:from>
      <xdr:col>6</xdr:col>
      <xdr:colOff>19050</xdr:colOff>
      <xdr:row>27</xdr:row>
      <xdr:rowOff>76200</xdr:rowOff>
    </xdr:from>
    <xdr:to>
      <xdr:col>11</xdr:col>
      <xdr:colOff>114300</xdr:colOff>
      <xdr:row>29</xdr:row>
      <xdr:rowOff>95250</xdr:rowOff>
    </xdr:to>
    <xdr:grpSp>
      <xdr:nvGrpSpPr>
        <xdr:cNvPr id="6188" name="Group 35"/>
        <xdr:cNvGrpSpPr>
          <a:grpSpLocks/>
        </xdr:cNvGrpSpPr>
      </xdr:nvGrpSpPr>
      <xdr:grpSpPr bwMode="auto">
        <a:xfrm>
          <a:off x="2924175" y="6362700"/>
          <a:ext cx="1876425" cy="342900"/>
          <a:chOff x="731" y="721"/>
          <a:chExt cx="197" cy="36"/>
        </a:xfrm>
      </xdr:grpSpPr>
      <xdr:pic>
        <xdr:nvPicPr>
          <xdr:cNvPr id="6195" name="Picture 33"/>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75937" t="68555" r="12968" b="23633"/>
          <a:stretch>
            <a:fillRect/>
          </a:stretch>
        </xdr:blipFill>
        <xdr:spPr bwMode="auto">
          <a:xfrm>
            <a:off x="731" y="721"/>
            <a:ext cx="197" cy="36"/>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sp macro="" textlink="'1. Info'!AC1">
        <xdr:nvSpPr>
          <xdr:cNvPr id="6178" name="Text Box 34"/>
          <xdr:cNvSpPr txBox="1">
            <a:spLocks noChangeArrowheads="1" noTextEdit="1"/>
          </xdr:cNvSpPr>
        </xdr:nvSpPr>
        <xdr:spPr bwMode="auto">
          <a:xfrm>
            <a:off x="736" y="728"/>
            <a:ext cx="188" cy="2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0" rIns="0" bIns="0" anchor="t" upright="1"/>
          <a:lstStyle/>
          <a:p>
            <a:pPr algn="ctr" rtl="0">
              <a:defRPr sz="1000"/>
            </a:pPr>
            <a:fld id="{D6DFED2C-2472-418B-9890-06CB3285C9C1}" type="TxLink">
              <a:rPr lang="en-CA"/>
              <a:pPr algn="ctr" rtl="0">
                <a:defRPr sz="1000"/>
              </a:pPr>
              <a:t>Settlement Agreement</a:t>
            </a:fld>
            <a:endParaRPr lang="en-CA"/>
          </a:p>
        </xdr:txBody>
      </xdr:sp>
    </xdr:grpSp>
    <xdr:clientData/>
  </xdr:twoCellAnchor>
  <xdr:twoCellAnchor>
    <xdr:from>
      <xdr:col>5</xdr:col>
      <xdr:colOff>590550</xdr:colOff>
      <xdr:row>11</xdr:row>
      <xdr:rowOff>104775</xdr:rowOff>
    </xdr:from>
    <xdr:to>
      <xdr:col>11</xdr:col>
      <xdr:colOff>66675</xdr:colOff>
      <xdr:row>13</xdr:row>
      <xdr:rowOff>123825</xdr:rowOff>
    </xdr:to>
    <xdr:grpSp>
      <xdr:nvGrpSpPr>
        <xdr:cNvPr id="6189" name="Group 39"/>
        <xdr:cNvGrpSpPr>
          <a:grpSpLocks/>
        </xdr:cNvGrpSpPr>
      </xdr:nvGrpSpPr>
      <xdr:grpSpPr bwMode="auto">
        <a:xfrm>
          <a:off x="2876550" y="3743325"/>
          <a:ext cx="1876425" cy="342900"/>
          <a:chOff x="614" y="394"/>
          <a:chExt cx="197" cy="36"/>
        </a:xfrm>
      </xdr:grpSpPr>
      <xdr:pic>
        <xdr:nvPicPr>
          <xdr:cNvPr id="6193" name="Picture 37"/>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75937" t="68555" r="12968" b="23633"/>
          <a:stretch>
            <a:fillRect/>
          </a:stretch>
        </xdr:blipFill>
        <xdr:spPr bwMode="auto">
          <a:xfrm>
            <a:off x="614" y="394"/>
            <a:ext cx="197" cy="36"/>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sp macro="" textlink="">
        <xdr:nvSpPr>
          <xdr:cNvPr id="6182" name="Text Box 38"/>
          <xdr:cNvSpPr txBox="1">
            <a:spLocks noChangeArrowheads="1"/>
          </xdr:cNvSpPr>
        </xdr:nvSpPr>
        <xdr:spPr bwMode="auto">
          <a:xfrm>
            <a:off x="618" y="400"/>
            <a:ext cx="188" cy="2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32004" rIns="27432" bIns="0" anchor="t" upright="1"/>
          <a:lstStyle/>
          <a:p>
            <a:pPr algn="ctr" rtl="0">
              <a:defRPr sz="1000"/>
            </a:pPr>
            <a:r>
              <a:rPr lang="en-CA" sz="1200" b="1" i="0" u="none" strike="noStrike" baseline="0">
                <a:solidFill>
                  <a:srgbClr val="000000"/>
                </a:solidFill>
                <a:latin typeface="Book Antiqua"/>
              </a:rPr>
              <a:t>Initial Application</a:t>
            </a:r>
          </a:p>
        </xdr:txBody>
      </xdr:sp>
    </xdr:grpSp>
    <xdr:clientData/>
  </xdr:twoCellAnchor>
  <xdr:twoCellAnchor>
    <xdr:from>
      <xdr:col>7</xdr:col>
      <xdr:colOff>9525</xdr:colOff>
      <xdr:row>43</xdr:row>
      <xdr:rowOff>85725</xdr:rowOff>
    </xdr:from>
    <xdr:to>
      <xdr:col>11</xdr:col>
      <xdr:colOff>190500</xdr:colOff>
      <xdr:row>45</xdr:row>
      <xdr:rowOff>104775</xdr:rowOff>
    </xdr:to>
    <xdr:grpSp>
      <xdr:nvGrpSpPr>
        <xdr:cNvPr id="6190" name="Group 40"/>
        <xdr:cNvGrpSpPr>
          <a:grpSpLocks/>
        </xdr:cNvGrpSpPr>
      </xdr:nvGrpSpPr>
      <xdr:grpSpPr bwMode="auto">
        <a:xfrm>
          <a:off x="3000375" y="9020175"/>
          <a:ext cx="1876425" cy="342900"/>
          <a:chOff x="614" y="394"/>
          <a:chExt cx="197" cy="36"/>
        </a:xfrm>
      </xdr:grpSpPr>
      <xdr:pic>
        <xdr:nvPicPr>
          <xdr:cNvPr id="6191" name="Picture 41"/>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75937" t="68555" r="12968" b="23633"/>
          <a:stretch>
            <a:fillRect/>
          </a:stretch>
        </xdr:blipFill>
        <xdr:spPr bwMode="auto">
          <a:xfrm>
            <a:off x="614" y="394"/>
            <a:ext cx="197" cy="36"/>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sp macro="" textlink="">
        <xdr:nvSpPr>
          <xdr:cNvPr id="6186" name="Text Box 42"/>
          <xdr:cNvSpPr txBox="1">
            <a:spLocks noChangeArrowheads="1"/>
          </xdr:cNvSpPr>
        </xdr:nvSpPr>
        <xdr:spPr bwMode="auto">
          <a:xfrm>
            <a:off x="618" y="400"/>
            <a:ext cx="188" cy="2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32004" rIns="27432" bIns="0" anchor="t" upright="1"/>
          <a:lstStyle/>
          <a:p>
            <a:pPr algn="ctr" rtl="0">
              <a:defRPr sz="1000"/>
            </a:pPr>
            <a:r>
              <a:rPr lang="en-CA" sz="1200" b="1" i="0" u="none" strike="noStrike" baseline="0">
                <a:solidFill>
                  <a:srgbClr val="000000"/>
                </a:solidFill>
                <a:latin typeface="Book Antiqua"/>
              </a:rPr>
              <a:t>Per Board Decision</a:t>
            </a:r>
          </a:p>
        </xdr:txBody>
      </xdr:sp>
    </xdr:grp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19050</xdr:colOff>
      <xdr:row>0</xdr:row>
      <xdr:rowOff>0</xdr:rowOff>
    </xdr:from>
    <xdr:to>
      <xdr:col>16</xdr:col>
      <xdr:colOff>152400</xdr:colOff>
      <xdr:row>5</xdr:row>
      <xdr:rowOff>419100</xdr:rowOff>
    </xdr:to>
    <xdr:grpSp>
      <xdr:nvGrpSpPr>
        <xdr:cNvPr id="7186" name="Group 17"/>
        <xdr:cNvGrpSpPr>
          <a:grpSpLocks/>
        </xdr:cNvGrpSpPr>
      </xdr:nvGrpSpPr>
      <xdr:grpSpPr bwMode="auto">
        <a:xfrm>
          <a:off x="19050" y="0"/>
          <a:ext cx="9785350" cy="2760663"/>
          <a:chOff x="2" y="0"/>
          <a:chExt cx="1026" cy="289"/>
        </a:xfrm>
      </xdr:grpSpPr>
      <xdr:grpSp>
        <xdr:nvGrpSpPr>
          <xdr:cNvPr id="7187" name="Group 5"/>
          <xdr:cNvGrpSpPr>
            <a:grpSpLocks/>
          </xdr:cNvGrpSpPr>
        </xdr:nvGrpSpPr>
        <xdr:grpSpPr bwMode="auto">
          <a:xfrm>
            <a:off x="2" y="0"/>
            <a:ext cx="1010" cy="289"/>
            <a:chOff x="2" y="2"/>
            <a:chExt cx="1069" cy="289"/>
          </a:xfrm>
        </xdr:grpSpPr>
        <xdr:pic>
          <xdr:nvPicPr>
            <xdr:cNvPr id="7189" name="Picture 6"/>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4688" t="6152" r="10156" b="67480"/>
            <a:stretch>
              <a:fillRect/>
            </a:stretch>
          </xdr:blipFill>
          <xdr:spPr bwMode="auto">
            <a:xfrm>
              <a:off x="2" y="3"/>
              <a:ext cx="1068" cy="288"/>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pic>
          <xdr:nvPicPr>
            <xdr:cNvPr id="7190" name="Picture 7"/>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51094" t="7813" r="10156" b="89844"/>
            <a:stretch>
              <a:fillRect/>
            </a:stretch>
          </xdr:blipFill>
          <xdr:spPr bwMode="auto">
            <a:xfrm>
              <a:off x="584" y="2"/>
              <a:ext cx="486" cy="26"/>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pic>
          <xdr:nvPicPr>
            <xdr:cNvPr id="7191" name="Picture 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82187" t="25977" r="10547" b="67773"/>
            <a:stretch>
              <a:fillRect/>
            </a:stretch>
          </xdr:blipFill>
          <xdr:spPr bwMode="auto">
            <a:xfrm>
              <a:off x="110" y="217"/>
              <a:ext cx="961" cy="73"/>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pic>
          <xdr:nvPicPr>
            <xdr:cNvPr id="7192" name="Picture 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52969" t="22168" r="10625" b="74707"/>
            <a:stretch>
              <a:fillRect/>
            </a:stretch>
          </xdr:blipFill>
          <xdr:spPr bwMode="auto">
            <a:xfrm>
              <a:off x="612" y="104"/>
              <a:ext cx="457" cy="78"/>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sp macro="" textlink="">
          <xdr:nvSpPr>
            <xdr:cNvPr id="7178" name="Text Box 10"/>
            <xdr:cNvSpPr txBox="1">
              <a:spLocks noChangeArrowheads="1"/>
            </xdr:cNvSpPr>
          </xdr:nvSpPr>
          <xdr:spPr bwMode="auto">
            <a:xfrm>
              <a:off x="639" y="89"/>
              <a:ext cx="306" cy="12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36576" bIns="0" anchor="t" upright="1"/>
            <a:lstStyle/>
            <a:p>
              <a:pPr algn="ctr" rtl="0">
                <a:defRPr sz="1000"/>
              </a:pPr>
              <a:r>
                <a:rPr lang="en-CA" sz="1600" b="1" i="0" u="none" strike="noStrike" baseline="0">
                  <a:solidFill>
                    <a:srgbClr val="FF0000"/>
                  </a:solidFill>
                  <a:latin typeface="Book Antiqua"/>
                </a:rPr>
                <a:t>REVENUE REQUIREMENT WORK FORM</a:t>
              </a:r>
            </a:p>
            <a:p>
              <a:pPr algn="ctr" rtl="0">
                <a:defRPr sz="1000"/>
              </a:pPr>
              <a:endParaRPr lang="en-CA" sz="1600" b="1" i="0" u="none" strike="noStrike" baseline="0">
                <a:solidFill>
                  <a:srgbClr val="FF0000"/>
                </a:solidFill>
                <a:latin typeface="Book Antiqua"/>
              </a:endParaRPr>
            </a:p>
            <a:p>
              <a:pPr algn="ctr" rtl="0">
                <a:defRPr sz="1000"/>
              </a:pPr>
              <a:r>
                <a:rPr lang="en-CA" sz="1200" b="1" i="0" u="none" strike="noStrike" baseline="0">
                  <a:solidFill>
                    <a:srgbClr val="FF0000"/>
                  </a:solidFill>
                  <a:latin typeface="Book Antiqua"/>
                </a:rPr>
                <a:t>Version 2.20</a:t>
              </a:r>
            </a:p>
          </xdr:txBody>
        </xdr:sp>
        <xdr:sp macro="" textlink="'1. Info'!AB1">
          <xdr:nvSpPr>
            <xdr:cNvPr id="7179" name="Text Box 11"/>
            <xdr:cNvSpPr txBox="1">
              <a:spLocks noChangeArrowheads="1" noTextEdit="1"/>
            </xdr:cNvSpPr>
          </xdr:nvSpPr>
          <xdr:spPr bwMode="auto">
            <a:xfrm>
              <a:off x="116" y="220"/>
              <a:ext cx="409" cy="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0" bIns="0" anchor="t" upright="1"/>
            <a:lstStyle/>
            <a:p>
              <a:pPr algn="l" rtl="0">
                <a:defRPr sz="1000"/>
              </a:pPr>
              <a:fld id="{3643F5E0-185B-40D0-8387-BB7EF52F7C44}" type="TxLink">
                <a:rPr lang="en-CA" sz="1600" b="0" i="0" u="none" strike="noStrike" baseline="0">
                  <a:solidFill>
                    <a:srgbClr val="FFFFFF"/>
                  </a:solidFill>
                  <a:latin typeface="Book Antiqua"/>
                </a:rPr>
                <a:pPr algn="l" rtl="0">
                  <a:defRPr sz="1000"/>
                </a:pPr>
                <a:t>Wasaga Distribution Inc.</a:t>
              </a:fld>
              <a:endParaRPr lang="en-CA" sz="1600" b="0" i="0" u="none" strike="noStrike" baseline="0">
                <a:solidFill>
                  <a:srgbClr val="FFFFFF"/>
                </a:solidFill>
                <a:latin typeface="Book Antiqua"/>
              </a:endParaRPr>
            </a:p>
          </xdr:txBody>
        </xdr:sp>
      </xdr:grpSp>
      <xdr:sp macro="" textlink="">
        <xdr:nvSpPr>
          <xdr:cNvPr id="7183" name="Text Box 15"/>
          <xdr:cNvSpPr txBox="1">
            <a:spLocks noChangeArrowheads="1"/>
          </xdr:cNvSpPr>
        </xdr:nvSpPr>
        <xdr:spPr bwMode="auto">
          <a:xfrm>
            <a:off x="110" y="249"/>
            <a:ext cx="918" cy="3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0" anchor="t" upright="1"/>
          <a:lstStyle/>
          <a:p>
            <a:pPr algn="l" rtl="0">
              <a:defRPr sz="1000"/>
            </a:pPr>
            <a:r>
              <a:rPr lang="en-CA" sz="1600" b="1" i="0" u="none" strike="noStrike" baseline="0">
                <a:solidFill>
                  <a:srgbClr val="FFFFFF"/>
                </a:solidFill>
                <a:latin typeface="Book Antiqua"/>
              </a:rPr>
              <a:t>Revenue Deficiency/Sufficiency</a:t>
            </a:r>
          </a:p>
        </xdr:txBody>
      </xdr:sp>
    </xdr:grp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19050</xdr:colOff>
      <xdr:row>0</xdr:row>
      <xdr:rowOff>0</xdr:rowOff>
    </xdr:from>
    <xdr:to>
      <xdr:col>19</xdr:col>
      <xdr:colOff>9525</xdr:colOff>
      <xdr:row>5</xdr:row>
      <xdr:rowOff>419100</xdr:rowOff>
    </xdr:to>
    <xdr:grpSp>
      <xdr:nvGrpSpPr>
        <xdr:cNvPr id="8209" name="Group 16"/>
        <xdr:cNvGrpSpPr>
          <a:grpSpLocks/>
        </xdr:cNvGrpSpPr>
      </xdr:nvGrpSpPr>
      <xdr:grpSpPr bwMode="auto">
        <a:xfrm>
          <a:off x="19050" y="0"/>
          <a:ext cx="9505950" cy="2752725"/>
          <a:chOff x="2" y="0"/>
          <a:chExt cx="998" cy="289"/>
        </a:xfrm>
      </xdr:grpSpPr>
      <xdr:grpSp>
        <xdr:nvGrpSpPr>
          <xdr:cNvPr id="8210" name="Group 2"/>
          <xdr:cNvGrpSpPr>
            <a:grpSpLocks/>
          </xdr:cNvGrpSpPr>
        </xdr:nvGrpSpPr>
        <xdr:grpSpPr bwMode="auto">
          <a:xfrm>
            <a:off x="2" y="0"/>
            <a:ext cx="995" cy="289"/>
            <a:chOff x="2" y="2"/>
            <a:chExt cx="1069" cy="289"/>
          </a:xfrm>
        </xdr:grpSpPr>
        <xdr:pic>
          <xdr:nvPicPr>
            <xdr:cNvPr id="8212" name="Picture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4688" t="6152" r="10156" b="67480"/>
            <a:stretch>
              <a:fillRect/>
            </a:stretch>
          </xdr:blipFill>
          <xdr:spPr bwMode="auto">
            <a:xfrm>
              <a:off x="2" y="3"/>
              <a:ext cx="1068" cy="288"/>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pic>
          <xdr:nvPicPr>
            <xdr:cNvPr id="8213" name="Picture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51094" t="7813" r="10156" b="89844"/>
            <a:stretch>
              <a:fillRect/>
            </a:stretch>
          </xdr:blipFill>
          <xdr:spPr bwMode="auto">
            <a:xfrm>
              <a:off x="584" y="2"/>
              <a:ext cx="486" cy="26"/>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pic>
          <xdr:nvPicPr>
            <xdr:cNvPr id="8214" name="Picture 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82187" t="25977" r="10547" b="67773"/>
            <a:stretch>
              <a:fillRect/>
            </a:stretch>
          </xdr:blipFill>
          <xdr:spPr bwMode="auto">
            <a:xfrm>
              <a:off x="110" y="217"/>
              <a:ext cx="961" cy="73"/>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pic>
          <xdr:nvPicPr>
            <xdr:cNvPr id="8215" name="Picture 6"/>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52969" t="22168" r="10625" b="74707"/>
            <a:stretch>
              <a:fillRect/>
            </a:stretch>
          </xdr:blipFill>
          <xdr:spPr bwMode="auto">
            <a:xfrm>
              <a:off x="612" y="104"/>
              <a:ext cx="457" cy="78"/>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sp macro="" textlink="">
          <xdr:nvSpPr>
            <xdr:cNvPr id="8199" name="Text Box 7"/>
            <xdr:cNvSpPr txBox="1">
              <a:spLocks noChangeArrowheads="1"/>
            </xdr:cNvSpPr>
          </xdr:nvSpPr>
          <xdr:spPr bwMode="auto">
            <a:xfrm>
              <a:off x="639" y="89"/>
              <a:ext cx="306" cy="12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36576" bIns="0" anchor="t" upright="1"/>
            <a:lstStyle/>
            <a:p>
              <a:pPr algn="ctr" rtl="0">
                <a:defRPr sz="1000"/>
              </a:pPr>
              <a:r>
                <a:rPr lang="en-CA" sz="1600" b="1" i="0" u="none" strike="noStrike" baseline="0">
                  <a:solidFill>
                    <a:srgbClr val="FF0000"/>
                  </a:solidFill>
                  <a:latin typeface="Book Antiqua"/>
                </a:rPr>
                <a:t>REVENUE REQUIREMENT WORK FORM</a:t>
              </a:r>
            </a:p>
            <a:p>
              <a:pPr algn="ctr" rtl="0">
                <a:defRPr sz="1000"/>
              </a:pPr>
              <a:endParaRPr lang="en-CA" sz="1600" b="1" i="0" u="none" strike="noStrike" baseline="0">
                <a:solidFill>
                  <a:srgbClr val="FF0000"/>
                </a:solidFill>
                <a:latin typeface="Book Antiqua"/>
              </a:endParaRPr>
            </a:p>
            <a:p>
              <a:pPr algn="ctr" rtl="0">
                <a:defRPr sz="1000"/>
              </a:pPr>
              <a:r>
                <a:rPr lang="en-CA" sz="1200" b="1" i="0" u="none" strike="noStrike" baseline="0">
                  <a:solidFill>
                    <a:srgbClr val="FF0000"/>
                  </a:solidFill>
                  <a:latin typeface="Book Antiqua"/>
                </a:rPr>
                <a:t>Version 2.20</a:t>
              </a:r>
            </a:p>
          </xdr:txBody>
        </xdr:sp>
        <xdr:sp macro="" textlink="'1. Info'!AB1">
          <xdr:nvSpPr>
            <xdr:cNvPr id="8200" name="Text Box 8"/>
            <xdr:cNvSpPr txBox="1">
              <a:spLocks noChangeArrowheads="1" noTextEdit="1"/>
            </xdr:cNvSpPr>
          </xdr:nvSpPr>
          <xdr:spPr bwMode="auto">
            <a:xfrm>
              <a:off x="116" y="220"/>
              <a:ext cx="409" cy="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0" bIns="0" anchor="t" upright="1"/>
            <a:lstStyle/>
            <a:p>
              <a:pPr algn="l" rtl="0">
                <a:defRPr sz="1000"/>
              </a:pPr>
              <a:fld id="{684F1DDB-A36F-49CF-B82E-5B5B1C0F11D2}" type="TxLink">
                <a:rPr lang="en-CA" sz="1600" b="0" i="0" u="none" strike="noStrike" baseline="0">
                  <a:solidFill>
                    <a:srgbClr val="FFFFFF"/>
                  </a:solidFill>
                  <a:latin typeface="Book Antiqua"/>
                </a:rPr>
                <a:pPr algn="l" rtl="0">
                  <a:defRPr sz="1000"/>
                </a:pPr>
                <a:t>Wasaga Distribution Inc.</a:t>
              </a:fld>
              <a:endParaRPr lang="en-CA" sz="1600" b="0" i="0" u="none" strike="noStrike" baseline="0">
                <a:solidFill>
                  <a:srgbClr val="FFFFFF"/>
                </a:solidFill>
                <a:latin typeface="Book Antiqua"/>
              </a:endParaRPr>
            </a:p>
          </xdr:txBody>
        </xdr:sp>
      </xdr:grpSp>
      <xdr:sp macro="" textlink="">
        <xdr:nvSpPr>
          <xdr:cNvPr id="8207" name="Text Box 15"/>
          <xdr:cNvSpPr txBox="1">
            <a:spLocks noChangeArrowheads="1"/>
          </xdr:cNvSpPr>
        </xdr:nvSpPr>
        <xdr:spPr bwMode="auto">
          <a:xfrm>
            <a:off x="106" y="249"/>
            <a:ext cx="894" cy="3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0" anchor="t" upright="1"/>
          <a:lstStyle/>
          <a:p>
            <a:pPr algn="l" rtl="0">
              <a:defRPr sz="1000"/>
            </a:pPr>
            <a:r>
              <a:rPr lang="en-CA" sz="1600" b="1" i="0" u="none" strike="noStrike" baseline="0">
                <a:solidFill>
                  <a:srgbClr val="FFFFFF"/>
                </a:solidFill>
                <a:latin typeface="Book Antiqua"/>
              </a:rPr>
              <a:t> Revenue Requirement</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rds.ontarioenergyboard.ca/Market%20Operations/Department%20Applications/Reports/Rates/Electricity%20Rates%20-%20Billing%20Determinants%20Database/2012%20IRM%20DEVELOPMENT/2012%20IRM%20MODEL%20(2ND%20AND%203RD).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rds.ontarioenergyboard.ca/webdrawer/webdrawer.dll/webdrawer/rec/363855/view/WDI_APPL_Weather_Normalization_Model_2012063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
      <sheetName val="2. Applicable Worksheets"/>
      <sheetName val="3. Rate Classes"/>
      <sheetName val="hidden1"/>
      <sheetName val="4. Most Recent Tariff"/>
    </sheetNames>
    <sheetDataSet>
      <sheetData sheetId="0"/>
      <sheetData sheetId="1" refreshError="1"/>
      <sheetData sheetId="2"/>
      <sheetData sheetId="3">
        <row r="1">
          <cell r="D1" t="str">
            <v>Applicable only for Non-RPP Customers</v>
          </cell>
        </row>
        <row r="2">
          <cell r="D2" t="str">
            <v>Deferral / Variance Account Rate Rider</v>
          </cell>
        </row>
        <row r="3">
          <cell r="D3" t="str">
            <v>Deferral / Variance Account Rate Rider (excl GA)</v>
          </cell>
          <cell r="J3" t="str">
            <v>$</v>
          </cell>
        </row>
        <row r="4">
          <cell r="D4" t="str">
            <v>Deferral / Variance Account Rate Rider (GA) – if applicable</v>
          </cell>
          <cell r="J4" t="str">
            <v>$/kWh</v>
          </cell>
        </row>
        <row r="5">
          <cell r="D5" t="str">
            <v>Distribution Volumetric Rate</v>
          </cell>
          <cell r="J5" t="str">
            <v>$/kW</v>
          </cell>
        </row>
        <row r="6">
          <cell r="D6" t="str">
            <v>Distribution Wheeling Service Rate</v>
          </cell>
          <cell r="J6" t="str">
            <v>$/kVA</v>
          </cell>
        </row>
        <row r="7">
          <cell r="D7" t="str">
            <v>General Service 1,500 to 4,999 kW customer</v>
          </cell>
        </row>
        <row r="8">
          <cell r="D8" t="str">
            <v>General Service 50 to 1,499 kW customer</v>
          </cell>
        </row>
        <row r="9">
          <cell r="D9" t="str">
            <v>General Service Large Use customer</v>
          </cell>
        </row>
        <row r="10">
          <cell r="D10" t="str">
            <v>Green Energy Act Initiatives Funding Adder</v>
          </cell>
        </row>
        <row r="11">
          <cell r="D11" t="str">
            <v>Lost Revenue Adjustment Mechanism (LRAM) Recovery/Shared Savings Mechanism (SSM) Recovery Rate Rider – effective until April 30, 2012</v>
          </cell>
        </row>
        <row r="12">
          <cell r="D12" t="str">
            <v>Lost Revenue Adjustment Mechanism (LRAM) Recovery/Shared Savings Mechanism (SSM) Recovery Rate Rider (2011) – effective until April 30, 2014</v>
          </cell>
        </row>
        <row r="13">
          <cell r="D13" t="str">
            <v>Low Voltage Service Rate</v>
          </cell>
        </row>
        <row r="14">
          <cell r="D14" t="str">
            <v>Low Voltage Volumetric Rate</v>
          </cell>
        </row>
        <row r="15">
          <cell r="D15" t="str">
            <v>LRAM &amp; SSM Rate Rider</v>
          </cell>
        </row>
        <row r="16">
          <cell r="D16" t="str">
            <v>Minimum Distribution Charge – per KW of maximum billing demand in the previous 11 months</v>
          </cell>
        </row>
        <row r="17">
          <cell r="D17" t="str">
            <v>Monthly Distribution Wheeling Service Rate – Dedicated LV Line</v>
          </cell>
        </row>
        <row r="18">
          <cell r="D18" t="str">
            <v>Monthly Distribution Wheeling Service Rate – Hydro One Networks</v>
          </cell>
        </row>
        <row r="19">
          <cell r="D19" t="str">
            <v>Monthly Distribution Wheeling Service Rate – Shared LV Line</v>
          </cell>
        </row>
        <row r="20">
          <cell r="D20" t="str">
            <v>Monthly Distribution Wheeling Service Rate – Waterloo North Hydro</v>
          </cell>
        </row>
        <row r="21">
          <cell r="D21" t="str">
            <v>Rate Rider for Deferral/Variance Account Disposition – effective until April 30, 2014</v>
          </cell>
        </row>
        <row r="22">
          <cell r="D22" t="str">
            <v>Rate Rider for Deferral/Variance Account Disposition (2009) – effective until April 30, 2013</v>
          </cell>
        </row>
        <row r="23">
          <cell r="D23" t="str">
            <v>Rate Rider for Deferral/Variance Account Disposition (2010) – effective until April 30, 2012</v>
          </cell>
        </row>
        <row r="24">
          <cell r="D24" t="str">
            <v>Rate Rider for Deferral/Variance Account Disposition (2010) – effective until April 30, 2012 Applicable only for Wholesale Market Participants</v>
          </cell>
        </row>
        <row r="25">
          <cell r="D25" t="str">
            <v>Rate Rider for Deferral/Variance Account Disposition (2010) – effective until April 30, 2013</v>
          </cell>
        </row>
        <row r="26">
          <cell r="D26" t="str">
            <v>Rate Rider for Deferral/Variance Account Disposition (2010) – effective until April 30, 2014</v>
          </cell>
        </row>
        <row r="27">
          <cell r="D27" t="str">
            <v>Rate Rider for Deferral/Variance Account Disposition (2010) – effective until January 31, 2012</v>
          </cell>
        </row>
        <row r="28">
          <cell r="D28" t="str">
            <v>Rate Rider for Deferral/Variance Account Disposition (2011) – effective until April 30, 2012</v>
          </cell>
        </row>
        <row r="29">
          <cell r="D29" t="str">
            <v>Rate Rider for Deferral/Variance Account Disposition (2011) – effective until April 30, 2012 (per connection)</v>
          </cell>
        </row>
        <row r="30">
          <cell r="D30" t="str">
            <v>Rate Rider for Deferral/Variance Account Disposition (2011) – effective until April 30, 2013</v>
          </cell>
        </row>
        <row r="31">
          <cell r="D31" t="str">
            <v>Rate Rider for Deferral/Variance Account Disposition (2011) – effective until April 30, 2013 Applicable only for Wholesale Market Participants</v>
          </cell>
        </row>
        <row r="32">
          <cell r="D32" t="str">
            <v>Rate Rider for Deferral/Variance Account Disposition (2011) – effective until April 30, 2014</v>
          </cell>
        </row>
        <row r="33">
          <cell r="D33" t="str">
            <v>Rate Rider for Deferral/Variance Account Disposition (2011) – effective until April 30, 2015</v>
          </cell>
        </row>
        <row r="34">
          <cell r="D34" t="str">
            <v>Rate Rider for Deferral/Variance Account Disposition (2011) – effective until December 31, 2011</v>
          </cell>
        </row>
        <row r="35">
          <cell r="D35" t="str">
            <v>Rate Rider for Global Adjustment Sub-Account (2010) – effective until April 30, 2012 Applicable only for Non-RPP Customers</v>
          </cell>
        </row>
        <row r="36">
          <cell r="D36" t="str">
            <v>Rate Rider for Global Adjustment Sub-Account (2011) – effective until April 30, 2012 Applicable only for Non-RPP Customers</v>
          </cell>
        </row>
        <row r="37">
          <cell r="D37" t="str">
            <v>Rate Rider for Global Adjustment Sub-Account Disposition – effective until April 30, 2012 Applicable only for Non-RPP Customers</v>
          </cell>
        </row>
        <row r="38">
          <cell r="D38" t="str">
            <v>Rate Rider for Global Adjustment Sub-Account Disposition – effective until April 30, 2014 Applicable only for Non-RPP Customers</v>
          </cell>
        </row>
        <row r="39">
          <cell r="D39" t="str">
            <v>Rate Rider for Global Adjustment Sub-Account Disposition (2010 credit) – effective until April 30, 2012 Applicable only for Non-RPP Customers</v>
          </cell>
        </row>
        <row r="40">
          <cell r="D40" t="str">
            <v>Rate Rider for Global Adjustment Sub-Account Disposition (2010 recalculated) – effective until April 30, 2013 Applicable only for Non-RPP Customers</v>
          </cell>
        </row>
        <row r="41">
          <cell r="D41" t="str">
            <v>Rate Rider for Global Adjustment Sub-Account Disposition (2010) – effective until April 30, 2012 Applicable only for Non-RPP Customers</v>
          </cell>
        </row>
        <row r="42">
          <cell r="D42" t="str">
            <v>Rate Rider for Global Adjustment Sub-Account Disposition (2010) – effective until April 30, 2013 Applicable only for Non-RPP Customers</v>
          </cell>
        </row>
        <row r="43">
          <cell r="D43" t="str">
            <v>Rate Rider for Global Adjustment Sub-Account Disposition (2010) – effective until April 30, 2014 Applicable only for Non-RPP Customers</v>
          </cell>
        </row>
        <row r="44">
          <cell r="D44" t="str">
            <v>Rate Rider for Global Adjustment Sub-Account Disposition (2011) – effective until April 30, 2012 Applicable only for Non-RPP Customers</v>
          </cell>
        </row>
        <row r="45">
          <cell r="D45" t="str">
            <v>Rate Rider for Global Adjustment Sub-Account Disposition (2011) – effective until April 30, 2012 Applicable only for Non-RPP Customers (per connection)</v>
          </cell>
        </row>
        <row r="46">
          <cell r="D46" t="str">
            <v>Rate Rider for Global Adjustment Sub-Account Disposition (2011) – effective until April 30, 2013 Applicable only for Non-RPP Customers</v>
          </cell>
        </row>
        <row r="47">
          <cell r="D47" t="str">
            <v>Rate Rider for Global Adjustment Sub-Account Disposition (2011) – effective until April 30, 2013 Applicable only for Non-RPP Customers and excluding Wholesale Market Participants</v>
          </cell>
        </row>
        <row r="48">
          <cell r="D48" t="str">
            <v>Rate Rider for Global Adjustment Sub-Account Disposition (2011) – effective until April 30, 2015 Applicable only for Non-RPP Customers</v>
          </cell>
        </row>
        <row r="49">
          <cell r="D49" t="str">
            <v>Rate Rider for Lost Revenue Adjustment Mechanism (LRAM) Recovery – effective until April 30, 2012</v>
          </cell>
        </row>
        <row r="50">
          <cell r="D50" t="str">
            <v>Rate Rider for Lost Revenue Adjustment Mechanism (LRAM) Recovery/Shared Savings Mechanism (SSM) Recovery – effective until April 30, 2012</v>
          </cell>
        </row>
        <row r="51">
          <cell r="D51" t="str">
            <v>Rate Rider for Lost Revenue Adjustment Mechanism (LRAM) Recovery/Shared Savings Mechanism (SSM) Recovery – effective until April 30, 2012</v>
          </cell>
        </row>
        <row r="52">
          <cell r="D52" t="str">
            <v>Rate Rider for Lost Revenue Adjustment Mechanism (LRAM) Recovery/Shared Savings Mechanism (SSM) Recovery – effective until April 30, 2013</v>
          </cell>
        </row>
        <row r="53">
          <cell r="D53" t="str">
            <v>Rate Rider for Lost Revenue Adjustment Mechanism (LRAM) Recovery/Shared Savings Mechanism (SSM) Recovery – effective until April 30, 2014</v>
          </cell>
        </row>
        <row r="54">
          <cell r="D54" t="str">
            <v>Rate Rider for Lost Revenue Adjustment Mechanism (LRAM) Recovery/Shared Savings Mechanism (SSM) Recovery – effective until December 31, 2012</v>
          </cell>
        </row>
        <row r="55">
          <cell r="D55" t="str">
            <v>Rate Rider for Lost Revenue Adjustment Mechanism (LRAM) Recovery/Shared Savings Mechanism (SSM) Recovery (2009) – effective until April 30, 2012</v>
          </cell>
        </row>
        <row r="56">
          <cell r="D56" t="str">
            <v>Rate Rider for Lost Revenue Adjustment Mechanism (LRAM) Recovery/Shared Savings Mechanism (SSM) Recovery (2011) – effective until April 30, 2012</v>
          </cell>
        </row>
        <row r="57">
          <cell r="D57" t="str">
            <v>Rate Rider for Lost Revenue Adjustment Mechanism (LRAM) Recovery/Shared Savings Mechanism (SSM) Recovery (2011) – effective until April 30, 2013</v>
          </cell>
        </row>
        <row r="58">
          <cell r="D58" t="str">
            <v>Rate Rider for Recalculated Deferral/Variance Account Disposition (2010) – effective until April 30, 2013</v>
          </cell>
        </row>
        <row r="59">
          <cell r="D59" t="str">
            <v>Rate Rider for Recovery of Foregone Revenue – effective until December 31, 2011</v>
          </cell>
        </row>
        <row r="60">
          <cell r="D60" t="str">
            <v>Rate Rider for Recovery of Incremental Capital Costs – effective until April 30, 2012</v>
          </cell>
        </row>
        <row r="61">
          <cell r="D61" t="str">
            <v>Rate Rider for Recovery of Incremental Capital Costs – effective until April 30, 2013</v>
          </cell>
        </row>
        <row r="62">
          <cell r="D62" t="str">
            <v>Rate Rider for Recovery of Late Payment Penalty Litigation Costs – effective until April 30, 2012</v>
          </cell>
        </row>
        <row r="63">
          <cell r="D63" t="str">
            <v>Rate Rider for Recovery of Late Payment Penalty Litigation Costs – effective until April 30, 2012 (per connection)</v>
          </cell>
        </row>
        <row r="64">
          <cell r="D64" t="str">
            <v>Rate Rider for Recovery of Late Payment Penalty Litigation Costs (per customer) – effective until April 30, 2012</v>
          </cell>
        </row>
        <row r="65">
          <cell r="D65" t="str">
            <v>Rate Rider for Recovery of Stranded Meter Assets – effective until December 31, 2012</v>
          </cell>
        </row>
        <row r="66">
          <cell r="D66" t="str">
            <v>Rate Rider for Regulatory Asset Recovery – effective until April 30, 2012</v>
          </cell>
        </row>
        <row r="67">
          <cell r="D67" t="str">
            <v>Rate Rider for Regulatory Asset Recovery – effective until April 30, 2013</v>
          </cell>
        </row>
        <row r="68">
          <cell r="D68" t="str">
            <v>Rate Rider for Return of Revenue Sufficiency – effective until December 31, 2011</v>
          </cell>
        </row>
        <row r="69">
          <cell r="D69" t="str">
            <v>Rate Rider for Return of Transformer Ownership Allowance Sufficiency – effective until December 31, 2011</v>
          </cell>
        </row>
        <row r="70">
          <cell r="D70" t="str">
            <v>Rate Rider for Smart Meter Incremental Revenue Requirement – in effect until the effective date of the next cost of service application</v>
          </cell>
        </row>
        <row r="71">
          <cell r="D71" t="str">
            <v>Rate Rider for Smart Meter Variance Account Disposition – effective until April 30, 2012</v>
          </cell>
        </row>
        <row r="72">
          <cell r="D72" t="str">
            <v>Rate Rider for Smart Meter Variance Account Disposition – effective until December 31, 2011</v>
          </cell>
        </row>
        <row r="73">
          <cell r="D73" t="str">
            <v>Rate Rider for Tax Change – effective until April 20, 2012</v>
          </cell>
        </row>
        <row r="74">
          <cell r="D74" t="str">
            <v>Rate Rider for Tax Change – effective until April 30, 2012</v>
          </cell>
        </row>
        <row r="75">
          <cell r="D75" t="str">
            <v>Rate Rider for Tax Change – effective until April 30, 2012 (per connection)</v>
          </cell>
        </row>
        <row r="76">
          <cell r="D76" t="str">
            <v>Rate Rider for Tax Change – Hydro One Networks - effective until April 30, 2012</v>
          </cell>
        </row>
        <row r="77">
          <cell r="D77" t="str">
            <v>Rate Rider for Tax Change – Waterloo North Hydro – effective until April 30, 2012</v>
          </cell>
        </row>
        <row r="78">
          <cell r="D78" t="str">
            <v>Rate Rider for Tax Change Dedicated LV Line – effective until April 30, 2012</v>
          </cell>
        </row>
        <row r="79">
          <cell r="D79" t="str">
            <v>Rate Rider for Tax Change Shared LV Line – effective until April 30, 2012</v>
          </cell>
        </row>
        <row r="80">
          <cell r="D80" t="str">
            <v>Rate Rider for Z-Factor Recovery – Effective until April 30, 2012</v>
          </cell>
        </row>
        <row r="81">
          <cell r="D81" t="str">
            <v>Retail Transmission Rate – Line and Transformation Connection Service Rate</v>
          </cell>
        </row>
        <row r="82">
          <cell r="D82" t="str">
            <v>Retail Transmission Rate – Line and Transformation Connection Service Rate – Interval Metered</v>
          </cell>
        </row>
        <row r="83">
          <cell r="D83" t="str">
            <v>Retail Transmission Rate – Line and Transformation Connection Service Rate – Interval Metered &lt; 1,000 kW</v>
          </cell>
        </row>
        <row r="84">
          <cell r="D84" t="str">
            <v>Retail Transmission Rate – Line and Transformation Connection Service Rate – Interval Metered &gt; 1,000 kW</v>
          </cell>
        </row>
        <row r="85">
          <cell r="D85" t="str">
            <v>Retail Transmission Rate – Line and Transformation Connection Service Rate – Interval Metered ≥ 1,000kW</v>
          </cell>
        </row>
        <row r="86">
          <cell r="D86" t="str">
            <v>Retail Transmission Rate – Line Connection Service Rate</v>
          </cell>
        </row>
        <row r="87">
          <cell r="D87" t="str">
            <v>Retail Transmission Rate – Network Service Rate</v>
          </cell>
        </row>
        <row r="88">
          <cell r="D88" t="str">
            <v>Retail Transmission Rate – Network Service Rate – Interval Metered</v>
          </cell>
        </row>
        <row r="89">
          <cell r="D89" t="str">
            <v>Retail Transmission Rate – Network Service Rate – Interval Metered &lt; 1,000 kW Rate</v>
          </cell>
        </row>
        <row r="90">
          <cell r="D90" t="str">
            <v>Retail Transmission Rate – Network Service Rate – Interval Metered &gt; 1,000 kW</v>
          </cell>
        </row>
        <row r="91">
          <cell r="D91" t="str">
            <v>Retail Transmission Rate – Network Service Rate – Interval Metered ≥ 1,000 kW</v>
          </cell>
        </row>
        <row r="92">
          <cell r="D92" t="str">
            <v>Retail Transmission Rate – Transformation Connection Service Rate</v>
          </cell>
        </row>
        <row r="93">
          <cell r="D93" t="str">
            <v>Service Charge</v>
          </cell>
        </row>
        <row r="94">
          <cell r="D94" t="str">
            <v>Service Charge (Based on 30 day month)</v>
          </cell>
        </row>
        <row r="95">
          <cell r="D95" t="str">
            <v>Service Charge (per account)</v>
          </cell>
        </row>
        <row r="96">
          <cell r="D96" t="str">
            <v>Service Charge (per connection)</v>
          </cell>
        </row>
        <row r="97">
          <cell r="D97" t="str">
            <v>Service Charge (per customer)</v>
          </cell>
        </row>
        <row r="98">
          <cell r="D98" t="str">
            <v>Service Charge for metered account</v>
          </cell>
        </row>
        <row r="99">
          <cell r="D99" t="str">
            <v>Service Charge for Unmetered Scattered Load account (per connection)</v>
          </cell>
        </row>
        <row r="100">
          <cell r="D100" t="str">
            <v>Smart Grid Rate Adder</v>
          </cell>
        </row>
        <row r="101">
          <cell r="D101" t="str">
            <v>Smart Meter Disposition Rider 2 – effective until next cost of service application</v>
          </cell>
        </row>
        <row r="102">
          <cell r="D102" t="str">
            <v>Smart Meter Disposition Rider 3 – effective until next cost of service application</v>
          </cell>
        </row>
        <row r="103">
          <cell r="D103" t="str">
            <v>Smart Meter Funding Adder</v>
          </cell>
        </row>
        <row r="104">
          <cell r="D104" t="str">
            <v>Smart Meter Funding Adder – effective until April 30, 2012</v>
          </cell>
        </row>
        <row r="105">
          <cell r="D105" t="str">
            <v>Smart Meter Funding Adder – effective until December 31, 2011</v>
          </cell>
        </row>
        <row r="106">
          <cell r="D106" t="str">
            <v>Smart Meter Funding Adder for metered account – effective until April 30, 2012</v>
          </cell>
        </row>
        <row r="107">
          <cell r="D107" t="str">
            <v>Standby Charge – for a month where standby power is not provided. The charge is applied to the contracted amount (e.g. nameplate rating of the generation facility).</v>
          </cell>
        </row>
        <row r="108">
          <cell r="D108" t="str">
            <v>Total Loss Factor – Primary Metered Customer &lt; 5,000 kW</v>
          </cell>
        </row>
        <row r="109">
          <cell r="D109" t="str">
            <v>Total Loss Factor – Primary Metered Customer &gt; 5,000 kW</v>
          </cell>
        </row>
        <row r="110">
          <cell r="D110" t="str">
            <v>Total Loss Factor – Secondary Metered Customer &lt; 5,000 kW</v>
          </cell>
        </row>
        <row r="111">
          <cell r="D111" t="str">
            <v>Total Loss Factor – Secondary Metered Customer &gt; 5,000 kW</v>
          </cell>
        </row>
        <row r="112">
          <cell r="D112" t="str">
            <v>Transmission Rate – Network Service Rate – Interval Metered</v>
          </cell>
        </row>
      </sheetData>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Purchased Power Model "/>
      <sheetName val="DRC vs Mon Summary"/>
      <sheetName val="Rate Class Energy Model"/>
      <sheetName val="Rate Class Customer Model"/>
      <sheetName val="Rate Class Load Model"/>
      <sheetName val="Tables Used For Exhibits"/>
      <sheetName val="Exhibit 3 Energy by Rate Class"/>
      <sheetName val="2011 COP "/>
      <sheetName val="2012 COP"/>
      <sheetName val="Loss Factor"/>
      <sheetName val="Demand 2009 201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12">
          <cell r="C12">
            <v>1.0739000000000001</v>
          </cell>
        </row>
      </sheetData>
      <sheetData sheetId="9" refreshError="1">
        <row r="31">
          <cell r="E31">
            <v>5.0073023454717935E-3</v>
          </cell>
        </row>
        <row r="40">
          <cell r="E40">
            <v>2.748077880585753E-3</v>
          </cell>
        </row>
      </sheetData>
      <sheetData sheetId="10" refreshError="1">
        <row r="17">
          <cell r="M17">
            <v>1.0810320243382621</v>
          </cell>
        </row>
      </sheetData>
      <sheetData sheetId="1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image" Target="../media/image7.emf"/><Relationship Id="rId2" Type="http://schemas.openxmlformats.org/officeDocument/2006/relationships/drawing" Target="../drawings/drawing10.xml"/><Relationship Id="rId1" Type="http://schemas.openxmlformats.org/officeDocument/2006/relationships/printerSettings" Target="../printerSettings/printerSettings10.bin"/><Relationship Id="rId6" Type="http://schemas.openxmlformats.org/officeDocument/2006/relationships/control" Target="../activeX/activeX2.xml"/><Relationship Id="rId5" Type="http://schemas.openxmlformats.org/officeDocument/2006/relationships/image" Target="../media/image6.emf"/><Relationship Id="rId4" Type="http://schemas.openxmlformats.org/officeDocument/2006/relationships/control" Target="../activeX/activeX1.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3.vml"/><Relationship Id="rId7" Type="http://schemas.openxmlformats.org/officeDocument/2006/relationships/image" Target="../media/image9.emf"/><Relationship Id="rId2" Type="http://schemas.openxmlformats.org/officeDocument/2006/relationships/drawing" Target="../drawings/drawing11.xml"/><Relationship Id="rId1" Type="http://schemas.openxmlformats.org/officeDocument/2006/relationships/printerSettings" Target="../printerSettings/printerSettings11.bin"/><Relationship Id="rId6" Type="http://schemas.openxmlformats.org/officeDocument/2006/relationships/control" Target="../activeX/activeX4.xml"/><Relationship Id="rId5" Type="http://schemas.openxmlformats.org/officeDocument/2006/relationships/image" Target="../media/image8.emf"/><Relationship Id="rId4" Type="http://schemas.openxmlformats.org/officeDocument/2006/relationships/control" Target="../activeX/activeX3.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dimension ref="B1:AG107"/>
  <sheetViews>
    <sheetView showGridLines="0" topLeftCell="A13" zoomScaleNormal="100" workbookViewId="0">
      <selection activeCell="R52" sqref="R52"/>
    </sheetView>
  </sheetViews>
  <sheetFormatPr defaultRowHeight="12.75" x14ac:dyDescent="0.2"/>
  <cols>
    <col min="1" max="25" width="9.140625" style="5"/>
    <col min="26" max="26" width="3.42578125" style="367" hidden="1" customWidth="1"/>
    <col min="27" max="27" width="46.5703125" style="367" hidden="1" customWidth="1"/>
    <col min="28" max="28" width="16" style="367" hidden="1" customWidth="1"/>
    <col min="29" max="29" width="16.42578125" style="367" hidden="1" customWidth="1"/>
    <col min="30" max="30" width="13.42578125" style="367" customWidth="1"/>
    <col min="31" max="31" width="13.85546875" style="368" customWidth="1"/>
    <col min="32" max="32" width="24.5703125" style="368" customWidth="1"/>
    <col min="33" max="16384" width="9.140625" style="5"/>
  </cols>
  <sheetData>
    <row r="1" spans="3:33" x14ac:dyDescent="0.2">
      <c r="C1" s="454"/>
      <c r="D1" s="454"/>
      <c r="E1" s="454"/>
      <c r="F1" s="454"/>
      <c r="G1" s="454"/>
      <c r="H1" s="454"/>
      <c r="I1" s="454"/>
      <c r="J1" s="454"/>
      <c r="K1" s="454"/>
      <c r="L1" s="454"/>
      <c r="M1" s="454"/>
      <c r="AA1" s="367">
        <v>79</v>
      </c>
      <c r="AB1" s="367" t="str">
        <f>VLOOKUP(AA1, Z21:AA107, 2,0)</f>
        <v>Wasaga Distribution Inc.</v>
      </c>
      <c r="AC1" s="367" t="str">
        <f>IF('3. Data_Input_Sheet'!M10=0, "", '3. Data_Input_Sheet'!M10)</f>
        <v>Settlement Agreement</v>
      </c>
    </row>
    <row r="2" spans="3:33" x14ac:dyDescent="0.2">
      <c r="C2" s="454"/>
      <c r="D2" s="454"/>
      <c r="E2" s="454"/>
      <c r="F2" s="454"/>
      <c r="G2" s="454"/>
      <c r="H2" s="454"/>
      <c r="I2" s="454"/>
      <c r="J2" s="454"/>
      <c r="K2" s="454"/>
      <c r="L2" s="454"/>
      <c r="M2" s="454"/>
      <c r="AE2" s="367"/>
      <c r="AF2" s="367"/>
      <c r="AG2" s="367"/>
    </row>
    <row r="3" spans="3:33" x14ac:dyDescent="0.2">
      <c r="C3" s="454"/>
      <c r="D3" s="454"/>
      <c r="E3" s="454"/>
      <c r="F3" s="454"/>
      <c r="G3" s="454"/>
      <c r="H3" s="454"/>
      <c r="I3" s="454"/>
      <c r="J3" s="454"/>
      <c r="K3" s="454"/>
      <c r="L3" s="454"/>
      <c r="M3" s="454"/>
    </row>
    <row r="4" spans="3:33" x14ac:dyDescent="0.2">
      <c r="C4" s="454"/>
      <c r="D4" s="454"/>
      <c r="E4" s="454"/>
      <c r="F4" s="454"/>
      <c r="G4" s="454"/>
      <c r="H4" s="454"/>
      <c r="I4" s="454"/>
      <c r="J4" s="454"/>
      <c r="K4" s="454"/>
      <c r="L4" s="454"/>
      <c r="M4" s="454"/>
    </row>
    <row r="20" spans="2:32" ht="16.5" x14ac:dyDescent="0.3">
      <c r="C20" s="369"/>
      <c r="Z20" s="370"/>
      <c r="AA20" s="370" t="s">
        <v>296</v>
      </c>
      <c r="AB20" s="370"/>
      <c r="AC20" s="370"/>
      <c r="AD20" s="370"/>
      <c r="AE20" s="371"/>
      <c r="AF20" s="371"/>
    </row>
    <row r="21" spans="2:32" ht="15.75" thickBot="1" x14ac:dyDescent="0.3">
      <c r="Z21" s="367">
        <v>1</v>
      </c>
      <c r="AA21" s="357" t="s">
        <v>209</v>
      </c>
      <c r="AB21" s="372"/>
      <c r="AE21" s="373"/>
      <c r="AF21" s="374"/>
    </row>
    <row r="22" spans="2:32" ht="15" customHeight="1" x14ac:dyDescent="0.3">
      <c r="B22" s="452" t="s">
        <v>297</v>
      </c>
      <c r="C22" s="452"/>
      <c r="E22" s="455" t="s">
        <v>329</v>
      </c>
      <c r="F22" s="456"/>
      <c r="G22" s="456"/>
      <c r="H22" s="456"/>
      <c r="I22" s="456"/>
      <c r="J22" s="457"/>
      <c r="Z22" s="367">
        <v>2</v>
      </c>
      <c r="AA22" s="357" t="s">
        <v>210</v>
      </c>
      <c r="AB22" s="372"/>
      <c r="AE22" s="373"/>
      <c r="AF22" s="374"/>
    </row>
    <row r="23" spans="2:32" ht="17.25" thickBot="1" x14ac:dyDescent="0.35">
      <c r="C23" s="369"/>
      <c r="E23" s="375"/>
      <c r="Z23" s="367">
        <v>3</v>
      </c>
      <c r="AA23" s="357" t="s">
        <v>293</v>
      </c>
      <c r="AB23" s="372"/>
      <c r="AE23" s="373"/>
      <c r="AF23" s="374"/>
    </row>
    <row r="24" spans="2:32" ht="16.5" x14ac:dyDescent="0.3">
      <c r="B24" s="452" t="s">
        <v>298</v>
      </c>
      <c r="C24" s="452" t="s">
        <v>298</v>
      </c>
      <c r="E24" s="455" t="s">
        <v>330</v>
      </c>
      <c r="F24" s="456"/>
      <c r="G24" s="456"/>
      <c r="H24" s="456"/>
      <c r="I24" s="456"/>
      <c r="J24" s="457"/>
      <c r="Z24" s="367">
        <v>4</v>
      </c>
      <c r="AA24" s="357" t="s">
        <v>211</v>
      </c>
      <c r="AB24" s="372"/>
      <c r="AE24" s="373"/>
      <c r="AF24" s="374"/>
    </row>
    <row r="25" spans="2:32" ht="17.25" thickBot="1" x14ac:dyDescent="0.35">
      <c r="C25" s="369"/>
      <c r="E25" s="375"/>
      <c r="Z25" s="367">
        <v>5</v>
      </c>
      <c r="AA25" s="357" t="s">
        <v>212</v>
      </c>
      <c r="AB25" s="372"/>
      <c r="AE25" s="373"/>
      <c r="AF25" s="374"/>
    </row>
    <row r="26" spans="2:32" ht="16.5" x14ac:dyDescent="0.3">
      <c r="B26" s="452" t="s">
        <v>299</v>
      </c>
      <c r="C26" s="452"/>
      <c r="D26" s="452"/>
      <c r="E26" s="455" t="s">
        <v>331</v>
      </c>
      <c r="F26" s="456"/>
      <c r="G26" s="456"/>
      <c r="H26" s="456"/>
      <c r="I26" s="456"/>
      <c r="J26" s="457"/>
      <c r="Z26" s="367">
        <v>6</v>
      </c>
      <c r="AA26" s="357" t="s">
        <v>213</v>
      </c>
      <c r="AB26" s="372"/>
      <c r="AE26" s="373"/>
      <c r="AF26" s="374"/>
    </row>
    <row r="27" spans="2:32" ht="17.25" thickBot="1" x14ac:dyDescent="0.35">
      <c r="C27" s="369"/>
      <c r="E27" s="376"/>
      <c r="Z27" s="367">
        <v>7</v>
      </c>
      <c r="AA27" s="357" t="s">
        <v>214</v>
      </c>
      <c r="AB27" s="372"/>
      <c r="AE27" s="373"/>
      <c r="AF27" s="374"/>
    </row>
    <row r="28" spans="2:32" ht="16.5" x14ac:dyDescent="0.3">
      <c r="B28" s="452" t="s">
        <v>300</v>
      </c>
      <c r="C28" s="452"/>
      <c r="D28" s="452"/>
      <c r="E28" s="455" t="s">
        <v>332</v>
      </c>
      <c r="F28" s="456"/>
      <c r="G28" s="456"/>
      <c r="H28" s="456"/>
      <c r="I28" s="456"/>
      <c r="J28" s="457"/>
      <c r="Z28" s="367">
        <v>8</v>
      </c>
      <c r="AA28" s="357" t="s">
        <v>215</v>
      </c>
      <c r="AB28" s="372"/>
      <c r="AE28" s="373"/>
      <c r="AF28" s="374"/>
    </row>
    <row r="29" spans="2:32" ht="15" x14ac:dyDescent="0.25">
      <c r="Z29" s="367">
        <v>9</v>
      </c>
      <c r="AA29" s="357" t="s">
        <v>287</v>
      </c>
      <c r="AB29" s="372"/>
      <c r="AE29" s="373"/>
      <c r="AF29" s="374"/>
    </row>
    <row r="30" spans="2:32" ht="15" x14ac:dyDescent="0.25">
      <c r="Z30" s="367">
        <v>10</v>
      </c>
      <c r="AA30" s="357" t="s">
        <v>288</v>
      </c>
      <c r="AB30" s="372"/>
      <c r="AE30" s="373"/>
      <c r="AF30" s="374"/>
    </row>
    <row r="31" spans="2:32" ht="15" x14ac:dyDescent="0.25">
      <c r="Z31" s="367">
        <v>11</v>
      </c>
      <c r="AA31" s="357" t="s">
        <v>289</v>
      </c>
      <c r="AB31" s="372"/>
      <c r="AE31" s="373"/>
      <c r="AF31" s="374"/>
    </row>
    <row r="32" spans="2:32" ht="15" x14ac:dyDescent="0.25">
      <c r="Z32" s="367">
        <v>12</v>
      </c>
      <c r="AA32" s="357" t="s">
        <v>216</v>
      </c>
      <c r="AB32" s="372"/>
      <c r="AE32" s="373"/>
      <c r="AF32" s="374"/>
    </row>
    <row r="33" spans="2:32" ht="15" x14ac:dyDescent="0.25">
      <c r="Z33" s="367">
        <v>13</v>
      </c>
      <c r="AA33" s="357" t="s">
        <v>217</v>
      </c>
      <c r="AB33" s="372"/>
      <c r="AE33" s="373"/>
      <c r="AF33" s="374"/>
    </row>
    <row r="34" spans="2:32" ht="15" x14ac:dyDescent="0.25">
      <c r="Z34" s="367">
        <v>14</v>
      </c>
      <c r="AA34" s="357" t="s">
        <v>218</v>
      </c>
      <c r="AB34" s="372"/>
      <c r="AE34" s="373"/>
      <c r="AF34" s="374"/>
    </row>
    <row r="35" spans="2:32" ht="15" x14ac:dyDescent="0.25">
      <c r="B35" s="453"/>
      <c r="C35" s="453"/>
      <c r="D35" s="453"/>
      <c r="E35" s="453"/>
      <c r="F35" s="453"/>
      <c r="G35" s="453"/>
      <c r="H35" s="453"/>
      <c r="I35" s="453"/>
      <c r="J35" s="453"/>
      <c r="K35" s="453"/>
      <c r="L35" s="453"/>
      <c r="Z35" s="367">
        <v>15</v>
      </c>
      <c r="AA35" s="357" t="s">
        <v>219</v>
      </c>
      <c r="AB35" s="372"/>
      <c r="AE35" s="373"/>
      <c r="AF35" s="374"/>
    </row>
    <row r="36" spans="2:32" ht="15" x14ac:dyDescent="0.25">
      <c r="B36" s="453"/>
      <c r="C36" s="453"/>
      <c r="D36" s="453"/>
      <c r="E36" s="453"/>
      <c r="F36" s="453"/>
      <c r="G36" s="453"/>
      <c r="H36" s="453"/>
      <c r="I36" s="453"/>
      <c r="J36" s="453"/>
      <c r="K36" s="453"/>
      <c r="L36" s="453"/>
      <c r="Z36" s="367">
        <v>16</v>
      </c>
      <c r="AA36" s="357" t="s">
        <v>220</v>
      </c>
      <c r="AB36" s="372"/>
      <c r="AE36" s="373"/>
      <c r="AF36" s="374"/>
    </row>
    <row r="37" spans="2:32" ht="15" x14ac:dyDescent="0.25">
      <c r="B37" s="453"/>
      <c r="C37" s="453"/>
      <c r="D37" s="453"/>
      <c r="E37" s="453"/>
      <c r="F37" s="453"/>
      <c r="G37" s="453"/>
      <c r="H37" s="453"/>
      <c r="I37" s="453"/>
      <c r="J37" s="453"/>
      <c r="K37" s="453"/>
      <c r="L37" s="453"/>
      <c r="Z37" s="367">
        <v>17</v>
      </c>
      <c r="AA37" s="357" t="s">
        <v>221</v>
      </c>
      <c r="AB37" s="372"/>
      <c r="AE37" s="373"/>
      <c r="AF37" s="374"/>
    </row>
    <row r="38" spans="2:32" ht="15" x14ac:dyDescent="0.25">
      <c r="B38" s="453"/>
      <c r="C38" s="453"/>
      <c r="D38" s="453"/>
      <c r="E38" s="453"/>
      <c r="F38" s="453"/>
      <c r="G38" s="453"/>
      <c r="H38" s="453"/>
      <c r="I38" s="453"/>
      <c r="J38" s="453"/>
      <c r="K38" s="453"/>
      <c r="L38" s="453"/>
      <c r="Z38" s="367">
        <v>18</v>
      </c>
      <c r="AA38" s="357" t="s">
        <v>222</v>
      </c>
      <c r="AB38" s="372"/>
      <c r="AE38" s="373"/>
      <c r="AF38" s="374"/>
    </row>
    <row r="39" spans="2:32" ht="15" x14ac:dyDescent="0.25">
      <c r="B39" s="453"/>
      <c r="C39" s="453"/>
      <c r="D39" s="453"/>
      <c r="E39" s="453"/>
      <c r="F39" s="453"/>
      <c r="G39" s="453"/>
      <c r="H39" s="453"/>
      <c r="I39" s="453"/>
      <c r="J39" s="453"/>
      <c r="K39" s="453"/>
      <c r="L39" s="453"/>
      <c r="Z39" s="367">
        <v>19</v>
      </c>
      <c r="AA39" s="357" t="s">
        <v>223</v>
      </c>
      <c r="AB39" s="372"/>
      <c r="AE39" s="373"/>
      <c r="AF39" s="374"/>
    </row>
    <row r="40" spans="2:32" ht="15" x14ac:dyDescent="0.25">
      <c r="B40" s="453"/>
      <c r="C40" s="453"/>
      <c r="D40" s="453"/>
      <c r="E40" s="453"/>
      <c r="F40" s="453"/>
      <c r="G40" s="453"/>
      <c r="H40" s="453"/>
      <c r="I40" s="453"/>
      <c r="J40" s="453"/>
      <c r="K40" s="453"/>
      <c r="L40" s="453"/>
      <c r="Z40" s="367">
        <v>20</v>
      </c>
      <c r="AA40" s="357" t="s">
        <v>224</v>
      </c>
      <c r="AB40" s="372"/>
      <c r="AE40" s="373"/>
      <c r="AF40" s="374"/>
    </row>
    <row r="41" spans="2:32" ht="15" x14ac:dyDescent="0.25">
      <c r="B41" s="453"/>
      <c r="C41" s="453"/>
      <c r="D41" s="453"/>
      <c r="E41" s="453"/>
      <c r="F41" s="453"/>
      <c r="G41" s="453"/>
      <c r="H41" s="453"/>
      <c r="I41" s="453"/>
      <c r="J41" s="453"/>
      <c r="K41" s="453"/>
      <c r="L41" s="453"/>
      <c r="Z41" s="367">
        <v>21</v>
      </c>
      <c r="AA41" s="357" t="s">
        <v>225</v>
      </c>
      <c r="AB41" s="372"/>
      <c r="AE41" s="373"/>
      <c r="AF41" s="374"/>
    </row>
    <row r="42" spans="2:32" ht="12.75" customHeight="1" x14ac:dyDescent="0.25">
      <c r="Z42" s="367">
        <v>22</v>
      </c>
      <c r="AA42" s="357" t="s">
        <v>226</v>
      </c>
      <c r="AB42" s="372"/>
      <c r="AE42" s="373"/>
      <c r="AF42" s="374"/>
    </row>
    <row r="43" spans="2:32" ht="15" x14ac:dyDescent="0.25">
      <c r="Z43" s="367">
        <v>23</v>
      </c>
      <c r="AA43" s="357" t="s">
        <v>227</v>
      </c>
      <c r="AB43" s="372"/>
      <c r="AE43" s="373"/>
      <c r="AF43" s="374"/>
    </row>
    <row r="44" spans="2:32" ht="15" x14ac:dyDescent="0.25">
      <c r="Z44" s="367">
        <v>24</v>
      </c>
      <c r="AA44" s="357" t="s">
        <v>228</v>
      </c>
      <c r="AB44" s="372"/>
      <c r="AE44" s="373"/>
      <c r="AF44" s="374"/>
    </row>
    <row r="45" spans="2:32" ht="15" x14ac:dyDescent="0.25">
      <c r="Z45" s="367">
        <v>25</v>
      </c>
      <c r="AA45" s="357" t="s">
        <v>292</v>
      </c>
      <c r="AB45" s="372"/>
      <c r="AE45" s="373"/>
      <c r="AF45" s="374"/>
    </row>
    <row r="46" spans="2:32" ht="15" x14ac:dyDescent="0.25">
      <c r="Z46" s="367">
        <v>26</v>
      </c>
      <c r="AA46" s="357" t="s">
        <v>278</v>
      </c>
      <c r="AB46" s="372"/>
      <c r="AE46" s="373"/>
      <c r="AF46" s="374"/>
    </row>
    <row r="47" spans="2:32" ht="15" x14ac:dyDescent="0.25">
      <c r="Z47" s="367">
        <v>27</v>
      </c>
      <c r="AA47" s="357" t="s">
        <v>229</v>
      </c>
      <c r="AB47" s="372"/>
      <c r="AE47" s="373"/>
      <c r="AF47" s="374"/>
    </row>
    <row r="48" spans="2:32" ht="15" x14ac:dyDescent="0.25">
      <c r="Z48" s="367">
        <v>28</v>
      </c>
      <c r="AA48" s="357" t="s">
        <v>279</v>
      </c>
      <c r="AB48" s="372"/>
      <c r="AE48" s="373"/>
      <c r="AF48" s="374"/>
    </row>
    <row r="49" spans="2:32" ht="15" x14ac:dyDescent="0.25">
      <c r="B49" s="377"/>
      <c r="C49" s="377"/>
      <c r="D49" s="377"/>
      <c r="Z49" s="367">
        <v>29</v>
      </c>
      <c r="AA49" s="357" t="s">
        <v>280</v>
      </c>
      <c r="AB49" s="372"/>
      <c r="AE49" s="373"/>
      <c r="AF49" s="374"/>
    </row>
    <row r="50" spans="2:32" ht="15" x14ac:dyDescent="0.25">
      <c r="Z50" s="367">
        <v>30</v>
      </c>
      <c r="AA50" s="357" t="s">
        <v>230</v>
      </c>
      <c r="AB50" s="372"/>
      <c r="AE50" s="373"/>
      <c r="AF50" s="374"/>
    </row>
    <row r="51" spans="2:32" ht="15" x14ac:dyDescent="0.25">
      <c r="Z51" s="367">
        <v>31</v>
      </c>
      <c r="AA51" s="357" t="s">
        <v>231</v>
      </c>
      <c r="AB51" s="372"/>
      <c r="AE51" s="373"/>
      <c r="AF51" s="374"/>
    </row>
    <row r="52" spans="2:32" ht="15" x14ac:dyDescent="0.25">
      <c r="Z52" s="367">
        <v>32</v>
      </c>
      <c r="AA52" s="357" t="s">
        <v>232</v>
      </c>
      <c r="AB52" s="372"/>
      <c r="AE52" s="373"/>
      <c r="AF52" s="374"/>
    </row>
    <row r="53" spans="2:32" ht="15" x14ac:dyDescent="0.25">
      <c r="Z53" s="367">
        <v>33</v>
      </c>
      <c r="AA53" s="357" t="s">
        <v>233</v>
      </c>
      <c r="AB53" s="372"/>
      <c r="AE53" s="373"/>
      <c r="AF53" s="374"/>
    </row>
    <row r="54" spans="2:32" ht="15" x14ac:dyDescent="0.25">
      <c r="Z54" s="367">
        <v>34</v>
      </c>
      <c r="AA54" s="357" t="s">
        <v>234</v>
      </c>
      <c r="AB54" s="372"/>
      <c r="AE54" s="373"/>
      <c r="AF54" s="374"/>
    </row>
    <row r="55" spans="2:32" ht="15" x14ac:dyDescent="0.25">
      <c r="Z55" s="367">
        <v>35</v>
      </c>
      <c r="AA55" s="357" t="s">
        <v>235</v>
      </c>
      <c r="AB55" s="372"/>
      <c r="AE55" s="373"/>
      <c r="AF55" s="374"/>
    </row>
    <row r="56" spans="2:32" ht="15" x14ac:dyDescent="0.25">
      <c r="Z56" s="367">
        <v>36</v>
      </c>
      <c r="AA56" s="357" t="s">
        <v>236</v>
      </c>
      <c r="AB56" s="372"/>
      <c r="AE56" s="373"/>
      <c r="AF56" s="374"/>
    </row>
    <row r="57" spans="2:32" ht="15" x14ac:dyDescent="0.25">
      <c r="Z57" s="367">
        <v>37</v>
      </c>
      <c r="AA57" s="357" t="s">
        <v>237</v>
      </c>
      <c r="AB57" s="372"/>
      <c r="AE57" s="373"/>
      <c r="AF57" s="374"/>
    </row>
    <row r="58" spans="2:32" ht="15" x14ac:dyDescent="0.25">
      <c r="Z58" s="367">
        <v>38</v>
      </c>
      <c r="AA58" s="357" t="s">
        <v>281</v>
      </c>
      <c r="AB58" s="372"/>
      <c r="AE58" s="373"/>
      <c r="AF58" s="374"/>
    </row>
    <row r="59" spans="2:32" ht="15" x14ac:dyDescent="0.25">
      <c r="Z59" s="367">
        <v>39</v>
      </c>
      <c r="AA59" s="357" t="s">
        <v>282</v>
      </c>
      <c r="AB59" s="372"/>
      <c r="AE59" s="373"/>
      <c r="AF59" s="374"/>
    </row>
    <row r="60" spans="2:32" ht="15" x14ac:dyDescent="0.25">
      <c r="Z60" s="367">
        <v>40</v>
      </c>
      <c r="AA60" s="357" t="s">
        <v>283</v>
      </c>
      <c r="AB60" s="372"/>
      <c r="AE60" s="373"/>
      <c r="AF60" s="374"/>
    </row>
    <row r="61" spans="2:32" ht="15" x14ac:dyDescent="0.25">
      <c r="Z61" s="367">
        <v>41</v>
      </c>
      <c r="AA61" s="357" t="s">
        <v>238</v>
      </c>
      <c r="AB61" s="372"/>
      <c r="AE61" s="373"/>
      <c r="AF61" s="374"/>
    </row>
    <row r="62" spans="2:32" ht="15" x14ac:dyDescent="0.25">
      <c r="Z62" s="367">
        <v>42</v>
      </c>
      <c r="AA62" s="357" t="s">
        <v>239</v>
      </c>
      <c r="AB62" s="372"/>
      <c r="AE62" s="373"/>
      <c r="AF62" s="374"/>
    </row>
    <row r="63" spans="2:32" ht="15" x14ac:dyDescent="0.25">
      <c r="Z63" s="367">
        <v>43</v>
      </c>
      <c r="AA63" s="357" t="s">
        <v>240</v>
      </c>
      <c r="AB63" s="372"/>
      <c r="AE63" s="373"/>
      <c r="AF63" s="374"/>
    </row>
    <row r="64" spans="2:32" ht="15" x14ac:dyDescent="0.25">
      <c r="Z64" s="367">
        <v>44</v>
      </c>
      <c r="AA64" s="357" t="s">
        <v>241</v>
      </c>
      <c r="AB64" s="372"/>
      <c r="AE64" s="373"/>
      <c r="AF64" s="374"/>
    </row>
    <row r="65" spans="26:32" ht="15" x14ac:dyDescent="0.25">
      <c r="Z65" s="367">
        <v>45</v>
      </c>
      <c r="AA65" s="357" t="s">
        <v>284</v>
      </c>
      <c r="AB65" s="372"/>
      <c r="AE65" s="373"/>
      <c r="AF65" s="374"/>
    </row>
    <row r="66" spans="26:32" ht="15" x14ac:dyDescent="0.25">
      <c r="Z66" s="367">
        <v>46</v>
      </c>
      <c r="AA66" s="357" t="s">
        <v>242</v>
      </c>
      <c r="AB66" s="372"/>
      <c r="AE66" s="373"/>
      <c r="AF66" s="374"/>
    </row>
    <row r="67" spans="26:32" ht="15" x14ac:dyDescent="0.25">
      <c r="Z67" s="367">
        <v>47</v>
      </c>
      <c r="AA67" s="357" t="s">
        <v>243</v>
      </c>
      <c r="AB67" s="372"/>
      <c r="AE67" s="373"/>
      <c r="AF67" s="374"/>
    </row>
    <row r="68" spans="26:32" ht="15" x14ac:dyDescent="0.25">
      <c r="Z68" s="367">
        <v>48</v>
      </c>
      <c r="AA68" s="357" t="s">
        <v>291</v>
      </c>
      <c r="AB68" s="372"/>
      <c r="AE68" s="373"/>
      <c r="AF68" s="374"/>
    </row>
    <row r="69" spans="26:32" ht="15" x14ac:dyDescent="0.25">
      <c r="Z69" s="367">
        <v>49</v>
      </c>
      <c r="AA69" s="357" t="s">
        <v>290</v>
      </c>
      <c r="AB69" s="372"/>
      <c r="AE69" s="373"/>
      <c r="AF69" s="374"/>
    </row>
    <row r="70" spans="26:32" ht="15" x14ac:dyDescent="0.25">
      <c r="Z70" s="367">
        <v>50</v>
      </c>
      <c r="AA70" s="357" t="s">
        <v>244</v>
      </c>
      <c r="AB70" s="372"/>
      <c r="AE70" s="373"/>
      <c r="AF70" s="374"/>
    </row>
    <row r="71" spans="26:32" ht="15" x14ac:dyDescent="0.25">
      <c r="Z71" s="367">
        <v>51</v>
      </c>
      <c r="AA71" s="357" t="s">
        <v>245</v>
      </c>
      <c r="AB71" s="372"/>
      <c r="AE71" s="373"/>
      <c r="AF71" s="374"/>
    </row>
    <row r="72" spans="26:32" ht="15" x14ac:dyDescent="0.25">
      <c r="Z72" s="367">
        <v>52</v>
      </c>
      <c r="AA72" s="357" t="s">
        <v>294</v>
      </c>
      <c r="AB72" s="372"/>
      <c r="AE72" s="373"/>
      <c r="AF72" s="374"/>
    </row>
    <row r="73" spans="26:32" ht="15" x14ac:dyDescent="0.25">
      <c r="Z73" s="367">
        <v>53</v>
      </c>
      <c r="AA73" s="357" t="s">
        <v>295</v>
      </c>
      <c r="AB73" s="372"/>
      <c r="AE73" s="373"/>
      <c r="AF73" s="374"/>
    </row>
    <row r="74" spans="26:32" ht="15" x14ac:dyDescent="0.25">
      <c r="Z74" s="367">
        <v>54</v>
      </c>
      <c r="AA74" s="356" t="s">
        <v>246</v>
      </c>
      <c r="AB74" s="372"/>
      <c r="AE74" s="373"/>
      <c r="AF74" s="374"/>
    </row>
    <row r="75" spans="26:32" ht="15" x14ac:dyDescent="0.25">
      <c r="Z75" s="367">
        <v>55</v>
      </c>
      <c r="AA75" s="356" t="s">
        <v>286</v>
      </c>
      <c r="AB75" s="372"/>
      <c r="AE75" s="373"/>
      <c r="AF75" s="374"/>
    </row>
    <row r="76" spans="26:32" ht="15" x14ac:dyDescent="0.25">
      <c r="Z76" s="367">
        <v>56</v>
      </c>
      <c r="AA76" s="357" t="s">
        <v>247</v>
      </c>
      <c r="AB76" s="372"/>
      <c r="AE76" s="373"/>
      <c r="AF76" s="374"/>
    </row>
    <row r="77" spans="26:32" ht="15" x14ac:dyDescent="0.25">
      <c r="Z77" s="367">
        <v>57</v>
      </c>
      <c r="AA77" s="357" t="s">
        <v>248</v>
      </c>
      <c r="AB77" s="372"/>
      <c r="AE77" s="373"/>
      <c r="AF77" s="374"/>
    </row>
    <row r="78" spans="26:32" ht="15" x14ac:dyDescent="0.25">
      <c r="Z78" s="367">
        <v>58</v>
      </c>
      <c r="AA78" s="357" t="s">
        <v>249</v>
      </c>
      <c r="AB78" s="372"/>
      <c r="AE78" s="373"/>
      <c r="AF78" s="374"/>
    </row>
    <row r="79" spans="26:32" ht="15" x14ac:dyDescent="0.25">
      <c r="Z79" s="367">
        <v>59</v>
      </c>
      <c r="AA79" s="357" t="s">
        <v>250</v>
      </c>
      <c r="AB79" s="372"/>
      <c r="AE79" s="373"/>
      <c r="AF79" s="374"/>
    </row>
    <row r="80" spans="26:32" ht="15" x14ac:dyDescent="0.25">
      <c r="Z80" s="367">
        <v>60</v>
      </c>
      <c r="AA80" s="357" t="s">
        <v>251</v>
      </c>
      <c r="AB80" s="372"/>
      <c r="AE80" s="373"/>
      <c r="AF80" s="374"/>
    </row>
    <row r="81" spans="26:32" ht="15" x14ac:dyDescent="0.25">
      <c r="Z81" s="367">
        <v>61</v>
      </c>
      <c r="AA81" s="357" t="s">
        <v>252</v>
      </c>
      <c r="AB81" s="372"/>
      <c r="AE81" s="373"/>
      <c r="AF81" s="374"/>
    </row>
    <row r="82" spans="26:32" ht="15" x14ac:dyDescent="0.25">
      <c r="Z82" s="367">
        <v>62</v>
      </c>
      <c r="AA82" s="357" t="s">
        <v>253</v>
      </c>
      <c r="AB82" s="372"/>
      <c r="AE82" s="373"/>
      <c r="AF82" s="374"/>
    </row>
    <row r="83" spans="26:32" ht="15" x14ac:dyDescent="0.25">
      <c r="Z83" s="367">
        <v>63</v>
      </c>
      <c r="AA83" s="357" t="s">
        <v>254</v>
      </c>
      <c r="AB83" s="372"/>
      <c r="AE83" s="373"/>
      <c r="AF83" s="374"/>
    </row>
    <row r="84" spans="26:32" ht="15" x14ac:dyDescent="0.25">
      <c r="Z84" s="367">
        <v>64</v>
      </c>
      <c r="AA84" s="357" t="s">
        <v>255</v>
      </c>
      <c r="AB84" s="372"/>
      <c r="AE84" s="373"/>
      <c r="AF84" s="374"/>
    </row>
    <row r="85" spans="26:32" ht="15" x14ac:dyDescent="0.25">
      <c r="Z85" s="367">
        <v>65</v>
      </c>
      <c r="AA85" s="357" t="s">
        <v>256</v>
      </c>
      <c r="AB85" s="372"/>
      <c r="AE85" s="373"/>
      <c r="AF85" s="374"/>
    </row>
    <row r="86" spans="26:32" ht="15" x14ac:dyDescent="0.25">
      <c r="Z86" s="367">
        <v>66</v>
      </c>
      <c r="AA86" s="357" t="s">
        <v>257</v>
      </c>
      <c r="AB86" s="372"/>
      <c r="AE86" s="374"/>
      <c r="AF86" s="374"/>
    </row>
    <row r="87" spans="26:32" ht="15" x14ac:dyDescent="0.25">
      <c r="Z87" s="367">
        <v>67</v>
      </c>
      <c r="AA87" s="357" t="s">
        <v>258</v>
      </c>
      <c r="AB87" s="372"/>
      <c r="AE87" s="374"/>
      <c r="AF87" s="374"/>
    </row>
    <row r="88" spans="26:32" ht="15" x14ac:dyDescent="0.25">
      <c r="Z88" s="367">
        <v>68</v>
      </c>
      <c r="AA88" s="357" t="s">
        <v>259</v>
      </c>
      <c r="AB88" s="372"/>
      <c r="AE88" s="374"/>
      <c r="AF88" s="374"/>
    </row>
    <row r="89" spans="26:32" ht="15" x14ac:dyDescent="0.25">
      <c r="Z89" s="367">
        <v>69</v>
      </c>
      <c r="AA89" s="357" t="s">
        <v>260</v>
      </c>
      <c r="AB89" s="372"/>
      <c r="AE89" s="374"/>
      <c r="AF89" s="374"/>
    </row>
    <row r="90" spans="26:32" ht="15" x14ac:dyDescent="0.25">
      <c r="Z90" s="367">
        <v>70</v>
      </c>
      <c r="AA90" s="357" t="s">
        <v>261</v>
      </c>
      <c r="AB90" s="372"/>
      <c r="AE90" s="374"/>
      <c r="AF90" s="374"/>
    </row>
    <row r="91" spans="26:32" ht="15" x14ac:dyDescent="0.25">
      <c r="Z91" s="367">
        <v>71</v>
      </c>
      <c r="AA91" s="357" t="s">
        <v>262</v>
      </c>
      <c r="AB91" s="372"/>
      <c r="AE91" s="374"/>
      <c r="AF91" s="374"/>
    </row>
    <row r="92" spans="26:32" ht="15" x14ac:dyDescent="0.25">
      <c r="Z92" s="367">
        <v>72</v>
      </c>
      <c r="AA92" s="357" t="s">
        <v>263</v>
      </c>
      <c r="AB92" s="372"/>
      <c r="AE92" s="374"/>
      <c r="AF92" s="374"/>
    </row>
    <row r="93" spans="26:32" ht="15" x14ac:dyDescent="0.25">
      <c r="Z93" s="367">
        <v>73</v>
      </c>
      <c r="AA93" s="357" t="s">
        <v>264</v>
      </c>
      <c r="AB93" s="372"/>
      <c r="AE93" s="374"/>
      <c r="AF93" s="374"/>
    </row>
    <row r="94" spans="26:32" ht="15" x14ac:dyDescent="0.25">
      <c r="Z94" s="367">
        <v>74</v>
      </c>
      <c r="AA94" s="357" t="s">
        <v>265</v>
      </c>
      <c r="AB94" s="372"/>
      <c r="AE94" s="374"/>
      <c r="AF94" s="374"/>
    </row>
    <row r="95" spans="26:32" ht="15" x14ac:dyDescent="0.25">
      <c r="Z95" s="367">
        <v>75</v>
      </c>
      <c r="AA95" s="357" t="s">
        <v>266</v>
      </c>
      <c r="AB95" s="372"/>
      <c r="AE95" s="374"/>
      <c r="AF95" s="374"/>
    </row>
    <row r="96" spans="26:32" ht="15" x14ac:dyDescent="0.25">
      <c r="Z96" s="367">
        <v>76</v>
      </c>
      <c r="AA96" s="357" t="s">
        <v>285</v>
      </c>
      <c r="AB96" s="372"/>
      <c r="AE96" s="374"/>
      <c r="AF96" s="374"/>
    </row>
    <row r="97" spans="26:32" ht="15" x14ac:dyDescent="0.25">
      <c r="Z97" s="367">
        <v>77</v>
      </c>
      <c r="AA97" s="357" t="s">
        <v>267</v>
      </c>
      <c r="AB97" s="372"/>
      <c r="AE97" s="374"/>
      <c r="AF97" s="374"/>
    </row>
    <row r="98" spans="26:32" ht="15" x14ac:dyDescent="0.25">
      <c r="Z98" s="367">
        <v>78</v>
      </c>
      <c r="AA98" s="357" t="s">
        <v>268</v>
      </c>
      <c r="AB98" s="372"/>
      <c r="AE98" s="374"/>
      <c r="AF98" s="374"/>
    </row>
    <row r="99" spans="26:32" ht="15" x14ac:dyDescent="0.25">
      <c r="Z99" s="367">
        <v>79</v>
      </c>
      <c r="AA99" s="357" t="s">
        <v>269</v>
      </c>
      <c r="AB99" s="372"/>
      <c r="AE99" s="374"/>
      <c r="AF99" s="374"/>
    </row>
    <row r="100" spans="26:32" ht="15" x14ac:dyDescent="0.25">
      <c r="Z100" s="367">
        <v>80</v>
      </c>
      <c r="AA100" s="357" t="s">
        <v>270</v>
      </c>
      <c r="AB100" s="372"/>
      <c r="AE100" s="374"/>
      <c r="AF100" s="374"/>
    </row>
    <row r="101" spans="26:32" ht="15" x14ac:dyDescent="0.25">
      <c r="Z101" s="367">
        <v>81</v>
      </c>
      <c r="AA101" s="357" t="s">
        <v>271</v>
      </c>
      <c r="AB101" s="372"/>
      <c r="AE101" s="374"/>
      <c r="AF101" s="374"/>
    </row>
    <row r="102" spans="26:32" ht="15" x14ac:dyDescent="0.25">
      <c r="Z102" s="367">
        <v>82</v>
      </c>
      <c r="AA102" s="357" t="s">
        <v>272</v>
      </c>
      <c r="AB102" s="372"/>
      <c r="AE102" s="374"/>
      <c r="AF102" s="374"/>
    </row>
    <row r="103" spans="26:32" ht="15" x14ac:dyDescent="0.25">
      <c r="Z103" s="367">
        <v>83</v>
      </c>
      <c r="AA103" s="357" t="s">
        <v>273</v>
      </c>
      <c r="AB103" s="372"/>
      <c r="AE103" s="374"/>
      <c r="AF103" s="374"/>
    </row>
    <row r="104" spans="26:32" ht="15" x14ac:dyDescent="0.25">
      <c r="Z104" s="367">
        <v>84</v>
      </c>
      <c r="AA104" s="357" t="s">
        <v>274</v>
      </c>
      <c r="AB104" s="372"/>
      <c r="AE104" s="374"/>
      <c r="AF104" s="374"/>
    </row>
    <row r="105" spans="26:32" ht="15" x14ac:dyDescent="0.25">
      <c r="Z105" s="367">
        <v>85</v>
      </c>
      <c r="AA105" s="357" t="s">
        <v>275</v>
      </c>
      <c r="AB105" s="372"/>
      <c r="AE105" s="374"/>
      <c r="AF105" s="374"/>
    </row>
    <row r="106" spans="26:32" ht="15" x14ac:dyDescent="0.25">
      <c r="Z106" s="367">
        <v>86</v>
      </c>
      <c r="AA106" s="357" t="s">
        <v>276</v>
      </c>
      <c r="AB106" s="372"/>
      <c r="AE106" s="374"/>
      <c r="AF106" s="374"/>
    </row>
    <row r="107" spans="26:32" ht="15" x14ac:dyDescent="0.25">
      <c r="Z107" s="367">
        <v>87</v>
      </c>
      <c r="AA107" s="357" t="s">
        <v>277</v>
      </c>
      <c r="AB107" s="372"/>
      <c r="AE107" s="374"/>
      <c r="AF107" s="374"/>
    </row>
  </sheetData>
  <sheetProtection password="82A3" sheet="1" objects="1" scenarios="1"/>
  <mergeCells count="11">
    <mergeCell ref="B24:C24"/>
    <mergeCell ref="B26:D26"/>
    <mergeCell ref="B28:D28"/>
    <mergeCell ref="B35:L41"/>
    <mergeCell ref="C1:M2"/>
    <mergeCell ref="C3:M4"/>
    <mergeCell ref="E28:J28"/>
    <mergeCell ref="E26:J26"/>
    <mergeCell ref="E24:J24"/>
    <mergeCell ref="E22:J22"/>
    <mergeCell ref="B22:C22"/>
  </mergeCells>
  <phoneticPr fontId="30" type="noConversion"/>
  <pageMargins left="0.75" right="0.75" top="1" bottom="1" header="0.5" footer="0.5"/>
  <pageSetup scale="78" orientation="landscape" r:id="rId1"/>
  <headerFooter alignWithMargins="0"/>
  <colBreaks count="1" manualBreakCount="1">
    <brk id="17" max="42" man="1"/>
  </colBreaks>
  <drawing r:id="rId2"/>
  <legacyDrawing r:id="rId3"/>
  <mc:AlternateContent xmlns:mc="http://schemas.openxmlformats.org/markup-compatibility/2006">
    <mc:Choice Requires="x14">
      <controls>
        <mc:AlternateContent xmlns:mc="http://schemas.openxmlformats.org/markup-compatibility/2006">
          <mc:Choice Requires="x14">
            <control shapeId="12327" r:id="rId4" name="List Box 39">
              <controlPr defaultSize="0" autoLine="0" autoPict="0">
                <anchor moveWithCells="1" sizeWithCells="1">
                  <from>
                    <xdr:col>1</xdr:col>
                    <xdr:colOff>542925</xdr:colOff>
                    <xdr:row>14</xdr:row>
                    <xdr:rowOff>28575</xdr:rowOff>
                  </from>
                  <to>
                    <xdr:col>6</xdr:col>
                    <xdr:colOff>571500</xdr:colOff>
                    <xdr:row>16</xdr:row>
                    <xdr:rowOff>114300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pageSetUpPr fitToPage="1"/>
  </sheetPr>
  <dimension ref="B1:W55"/>
  <sheetViews>
    <sheetView showGridLines="0" tabSelected="1" topLeftCell="A7" zoomScaleNormal="100" workbookViewId="0">
      <selection activeCell="U26" sqref="U26"/>
    </sheetView>
  </sheetViews>
  <sheetFormatPr defaultRowHeight="12.75" x14ac:dyDescent="0.2"/>
  <cols>
    <col min="1" max="1" width="2.7109375" style="5" customWidth="1"/>
    <col min="2" max="2" width="3.7109375" style="5" customWidth="1"/>
    <col min="3" max="3" width="1.28515625" style="5" customWidth="1"/>
    <col min="4" max="4" width="26.5703125" style="5" customWidth="1"/>
    <col min="5" max="5" width="1.28515625" style="5" customWidth="1"/>
    <col min="6" max="6" width="11.28515625" style="5" customWidth="1"/>
    <col min="7" max="7" width="1.28515625" style="5" customWidth="1"/>
    <col min="8" max="8" width="12.28515625" style="5" customWidth="1"/>
    <col min="9" max="9" width="8.5703125" style="5" customWidth="1"/>
    <col min="10" max="10" width="9.7109375" style="5" customWidth="1"/>
    <col min="11" max="11" width="1.42578125" style="5" customWidth="1"/>
    <col min="12" max="12" width="12.140625" style="5" customWidth="1"/>
    <col min="13" max="13" width="8.5703125" style="5" customWidth="1"/>
    <col min="14" max="14" width="9.7109375" style="5" customWidth="1"/>
    <col min="15" max="15" width="1.42578125" style="5" customWidth="1"/>
    <col min="16" max="16" width="8.85546875" style="5" customWidth="1"/>
    <col min="17" max="17" width="8.7109375" style="5" customWidth="1"/>
    <col min="18" max="18" width="3.85546875" style="5" customWidth="1"/>
    <col min="19" max="19" width="9.140625" style="5"/>
    <col min="20" max="20" width="4.85546875" style="5" customWidth="1"/>
    <col min="21" max="22" width="9.140625" style="5"/>
    <col min="23" max="23" width="9.140625" style="5" hidden="1" customWidth="1"/>
    <col min="24" max="16384" width="9.140625" style="5"/>
  </cols>
  <sheetData>
    <row r="1" spans="2:23" s="2" customFormat="1" ht="36.75" customHeight="1" x14ac:dyDescent="0.2">
      <c r="C1" s="480"/>
      <c r="D1" s="480"/>
      <c r="E1" s="480"/>
      <c r="F1" s="480"/>
      <c r="G1" s="480"/>
      <c r="H1" s="480"/>
      <c r="I1" s="480"/>
      <c r="J1" s="480"/>
      <c r="K1" s="480"/>
      <c r="L1" s="480"/>
      <c r="M1" s="480"/>
      <c r="Q1" s="524" t="str">
        <f>CONCATENATE('2. Table of Contents'!$F$6," ",'2. Table of Contents'!$G$6)</f>
        <v xml:space="preserve"> </v>
      </c>
      <c r="R1" s="524"/>
      <c r="W1" s="7">
        <v>1</v>
      </c>
    </row>
    <row r="2" spans="2:23" s="2" customFormat="1" ht="36.75" customHeight="1" x14ac:dyDescent="0.25">
      <c r="C2" s="474"/>
      <c r="D2" s="474"/>
      <c r="E2" s="474"/>
      <c r="F2" s="474"/>
      <c r="G2" s="474"/>
      <c r="H2" s="474"/>
      <c r="I2" s="474"/>
      <c r="J2" s="474"/>
      <c r="K2" s="474"/>
      <c r="L2" s="474"/>
      <c r="M2" s="474"/>
      <c r="N2" s="474"/>
      <c r="O2" s="474"/>
    </row>
    <row r="3" spans="2:23" s="2" customFormat="1" ht="36.75" customHeight="1" x14ac:dyDescent="0.25">
      <c r="C3" s="474"/>
      <c r="D3" s="474"/>
      <c r="E3" s="474"/>
      <c r="F3" s="474"/>
      <c r="G3" s="474"/>
      <c r="H3" s="474"/>
      <c r="I3" s="474"/>
      <c r="J3" s="474"/>
      <c r="K3" s="474"/>
      <c r="L3" s="474"/>
      <c r="M3" s="474"/>
    </row>
    <row r="4" spans="2:23" s="2" customFormat="1" ht="36.75" customHeight="1" x14ac:dyDescent="0.25">
      <c r="C4" s="474"/>
      <c r="D4" s="474"/>
      <c r="E4" s="474"/>
      <c r="F4" s="474"/>
      <c r="G4" s="474"/>
      <c r="H4" s="474"/>
      <c r="I4" s="474"/>
      <c r="J4" s="474"/>
      <c r="K4" s="34"/>
      <c r="L4" s="34"/>
      <c r="M4" s="34"/>
    </row>
    <row r="5" spans="2:23" s="2" customFormat="1" ht="36.75" customHeight="1" x14ac:dyDescent="0.25">
      <c r="E5" s="3"/>
      <c r="F5" s="3"/>
      <c r="G5" s="3"/>
    </row>
    <row r="6" spans="2:23" s="2" customFormat="1" ht="36.75" customHeight="1" x14ac:dyDescent="0.2"/>
    <row r="7" spans="2:23" ht="4.5" customHeight="1" x14ac:dyDescent="0.2"/>
    <row r="8" spans="2:23" ht="46.5" customHeight="1" x14ac:dyDescent="0.25">
      <c r="B8" s="194" t="s">
        <v>170</v>
      </c>
      <c r="F8" s="558"/>
      <c r="G8" s="558"/>
      <c r="H8" s="558"/>
      <c r="I8" s="558"/>
      <c r="J8" s="558"/>
      <c r="K8" s="558"/>
      <c r="L8" s="558"/>
      <c r="M8" s="558"/>
      <c r="N8" s="558"/>
      <c r="O8" s="558"/>
      <c r="P8" s="558"/>
      <c r="Q8" s="558"/>
    </row>
    <row r="9" spans="2:23" x14ac:dyDescent="0.2">
      <c r="B9" s="194" t="s">
        <v>171</v>
      </c>
      <c r="F9" s="4" t="s">
        <v>188</v>
      </c>
      <c r="G9" s="4"/>
      <c r="H9" s="198">
        <v>800</v>
      </c>
      <c r="I9" s="4" t="s">
        <v>194</v>
      </c>
    </row>
    <row r="10" spans="2:23" ht="10.5" customHeight="1" x14ac:dyDescent="0.2">
      <c r="B10" s="194" t="s">
        <v>172</v>
      </c>
    </row>
    <row r="11" spans="2:23" x14ac:dyDescent="0.2">
      <c r="B11" s="181"/>
      <c r="F11" s="51"/>
      <c r="G11" s="51"/>
      <c r="H11" s="555" t="s">
        <v>189</v>
      </c>
      <c r="I11" s="556"/>
      <c r="J11" s="557"/>
      <c r="L11" s="555" t="s">
        <v>190</v>
      </c>
      <c r="M11" s="556"/>
      <c r="N11" s="557"/>
      <c r="P11" s="555" t="s">
        <v>191</v>
      </c>
      <c r="Q11" s="557"/>
    </row>
    <row r="12" spans="2:23" x14ac:dyDescent="0.2">
      <c r="B12" s="181"/>
      <c r="F12" s="546" t="s">
        <v>169</v>
      </c>
      <c r="G12" s="182"/>
      <c r="H12" s="186" t="s">
        <v>175</v>
      </c>
      <c r="I12" s="186" t="s">
        <v>167</v>
      </c>
      <c r="J12" s="183" t="s">
        <v>187</v>
      </c>
      <c r="L12" s="186" t="s">
        <v>175</v>
      </c>
      <c r="M12" s="185" t="s">
        <v>167</v>
      </c>
      <c r="N12" s="183" t="s">
        <v>187</v>
      </c>
      <c r="P12" s="548" t="s">
        <v>192</v>
      </c>
      <c r="Q12" s="550" t="s">
        <v>193</v>
      </c>
    </row>
    <row r="13" spans="2:23" x14ac:dyDescent="0.2">
      <c r="B13" s="181"/>
      <c r="F13" s="547"/>
      <c r="G13" s="182"/>
      <c r="H13" s="187" t="s">
        <v>8</v>
      </c>
      <c r="I13" s="187"/>
      <c r="J13" s="184" t="s">
        <v>8</v>
      </c>
      <c r="L13" s="187" t="s">
        <v>8</v>
      </c>
      <c r="M13" s="184"/>
      <c r="N13" s="184" t="s">
        <v>8</v>
      </c>
      <c r="P13" s="549"/>
      <c r="Q13" s="551"/>
    </row>
    <row r="14" spans="2:23" x14ac:dyDescent="0.2">
      <c r="B14" s="178">
        <v>1</v>
      </c>
      <c r="D14" s="221" t="s">
        <v>160</v>
      </c>
      <c r="E14" s="221"/>
      <c r="F14" s="222" t="s">
        <v>170</v>
      </c>
      <c r="G14" s="223"/>
      <c r="H14" s="224">
        <v>11.82</v>
      </c>
      <c r="I14" s="225">
        <v>1</v>
      </c>
      <c r="J14" s="226">
        <f>I14*H14</f>
        <v>11.82</v>
      </c>
      <c r="K14" s="221"/>
      <c r="L14" s="224">
        <v>11.15</v>
      </c>
      <c r="M14" s="227">
        <v>1</v>
      </c>
      <c r="N14" s="226">
        <f>M14*L14</f>
        <v>11.15</v>
      </c>
      <c r="O14" s="221"/>
      <c r="P14" s="228">
        <f>N14-J14</f>
        <v>-0.66999999999999993</v>
      </c>
      <c r="Q14" s="257">
        <f>IF((J14)=0,"",(P14/J14))</f>
        <v>-5.6683587140439924E-2</v>
      </c>
    </row>
    <row r="15" spans="2:23" x14ac:dyDescent="0.2">
      <c r="B15" s="178">
        <v>2</v>
      </c>
      <c r="D15" s="221" t="s">
        <v>199</v>
      </c>
      <c r="E15" s="221"/>
      <c r="F15" s="222" t="s">
        <v>170</v>
      </c>
      <c r="G15" s="223"/>
      <c r="H15" s="224">
        <v>1</v>
      </c>
      <c r="I15" s="225">
        <v>1</v>
      </c>
      <c r="J15" s="226">
        <f t="shared" ref="J15:J40" si="0">I15*H15</f>
        <v>1</v>
      </c>
      <c r="K15" s="221"/>
      <c r="L15" s="224"/>
      <c r="M15" s="227">
        <v>1</v>
      </c>
      <c r="N15" s="226">
        <f>M15*L15</f>
        <v>0</v>
      </c>
      <c r="O15" s="221"/>
      <c r="P15" s="228">
        <f>N15-J15</f>
        <v>-1</v>
      </c>
      <c r="Q15" s="257">
        <f>IF((J15)=0,"",(P15/J15))</f>
        <v>-1</v>
      </c>
    </row>
    <row r="16" spans="2:23" x14ac:dyDescent="0.2">
      <c r="B16" s="178">
        <v>3</v>
      </c>
      <c r="D16" s="221" t="s">
        <v>181</v>
      </c>
      <c r="E16" s="221"/>
      <c r="F16" s="222"/>
      <c r="G16" s="223"/>
      <c r="H16" s="224"/>
      <c r="I16" s="225">
        <v>1</v>
      </c>
      <c r="J16" s="226">
        <f t="shared" si="0"/>
        <v>0</v>
      </c>
      <c r="K16" s="221"/>
      <c r="L16" s="224"/>
      <c r="M16" s="227">
        <v>1</v>
      </c>
      <c r="N16" s="226">
        <f t="shared" ref="N16:N28" si="1">M16*L16</f>
        <v>0</v>
      </c>
      <c r="O16" s="221"/>
      <c r="P16" s="228">
        <f t="shared" ref="P16:P43" si="2">N16-J16</f>
        <v>0</v>
      </c>
      <c r="Q16" s="257" t="str">
        <f t="shared" ref="Q16:Q43" si="3">IF((J16)=0,"",(P16/J16))</f>
        <v/>
      </c>
    </row>
    <row r="17" spans="2:17" x14ac:dyDescent="0.2">
      <c r="B17" s="178">
        <v>4</v>
      </c>
      <c r="D17" s="221" t="s">
        <v>182</v>
      </c>
      <c r="E17" s="221"/>
      <c r="F17" s="222"/>
      <c r="G17" s="223"/>
      <c r="H17" s="224"/>
      <c r="I17" s="225">
        <v>1</v>
      </c>
      <c r="J17" s="226">
        <f t="shared" si="0"/>
        <v>0</v>
      </c>
      <c r="K17" s="221"/>
      <c r="L17" s="224"/>
      <c r="M17" s="227">
        <v>1</v>
      </c>
      <c r="N17" s="226">
        <f t="shared" si="1"/>
        <v>0</v>
      </c>
      <c r="O17" s="221"/>
      <c r="P17" s="228">
        <f t="shared" si="2"/>
        <v>0</v>
      </c>
      <c r="Q17" s="257" t="str">
        <f t="shared" si="3"/>
        <v/>
      </c>
    </row>
    <row r="18" spans="2:17" x14ac:dyDescent="0.2">
      <c r="B18" s="178">
        <v>5</v>
      </c>
      <c r="D18" s="221" t="s">
        <v>183</v>
      </c>
      <c r="E18" s="221"/>
      <c r="F18" s="222" t="s">
        <v>171</v>
      </c>
      <c r="G18" s="223"/>
      <c r="H18" s="224">
        <v>1.47E-2</v>
      </c>
      <c r="I18" s="225">
        <f>H9</f>
        <v>800</v>
      </c>
      <c r="J18" s="226">
        <f t="shared" si="0"/>
        <v>11.76</v>
      </c>
      <c r="K18" s="221"/>
      <c r="L18" s="224">
        <v>1.3899999999999999E-2</v>
      </c>
      <c r="M18" s="227">
        <f>H9</f>
        <v>800</v>
      </c>
      <c r="N18" s="226">
        <f t="shared" si="1"/>
        <v>11.12</v>
      </c>
      <c r="O18" s="221"/>
      <c r="P18" s="228">
        <f t="shared" si="2"/>
        <v>-0.64000000000000057</v>
      </c>
      <c r="Q18" s="257">
        <f t="shared" si="3"/>
        <v>-5.442176870748304E-2</v>
      </c>
    </row>
    <row r="19" spans="2:17" x14ac:dyDescent="0.2">
      <c r="B19" s="178">
        <v>6</v>
      </c>
      <c r="D19" s="221" t="s">
        <v>176</v>
      </c>
      <c r="E19" s="221"/>
      <c r="F19" s="222" t="s">
        <v>171</v>
      </c>
      <c r="G19" s="223"/>
      <c r="H19" s="224">
        <v>1.4E-3</v>
      </c>
      <c r="I19" s="225">
        <f t="shared" ref="I19:I24" si="4">I18</f>
        <v>800</v>
      </c>
      <c r="J19" s="226">
        <f t="shared" si="0"/>
        <v>1.1199999999999999</v>
      </c>
      <c r="K19" s="221"/>
      <c r="L19" s="224">
        <v>1.9E-3</v>
      </c>
      <c r="M19" s="227">
        <f t="shared" ref="M19:M24" si="5">M18</f>
        <v>800</v>
      </c>
      <c r="N19" s="226">
        <f t="shared" si="1"/>
        <v>1.52</v>
      </c>
      <c r="O19" s="221"/>
      <c r="P19" s="228">
        <f t="shared" si="2"/>
        <v>0.40000000000000013</v>
      </c>
      <c r="Q19" s="257">
        <f t="shared" si="3"/>
        <v>0.35714285714285732</v>
      </c>
    </row>
    <row r="20" spans="2:17" x14ac:dyDescent="0.2">
      <c r="B20" s="178">
        <v>7</v>
      </c>
      <c r="D20" s="221" t="s">
        <v>184</v>
      </c>
      <c r="E20" s="221"/>
      <c r="F20" s="222"/>
      <c r="G20" s="223"/>
      <c r="H20" s="224"/>
      <c r="I20" s="225">
        <f t="shared" si="4"/>
        <v>800</v>
      </c>
      <c r="J20" s="226">
        <f t="shared" si="0"/>
        <v>0</v>
      </c>
      <c r="K20" s="221"/>
      <c r="L20" s="224"/>
      <c r="M20" s="227">
        <f t="shared" si="5"/>
        <v>800</v>
      </c>
      <c r="N20" s="226">
        <f t="shared" si="1"/>
        <v>0</v>
      </c>
      <c r="O20" s="221"/>
      <c r="P20" s="228">
        <f t="shared" si="2"/>
        <v>0</v>
      </c>
      <c r="Q20" s="257" t="str">
        <f t="shared" si="3"/>
        <v/>
      </c>
    </row>
    <row r="21" spans="2:17" x14ac:dyDescent="0.2">
      <c r="B21" s="178">
        <v>8</v>
      </c>
      <c r="D21" s="221" t="s">
        <v>185</v>
      </c>
      <c r="E21" s="221"/>
      <c r="F21" s="222"/>
      <c r="G21" s="223"/>
      <c r="H21" s="224"/>
      <c r="I21" s="225">
        <f t="shared" si="4"/>
        <v>800</v>
      </c>
      <c r="J21" s="226">
        <f t="shared" si="0"/>
        <v>0</v>
      </c>
      <c r="K21" s="221"/>
      <c r="L21" s="224"/>
      <c r="M21" s="227">
        <f t="shared" si="5"/>
        <v>800</v>
      </c>
      <c r="N21" s="226">
        <f t="shared" si="1"/>
        <v>0</v>
      </c>
      <c r="O21" s="221"/>
      <c r="P21" s="228">
        <f t="shared" si="2"/>
        <v>0</v>
      </c>
      <c r="Q21" s="257" t="str">
        <f t="shared" si="3"/>
        <v/>
      </c>
    </row>
    <row r="22" spans="2:17" x14ac:dyDescent="0.2">
      <c r="B22" s="178">
        <v>9</v>
      </c>
      <c r="D22" s="221" t="s">
        <v>161</v>
      </c>
      <c r="E22" s="221"/>
      <c r="F22" s="222"/>
      <c r="G22" s="223"/>
      <c r="H22" s="224"/>
      <c r="I22" s="225">
        <f t="shared" si="4"/>
        <v>800</v>
      </c>
      <c r="J22" s="226">
        <f t="shared" si="0"/>
        <v>0</v>
      </c>
      <c r="K22" s="221"/>
      <c r="L22" s="224"/>
      <c r="M22" s="227">
        <f t="shared" si="5"/>
        <v>800</v>
      </c>
      <c r="N22" s="226">
        <f t="shared" si="1"/>
        <v>0</v>
      </c>
      <c r="O22" s="221"/>
      <c r="P22" s="228">
        <f t="shared" si="2"/>
        <v>0</v>
      </c>
      <c r="Q22" s="257" t="str">
        <f t="shared" si="3"/>
        <v/>
      </c>
    </row>
    <row r="23" spans="2:17" x14ac:dyDescent="0.2">
      <c r="B23" s="178">
        <v>10</v>
      </c>
      <c r="D23" s="221" t="s">
        <v>201</v>
      </c>
      <c r="E23" s="221"/>
      <c r="F23" s="222" t="s">
        <v>171</v>
      </c>
      <c r="G23" s="223"/>
      <c r="H23" s="224">
        <v>1.6000000000000001E-3</v>
      </c>
      <c r="I23" s="225">
        <f t="shared" si="4"/>
        <v>800</v>
      </c>
      <c r="J23" s="226">
        <f t="shared" si="0"/>
        <v>1.28</v>
      </c>
      <c r="K23" s="221"/>
      <c r="L23" s="224"/>
      <c r="M23" s="227">
        <f t="shared" si="5"/>
        <v>800</v>
      </c>
      <c r="N23" s="226">
        <f t="shared" si="1"/>
        <v>0</v>
      </c>
      <c r="O23" s="221"/>
      <c r="P23" s="228">
        <f t="shared" si="2"/>
        <v>-1.28</v>
      </c>
      <c r="Q23" s="257">
        <f t="shared" si="3"/>
        <v>-1</v>
      </c>
    </row>
    <row r="24" spans="2:17" ht="25.5" x14ac:dyDescent="0.2">
      <c r="B24" s="178">
        <v>11</v>
      </c>
      <c r="D24" s="220" t="s">
        <v>200</v>
      </c>
      <c r="E24" s="221"/>
      <c r="F24" s="222" t="s">
        <v>171</v>
      </c>
      <c r="G24" s="223"/>
      <c r="H24" s="224">
        <f>-0.0074-0.0003</f>
        <v>-7.7000000000000002E-3</v>
      </c>
      <c r="I24" s="225">
        <f t="shared" si="4"/>
        <v>800</v>
      </c>
      <c r="J24" s="226">
        <f t="shared" si="0"/>
        <v>-6.16</v>
      </c>
      <c r="K24" s="221"/>
      <c r="L24" s="224">
        <v>-2.5651E-2</v>
      </c>
      <c r="M24" s="227">
        <f t="shared" si="5"/>
        <v>800</v>
      </c>
      <c r="N24" s="226">
        <f t="shared" si="1"/>
        <v>-20.520800000000001</v>
      </c>
      <c r="O24" s="221"/>
      <c r="P24" s="228">
        <f t="shared" si="2"/>
        <v>-14.360800000000001</v>
      </c>
      <c r="Q24" s="257">
        <f t="shared" si="3"/>
        <v>2.3312987012987016</v>
      </c>
    </row>
    <row r="25" spans="2:17" x14ac:dyDescent="0.2">
      <c r="B25" s="178">
        <v>12</v>
      </c>
      <c r="D25" s="230" t="s">
        <v>333</v>
      </c>
      <c r="E25" s="221"/>
      <c r="F25" s="222" t="s">
        <v>170</v>
      </c>
      <c r="G25" s="223"/>
      <c r="H25" s="224">
        <v>0</v>
      </c>
      <c r="I25" s="231">
        <f>+I17</f>
        <v>1</v>
      </c>
      <c r="J25" s="226">
        <f t="shared" si="0"/>
        <v>0</v>
      </c>
      <c r="K25" s="221"/>
      <c r="L25" s="224">
        <v>1.86</v>
      </c>
      <c r="M25" s="232">
        <f>+M16</f>
        <v>1</v>
      </c>
      <c r="N25" s="226">
        <f t="shared" si="1"/>
        <v>1.86</v>
      </c>
      <c r="O25" s="221"/>
      <c r="P25" s="228">
        <f t="shared" si="2"/>
        <v>1.86</v>
      </c>
      <c r="Q25" s="257" t="str">
        <f t="shared" si="3"/>
        <v/>
      </c>
    </row>
    <row r="26" spans="2:17" x14ac:dyDescent="0.2">
      <c r="B26" s="178">
        <v>13</v>
      </c>
      <c r="D26" s="230" t="s">
        <v>334</v>
      </c>
      <c r="E26" s="221"/>
      <c r="F26" s="222" t="s">
        <v>170</v>
      </c>
      <c r="G26" s="223"/>
      <c r="H26" s="224">
        <v>0.09</v>
      </c>
      <c r="I26" s="231">
        <v>1</v>
      </c>
      <c r="J26" s="226">
        <f t="shared" si="0"/>
        <v>0.09</v>
      </c>
      <c r="K26" s="221"/>
      <c r="L26" s="224">
        <v>0</v>
      </c>
      <c r="M26" s="232">
        <f>+M25</f>
        <v>1</v>
      </c>
      <c r="N26" s="226">
        <f t="shared" si="1"/>
        <v>0</v>
      </c>
      <c r="O26" s="221"/>
      <c r="P26" s="228">
        <f t="shared" si="2"/>
        <v>-0.09</v>
      </c>
      <c r="Q26" s="257">
        <f t="shared" si="3"/>
        <v>-1</v>
      </c>
    </row>
    <row r="27" spans="2:17" x14ac:dyDescent="0.2">
      <c r="B27" s="178">
        <v>14</v>
      </c>
      <c r="D27" s="230" t="s">
        <v>161</v>
      </c>
      <c r="E27" s="221"/>
      <c r="F27" s="222" t="s">
        <v>170</v>
      </c>
      <c r="G27" s="223"/>
      <c r="H27" s="224"/>
      <c r="I27" s="231"/>
      <c r="J27" s="226">
        <f t="shared" si="0"/>
        <v>0</v>
      </c>
      <c r="K27" s="221"/>
      <c r="L27" s="224">
        <v>0.65</v>
      </c>
      <c r="M27" s="232">
        <v>1</v>
      </c>
      <c r="N27" s="226">
        <f t="shared" si="1"/>
        <v>0.65</v>
      </c>
      <c r="O27" s="221"/>
      <c r="P27" s="228">
        <f t="shared" si="2"/>
        <v>0.65</v>
      </c>
      <c r="Q27" s="257" t="str">
        <f t="shared" si="3"/>
        <v/>
      </c>
    </row>
    <row r="28" spans="2:17" ht="13.5" thickBot="1" x14ac:dyDescent="0.25">
      <c r="B28" s="178">
        <v>15</v>
      </c>
      <c r="D28" s="230"/>
      <c r="E28" s="221"/>
      <c r="F28" s="222"/>
      <c r="G28" s="223"/>
      <c r="H28" s="224"/>
      <c r="I28" s="231"/>
      <c r="J28" s="226">
        <f t="shared" si="0"/>
        <v>0</v>
      </c>
      <c r="K28" s="221"/>
      <c r="L28" s="224"/>
      <c r="M28" s="232"/>
      <c r="N28" s="226">
        <f t="shared" si="1"/>
        <v>0</v>
      </c>
      <c r="O28" s="221"/>
      <c r="P28" s="228">
        <f t="shared" si="2"/>
        <v>0</v>
      </c>
      <c r="Q28" s="257" t="str">
        <f t="shared" si="3"/>
        <v/>
      </c>
    </row>
    <row r="29" spans="2:17" ht="13.5" thickBot="1" x14ac:dyDescent="0.25">
      <c r="B29" s="178">
        <v>16</v>
      </c>
      <c r="D29" s="4" t="s">
        <v>163</v>
      </c>
      <c r="G29" s="27"/>
      <c r="H29" s="188"/>
      <c r="I29" s="189"/>
      <c r="J29" s="190">
        <f>SUM(J14:J28)</f>
        <v>20.91</v>
      </c>
      <c r="L29" s="188"/>
      <c r="M29" s="191"/>
      <c r="N29" s="190">
        <f>SUM(N14:N28)</f>
        <v>5.7791999999999986</v>
      </c>
      <c r="P29" s="192">
        <f t="shared" si="2"/>
        <v>-15.130800000000001</v>
      </c>
      <c r="Q29" s="258">
        <f t="shared" si="3"/>
        <v>-0.72361549497847921</v>
      </c>
    </row>
    <row r="30" spans="2:17" x14ac:dyDescent="0.2">
      <c r="B30" s="178">
        <v>17</v>
      </c>
      <c r="D30" s="233" t="s">
        <v>164</v>
      </c>
      <c r="E30" s="233"/>
      <c r="F30" s="222" t="s">
        <v>171</v>
      </c>
      <c r="G30" s="234"/>
      <c r="H30" s="235">
        <v>7.3000000000000001E-3</v>
      </c>
      <c r="I30" s="236">
        <f>H9*(1+H47)</f>
        <v>859.12000000000012</v>
      </c>
      <c r="J30" s="237">
        <f t="shared" si="0"/>
        <v>6.2715760000000005</v>
      </c>
      <c r="K30" s="233"/>
      <c r="L30" s="235">
        <v>5.3600000000000002E-3</v>
      </c>
      <c r="M30" s="238">
        <f>H9*(1+L47)</f>
        <v>864.82561947060969</v>
      </c>
      <c r="N30" s="237">
        <f>M30*L30</f>
        <v>4.6354653203624681</v>
      </c>
      <c r="O30" s="233"/>
      <c r="P30" s="239">
        <f t="shared" si="2"/>
        <v>-1.6361106796375324</v>
      </c>
      <c r="Q30" s="259">
        <f t="shared" si="3"/>
        <v>-0.26087711918623524</v>
      </c>
    </row>
    <row r="31" spans="2:17" ht="26.25" thickBot="1" x14ac:dyDescent="0.25">
      <c r="B31" s="178">
        <v>18</v>
      </c>
      <c r="D31" s="240" t="s">
        <v>186</v>
      </c>
      <c r="E31" s="233"/>
      <c r="F31" s="222" t="s">
        <v>171</v>
      </c>
      <c r="G31" s="234"/>
      <c r="H31" s="235">
        <v>4.4000000000000003E-3</v>
      </c>
      <c r="I31" s="236">
        <f>I30</f>
        <v>859.12000000000012</v>
      </c>
      <c r="J31" s="237">
        <f t="shared" si="0"/>
        <v>3.7801280000000008</v>
      </c>
      <c r="K31" s="233"/>
      <c r="L31" s="235">
        <v>3.1819849143624509E-3</v>
      </c>
      <c r="M31" s="238">
        <f>M30</f>
        <v>864.82561947060969</v>
      </c>
      <c r="N31" s="237">
        <f>M31*L31</f>
        <v>2.7518620747096416</v>
      </c>
      <c r="O31" s="233"/>
      <c r="P31" s="239">
        <f t="shared" si="2"/>
        <v>-1.0282659252903592</v>
      </c>
      <c r="Q31" s="259">
        <f t="shared" si="3"/>
        <v>-0.27201881134457856</v>
      </c>
    </row>
    <row r="32" spans="2:17" ht="26.25" thickBot="1" x14ac:dyDescent="0.25">
      <c r="B32" s="178">
        <v>19</v>
      </c>
      <c r="D32" s="241" t="s">
        <v>165</v>
      </c>
      <c r="E32" s="221"/>
      <c r="F32" s="221"/>
      <c r="G32" s="223"/>
      <c r="H32" s="242"/>
      <c r="I32" s="243"/>
      <c r="J32" s="244">
        <f>SUM(J29:J31)</f>
        <v>30.961704000000001</v>
      </c>
      <c r="K32" s="178"/>
      <c r="L32" s="245"/>
      <c r="M32" s="246"/>
      <c r="N32" s="244">
        <f>SUM(N29:N31)</f>
        <v>13.166527395072109</v>
      </c>
      <c r="O32" s="178"/>
      <c r="P32" s="247">
        <f t="shared" si="2"/>
        <v>-17.795176604927892</v>
      </c>
      <c r="Q32" s="260">
        <f t="shared" si="3"/>
        <v>-0.57474797268677114</v>
      </c>
    </row>
    <row r="33" spans="2:18" ht="25.5" x14ac:dyDescent="0.2">
      <c r="B33" s="178">
        <v>20</v>
      </c>
      <c r="D33" s="220" t="s">
        <v>179</v>
      </c>
      <c r="E33" s="221"/>
      <c r="F33" s="222" t="s">
        <v>171</v>
      </c>
      <c r="G33" s="223"/>
      <c r="H33" s="224">
        <v>5.1999999999999998E-3</v>
      </c>
      <c r="I33" s="225">
        <f>I31</f>
        <v>859.12000000000012</v>
      </c>
      <c r="J33" s="226">
        <f t="shared" si="0"/>
        <v>4.4674240000000003</v>
      </c>
      <c r="K33" s="221"/>
      <c r="L33" s="224">
        <v>5.1999999999999998E-3</v>
      </c>
      <c r="M33" s="227">
        <f>IF(W1=2, H9*(1+H47), H9*(1+L47))</f>
        <v>864.82561947060969</v>
      </c>
      <c r="N33" s="226">
        <f t="shared" ref="N33:N40" si="6">M33*L33</f>
        <v>4.4970932212471704</v>
      </c>
      <c r="O33" s="221"/>
      <c r="P33" s="228">
        <f t="shared" si="2"/>
        <v>2.9669221247170086E-2</v>
      </c>
      <c r="Q33" s="257">
        <f t="shared" si="3"/>
        <v>6.6412369291945616E-3</v>
      </c>
    </row>
    <row r="34" spans="2:18" ht="25.5" x14ac:dyDescent="0.2">
      <c r="B34" s="178">
        <v>21</v>
      </c>
      <c r="D34" s="220" t="s">
        <v>178</v>
      </c>
      <c r="E34" s="221"/>
      <c r="F34" s="222" t="s">
        <v>171</v>
      </c>
      <c r="G34" s="223"/>
      <c r="H34" s="224">
        <v>1.2999999999999999E-3</v>
      </c>
      <c r="I34" s="225">
        <f>I31</f>
        <v>859.12000000000012</v>
      </c>
      <c r="J34" s="226">
        <f t="shared" si="0"/>
        <v>1.1168560000000001</v>
      </c>
      <c r="K34" s="221"/>
      <c r="L34" s="224">
        <v>1.1000000000000001E-3</v>
      </c>
      <c r="M34" s="227">
        <f>IF(W1=2, H9*(1+H47), H9*(1+L47))</f>
        <v>864.82561947060969</v>
      </c>
      <c r="N34" s="226">
        <f t="shared" si="6"/>
        <v>0.95130818141767071</v>
      </c>
      <c r="O34" s="221"/>
      <c r="P34" s="228">
        <f t="shared" si="2"/>
        <v>-0.16554781858232936</v>
      </c>
      <c r="Q34" s="257">
        <f t="shared" si="3"/>
        <v>-0.14822664567529686</v>
      </c>
    </row>
    <row r="35" spans="2:18" x14ac:dyDescent="0.2">
      <c r="B35" s="178">
        <v>22</v>
      </c>
      <c r="D35" s="220" t="s">
        <v>202</v>
      </c>
      <c r="E35" s="221"/>
      <c r="F35" s="222"/>
      <c r="G35" s="223"/>
      <c r="H35" s="256"/>
      <c r="I35" s="225">
        <f>I31</f>
        <v>859.12000000000012</v>
      </c>
      <c r="J35" s="226">
        <f>I35*H35</f>
        <v>0</v>
      </c>
      <c r="K35" s="221"/>
      <c r="L35" s="256"/>
      <c r="M35" s="227">
        <f>IF(W1=2, H9*(1+H47), H9*(1+L47))</f>
        <v>864.82561947060969</v>
      </c>
      <c r="N35" s="226">
        <f>M35*L35</f>
        <v>0</v>
      </c>
      <c r="O35" s="221"/>
      <c r="P35" s="228">
        <f>N35-J35</f>
        <v>0</v>
      </c>
      <c r="Q35" s="257" t="str">
        <f>IF((J35)=0,"",(P35/J35))</f>
        <v/>
      </c>
    </row>
    <row r="36" spans="2:18" x14ac:dyDescent="0.2">
      <c r="B36" s="178">
        <v>23</v>
      </c>
      <c r="D36" s="221" t="s">
        <v>177</v>
      </c>
      <c r="E36" s="221"/>
      <c r="F36" s="222" t="s">
        <v>170</v>
      </c>
      <c r="G36" s="223"/>
      <c r="H36" s="224">
        <v>0.25</v>
      </c>
      <c r="I36" s="225">
        <v>1</v>
      </c>
      <c r="J36" s="226">
        <f t="shared" si="0"/>
        <v>0.25</v>
      </c>
      <c r="K36" s="221"/>
      <c r="L36" s="224">
        <v>0.25</v>
      </c>
      <c r="M36" s="227">
        <v>1</v>
      </c>
      <c r="N36" s="226">
        <f t="shared" si="6"/>
        <v>0.25</v>
      </c>
      <c r="O36" s="221"/>
      <c r="P36" s="228">
        <f t="shared" si="2"/>
        <v>0</v>
      </c>
      <c r="Q36" s="257">
        <f t="shared" si="3"/>
        <v>0</v>
      </c>
    </row>
    <row r="37" spans="2:18" x14ac:dyDescent="0.2">
      <c r="B37" s="178">
        <v>24</v>
      </c>
      <c r="D37" s="221" t="s">
        <v>180</v>
      </c>
      <c r="E37" s="221"/>
      <c r="F37" s="222" t="s">
        <v>171</v>
      </c>
      <c r="G37" s="223"/>
      <c r="H37" s="224">
        <v>7.0000000000000001E-3</v>
      </c>
      <c r="I37" s="225">
        <f>H9</f>
        <v>800</v>
      </c>
      <c r="J37" s="226">
        <f t="shared" si="0"/>
        <v>5.6000000000000005</v>
      </c>
      <c r="K37" s="221"/>
      <c r="L37" s="224">
        <v>7.0000000000000001E-3</v>
      </c>
      <c r="M37" s="227">
        <f>H9</f>
        <v>800</v>
      </c>
      <c r="N37" s="226">
        <f t="shared" si="6"/>
        <v>5.6000000000000005</v>
      </c>
      <c r="O37" s="221"/>
      <c r="P37" s="228">
        <f t="shared" si="2"/>
        <v>0</v>
      </c>
      <c r="Q37" s="257">
        <f t="shared" si="3"/>
        <v>0</v>
      </c>
    </row>
    <row r="38" spans="2:18" x14ac:dyDescent="0.2">
      <c r="B38" s="178">
        <v>25</v>
      </c>
      <c r="D38" s="221" t="s">
        <v>203</v>
      </c>
      <c r="E38" s="221"/>
      <c r="F38" s="222"/>
      <c r="G38" s="223"/>
      <c r="H38" s="261">
        <v>7.5679999999999997E-2</v>
      </c>
      <c r="I38" s="225">
        <f>I35</f>
        <v>859.12000000000012</v>
      </c>
      <c r="J38" s="226">
        <f t="shared" si="0"/>
        <v>65.018201600000012</v>
      </c>
      <c r="K38" s="221"/>
      <c r="L38" s="224">
        <v>7.5679999999999997E-2</v>
      </c>
      <c r="M38" s="227">
        <f>IF(W1=2, H9*(1+H47), H9*(1+L47))</f>
        <v>864.82561947060969</v>
      </c>
      <c r="N38" s="226">
        <f t="shared" si="6"/>
        <v>65.450002881535738</v>
      </c>
      <c r="O38" s="221"/>
      <c r="P38" s="228">
        <f t="shared" si="2"/>
        <v>0.43180128153572639</v>
      </c>
      <c r="Q38" s="257">
        <f t="shared" si="3"/>
        <v>6.6412369291943985E-3</v>
      </c>
    </row>
    <row r="39" spans="2:18" x14ac:dyDescent="0.2">
      <c r="B39" s="178">
        <v>26</v>
      </c>
      <c r="D39" s="230"/>
      <c r="E39" s="221"/>
      <c r="F39" s="222"/>
      <c r="G39" s="223"/>
      <c r="H39" s="224"/>
      <c r="I39" s="231"/>
      <c r="J39" s="226">
        <f t="shared" si="0"/>
        <v>0</v>
      </c>
      <c r="K39" s="221"/>
      <c r="L39" s="224"/>
      <c r="M39" s="451"/>
      <c r="N39" s="226">
        <f t="shared" si="6"/>
        <v>0</v>
      </c>
      <c r="O39" s="221"/>
      <c r="P39" s="228">
        <f t="shared" si="2"/>
        <v>0</v>
      </c>
      <c r="Q39" s="257" t="str">
        <f t="shared" si="3"/>
        <v/>
      </c>
    </row>
    <row r="40" spans="2:18" ht="13.5" thickBot="1" x14ac:dyDescent="0.25">
      <c r="B40" s="178">
        <v>27</v>
      </c>
      <c r="D40" s="230"/>
      <c r="E40" s="221"/>
      <c r="F40" s="222"/>
      <c r="G40" s="223"/>
      <c r="H40" s="224"/>
      <c r="I40" s="231"/>
      <c r="J40" s="226">
        <f t="shared" si="0"/>
        <v>0</v>
      </c>
      <c r="K40" s="221"/>
      <c r="L40" s="224"/>
      <c r="M40" s="232"/>
      <c r="N40" s="226">
        <f t="shared" si="6"/>
        <v>0</v>
      </c>
      <c r="O40" s="221"/>
      <c r="P40" s="228">
        <f t="shared" si="2"/>
        <v>0</v>
      </c>
      <c r="Q40" s="257" t="str">
        <f t="shared" si="3"/>
        <v/>
      </c>
    </row>
    <row r="41" spans="2:18" ht="13.5" thickBot="1" x14ac:dyDescent="0.25">
      <c r="B41" s="178">
        <v>28</v>
      </c>
      <c r="D41" s="248" t="s">
        <v>173</v>
      </c>
      <c r="E41" s="221"/>
      <c r="F41" s="221"/>
      <c r="G41" s="221"/>
      <c r="H41" s="249"/>
      <c r="I41" s="250"/>
      <c r="J41" s="244">
        <f>SUM(J32:J40)</f>
        <v>107.41418560000001</v>
      </c>
      <c r="K41" s="178"/>
      <c r="L41" s="251"/>
      <c r="M41" s="252"/>
      <c r="N41" s="244">
        <f>SUM(N32:N40)</f>
        <v>89.914931679272684</v>
      </c>
      <c r="O41" s="178"/>
      <c r="P41" s="247">
        <f t="shared" si="2"/>
        <v>-17.499253920727327</v>
      </c>
      <c r="Q41" s="260">
        <f t="shared" si="3"/>
        <v>-0.16291380717527243</v>
      </c>
    </row>
    <row r="42" spans="2:18" ht="13.5" thickBot="1" x14ac:dyDescent="0.25">
      <c r="B42" s="178">
        <v>29</v>
      </c>
      <c r="D42" s="223" t="s">
        <v>174</v>
      </c>
      <c r="E42" s="221"/>
      <c r="F42" s="221"/>
      <c r="G42" s="221"/>
      <c r="H42" s="253">
        <v>0.13</v>
      </c>
      <c r="I42" s="254"/>
      <c r="J42" s="255">
        <f>J41*H42</f>
        <v>13.963844128000002</v>
      </c>
      <c r="K42" s="221"/>
      <c r="L42" s="253">
        <v>0.13</v>
      </c>
      <c r="M42" s="229"/>
      <c r="N42" s="255">
        <f>N41*L42</f>
        <v>11.688941118305449</v>
      </c>
      <c r="O42" s="221"/>
      <c r="P42" s="228">
        <f t="shared" si="2"/>
        <v>-2.2749030096945528</v>
      </c>
      <c r="Q42" s="257">
        <f t="shared" si="3"/>
        <v>-0.16291380717527246</v>
      </c>
    </row>
    <row r="43" spans="2:18" ht="26.25" thickBot="1" x14ac:dyDescent="0.25">
      <c r="B43" s="178">
        <v>30</v>
      </c>
      <c r="D43" s="241" t="s">
        <v>166</v>
      </c>
      <c r="E43" s="221"/>
      <c r="F43" s="221"/>
      <c r="G43" s="221"/>
      <c r="H43" s="242"/>
      <c r="I43" s="243"/>
      <c r="J43" s="244">
        <f>ROUND(SUM(J41:J42),2)</f>
        <v>121.38</v>
      </c>
      <c r="K43" s="178"/>
      <c r="L43" s="245"/>
      <c r="M43" s="246"/>
      <c r="N43" s="244">
        <f>ROUND(SUM(N41:N42),2)</f>
        <v>101.6</v>
      </c>
      <c r="O43" s="178"/>
      <c r="P43" s="247">
        <f t="shared" si="2"/>
        <v>-19.78</v>
      </c>
      <c r="Q43" s="260">
        <f t="shared" si="3"/>
        <v>-0.16295930136760589</v>
      </c>
    </row>
    <row r="44" spans="2:18" ht="26.25" thickBot="1" x14ac:dyDescent="0.25">
      <c r="B44" s="178">
        <v>31</v>
      </c>
      <c r="D44" s="241" t="s">
        <v>207</v>
      </c>
      <c r="E44" s="221"/>
      <c r="F44" s="221"/>
      <c r="G44" s="221"/>
      <c r="H44" s="353">
        <v>-0.1</v>
      </c>
      <c r="I44" s="338"/>
      <c r="J44" s="349">
        <f>ROUND(-J43*10%,2)</f>
        <v>-12.14</v>
      </c>
      <c r="K44" s="354"/>
      <c r="L44" s="355">
        <v>-0.1</v>
      </c>
      <c r="M44" s="350"/>
      <c r="N44" s="349">
        <f>ROUND(-N43*10%,2)</f>
        <v>-10.16</v>
      </c>
      <c r="O44" s="342"/>
      <c r="P44" s="343">
        <f>N44-J44</f>
        <v>1.9800000000000004</v>
      </c>
      <c r="Q44" s="347">
        <f>IF((J44)=0,"",(P44/J44))</f>
        <v>-0.16309719934102143</v>
      </c>
    </row>
    <row r="45" spans="2:18" ht="14.25" thickTop="1" thickBot="1" x14ac:dyDescent="0.25">
      <c r="B45" s="178">
        <v>32</v>
      </c>
      <c r="D45" s="241" t="s">
        <v>208</v>
      </c>
      <c r="E45" s="221"/>
      <c r="F45" s="221"/>
      <c r="G45" s="221"/>
      <c r="H45" s="339"/>
      <c r="I45" s="352"/>
      <c r="J45" s="340">
        <f>J43+J44</f>
        <v>109.24</v>
      </c>
      <c r="K45" s="178"/>
      <c r="L45" s="341"/>
      <c r="M45" s="351"/>
      <c r="N45" s="340">
        <f>N43+N44</f>
        <v>91.44</v>
      </c>
      <c r="O45" s="342"/>
      <c r="P45" s="346">
        <f>N45-J45</f>
        <v>-17.799999999999997</v>
      </c>
      <c r="Q45" s="348">
        <f>IF((J45)=0,"",(P45/J45))</f>
        <v>-0.16294397656536067</v>
      </c>
      <c r="R45" s="344"/>
    </row>
    <row r="46" spans="2:18" ht="10.5" customHeight="1" x14ac:dyDescent="0.2">
      <c r="B46" s="178"/>
      <c r="P46" s="35"/>
      <c r="Q46" s="345"/>
    </row>
    <row r="47" spans="2:18" x14ac:dyDescent="0.2">
      <c r="B47" s="178">
        <v>33</v>
      </c>
      <c r="D47" s="4" t="s">
        <v>195</v>
      </c>
      <c r="F47" s="4" t="s">
        <v>206</v>
      </c>
      <c r="H47" s="200">
        <f>+'[2]2011 COP '!$C$12-1</f>
        <v>7.3900000000000077E-2</v>
      </c>
      <c r="L47" s="200">
        <f>+'[2]Loss Factor'!$M$17-1</f>
        <v>8.1032024338262065E-2</v>
      </c>
    </row>
    <row r="48" spans="2:18" ht="10.5" customHeight="1" x14ac:dyDescent="0.2"/>
    <row r="49" spans="2:17" x14ac:dyDescent="0.2">
      <c r="B49" s="4" t="s">
        <v>42</v>
      </c>
    </row>
    <row r="50" spans="2:17" x14ac:dyDescent="0.2">
      <c r="B50" s="4" t="s">
        <v>317</v>
      </c>
    </row>
    <row r="51" spans="2:17" x14ac:dyDescent="0.2">
      <c r="B51" s="552"/>
      <c r="C51" s="553"/>
      <c r="D51" s="553"/>
      <c r="E51" s="553"/>
      <c r="F51" s="553"/>
      <c r="G51" s="553"/>
      <c r="H51" s="553"/>
      <c r="I51" s="553"/>
      <c r="J51" s="553"/>
      <c r="K51" s="553"/>
      <c r="L51" s="553"/>
      <c r="M51" s="553"/>
      <c r="N51" s="553"/>
      <c r="O51" s="553"/>
      <c r="P51" s="553"/>
      <c r="Q51" s="554"/>
    </row>
    <row r="52" spans="2:17" x14ac:dyDescent="0.2">
      <c r="B52" s="540"/>
      <c r="C52" s="541"/>
      <c r="D52" s="541"/>
      <c r="E52" s="541"/>
      <c r="F52" s="541"/>
      <c r="G52" s="541"/>
      <c r="H52" s="541"/>
      <c r="I52" s="541"/>
      <c r="J52" s="541"/>
      <c r="K52" s="541"/>
      <c r="L52" s="541"/>
      <c r="M52" s="541"/>
      <c r="N52" s="541"/>
      <c r="O52" s="541"/>
      <c r="P52" s="541"/>
      <c r="Q52" s="542"/>
    </row>
    <row r="53" spans="2:17" x14ac:dyDescent="0.2">
      <c r="B53" s="540"/>
      <c r="C53" s="541"/>
      <c r="D53" s="541"/>
      <c r="E53" s="541"/>
      <c r="F53" s="541"/>
      <c r="G53" s="541"/>
      <c r="H53" s="541"/>
      <c r="I53" s="541"/>
      <c r="J53" s="541"/>
      <c r="K53" s="541"/>
      <c r="L53" s="541"/>
      <c r="M53" s="541"/>
      <c r="N53" s="541"/>
      <c r="O53" s="541"/>
      <c r="P53" s="541"/>
      <c r="Q53" s="542"/>
    </row>
    <row r="54" spans="2:17" x14ac:dyDescent="0.2">
      <c r="B54" s="540"/>
      <c r="C54" s="541"/>
      <c r="D54" s="541"/>
      <c r="E54" s="541"/>
      <c r="F54" s="541"/>
      <c r="G54" s="541"/>
      <c r="H54" s="541"/>
      <c r="I54" s="541"/>
      <c r="J54" s="541"/>
      <c r="K54" s="541"/>
      <c r="L54" s="541"/>
      <c r="M54" s="541"/>
      <c r="N54" s="541"/>
      <c r="O54" s="541"/>
      <c r="P54" s="541"/>
      <c r="Q54" s="542"/>
    </row>
    <row r="55" spans="2:17" x14ac:dyDescent="0.2">
      <c r="B55" s="543"/>
      <c r="C55" s="544"/>
      <c r="D55" s="544"/>
      <c r="E55" s="544"/>
      <c r="F55" s="544"/>
      <c r="G55" s="544"/>
      <c r="H55" s="544"/>
      <c r="I55" s="544"/>
      <c r="J55" s="544"/>
      <c r="K55" s="544"/>
      <c r="L55" s="544"/>
      <c r="M55" s="544"/>
      <c r="N55" s="544"/>
      <c r="O55" s="544"/>
      <c r="P55" s="544"/>
      <c r="Q55" s="545"/>
    </row>
  </sheetData>
  <sheetProtection password="82A3" sheet="1" objects="1" scenarios="1"/>
  <mergeCells count="17">
    <mergeCell ref="Q1:R1"/>
    <mergeCell ref="H11:J11"/>
    <mergeCell ref="L11:N11"/>
    <mergeCell ref="P11:Q11"/>
    <mergeCell ref="F8:Q8"/>
    <mergeCell ref="C1:M1"/>
    <mergeCell ref="C3:M3"/>
    <mergeCell ref="C4:J4"/>
    <mergeCell ref="C2:O2"/>
    <mergeCell ref="B52:Q52"/>
    <mergeCell ref="B53:Q53"/>
    <mergeCell ref="B54:Q54"/>
    <mergeCell ref="B55:Q55"/>
    <mergeCell ref="F12:F13"/>
    <mergeCell ref="P12:P13"/>
    <mergeCell ref="Q12:Q13"/>
    <mergeCell ref="B51:Q51"/>
  </mergeCells>
  <phoneticPr fontId="2" type="noConversion"/>
  <dataValidations count="2">
    <dataValidation type="list" allowBlank="1" showInputMessage="1" showErrorMessage="1" sqref="G14:G28 G30:G31 G33:G40">
      <formula1>$B$8:$B$12</formula1>
    </dataValidation>
    <dataValidation type="list" allowBlank="1" showInputMessage="1" showErrorMessage="1" prompt="Select Charge Unit (monthly, per kWh, per kW)" sqref="F14:F28 F30:F31 F33:F40">
      <formula1>$B$8:$B$10</formula1>
    </dataValidation>
  </dataValidations>
  <pageMargins left="0.75" right="0.75" top="1" bottom="1" header="0.5" footer="0.5"/>
  <pageSetup scale="61" orientation="portrait" r:id="rId1"/>
  <headerFooter alignWithMargins="0">
    <oddFooter>&amp;C9</oddFooter>
  </headerFooter>
  <drawing r:id="rId2"/>
  <legacyDrawing r:id="rId3"/>
  <controls>
    <mc:AlternateContent xmlns:mc="http://schemas.openxmlformats.org/markup-compatibility/2006">
      <mc:Choice Requires="x14">
        <control shapeId="10269" r:id="rId4" name="OptionButton2">
          <controlPr defaultSize="0" autoLine="0" r:id="rId5">
            <anchor>
              <from>
                <xdr:col>11</xdr:col>
                <xdr:colOff>552450</xdr:colOff>
                <xdr:row>5</xdr:row>
                <xdr:rowOff>428625</xdr:rowOff>
              </from>
              <to>
                <xdr:col>20</xdr:col>
                <xdr:colOff>133350</xdr:colOff>
                <xdr:row>7</xdr:row>
                <xdr:rowOff>342900</xdr:rowOff>
              </to>
            </anchor>
          </controlPr>
        </control>
      </mc:Choice>
      <mc:Fallback>
        <control shapeId="10269" r:id="rId4" name="OptionButton2"/>
      </mc:Fallback>
    </mc:AlternateContent>
    <mc:AlternateContent xmlns:mc="http://schemas.openxmlformats.org/markup-compatibility/2006">
      <mc:Choice Requires="x14">
        <control shapeId="10268" r:id="rId6" name="OptionButton1">
          <controlPr defaultSize="0" autoLine="0" r:id="rId7">
            <anchor>
              <from>
                <xdr:col>3</xdr:col>
                <xdr:colOff>1314450</xdr:colOff>
                <xdr:row>6</xdr:row>
                <xdr:rowOff>19050</xdr:rowOff>
              </from>
              <to>
                <xdr:col>11</xdr:col>
                <xdr:colOff>552450</xdr:colOff>
                <xdr:row>7</xdr:row>
                <xdr:rowOff>238125</xdr:rowOff>
              </to>
            </anchor>
          </controlPr>
        </control>
      </mc:Choice>
      <mc:Fallback>
        <control shapeId="10268" r:id="rId6" name="OptionButton1"/>
      </mc:Fallback>
    </mc:AlternateContent>
  </controls>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pageSetUpPr fitToPage="1"/>
  </sheetPr>
  <dimension ref="B1:W55"/>
  <sheetViews>
    <sheetView showGridLines="0" topLeftCell="A35" zoomScaleNormal="100" workbookViewId="0">
      <selection activeCell="R56" sqref="A7:R56"/>
    </sheetView>
  </sheetViews>
  <sheetFormatPr defaultRowHeight="12.75" x14ac:dyDescent="0.2"/>
  <cols>
    <col min="1" max="1" width="2.7109375" style="5" customWidth="1"/>
    <col min="2" max="2" width="3.140625" style="5" customWidth="1"/>
    <col min="3" max="3" width="1.28515625" style="5" customWidth="1"/>
    <col min="4" max="4" width="26.5703125" style="5" customWidth="1"/>
    <col min="5" max="5" width="1.28515625" style="5" customWidth="1"/>
    <col min="6" max="6" width="11.28515625" style="5" customWidth="1"/>
    <col min="7" max="7" width="1.42578125" style="5" customWidth="1"/>
    <col min="8" max="8" width="13.7109375" style="5" customWidth="1"/>
    <col min="9" max="9" width="8.5703125" style="5" customWidth="1"/>
    <col min="10" max="10" width="9.7109375" style="5" customWidth="1"/>
    <col min="11" max="11" width="1.42578125" style="5" customWidth="1"/>
    <col min="12" max="12" width="14.28515625" style="5" customWidth="1"/>
    <col min="13" max="13" width="8.5703125" style="5" customWidth="1"/>
    <col min="14" max="14" width="9.7109375" style="5" customWidth="1"/>
    <col min="15" max="15" width="1.42578125" style="5" customWidth="1"/>
    <col min="16" max="16" width="8.85546875" style="5" customWidth="1"/>
    <col min="17" max="17" width="10.28515625" style="5" customWidth="1"/>
    <col min="18" max="18" width="3.85546875" style="5" customWidth="1"/>
    <col min="19" max="21" width="9.140625" style="5"/>
    <col min="22" max="22" width="4.28515625" style="5" customWidth="1"/>
    <col min="23" max="23" width="9.140625" style="5" hidden="1" customWidth="1"/>
    <col min="24" max="16384" width="9.140625" style="5"/>
  </cols>
  <sheetData>
    <row r="1" spans="2:23" s="2" customFormat="1" ht="36.75" customHeight="1" x14ac:dyDescent="0.2">
      <c r="C1" s="1"/>
      <c r="D1" s="1"/>
      <c r="E1" s="1"/>
      <c r="F1" s="1"/>
      <c r="G1" s="1"/>
      <c r="H1" s="1"/>
      <c r="I1" s="1"/>
      <c r="J1" s="1"/>
      <c r="K1" s="1"/>
      <c r="L1" s="1"/>
      <c r="M1" s="1"/>
      <c r="Q1" s="524" t="str">
        <f>CONCATENATE('2. Table of Contents'!$F$6," ",'2. Table of Contents'!$G$6)</f>
        <v xml:space="preserve"> </v>
      </c>
      <c r="R1" s="524"/>
      <c r="W1" s="7">
        <v>1</v>
      </c>
    </row>
    <row r="2" spans="2:23" s="2" customFormat="1" ht="36.75" customHeight="1" x14ac:dyDescent="0.25">
      <c r="C2" s="388"/>
      <c r="D2" s="388"/>
      <c r="E2" s="388"/>
      <c r="F2" s="388"/>
      <c r="G2" s="388"/>
      <c r="H2" s="388"/>
      <c r="I2" s="388"/>
      <c r="J2" s="388"/>
      <c r="K2" s="388"/>
      <c r="L2" s="388"/>
      <c r="M2" s="388"/>
      <c r="N2" s="388"/>
      <c r="O2" s="388"/>
    </row>
    <row r="3" spans="2:23" s="2" customFormat="1" ht="36.75" customHeight="1" x14ac:dyDescent="0.25">
      <c r="C3" s="388"/>
      <c r="D3" s="388"/>
      <c r="E3" s="388"/>
      <c r="F3" s="388"/>
      <c r="G3" s="388"/>
      <c r="H3" s="388"/>
      <c r="I3" s="388"/>
      <c r="J3" s="388"/>
      <c r="K3" s="388"/>
      <c r="L3" s="388"/>
      <c r="M3" s="388"/>
    </row>
    <row r="4" spans="2:23" s="2" customFormat="1" ht="36.75" customHeight="1" x14ac:dyDescent="0.25">
      <c r="C4" s="388"/>
      <c r="D4" s="388"/>
      <c r="E4" s="388"/>
      <c r="F4" s="388"/>
      <c r="G4" s="388"/>
      <c r="H4" s="388"/>
      <c r="I4" s="388"/>
      <c r="J4" s="388"/>
      <c r="K4" s="34"/>
      <c r="L4" s="34"/>
      <c r="M4" s="34"/>
    </row>
    <row r="5" spans="2:23" s="2" customFormat="1" ht="36.75" customHeight="1" x14ac:dyDescent="0.25">
      <c r="E5" s="3"/>
      <c r="F5" s="3"/>
      <c r="G5" s="3"/>
    </row>
    <row r="6" spans="2:23" s="2" customFormat="1" ht="36.75" customHeight="1" x14ac:dyDescent="0.2"/>
    <row r="7" spans="2:23" ht="4.5" customHeight="1" x14ac:dyDescent="0.2"/>
    <row r="8" spans="2:23" ht="46.5" customHeight="1" x14ac:dyDescent="0.25">
      <c r="B8" s="194" t="s">
        <v>170</v>
      </c>
      <c r="F8" s="558"/>
      <c r="G8" s="558"/>
      <c r="H8" s="558"/>
      <c r="I8" s="558"/>
      <c r="J8" s="558"/>
      <c r="K8" s="558"/>
      <c r="L8" s="558"/>
      <c r="M8" s="558"/>
      <c r="N8" s="558"/>
      <c r="O8" s="558"/>
      <c r="P8" s="558"/>
      <c r="Q8" s="558"/>
    </row>
    <row r="9" spans="2:23" x14ac:dyDescent="0.2">
      <c r="B9" s="194" t="s">
        <v>171</v>
      </c>
      <c r="F9" s="4" t="s">
        <v>188</v>
      </c>
      <c r="G9" s="4"/>
      <c r="H9" s="198">
        <v>2000</v>
      </c>
      <c r="I9" s="4" t="s">
        <v>194</v>
      </c>
    </row>
    <row r="10" spans="2:23" x14ac:dyDescent="0.2">
      <c r="B10" s="194" t="s">
        <v>172</v>
      </c>
    </row>
    <row r="11" spans="2:23" x14ac:dyDescent="0.2">
      <c r="B11" s="181"/>
      <c r="F11" s="51"/>
      <c r="G11" s="51"/>
      <c r="H11" s="555" t="s">
        <v>189</v>
      </c>
      <c r="I11" s="556"/>
      <c r="J11" s="557"/>
      <c r="L11" s="555" t="s">
        <v>190</v>
      </c>
      <c r="M11" s="556"/>
      <c r="N11" s="557"/>
      <c r="P11" s="555" t="s">
        <v>191</v>
      </c>
      <c r="Q11" s="557"/>
    </row>
    <row r="12" spans="2:23" x14ac:dyDescent="0.2">
      <c r="B12" s="181"/>
      <c r="F12" s="546" t="s">
        <v>169</v>
      </c>
      <c r="G12" s="182"/>
      <c r="H12" s="186" t="s">
        <v>175</v>
      </c>
      <c r="I12" s="186" t="s">
        <v>167</v>
      </c>
      <c r="J12" s="183" t="s">
        <v>187</v>
      </c>
      <c r="L12" s="186" t="s">
        <v>175</v>
      </c>
      <c r="M12" s="185" t="s">
        <v>167</v>
      </c>
      <c r="N12" s="183" t="s">
        <v>187</v>
      </c>
      <c r="P12" s="548" t="s">
        <v>192</v>
      </c>
      <c r="Q12" s="550" t="s">
        <v>193</v>
      </c>
    </row>
    <row r="13" spans="2:23" x14ac:dyDescent="0.2">
      <c r="B13" s="181"/>
      <c r="F13" s="547"/>
      <c r="G13" s="182"/>
      <c r="H13" s="187" t="s">
        <v>8</v>
      </c>
      <c r="I13" s="187"/>
      <c r="J13" s="184" t="s">
        <v>8</v>
      </c>
      <c r="L13" s="187" t="s">
        <v>8</v>
      </c>
      <c r="M13" s="184"/>
      <c r="N13" s="184" t="s">
        <v>8</v>
      </c>
      <c r="P13" s="549"/>
      <c r="Q13" s="551"/>
    </row>
    <row r="14" spans="2:23" x14ac:dyDescent="0.2">
      <c r="B14" s="178">
        <v>1</v>
      </c>
      <c r="D14" s="5" t="s">
        <v>160</v>
      </c>
      <c r="F14" s="222" t="s">
        <v>170</v>
      </c>
      <c r="G14" s="27"/>
      <c r="H14" s="261">
        <v>13.65</v>
      </c>
      <c r="I14" s="225">
        <v>1</v>
      </c>
      <c r="J14" s="262">
        <f t="shared" ref="J14:J28" si="0">I14*H14</f>
        <v>13.65</v>
      </c>
      <c r="K14" s="221"/>
      <c r="L14" s="261">
        <v>13.05</v>
      </c>
      <c r="M14" s="227">
        <v>1</v>
      </c>
      <c r="N14" s="262">
        <f t="shared" ref="N14:N28" si="1">M14*L14</f>
        <v>13.05</v>
      </c>
      <c r="O14" s="221"/>
      <c r="P14" s="228">
        <f t="shared" ref="P14:P45" si="2">N14-J14</f>
        <v>-0.59999999999999964</v>
      </c>
      <c r="Q14" s="257">
        <f t="shared" ref="Q14:Q45" si="3">IF((J14)=0,"",(P14/J14))</f>
        <v>-4.3956043956043932E-2</v>
      </c>
    </row>
    <row r="15" spans="2:23" x14ac:dyDescent="0.2">
      <c r="B15" s="178">
        <v>2</v>
      </c>
      <c r="D15" s="221" t="s">
        <v>199</v>
      </c>
      <c r="E15" s="221"/>
      <c r="F15" s="222" t="s">
        <v>170</v>
      </c>
      <c r="G15" s="223"/>
      <c r="H15" s="224">
        <v>1</v>
      </c>
      <c r="I15" s="225">
        <v>1</v>
      </c>
      <c r="J15" s="226">
        <f t="shared" si="0"/>
        <v>1</v>
      </c>
      <c r="K15" s="221"/>
      <c r="L15" s="224"/>
      <c r="M15" s="227">
        <v>1</v>
      </c>
      <c r="N15" s="226">
        <f t="shared" si="1"/>
        <v>0</v>
      </c>
      <c r="O15" s="221"/>
      <c r="P15" s="228">
        <f t="shared" si="2"/>
        <v>-1</v>
      </c>
      <c r="Q15" s="257">
        <f t="shared" si="3"/>
        <v>-1</v>
      </c>
    </row>
    <row r="16" spans="2:23" x14ac:dyDescent="0.2">
      <c r="B16" s="178">
        <v>3</v>
      </c>
      <c r="D16" s="5" t="s">
        <v>181</v>
      </c>
      <c r="F16" s="222"/>
      <c r="G16" s="27"/>
      <c r="H16" s="261"/>
      <c r="I16" s="225">
        <v>1</v>
      </c>
      <c r="J16" s="262">
        <f t="shared" si="0"/>
        <v>0</v>
      </c>
      <c r="K16" s="221"/>
      <c r="L16" s="261"/>
      <c r="M16" s="227">
        <v>1</v>
      </c>
      <c r="N16" s="262">
        <f t="shared" si="1"/>
        <v>0</v>
      </c>
      <c r="O16" s="221"/>
      <c r="P16" s="228">
        <f t="shared" si="2"/>
        <v>0</v>
      </c>
      <c r="Q16" s="257" t="str">
        <f t="shared" si="3"/>
        <v/>
      </c>
    </row>
    <row r="17" spans="2:17" x14ac:dyDescent="0.2">
      <c r="B17" s="178">
        <v>4</v>
      </c>
      <c r="D17" s="5" t="s">
        <v>182</v>
      </c>
      <c r="F17" s="222"/>
      <c r="G17" s="27"/>
      <c r="H17" s="261"/>
      <c r="I17" s="225">
        <v>1</v>
      </c>
      <c r="J17" s="262">
        <f t="shared" si="0"/>
        <v>0</v>
      </c>
      <c r="K17" s="221"/>
      <c r="L17" s="261"/>
      <c r="M17" s="227">
        <v>1</v>
      </c>
      <c r="N17" s="262">
        <f t="shared" si="1"/>
        <v>0</v>
      </c>
      <c r="O17" s="221"/>
      <c r="P17" s="228">
        <f t="shared" si="2"/>
        <v>0</v>
      </c>
      <c r="Q17" s="257" t="str">
        <f t="shared" si="3"/>
        <v/>
      </c>
    </row>
    <row r="18" spans="2:17" x14ac:dyDescent="0.2">
      <c r="B18" s="178">
        <v>5</v>
      </c>
      <c r="D18" s="5" t="s">
        <v>183</v>
      </c>
      <c r="F18" s="222" t="s">
        <v>171</v>
      </c>
      <c r="G18" s="27"/>
      <c r="H18" s="261">
        <v>1.38E-2</v>
      </c>
      <c r="I18" s="225">
        <f>H9</f>
        <v>2000</v>
      </c>
      <c r="J18" s="262">
        <f t="shared" si="0"/>
        <v>27.599999999999998</v>
      </c>
      <c r="K18" s="221"/>
      <c r="L18" s="261">
        <v>1.32E-2</v>
      </c>
      <c r="M18" s="227">
        <f>H9</f>
        <v>2000</v>
      </c>
      <c r="N18" s="262">
        <f t="shared" si="1"/>
        <v>26.4</v>
      </c>
      <c r="O18" s="221"/>
      <c r="P18" s="228">
        <f t="shared" si="2"/>
        <v>-1.1999999999999993</v>
      </c>
      <c r="Q18" s="257">
        <f t="shared" si="3"/>
        <v>-4.3478260869565195E-2</v>
      </c>
    </row>
    <row r="19" spans="2:17" x14ac:dyDescent="0.2">
      <c r="B19" s="178">
        <v>6</v>
      </c>
      <c r="D19" s="5" t="s">
        <v>176</v>
      </c>
      <c r="F19" s="222" t="s">
        <v>171</v>
      </c>
      <c r="G19" s="27"/>
      <c r="H19" s="261">
        <v>1.2999999999999999E-3</v>
      </c>
      <c r="I19" s="225">
        <f t="shared" ref="I19:I24" si="4">I18</f>
        <v>2000</v>
      </c>
      <c r="J19" s="262">
        <f t="shared" si="0"/>
        <v>2.6</v>
      </c>
      <c r="K19" s="221"/>
      <c r="L19" s="261">
        <v>1.6000000000000001E-3</v>
      </c>
      <c r="M19" s="227">
        <f t="shared" ref="M19:M24" si="5">M18</f>
        <v>2000</v>
      </c>
      <c r="N19" s="262">
        <f t="shared" si="1"/>
        <v>3.2</v>
      </c>
      <c r="O19" s="221"/>
      <c r="P19" s="228">
        <f t="shared" si="2"/>
        <v>0.60000000000000009</v>
      </c>
      <c r="Q19" s="257">
        <f t="shared" si="3"/>
        <v>0.23076923076923078</v>
      </c>
    </row>
    <row r="20" spans="2:17" x14ac:dyDescent="0.2">
      <c r="B20" s="178">
        <v>7</v>
      </c>
      <c r="D20" s="5" t="s">
        <v>184</v>
      </c>
      <c r="F20" s="222"/>
      <c r="G20" s="27"/>
      <c r="H20" s="261"/>
      <c r="I20" s="225">
        <f t="shared" si="4"/>
        <v>2000</v>
      </c>
      <c r="J20" s="262">
        <f t="shared" si="0"/>
        <v>0</v>
      </c>
      <c r="K20" s="221"/>
      <c r="L20" s="261"/>
      <c r="M20" s="227">
        <f t="shared" si="5"/>
        <v>2000</v>
      </c>
      <c r="N20" s="262">
        <f t="shared" si="1"/>
        <v>0</v>
      </c>
      <c r="O20" s="221"/>
      <c r="P20" s="228">
        <f t="shared" si="2"/>
        <v>0</v>
      </c>
      <c r="Q20" s="257" t="str">
        <f t="shared" si="3"/>
        <v/>
      </c>
    </row>
    <row r="21" spans="2:17" x14ac:dyDescent="0.2">
      <c r="B21" s="178">
        <v>8</v>
      </c>
      <c r="D21" s="5" t="s">
        <v>185</v>
      </c>
      <c r="F21" s="222"/>
      <c r="G21" s="27"/>
      <c r="H21" s="261"/>
      <c r="I21" s="225">
        <f t="shared" si="4"/>
        <v>2000</v>
      </c>
      <c r="J21" s="262">
        <f t="shared" si="0"/>
        <v>0</v>
      </c>
      <c r="K21" s="221"/>
      <c r="L21" s="261"/>
      <c r="M21" s="227">
        <f t="shared" si="5"/>
        <v>2000</v>
      </c>
      <c r="N21" s="262">
        <f t="shared" si="1"/>
        <v>0</v>
      </c>
      <c r="O21" s="221"/>
      <c r="P21" s="228">
        <f t="shared" si="2"/>
        <v>0</v>
      </c>
      <c r="Q21" s="257" t="str">
        <f t="shared" si="3"/>
        <v/>
      </c>
    </row>
    <row r="22" spans="2:17" x14ac:dyDescent="0.2">
      <c r="B22" s="178">
        <v>9</v>
      </c>
      <c r="D22" s="5" t="s">
        <v>161</v>
      </c>
      <c r="F22" s="222"/>
      <c r="G22" s="27"/>
      <c r="H22" s="261"/>
      <c r="I22" s="225">
        <f t="shared" si="4"/>
        <v>2000</v>
      </c>
      <c r="J22" s="262">
        <f t="shared" si="0"/>
        <v>0</v>
      </c>
      <c r="K22" s="221"/>
      <c r="L22" s="261"/>
      <c r="M22" s="227">
        <f t="shared" si="5"/>
        <v>2000</v>
      </c>
      <c r="N22" s="262">
        <f t="shared" si="1"/>
        <v>0</v>
      </c>
      <c r="O22" s="221"/>
      <c r="P22" s="228">
        <f t="shared" si="2"/>
        <v>0</v>
      </c>
      <c r="Q22" s="257" t="str">
        <f t="shared" si="3"/>
        <v/>
      </c>
    </row>
    <row r="23" spans="2:17" x14ac:dyDescent="0.2">
      <c r="B23" s="178">
        <v>10</v>
      </c>
      <c r="D23" s="5" t="s">
        <v>162</v>
      </c>
      <c r="F23" s="222" t="s">
        <v>171</v>
      </c>
      <c r="G23" s="27"/>
      <c r="H23" s="261">
        <v>1E-4</v>
      </c>
      <c r="I23" s="225">
        <f t="shared" si="4"/>
        <v>2000</v>
      </c>
      <c r="J23" s="262">
        <f t="shared" si="0"/>
        <v>0.2</v>
      </c>
      <c r="K23" s="221"/>
      <c r="L23" s="261">
        <v>0</v>
      </c>
      <c r="M23" s="227">
        <f t="shared" si="5"/>
        <v>2000</v>
      </c>
      <c r="N23" s="262">
        <f t="shared" si="1"/>
        <v>0</v>
      </c>
      <c r="O23" s="221"/>
      <c r="P23" s="228">
        <f t="shared" si="2"/>
        <v>-0.2</v>
      </c>
      <c r="Q23" s="257">
        <f t="shared" si="3"/>
        <v>-1</v>
      </c>
    </row>
    <row r="24" spans="2:17" ht="25.5" x14ac:dyDescent="0.2">
      <c r="B24" s="178">
        <v>11</v>
      </c>
      <c r="D24" s="220" t="s">
        <v>200</v>
      </c>
      <c r="E24" s="221"/>
      <c r="F24" s="222" t="s">
        <v>171</v>
      </c>
      <c r="G24" s="223"/>
      <c r="H24" s="224">
        <f>-0.0076-0.0009</f>
        <v>-8.5000000000000006E-3</v>
      </c>
      <c r="I24" s="225">
        <f t="shared" si="4"/>
        <v>2000</v>
      </c>
      <c r="J24" s="226">
        <f t="shared" si="0"/>
        <v>-17</v>
      </c>
      <c r="K24" s="221"/>
      <c r="L24" s="224">
        <v>-2.53E-2</v>
      </c>
      <c r="M24" s="227">
        <f t="shared" si="5"/>
        <v>2000</v>
      </c>
      <c r="N24" s="226">
        <f t="shared" si="1"/>
        <v>-50.6</v>
      </c>
      <c r="O24" s="221"/>
      <c r="P24" s="228">
        <f t="shared" si="2"/>
        <v>-33.6</v>
      </c>
      <c r="Q24" s="257">
        <f t="shared" si="3"/>
        <v>1.9764705882352942</v>
      </c>
    </row>
    <row r="25" spans="2:17" x14ac:dyDescent="0.2">
      <c r="B25" s="178">
        <v>12</v>
      </c>
      <c r="D25" s="199" t="s">
        <v>333</v>
      </c>
      <c r="F25" s="222" t="s">
        <v>171</v>
      </c>
      <c r="G25" s="27"/>
      <c r="H25" s="261">
        <v>0</v>
      </c>
      <c r="I25" s="231">
        <f>+I17</f>
        <v>1</v>
      </c>
      <c r="J25" s="262">
        <f t="shared" si="0"/>
        <v>0</v>
      </c>
      <c r="K25" s="221"/>
      <c r="L25" s="261">
        <v>8.91</v>
      </c>
      <c r="M25" s="232">
        <f>+M17</f>
        <v>1</v>
      </c>
      <c r="N25" s="262">
        <f t="shared" si="1"/>
        <v>8.91</v>
      </c>
      <c r="O25" s="221"/>
      <c r="P25" s="228">
        <f t="shared" si="2"/>
        <v>8.91</v>
      </c>
      <c r="Q25" s="257" t="str">
        <f t="shared" si="3"/>
        <v/>
      </c>
    </row>
    <row r="26" spans="2:17" x14ac:dyDescent="0.2">
      <c r="B26" s="178">
        <v>13</v>
      </c>
      <c r="D26" s="199" t="s">
        <v>334</v>
      </c>
      <c r="F26" s="222" t="s">
        <v>170</v>
      </c>
      <c r="G26" s="27"/>
      <c r="H26" s="261">
        <v>0.16</v>
      </c>
      <c r="I26" s="231">
        <f>+I25</f>
        <v>1</v>
      </c>
      <c r="J26" s="262">
        <f t="shared" si="0"/>
        <v>0.16</v>
      </c>
      <c r="K26" s="221"/>
      <c r="L26" s="261">
        <v>0</v>
      </c>
      <c r="M26" s="232">
        <f>+M25</f>
        <v>1</v>
      </c>
      <c r="N26" s="262">
        <f t="shared" si="1"/>
        <v>0</v>
      </c>
      <c r="O26" s="221"/>
      <c r="P26" s="228">
        <f t="shared" si="2"/>
        <v>-0.16</v>
      </c>
      <c r="Q26" s="257">
        <f t="shared" si="3"/>
        <v>-1</v>
      </c>
    </row>
    <row r="27" spans="2:17" x14ac:dyDescent="0.2">
      <c r="B27" s="178">
        <v>14</v>
      </c>
      <c r="D27" s="199" t="s">
        <v>161</v>
      </c>
      <c r="F27" s="222" t="s">
        <v>170</v>
      </c>
      <c r="G27" s="27"/>
      <c r="H27" s="261"/>
      <c r="I27" s="231"/>
      <c r="J27" s="262">
        <f t="shared" si="0"/>
        <v>0</v>
      </c>
      <c r="K27" s="221"/>
      <c r="L27" s="261">
        <v>3.09</v>
      </c>
      <c r="M27" s="232">
        <v>1</v>
      </c>
      <c r="N27" s="262">
        <f t="shared" si="1"/>
        <v>3.09</v>
      </c>
      <c r="O27" s="221"/>
      <c r="P27" s="228">
        <f t="shared" si="2"/>
        <v>3.09</v>
      </c>
      <c r="Q27" s="257" t="str">
        <f t="shared" si="3"/>
        <v/>
      </c>
    </row>
    <row r="28" spans="2:17" ht="13.5" thickBot="1" x14ac:dyDescent="0.25">
      <c r="B28" s="178">
        <v>15</v>
      </c>
      <c r="D28" s="199"/>
      <c r="F28" s="222"/>
      <c r="G28" s="27"/>
      <c r="H28" s="261"/>
      <c r="I28" s="231"/>
      <c r="J28" s="262">
        <f t="shared" si="0"/>
        <v>0</v>
      </c>
      <c r="K28" s="221"/>
      <c r="L28" s="261"/>
      <c r="M28" s="232"/>
      <c r="N28" s="262">
        <f t="shared" si="1"/>
        <v>0</v>
      </c>
      <c r="O28" s="221"/>
      <c r="P28" s="228">
        <f t="shared" si="2"/>
        <v>0</v>
      </c>
      <c r="Q28" s="257" t="str">
        <f t="shared" si="3"/>
        <v/>
      </c>
    </row>
    <row r="29" spans="2:17" ht="13.5" thickBot="1" x14ac:dyDescent="0.25">
      <c r="B29" s="178">
        <v>16</v>
      </c>
      <c r="D29" s="4" t="s">
        <v>163</v>
      </c>
      <c r="F29" s="221"/>
      <c r="G29" s="27"/>
      <c r="H29" s="242"/>
      <c r="I29" s="243"/>
      <c r="J29" s="244">
        <f>SUM(J14:J28)</f>
        <v>28.210000000000004</v>
      </c>
      <c r="K29" s="221"/>
      <c r="L29" s="242"/>
      <c r="M29" s="263"/>
      <c r="N29" s="244">
        <f>SUM(N14:N28)</f>
        <v>4.0500000000000043</v>
      </c>
      <c r="O29" s="221"/>
      <c r="P29" s="247">
        <f t="shared" si="2"/>
        <v>-24.16</v>
      </c>
      <c r="Q29" s="260">
        <f t="shared" si="3"/>
        <v>-0.85643388869195303</v>
      </c>
    </row>
    <row r="30" spans="2:17" x14ac:dyDescent="0.2">
      <c r="B30" s="178">
        <v>17</v>
      </c>
      <c r="D30" s="5" t="s">
        <v>164</v>
      </c>
      <c r="F30" s="222" t="s">
        <v>171</v>
      </c>
      <c r="G30" s="27"/>
      <c r="H30" s="261">
        <v>6.7000000000000002E-3</v>
      </c>
      <c r="I30" s="225">
        <f>H9*(1+H47)</f>
        <v>2147.8000000000002</v>
      </c>
      <c r="J30" s="262">
        <f>I30*H30</f>
        <v>14.390260000000001</v>
      </c>
      <c r="K30" s="221"/>
      <c r="L30" s="261">
        <v>4.9199999999999999E-3</v>
      </c>
      <c r="M30" s="227">
        <f>H9*(1+L47)</f>
        <v>2162.0640486765242</v>
      </c>
      <c r="N30" s="262">
        <f>M30*L30</f>
        <v>10.637355119488499</v>
      </c>
      <c r="O30" s="221"/>
      <c r="P30" s="228">
        <f t="shared" si="2"/>
        <v>-3.7529048805115028</v>
      </c>
      <c r="Q30" s="257">
        <f t="shared" si="3"/>
        <v>-0.2607947931803527</v>
      </c>
    </row>
    <row r="31" spans="2:17" ht="26.25" thickBot="1" x14ac:dyDescent="0.25">
      <c r="B31" s="178">
        <v>18</v>
      </c>
      <c r="D31" s="29" t="s">
        <v>186</v>
      </c>
      <c r="F31" s="222" t="s">
        <v>171</v>
      </c>
      <c r="G31" s="27"/>
      <c r="H31" s="261">
        <v>3.8E-3</v>
      </c>
      <c r="I31" s="225">
        <f>I30</f>
        <v>2147.8000000000002</v>
      </c>
      <c r="J31" s="262">
        <f>I31*H31</f>
        <v>8.1616400000000002</v>
      </c>
      <c r="K31" s="221"/>
      <c r="L31" s="261">
        <f>+'[2]2012 COP'!$E$40</f>
        <v>2.748077880585753E-3</v>
      </c>
      <c r="M31" s="227">
        <f>M30</f>
        <v>2162.0640486765242</v>
      </c>
      <c r="N31" s="262">
        <f>M31*L31</f>
        <v>5.9415203885776346</v>
      </c>
      <c r="O31" s="221"/>
      <c r="P31" s="228">
        <f t="shared" si="2"/>
        <v>-2.2201196114223656</v>
      </c>
      <c r="Q31" s="257">
        <f t="shared" si="3"/>
        <v>-0.2720188113445785</v>
      </c>
    </row>
    <row r="32" spans="2:17" ht="26.25" thickBot="1" x14ac:dyDescent="0.25">
      <c r="B32" s="178">
        <v>19</v>
      </c>
      <c r="D32" s="172" t="s">
        <v>165</v>
      </c>
      <c r="F32" s="221"/>
      <c r="G32" s="27"/>
      <c r="H32" s="242"/>
      <c r="I32" s="243"/>
      <c r="J32" s="244">
        <f>SUM(J29:J31)</f>
        <v>50.761900000000004</v>
      </c>
      <c r="K32" s="178"/>
      <c r="L32" s="245"/>
      <c r="M32" s="246"/>
      <c r="N32" s="244">
        <f>SUM(N29:N31)</f>
        <v>20.628875508066137</v>
      </c>
      <c r="O32" s="178"/>
      <c r="P32" s="247">
        <f t="shared" si="2"/>
        <v>-30.133024491933867</v>
      </c>
      <c r="Q32" s="260">
        <f t="shared" si="3"/>
        <v>-0.59361498470179141</v>
      </c>
    </row>
    <row r="33" spans="2:17" ht="25.5" x14ac:dyDescent="0.2">
      <c r="B33" s="178">
        <v>20</v>
      </c>
      <c r="D33" s="29" t="s">
        <v>179</v>
      </c>
      <c r="F33" s="222" t="s">
        <v>171</v>
      </c>
      <c r="G33" s="27"/>
      <c r="H33" s="261">
        <v>5.1999999999999998E-3</v>
      </c>
      <c r="I33" s="225">
        <f>I31</f>
        <v>2147.8000000000002</v>
      </c>
      <c r="J33" s="262">
        <f t="shared" ref="J33:J38" si="6">I33*H33</f>
        <v>11.168560000000001</v>
      </c>
      <c r="K33" s="221"/>
      <c r="L33" s="261">
        <v>5.1999999999999998E-3</v>
      </c>
      <c r="M33" s="227">
        <f>IF(W1=2, H9*(1+H47), H9*(1+L47))</f>
        <v>2162.0640486765242</v>
      </c>
      <c r="N33" s="262">
        <f t="shared" ref="N33:N40" si="7">M33*L33</f>
        <v>11.242733053117925</v>
      </c>
      <c r="O33" s="221"/>
      <c r="P33" s="228">
        <f t="shared" si="2"/>
        <v>7.4173053117924326E-2</v>
      </c>
      <c r="Q33" s="257">
        <f t="shared" si="3"/>
        <v>6.6412369291944818E-3</v>
      </c>
    </row>
    <row r="34" spans="2:17" ht="25.5" x14ac:dyDescent="0.2">
      <c r="B34" s="178">
        <v>21</v>
      </c>
      <c r="D34" s="29" t="s">
        <v>178</v>
      </c>
      <c r="F34" s="222" t="s">
        <v>171</v>
      </c>
      <c r="G34" s="27"/>
      <c r="H34" s="261">
        <v>1.2999999999999999E-3</v>
      </c>
      <c r="I34" s="225">
        <f>I31</f>
        <v>2147.8000000000002</v>
      </c>
      <c r="J34" s="262">
        <f t="shared" si="6"/>
        <v>2.7921400000000003</v>
      </c>
      <c r="K34" s="221"/>
      <c r="L34" s="261">
        <v>1.1000000000000001E-3</v>
      </c>
      <c r="M34" s="227">
        <f>IF(W1=2, H9*(1+H47), H9*(1+L47))</f>
        <v>2162.0640486765242</v>
      </c>
      <c r="N34" s="262">
        <f t="shared" si="7"/>
        <v>2.3782704535441765</v>
      </c>
      <c r="O34" s="221"/>
      <c r="P34" s="228">
        <f t="shared" si="2"/>
        <v>-0.41386954645582374</v>
      </c>
      <c r="Q34" s="257">
        <f t="shared" si="3"/>
        <v>-0.14822664567529698</v>
      </c>
    </row>
    <row r="35" spans="2:17" x14ac:dyDescent="0.2">
      <c r="B35" s="178">
        <v>22</v>
      </c>
      <c r="D35" s="220" t="s">
        <v>202</v>
      </c>
      <c r="E35" s="221"/>
      <c r="F35" s="222"/>
      <c r="G35" s="223"/>
      <c r="H35" s="256"/>
      <c r="I35" s="225">
        <f>I31</f>
        <v>2147.8000000000002</v>
      </c>
      <c r="J35" s="226">
        <f t="shared" si="6"/>
        <v>0</v>
      </c>
      <c r="K35" s="221"/>
      <c r="L35" s="256"/>
      <c r="M35" s="227">
        <f>IF(W1=2, H9*(1+H47), H9*(1+L47))</f>
        <v>2162.0640486765242</v>
      </c>
      <c r="N35" s="226">
        <f t="shared" si="7"/>
        <v>0</v>
      </c>
      <c r="O35" s="221"/>
      <c r="P35" s="228">
        <f t="shared" si="2"/>
        <v>0</v>
      </c>
      <c r="Q35" s="257" t="str">
        <f t="shared" si="3"/>
        <v/>
      </c>
    </row>
    <row r="36" spans="2:17" x14ac:dyDescent="0.2">
      <c r="B36" s="178">
        <v>23</v>
      </c>
      <c r="D36" s="5" t="s">
        <v>177</v>
      </c>
      <c r="F36" s="222" t="s">
        <v>170</v>
      </c>
      <c r="G36" s="27"/>
      <c r="H36" s="261">
        <v>0.25</v>
      </c>
      <c r="I36" s="225">
        <v>1</v>
      </c>
      <c r="J36" s="262">
        <f t="shared" si="6"/>
        <v>0.25</v>
      </c>
      <c r="K36" s="221"/>
      <c r="L36" s="261">
        <f>+H36</f>
        <v>0.25</v>
      </c>
      <c r="M36" s="227">
        <v>1</v>
      </c>
      <c r="N36" s="262">
        <f t="shared" si="7"/>
        <v>0.25</v>
      </c>
      <c r="O36" s="221"/>
      <c r="P36" s="228">
        <f t="shared" si="2"/>
        <v>0</v>
      </c>
      <c r="Q36" s="257">
        <f t="shared" si="3"/>
        <v>0</v>
      </c>
    </row>
    <row r="37" spans="2:17" x14ac:dyDescent="0.2">
      <c r="B37" s="178">
        <v>24</v>
      </c>
      <c r="D37" s="5" t="s">
        <v>180</v>
      </c>
      <c r="F37" s="222" t="s">
        <v>171</v>
      </c>
      <c r="G37" s="27"/>
      <c r="H37" s="261">
        <v>7.0000000000000001E-3</v>
      </c>
      <c r="I37" s="225">
        <f>H9</f>
        <v>2000</v>
      </c>
      <c r="J37" s="262">
        <f t="shared" si="6"/>
        <v>14</v>
      </c>
      <c r="K37" s="221"/>
      <c r="L37" s="261">
        <f>+H37</f>
        <v>7.0000000000000001E-3</v>
      </c>
      <c r="M37" s="227">
        <f>H9</f>
        <v>2000</v>
      </c>
      <c r="N37" s="262">
        <f t="shared" si="7"/>
        <v>14</v>
      </c>
      <c r="O37" s="221"/>
      <c r="P37" s="228">
        <f t="shared" si="2"/>
        <v>0</v>
      </c>
      <c r="Q37" s="257">
        <f t="shared" si="3"/>
        <v>0</v>
      </c>
    </row>
    <row r="38" spans="2:17" x14ac:dyDescent="0.2">
      <c r="B38" s="178">
        <v>25</v>
      </c>
      <c r="D38" s="5" t="s">
        <v>203</v>
      </c>
      <c r="F38" s="222"/>
      <c r="G38" s="27"/>
      <c r="H38" s="261">
        <v>7.5679999999999997E-2</v>
      </c>
      <c r="I38" s="225">
        <f>I35</f>
        <v>2147.8000000000002</v>
      </c>
      <c r="J38" s="262">
        <f t="shared" si="6"/>
        <v>162.54550399999999</v>
      </c>
      <c r="K38" s="221"/>
      <c r="L38" s="261">
        <f>H38</f>
        <v>7.5679999999999997E-2</v>
      </c>
      <c r="M38" s="227">
        <f>IF(W1=2, H9*(1+H47), H9*(1+L47))</f>
        <v>2162.0640486765242</v>
      </c>
      <c r="N38" s="262">
        <f t="shared" si="7"/>
        <v>163.62500720383935</v>
      </c>
      <c r="O38" s="221"/>
      <c r="P38" s="228">
        <f t="shared" si="2"/>
        <v>1.0795032038393515</v>
      </c>
      <c r="Q38" s="257">
        <f t="shared" si="3"/>
        <v>6.641236929194618E-3</v>
      </c>
    </row>
    <row r="39" spans="2:17" x14ac:dyDescent="0.2">
      <c r="B39" s="178">
        <v>26</v>
      </c>
      <c r="D39" s="199"/>
      <c r="F39" s="222"/>
      <c r="G39" s="27"/>
      <c r="H39" s="261"/>
      <c r="I39" s="231"/>
      <c r="J39" s="262">
        <f>I39*H39</f>
        <v>0</v>
      </c>
      <c r="K39" s="221"/>
      <c r="L39" s="261"/>
      <c r="M39" s="232"/>
      <c r="N39" s="262">
        <f t="shared" si="7"/>
        <v>0</v>
      </c>
      <c r="O39" s="221"/>
      <c r="P39" s="228">
        <f t="shared" si="2"/>
        <v>0</v>
      </c>
      <c r="Q39" s="257" t="str">
        <f t="shared" si="3"/>
        <v/>
      </c>
    </row>
    <row r="40" spans="2:17" ht="13.5" thickBot="1" x14ac:dyDescent="0.25">
      <c r="B40" s="178">
        <v>27</v>
      </c>
      <c r="D40" s="199"/>
      <c r="F40" s="222"/>
      <c r="G40" s="27"/>
      <c r="H40" s="261"/>
      <c r="I40" s="231"/>
      <c r="J40" s="262">
        <f>I40*H40</f>
        <v>0</v>
      </c>
      <c r="K40" s="221"/>
      <c r="L40" s="261"/>
      <c r="M40" s="232"/>
      <c r="N40" s="262">
        <f t="shared" si="7"/>
        <v>0</v>
      </c>
      <c r="O40" s="221"/>
      <c r="P40" s="228">
        <f t="shared" si="2"/>
        <v>0</v>
      </c>
      <c r="Q40" s="257" t="str">
        <f t="shared" si="3"/>
        <v/>
      </c>
    </row>
    <row r="41" spans="2:17" ht="13.5" thickBot="1" x14ac:dyDescent="0.25">
      <c r="B41" s="178">
        <v>28</v>
      </c>
      <c r="D41" s="22" t="s">
        <v>173</v>
      </c>
      <c r="H41" s="249"/>
      <c r="I41" s="250"/>
      <c r="J41" s="244">
        <f>SUM(J32:J40)</f>
        <v>241.51810399999999</v>
      </c>
      <c r="K41" s="178"/>
      <c r="L41" s="251"/>
      <c r="M41" s="252"/>
      <c r="N41" s="244">
        <f>SUM(N32:N40)</f>
        <v>212.12488621856758</v>
      </c>
      <c r="O41" s="178"/>
      <c r="P41" s="247">
        <f t="shared" si="2"/>
        <v>-29.393217781432412</v>
      </c>
      <c r="Q41" s="260">
        <f t="shared" si="3"/>
        <v>-0.1217019233532589</v>
      </c>
    </row>
    <row r="42" spans="2:17" ht="13.5" thickBot="1" x14ac:dyDescent="0.25">
      <c r="B42" s="178">
        <v>29</v>
      </c>
      <c r="D42" s="27" t="s">
        <v>174</v>
      </c>
      <c r="H42" s="264">
        <f>'10A. Bill Impacts - Residential'!H42</f>
        <v>0.13</v>
      </c>
      <c r="I42" s="254"/>
      <c r="J42" s="255">
        <f>J41*H42</f>
        <v>31.397353519999999</v>
      </c>
      <c r="K42" s="221"/>
      <c r="L42" s="264">
        <f>'10A. Bill Impacts - Residential'!L42</f>
        <v>0.13</v>
      </c>
      <c r="M42" s="229"/>
      <c r="N42" s="255">
        <f>N41*L42</f>
        <v>27.576235208413788</v>
      </c>
      <c r="O42" s="221"/>
      <c r="P42" s="228">
        <f t="shared" si="2"/>
        <v>-3.8211183115862113</v>
      </c>
      <c r="Q42" s="257">
        <f t="shared" si="3"/>
        <v>-0.12170192335325883</v>
      </c>
    </row>
    <row r="43" spans="2:17" ht="26.25" thickBot="1" x14ac:dyDescent="0.25">
      <c r="B43" s="178">
        <v>30</v>
      </c>
      <c r="D43" s="172" t="s">
        <v>166</v>
      </c>
      <c r="H43" s="242"/>
      <c r="I43" s="243"/>
      <c r="J43" s="244">
        <f>ROUND(SUM(J41:J42),2)</f>
        <v>272.92</v>
      </c>
      <c r="K43" s="178"/>
      <c r="L43" s="245"/>
      <c r="M43" s="246"/>
      <c r="N43" s="244">
        <f>ROUND(SUM(N41:N42),2)</f>
        <v>239.7</v>
      </c>
      <c r="O43" s="178"/>
      <c r="P43" s="247">
        <f t="shared" si="2"/>
        <v>-33.220000000000027</v>
      </c>
      <c r="Q43" s="260">
        <f t="shared" si="3"/>
        <v>-0.12172065074014372</v>
      </c>
    </row>
    <row r="44" spans="2:17" ht="26.25" thickBot="1" x14ac:dyDescent="0.25">
      <c r="B44" s="178">
        <v>31</v>
      </c>
      <c r="D44" s="241" t="s">
        <v>207</v>
      </c>
      <c r="E44" s="221"/>
      <c r="F44" s="221"/>
      <c r="G44" s="221"/>
      <c r="H44" s="353">
        <v>-0.1</v>
      </c>
      <c r="I44" s="338"/>
      <c r="J44" s="349">
        <f>ROUND(-J43*10%,2)</f>
        <v>-27.29</v>
      </c>
      <c r="K44" s="354"/>
      <c r="L44" s="355">
        <v>-0.1</v>
      </c>
      <c r="M44" s="350"/>
      <c r="N44" s="349">
        <f>ROUND(-N43*10%,2)</f>
        <v>-23.97</v>
      </c>
      <c r="O44" s="342"/>
      <c r="P44" s="343">
        <f t="shared" si="2"/>
        <v>3.3200000000000003</v>
      </c>
      <c r="Q44" s="347">
        <f t="shared" si="3"/>
        <v>-0.12165628435324297</v>
      </c>
    </row>
    <row r="45" spans="2:17" ht="14.25" thickTop="1" thickBot="1" x14ac:dyDescent="0.25">
      <c r="B45" s="178">
        <v>32</v>
      </c>
      <c r="D45" s="241" t="s">
        <v>208</v>
      </c>
      <c r="E45" s="221"/>
      <c r="F45" s="221"/>
      <c r="G45" s="221"/>
      <c r="H45" s="339"/>
      <c r="I45" s="352"/>
      <c r="J45" s="340">
        <f>J43+J44</f>
        <v>245.63000000000002</v>
      </c>
      <c r="K45" s="178"/>
      <c r="L45" s="341"/>
      <c r="M45" s="351"/>
      <c r="N45" s="340">
        <f>N43+N44</f>
        <v>215.73</v>
      </c>
      <c r="O45" s="342"/>
      <c r="P45" s="346">
        <f t="shared" si="2"/>
        <v>-29.900000000000034</v>
      </c>
      <c r="Q45" s="348">
        <f t="shared" si="3"/>
        <v>-0.12172780197858581</v>
      </c>
    </row>
    <row r="46" spans="2:17" x14ac:dyDescent="0.2">
      <c r="B46" s="178"/>
    </row>
    <row r="47" spans="2:17" x14ac:dyDescent="0.2">
      <c r="B47" s="178">
        <v>33</v>
      </c>
      <c r="D47" s="4" t="s">
        <v>168</v>
      </c>
      <c r="F47" s="18" t="s">
        <v>2</v>
      </c>
      <c r="H47" s="195">
        <f>IF(ISBLANK('10A. Bill Impacts - Residential'!H47),0,'10A. Bill Impacts - Residential'!H47)</f>
        <v>7.3900000000000077E-2</v>
      </c>
      <c r="L47" s="195">
        <f>IF(ISBLANK('10A. Bill Impacts - Residential'!L47),0,'10A. Bill Impacts - Residential'!L47)</f>
        <v>8.1032024338262065E-2</v>
      </c>
    </row>
    <row r="49" spans="2:17" x14ac:dyDescent="0.2">
      <c r="B49" s="4" t="s">
        <v>42</v>
      </c>
    </row>
    <row r="50" spans="2:17" x14ac:dyDescent="0.2">
      <c r="B50" s="4" t="s">
        <v>319</v>
      </c>
    </row>
    <row r="51" spans="2:17" x14ac:dyDescent="0.2">
      <c r="B51" s="552"/>
      <c r="C51" s="553"/>
      <c r="D51" s="553"/>
      <c r="E51" s="553"/>
      <c r="F51" s="553"/>
      <c r="G51" s="553"/>
      <c r="H51" s="553"/>
      <c r="I51" s="553"/>
      <c r="J51" s="553"/>
      <c r="K51" s="553"/>
      <c r="L51" s="553"/>
      <c r="M51" s="553"/>
      <c r="N51" s="553"/>
      <c r="O51" s="553"/>
      <c r="P51" s="553"/>
      <c r="Q51" s="554"/>
    </row>
    <row r="52" spans="2:17" x14ac:dyDescent="0.2">
      <c r="B52" s="540"/>
      <c r="C52" s="541"/>
      <c r="D52" s="541"/>
      <c r="E52" s="541"/>
      <c r="F52" s="541"/>
      <c r="G52" s="541"/>
      <c r="H52" s="541"/>
      <c r="I52" s="541"/>
      <c r="J52" s="541"/>
      <c r="K52" s="541"/>
      <c r="L52" s="541"/>
      <c r="M52" s="541"/>
      <c r="N52" s="541"/>
      <c r="O52" s="541"/>
      <c r="P52" s="541"/>
      <c r="Q52" s="542"/>
    </row>
    <row r="53" spans="2:17" x14ac:dyDescent="0.2">
      <c r="B53" s="540"/>
      <c r="C53" s="541"/>
      <c r="D53" s="541"/>
      <c r="E53" s="541"/>
      <c r="F53" s="541"/>
      <c r="G53" s="541"/>
      <c r="H53" s="541"/>
      <c r="I53" s="541"/>
      <c r="J53" s="541"/>
      <c r="K53" s="541"/>
      <c r="L53" s="541"/>
      <c r="M53" s="541"/>
      <c r="N53" s="541"/>
      <c r="O53" s="541"/>
      <c r="P53" s="541"/>
      <c r="Q53" s="542"/>
    </row>
    <row r="54" spans="2:17" x14ac:dyDescent="0.2">
      <c r="B54" s="540"/>
      <c r="C54" s="541"/>
      <c r="D54" s="541"/>
      <c r="E54" s="541"/>
      <c r="F54" s="541"/>
      <c r="G54" s="541"/>
      <c r="H54" s="541"/>
      <c r="I54" s="541"/>
      <c r="J54" s="541"/>
      <c r="K54" s="541"/>
      <c r="L54" s="541"/>
      <c r="M54" s="541"/>
      <c r="N54" s="541"/>
      <c r="O54" s="541"/>
      <c r="P54" s="541"/>
      <c r="Q54" s="542"/>
    </row>
    <row r="55" spans="2:17" x14ac:dyDescent="0.2">
      <c r="B55" s="543"/>
      <c r="C55" s="544"/>
      <c r="D55" s="544"/>
      <c r="E55" s="544"/>
      <c r="F55" s="544"/>
      <c r="G55" s="544"/>
      <c r="H55" s="544"/>
      <c r="I55" s="544"/>
      <c r="J55" s="544"/>
      <c r="K55" s="544"/>
      <c r="L55" s="544"/>
      <c r="M55" s="544"/>
      <c r="N55" s="544"/>
      <c r="O55" s="544"/>
      <c r="P55" s="544"/>
      <c r="Q55" s="545"/>
    </row>
  </sheetData>
  <mergeCells count="13">
    <mergeCell ref="B53:Q53"/>
    <mergeCell ref="B54:Q54"/>
    <mergeCell ref="B55:Q55"/>
    <mergeCell ref="P12:P13"/>
    <mergeCell ref="Q12:Q13"/>
    <mergeCell ref="F12:F13"/>
    <mergeCell ref="B51:Q51"/>
    <mergeCell ref="B52:Q52"/>
    <mergeCell ref="Q1:R1"/>
    <mergeCell ref="H11:J11"/>
    <mergeCell ref="L11:N11"/>
    <mergeCell ref="P11:Q11"/>
    <mergeCell ref="F8:Q8"/>
  </mergeCells>
  <phoneticPr fontId="2" type="noConversion"/>
  <dataValidations count="2">
    <dataValidation type="list" allowBlank="1" showInputMessage="1" showErrorMessage="1" sqref="G14:G28 G33:G40 G30:G31">
      <formula1>$B$8:$B$12</formula1>
    </dataValidation>
    <dataValidation type="list" allowBlank="1" showInputMessage="1" showErrorMessage="1" prompt="Select Charge Unit (monthly, per kWh, per kW)" sqref="F14:F28 F33:F40 F30:F31">
      <formula1>$B$8:$B$10</formula1>
    </dataValidation>
  </dataValidations>
  <pageMargins left="0.75" right="0.75" top="1" bottom="1" header="0.5" footer="0.5"/>
  <pageSetup scale="62" orientation="portrait" r:id="rId1"/>
  <headerFooter alignWithMargins="0">
    <oddFooter>&amp;C9</oddFooter>
  </headerFooter>
  <drawing r:id="rId2"/>
  <legacyDrawing r:id="rId3"/>
  <controls>
    <mc:AlternateContent xmlns:mc="http://schemas.openxmlformats.org/markup-compatibility/2006">
      <mc:Choice Requires="x14">
        <control shapeId="11286" r:id="rId4" name="OptionButton2">
          <controlPr defaultSize="0" autoLine="0" r:id="rId5">
            <anchor>
              <from>
                <xdr:col>11</xdr:col>
                <xdr:colOff>428625</xdr:colOff>
                <xdr:row>5</xdr:row>
                <xdr:rowOff>447675</xdr:rowOff>
              </from>
              <to>
                <xdr:col>19</xdr:col>
                <xdr:colOff>95250</xdr:colOff>
                <xdr:row>7</xdr:row>
                <xdr:rowOff>381000</xdr:rowOff>
              </to>
            </anchor>
          </controlPr>
        </control>
      </mc:Choice>
      <mc:Fallback>
        <control shapeId="11286" r:id="rId4" name="OptionButton2"/>
      </mc:Fallback>
    </mc:AlternateContent>
    <mc:AlternateContent xmlns:mc="http://schemas.openxmlformats.org/markup-compatibility/2006">
      <mc:Choice Requires="x14">
        <control shapeId="11285" r:id="rId6" name="OptionButton1">
          <controlPr defaultSize="0" autoLine="0" r:id="rId7">
            <anchor>
              <from>
                <xdr:col>3</xdr:col>
                <xdr:colOff>1257300</xdr:colOff>
                <xdr:row>6</xdr:row>
                <xdr:rowOff>38100</xdr:rowOff>
              </from>
              <to>
                <xdr:col>11</xdr:col>
                <xdr:colOff>476250</xdr:colOff>
                <xdr:row>7</xdr:row>
                <xdr:rowOff>257175</xdr:rowOff>
              </to>
            </anchor>
          </controlPr>
        </control>
      </mc:Choice>
      <mc:Fallback>
        <control shapeId="11285" r:id="rId6" name="OptionButton1"/>
      </mc:Fallback>
    </mc:AlternateContent>
  </control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IV45"/>
  <sheetViews>
    <sheetView showGridLines="0" zoomScaleNormal="100" workbookViewId="0">
      <selection activeCell="E29" sqref="E29"/>
    </sheetView>
  </sheetViews>
  <sheetFormatPr defaultRowHeight="12.75" x14ac:dyDescent="0.2"/>
  <cols>
    <col min="1" max="7" width="9.140625" style="5"/>
    <col min="8" max="8" width="7" style="5" customWidth="1"/>
    <col min="9" max="9" width="11.28515625" style="5" customWidth="1"/>
    <col min="10" max="13" width="9.140625" style="5"/>
    <col min="15" max="16384" width="9.140625" style="5"/>
  </cols>
  <sheetData>
    <row r="1" spans="3:16" s="2" customFormat="1" ht="36.75" customHeight="1" x14ac:dyDescent="0.2">
      <c r="C1" s="458"/>
      <c r="D1" s="458"/>
      <c r="E1" s="458"/>
      <c r="F1" s="365"/>
      <c r="G1" s="365"/>
      <c r="H1" s="365"/>
      <c r="I1" s="1"/>
      <c r="P1" s="2" t="s">
        <v>301</v>
      </c>
    </row>
    <row r="2" spans="3:16" s="2" customFormat="1" ht="36.75" customHeight="1" x14ac:dyDescent="0.25">
      <c r="C2" s="358"/>
      <c r="D2" s="459"/>
      <c r="E2" s="459"/>
      <c r="F2" s="459"/>
      <c r="G2" s="459"/>
      <c r="H2" s="359"/>
    </row>
    <row r="3" spans="3:16" s="2" customFormat="1" ht="36.75" customHeight="1" x14ac:dyDescent="0.25">
      <c r="C3" s="358"/>
      <c r="D3" s="360"/>
      <c r="E3" s="360"/>
      <c r="F3" s="360"/>
      <c r="G3" s="360"/>
      <c r="H3" s="361"/>
    </row>
    <row r="4" spans="3:16" s="2" customFormat="1" ht="36.75" customHeight="1" x14ac:dyDescent="0.25">
      <c r="C4" s="362"/>
      <c r="D4" s="459"/>
      <c r="E4" s="459"/>
      <c r="F4" s="362"/>
      <c r="G4" s="362"/>
      <c r="H4" s="31"/>
      <c r="I4" s="9"/>
    </row>
    <row r="5" spans="3:16" s="2" customFormat="1" ht="36.75" customHeight="1" x14ac:dyDescent="0.25">
      <c r="C5" s="362"/>
      <c r="D5" s="360"/>
      <c r="E5" s="360"/>
      <c r="F5" s="362"/>
      <c r="G5" s="362"/>
      <c r="H5" s="31"/>
      <c r="I5" s="9"/>
    </row>
    <row r="6" spans="3:16" s="2" customFormat="1" ht="36.75" customHeight="1" x14ac:dyDescent="0.25">
      <c r="C6" s="362"/>
      <c r="D6" s="366"/>
      <c r="E6" s="362"/>
      <c r="F6" s="363"/>
      <c r="G6" s="364"/>
      <c r="H6" s="31"/>
    </row>
    <row r="7" spans="3:16" s="2" customFormat="1" ht="12.75" customHeight="1" x14ac:dyDescent="0.25">
      <c r="F7" s="3"/>
      <c r="G7" s="3"/>
      <c r="J7" s="7"/>
    </row>
    <row r="8" spans="3:16" s="2" customFormat="1" x14ac:dyDescent="0.2"/>
    <row r="9" spans="3:16" s="2" customFormat="1" ht="18" x14ac:dyDescent="0.25">
      <c r="C9" s="436"/>
    </row>
    <row r="10" spans="3:16" s="2" customFormat="1" ht="15" x14ac:dyDescent="0.2">
      <c r="D10" s="435" t="s">
        <v>301</v>
      </c>
      <c r="E10" s="437"/>
      <c r="F10" s="438"/>
      <c r="G10" s="438"/>
      <c r="H10" s="438"/>
      <c r="I10" s="435" t="s">
        <v>306</v>
      </c>
      <c r="J10" s="439"/>
      <c r="K10" s="380"/>
    </row>
    <row r="11" spans="3:16" s="2" customFormat="1" ht="15.75" x14ac:dyDescent="0.25">
      <c r="D11" s="381"/>
      <c r="E11" s="438"/>
      <c r="F11" s="438"/>
      <c r="G11" s="438"/>
      <c r="H11" s="438"/>
      <c r="I11" s="382"/>
      <c r="J11" s="439"/>
      <c r="K11" s="380"/>
    </row>
    <row r="12" spans="3:16" s="2" customFormat="1" ht="15.75" x14ac:dyDescent="0.25">
      <c r="D12" s="435" t="s">
        <v>320</v>
      </c>
      <c r="E12" s="438"/>
      <c r="F12" s="438"/>
      <c r="G12" s="438"/>
      <c r="H12" s="438"/>
      <c r="I12" s="435" t="s">
        <v>318</v>
      </c>
      <c r="J12" s="440"/>
      <c r="K12" s="380"/>
    </row>
    <row r="13" spans="3:16" s="2" customFormat="1" ht="15.75" x14ac:dyDescent="0.25">
      <c r="D13" s="381"/>
      <c r="E13" s="438"/>
      <c r="F13" s="438"/>
      <c r="G13" s="438"/>
      <c r="H13" s="438"/>
      <c r="I13" s="383"/>
      <c r="J13" s="441"/>
      <c r="K13" s="380"/>
    </row>
    <row r="14" spans="3:16" s="2" customFormat="1" ht="15.75" x14ac:dyDescent="0.25">
      <c r="D14" s="435" t="s">
        <v>302</v>
      </c>
      <c r="E14" s="438"/>
      <c r="F14" s="438"/>
      <c r="G14" s="438"/>
      <c r="H14" s="438"/>
      <c r="I14" s="435" t="s">
        <v>307</v>
      </c>
      <c r="J14" s="440"/>
      <c r="K14" s="380"/>
    </row>
    <row r="15" spans="3:16" s="2" customFormat="1" ht="15.75" x14ac:dyDescent="0.25">
      <c r="D15" s="381"/>
      <c r="E15" s="438"/>
      <c r="F15" s="438"/>
      <c r="G15" s="438"/>
      <c r="H15" s="438"/>
      <c r="I15" s="383"/>
      <c r="J15" s="441"/>
      <c r="K15" s="380"/>
    </row>
    <row r="16" spans="3:16" s="2" customFormat="1" ht="15.75" x14ac:dyDescent="0.25">
      <c r="D16" s="435" t="s">
        <v>303</v>
      </c>
      <c r="E16" s="438"/>
      <c r="F16" s="438"/>
      <c r="G16" s="438"/>
      <c r="H16" s="438"/>
      <c r="I16" s="435" t="s">
        <v>308</v>
      </c>
      <c r="J16" s="440"/>
      <c r="K16" s="380"/>
    </row>
    <row r="17" spans="1:13" s="2" customFormat="1" ht="15.75" x14ac:dyDescent="0.25">
      <c r="D17" s="381"/>
      <c r="E17" s="438"/>
      <c r="F17" s="438"/>
      <c r="G17" s="438"/>
      <c r="H17" s="438"/>
      <c r="I17" s="384"/>
      <c r="J17" s="441"/>
      <c r="K17" s="380"/>
    </row>
    <row r="18" spans="1:13" s="2" customFormat="1" ht="15.75" x14ac:dyDescent="0.25">
      <c r="D18" s="435" t="s">
        <v>304</v>
      </c>
      <c r="E18" s="438"/>
      <c r="F18" s="438"/>
      <c r="G18" s="438"/>
      <c r="H18" s="438"/>
      <c r="I18" s="435" t="s">
        <v>309</v>
      </c>
      <c r="J18" s="440"/>
      <c r="K18" s="380"/>
    </row>
    <row r="19" spans="1:13" s="2" customFormat="1" ht="15.75" x14ac:dyDescent="0.25">
      <c r="D19" s="385"/>
      <c r="E19" s="438"/>
      <c r="F19" s="438"/>
      <c r="G19" s="438"/>
      <c r="H19" s="442"/>
      <c r="I19" s="381"/>
      <c r="J19" s="440"/>
      <c r="K19" s="380"/>
    </row>
    <row r="20" spans="1:13" s="2" customFormat="1" ht="15.75" x14ac:dyDescent="0.25">
      <c r="D20" s="435" t="s">
        <v>305</v>
      </c>
      <c r="E20" s="438"/>
      <c r="F20" s="438"/>
      <c r="G20" s="438"/>
      <c r="H20" s="442"/>
      <c r="I20" s="381"/>
      <c r="J20" s="440"/>
      <c r="K20" s="380"/>
    </row>
    <row r="21" spans="1:13" s="2" customFormat="1" ht="13.5" customHeight="1" x14ac:dyDescent="0.25">
      <c r="D21" s="385"/>
      <c r="E21" s="438"/>
      <c r="F21" s="438"/>
      <c r="G21" s="438"/>
      <c r="H21" s="443"/>
      <c r="I21" s="381"/>
      <c r="J21" s="441"/>
      <c r="K21" s="387"/>
    </row>
    <row r="22" spans="1:13" s="2" customFormat="1" ht="13.5" customHeight="1" x14ac:dyDescent="0.25">
      <c r="C22" s="378"/>
      <c r="D22" s="444"/>
      <c r="E22" s="438"/>
      <c r="F22" s="441"/>
      <c r="G22" s="443"/>
      <c r="H22" s="443"/>
      <c r="I22" s="438"/>
      <c r="J22" s="438"/>
      <c r="K22" s="380"/>
    </row>
    <row r="23" spans="1:13" s="2" customFormat="1" ht="15.75" x14ac:dyDescent="0.25">
      <c r="A23" s="4" t="s">
        <v>42</v>
      </c>
      <c r="B23" s="5"/>
      <c r="C23" s="5"/>
      <c r="D23" s="445"/>
      <c r="E23" s="445"/>
      <c r="F23" s="441"/>
      <c r="G23" s="443"/>
      <c r="H23" s="443"/>
      <c r="I23" s="438"/>
      <c r="J23" s="438"/>
      <c r="K23" s="380"/>
    </row>
    <row r="24" spans="1:13" s="2" customFormat="1" x14ac:dyDescent="0.2">
      <c r="A24" s="207" t="s">
        <v>2</v>
      </c>
      <c r="B24" s="461" t="s">
        <v>51</v>
      </c>
      <c r="C24" s="461"/>
      <c r="D24" s="461"/>
      <c r="E24" s="461"/>
      <c r="F24" s="461"/>
      <c r="G24" s="461"/>
      <c r="H24" s="461"/>
    </row>
    <row r="25" spans="1:13" s="2" customFormat="1" x14ac:dyDescent="0.2">
      <c r="A25" s="207" t="s">
        <v>3</v>
      </c>
      <c r="B25" s="461" t="s">
        <v>314</v>
      </c>
      <c r="C25" s="461"/>
      <c r="D25" s="461"/>
      <c r="E25" s="461"/>
      <c r="F25" s="461"/>
      <c r="G25" s="461"/>
      <c r="H25" s="461"/>
    </row>
    <row r="26" spans="1:13" s="2" customFormat="1" x14ac:dyDescent="0.2">
      <c r="A26" s="207" t="s">
        <v>98</v>
      </c>
      <c r="B26" s="462" t="s">
        <v>313</v>
      </c>
      <c r="C26" s="462"/>
      <c r="D26" s="462"/>
      <c r="E26" s="462"/>
      <c r="F26" s="462"/>
      <c r="G26" s="462"/>
      <c r="H26" s="462"/>
    </row>
    <row r="27" spans="1:13" s="2" customFormat="1" x14ac:dyDescent="0.2">
      <c r="A27" s="11" t="s">
        <v>122</v>
      </c>
      <c r="B27" s="460" t="s">
        <v>144</v>
      </c>
      <c r="C27" s="460"/>
      <c r="D27" s="460"/>
      <c r="E27" s="460"/>
      <c r="F27" s="460"/>
      <c r="G27" s="460"/>
      <c r="H27" s="460"/>
      <c r="I27" s="460"/>
      <c r="J27" s="460"/>
      <c r="K27" s="460"/>
      <c r="L27" s="460"/>
    </row>
    <row r="28" spans="1:13" s="2" customFormat="1" ht="12.75" customHeight="1" x14ac:dyDescent="0.2">
      <c r="A28" s="11" t="s">
        <v>123</v>
      </c>
      <c r="B28" s="460" t="s">
        <v>198</v>
      </c>
      <c r="C28" s="460"/>
      <c r="D28" s="460"/>
      <c r="E28" s="460"/>
      <c r="F28" s="460"/>
      <c r="G28" s="460"/>
      <c r="H28" s="460"/>
      <c r="I28" s="460"/>
      <c r="J28" s="460"/>
      <c r="K28" s="460"/>
      <c r="L28" s="460"/>
      <c r="M28" s="379"/>
    </row>
    <row r="29" spans="1:13" ht="15.75" x14ac:dyDescent="0.25">
      <c r="A29" s="151"/>
      <c r="B29" s="379"/>
      <c r="C29" s="379"/>
      <c r="D29" s="379"/>
      <c r="E29" s="379"/>
      <c r="F29" s="379"/>
      <c r="G29" s="379"/>
      <c r="H29" s="379"/>
      <c r="I29" s="379"/>
      <c r="J29" s="379"/>
      <c r="K29" s="379"/>
      <c r="L29" s="379"/>
      <c r="M29" s="379"/>
    </row>
    <row r="31" spans="1:13" x14ac:dyDescent="0.2">
      <c r="C31" s="12"/>
    </row>
    <row r="32" spans="1:13" x14ac:dyDescent="0.2">
      <c r="H32" s="6"/>
    </row>
    <row r="33" spans="1:256" x14ac:dyDescent="0.2">
      <c r="F33" s="6"/>
      <c r="G33" s="6"/>
      <c r="H33" s="6"/>
    </row>
    <row r="34" spans="1:256" ht="24.75" customHeight="1" x14ac:dyDescent="0.2">
      <c r="F34" s="6"/>
      <c r="G34" s="6"/>
      <c r="H34" s="10"/>
      <c r="I34" s="10"/>
    </row>
    <row r="35" spans="1:256" ht="24.75" customHeight="1" x14ac:dyDescent="0.2">
      <c r="F35" s="379"/>
      <c r="G35" s="379"/>
      <c r="H35" s="10"/>
      <c r="I35" s="10"/>
    </row>
    <row r="36" spans="1:256" ht="12.75" customHeight="1" x14ac:dyDescent="0.2">
      <c r="F36" s="379"/>
      <c r="G36" s="379"/>
      <c r="H36" s="10"/>
      <c r="I36" s="10"/>
    </row>
    <row r="37" spans="1:256" ht="15.75" x14ac:dyDescent="0.25">
      <c r="F37" s="151"/>
      <c r="G37" s="151"/>
      <c r="H37" s="151"/>
      <c r="I37" s="151"/>
      <c r="J37" s="151"/>
      <c r="K37" s="151"/>
      <c r="L37" s="151"/>
      <c r="M37" s="151"/>
      <c r="O37" s="151"/>
      <c r="P37" s="151"/>
      <c r="Q37" s="151"/>
      <c r="R37" s="151"/>
      <c r="T37" s="151"/>
      <c r="U37" s="151"/>
      <c r="V37" s="151"/>
      <c r="W37" s="151"/>
      <c r="X37" s="151"/>
      <c r="Y37" s="151"/>
      <c r="Z37" s="151"/>
      <c r="AA37" s="151"/>
      <c r="AB37" s="151"/>
      <c r="AC37" s="151"/>
      <c r="AD37" s="151"/>
      <c r="AE37" s="151"/>
      <c r="AF37" s="151"/>
      <c r="AG37" s="151"/>
      <c r="AH37" s="151"/>
      <c r="AI37" s="151"/>
      <c r="AJ37" s="151"/>
      <c r="AK37" s="151"/>
      <c r="AL37" s="151"/>
      <c r="AM37" s="151"/>
      <c r="AN37" s="151"/>
      <c r="AO37" s="151"/>
      <c r="AP37" s="151"/>
      <c r="AQ37" s="151"/>
      <c r="AR37" s="151"/>
      <c r="AS37" s="151"/>
      <c r="AT37" s="151"/>
      <c r="AU37" s="151"/>
      <c r="AV37" s="151"/>
      <c r="AW37" s="151"/>
      <c r="AX37" s="151"/>
      <c r="AY37" s="151"/>
      <c r="AZ37" s="151"/>
      <c r="BA37" s="151"/>
      <c r="BB37" s="151"/>
      <c r="BC37" s="151"/>
      <c r="BD37" s="151"/>
      <c r="BE37" s="151"/>
      <c r="BF37" s="151"/>
      <c r="BG37" s="151"/>
      <c r="BH37" s="151"/>
      <c r="BI37" s="151"/>
      <c r="BJ37" s="151"/>
      <c r="BK37" s="151"/>
      <c r="BL37" s="151"/>
      <c r="BM37" s="151"/>
      <c r="BN37" s="151"/>
      <c r="BO37" s="151"/>
      <c r="BP37" s="151"/>
      <c r="BQ37" s="151"/>
      <c r="BR37" s="151"/>
      <c r="BS37" s="151"/>
      <c r="BT37" s="151"/>
      <c r="BU37" s="151"/>
      <c r="BV37" s="151"/>
      <c r="BW37" s="151"/>
      <c r="BX37" s="151"/>
      <c r="BY37" s="151"/>
      <c r="BZ37" s="151"/>
      <c r="CA37" s="151"/>
      <c r="CB37" s="151"/>
      <c r="CC37" s="151"/>
      <c r="CD37" s="151"/>
      <c r="CE37" s="151"/>
      <c r="CF37" s="151"/>
      <c r="CG37" s="151"/>
      <c r="CH37" s="151"/>
      <c r="CI37" s="151"/>
      <c r="CJ37" s="151"/>
      <c r="CK37" s="151"/>
      <c r="CL37" s="151"/>
      <c r="CM37" s="151"/>
      <c r="CN37" s="151"/>
      <c r="CO37" s="151"/>
      <c r="CP37" s="151"/>
      <c r="CQ37" s="151"/>
      <c r="CR37" s="151"/>
      <c r="CS37" s="151"/>
      <c r="CT37" s="151"/>
      <c r="CU37" s="151"/>
      <c r="CV37" s="151"/>
      <c r="CW37" s="151"/>
      <c r="CX37" s="151"/>
      <c r="CY37" s="151"/>
      <c r="CZ37" s="151"/>
      <c r="DA37" s="151"/>
      <c r="DB37" s="151"/>
      <c r="DC37" s="151"/>
      <c r="DD37" s="151"/>
      <c r="DE37" s="151"/>
      <c r="DF37" s="151"/>
      <c r="DG37" s="151"/>
      <c r="DH37" s="151"/>
      <c r="DI37" s="151"/>
      <c r="DJ37" s="151"/>
      <c r="DK37" s="151"/>
      <c r="DL37" s="151"/>
      <c r="DM37" s="151"/>
      <c r="DN37" s="151"/>
      <c r="DO37" s="151"/>
      <c r="DP37" s="151"/>
      <c r="DQ37" s="151"/>
      <c r="DR37" s="151"/>
      <c r="DS37" s="151"/>
      <c r="DT37" s="151"/>
      <c r="DU37" s="151"/>
      <c r="DV37" s="151"/>
      <c r="DW37" s="151"/>
      <c r="DX37" s="151"/>
      <c r="DY37" s="151"/>
      <c r="DZ37" s="151"/>
      <c r="EA37" s="151"/>
      <c r="EB37" s="151"/>
      <c r="EC37" s="151"/>
      <c r="ED37" s="151"/>
      <c r="EE37" s="151"/>
      <c r="EF37" s="151"/>
      <c r="EG37" s="151"/>
      <c r="EH37" s="151"/>
      <c r="EI37" s="151"/>
      <c r="EJ37" s="151"/>
      <c r="EK37" s="151"/>
      <c r="EL37" s="151"/>
      <c r="EM37" s="151"/>
      <c r="EN37" s="151"/>
      <c r="EO37" s="151"/>
      <c r="EP37" s="151"/>
      <c r="EQ37" s="151"/>
      <c r="ER37" s="151"/>
      <c r="ES37" s="151"/>
      <c r="ET37" s="151"/>
      <c r="EU37" s="151"/>
      <c r="EV37" s="151"/>
      <c r="EW37" s="151"/>
      <c r="EX37" s="151"/>
      <c r="EY37" s="151"/>
      <c r="EZ37" s="151"/>
      <c r="FA37" s="151"/>
      <c r="FB37" s="151"/>
      <c r="FC37" s="151"/>
      <c r="FD37" s="151"/>
      <c r="FE37" s="151"/>
      <c r="FF37" s="151"/>
      <c r="FG37" s="151"/>
      <c r="FH37" s="151"/>
      <c r="FI37" s="151"/>
      <c r="FJ37" s="151"/>
      <c r="FK37" s="151"/>
      <c r="FL37" s="151"/>
      <c r="FM37" s="151"/>
      <c r="FN37" s="151"/>
      <c r="FO37" s="151"/>
      <c r="FP37" s="151"/>
      <c r="FQ37" s="151"/>
      <c r="FR37" s="151"/>
      <c r="FS37" s="151"/>
      <c r="FT37" s="151"/>
      <c r="FU37" s="151"/>
      <c r="FV37" s="151"/>
      <c r="FW37" s="151"/>
      <c r="FX37" s="151"/>
      <c r="FY37" s="151"/>
      <c r="FZ37" s="151"/>
      <c r="GA37" s="151"/>
      <c r="GB37" s="151"/>
      <c r="GC37" s="151"/>
      <c r="GD37" s="151"/>
      <c r="GE37" s="151"/>
      <c r="GF37" s="151"/>
      <c r="GG37" s="151"/>
      <c r="GH37" s="151"/>
      <c r="GI37" s="151"/>
      <c r="GJ37" s="151"/>
      <c r="GK37" s="151"/>
      <c r="GL37" s="151"/>
      <c r="GM37" s="151"/>
      <c r="GN37" s="151"/>
      <c r="GO37" s="151"/>
      <c r="GP37" s="151"/>
      <c r="GQ37" s="151"/>
      <c r="GR37" s="151"/>
      <c r="GS37" s="151"/>
      <c r="GT37" s="151"/>
      <c r="GU37" s="151"/>
      <c r="GV37" s="151"/>
      <c r="GW37" s="151"/>
      <c r="GX37" s="151"/>
      <c r="GY37" s="151"/>
      <c r="GZ37" s="151"/>
      <c r="HA37" s="151"/>
      <c r="HB37" s="151"/>
      <c r="HC37" s="151"/>
      <c r="HD37" s="151"/>
      <c r="HE37" s="151"/>
      <c r="HF37" s="151"/>
      <c r="HG37" s="151"/>
      <c r="HH37" s="151"/>
      <c r="HI37" s="151"/>
      <c r="HJ37" s="151"/>
      <c r="HK37" s="151"/>
      <c r="HL37" s="151"/>
      <c r="HM37" s="151"/>
      <c r="HN37" s="151"/>
      <c r="HO37" s="151"/>
      <c r="HP37" s="151"/>
      <c r="HQ37" s="151"/>
      <c r="HR37" s="151"/>
      <c r="HS37" s="151"/>
      <c r="HT37" s="151"/>
      <c r="HU37" s="151"/>
      <c r="HV37" s="151"/>
      <c r="HW37" s="151"/>
      <c r="HX37" s="151"/>
      <c r="HY37" s="151"/>
      <c r="HZ37" s="151"/>
      <c r="IA37" s="151"/>
      <c r="IB37" s="151"/>
      <c r="IC37" s="151"/>
      <c r="ID37" s="151"/>
      <c r="IE37" s="151"/>
      <c r="IF37" s="151"/>
      <c r="IG37" s="151"/>
      <c r="IH37" s="151"/>
      <c r="II37" s="151"/>
      <c r="IJ37" s="151"/>
      <c r="IK37" s="151"/>
      <c r="IL37" s="151"/>
      <c r="IM37" s="151"/>
      <c r="IN37" s="151"/>
      <c r="IO37" s="151"/>
      <c r="IP37" s="151"/>
      <c r="IQ37" s="151"/>
      <c r="IR37" s="151"/>
      <c r="IS37" s="151"/>
      <c r="IT37" s="151"/>
      <c r="IU37" s="151"/>
      <c r="IV37" s="151"/>
    </row>
    <row r="38" spans="1:256" x14ac:dyDescent="0.2">
      <c r="F38" s="377"/>
      <c r="G38" s="377"/>
    </row>
    <row r="39" spans="1:256" x14ac:dyDescent="0.2">
      <c r="F39" s="377"/>
      <c r="G39" s="377"/>
    </row>
    <row r="40" spans="1:256" x14ac:dyDescent="0.2">
      <c r="F40" s="377"/>
      <c r="G40" s="377"/>
    </row>
    <row r="41" spans="1:256" x14ac:dyDescent="0.2">
      <c r="F41" s="377"/>
      <c r="G41" s="377"/>
    </row>
    <row r="42" spans="1:256" x14ac:dyDescent="0.2">
      <c r="F42" s="377"/>
      <c r="G42" s="377"/>
    </row>
    <row r="43" spans="1:256" x14ac:dyDescent="0.2">
      <c r="F43" s="377"/>
      <c r="G43" s="377"/>
    </row>
    <row r="44" spans="1:256" x14ac:dyDescent="0.2">
      <c r="F44" s="377"/>
      <c r="G44" s="377"/>
    </row>
    <row r="45" spans="1:256" x14ac:dyDescent="0.2">
      <c r="A45" s="377"/>
      <c r="B45" s="377"/>
      <c r="C45" s="377"/>
      <c r="D45" s="377"/>
      <c r="E45" s="377"/>
      <c r="F45" s="377"/>
      <c r="G45" s="377"/>
    </row>
  </sheetData>
  <sheetProtection password="82A3" sheet="1" objects="1" scenarios="1"/>
  <mergeCells count="8">
    <mergeCell ref="C1:E1"/>
    <mergeCell ref="D2:G2"/>
    <mergeCell ref="D4:E4"/>
    <mergeCell ref="B28:L28"/>
    <mergeCell ref="B24:H24"/>
    <mergeCell ref="B25:H25"/>
    <mergeCell ref="B26:H26"/>
    <mergeCell ref="B27:L27"/>
  </mergeCells>
  <phoneticPr fontId="2" type="noConversion"/>
  <hyperlinks>
    <hyperlink ref="D10" location="'1. Info'!A1" display="1. Info"/>
    <hyperlink ref="D12" location="'2. Table of Contents'!A1" display="2. Table of Contents"/>
    <hyperlink ref="D14" location="'3. Data_Input_Sheet'!A1" display="3. Data_Input_Sheet"/>
    <hyperlink ref="D16" location="'4. Rate_Base'!A1" display="4. Rate_Base"/>
    <hyperlink ref="D18" location="'5. Utility Income'!A1" display="5. Utility Income"/>
    <hyperlink ref="D20" location="'6. Taxes_PILs'!A1" display="6. Taxes_PILs"/>
    <hyperlink ref="I10" location="'7. Cost_of_Capital'!A1" display="7. Cost_of_Capital"/>
    <hyperlink ref="I12" location="'8. Rev_Def_Suff'!A1" display="8. Rev_Def_Suff"/>
    <hyperlink ref="I14" location="'9. Rev_Reqt'!A1" display="9. Rev_Reqt"/>
    <hyperlink ref="I16" location="'10A. Bill Impacts - Residential'!A1" display="10A. Bill Impacts - Residential"/>
    <hyperlink ref="I18" location="'10B. Bill Impacts - GS_LT_50kW'!A1" display="10B. Bill Impacts - GS_LT_50kW"/>
  </hyperlinks>
  <pageMargins left="0.75" right="0.75" top="1" bottom="1" header="0.5" footer="0.5"/>
  <pageSetup scale="84" orientation="landscape" horizontalDpi="4294967293" r:id="rId1"/>
  <headerFooter alignWithMargins="0">
    <oddFooter>&amp;C1</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AC81"/>
  <sheetViews>
    <sheetView showGridLines="0" topLeftCell="A31" zoomScaleNormal="100" workbookViewId="0">
      <selection activeCell="E53" sqref="E53"/>
    </sheetView>
  </sheetViews>
  <sheetFormatPr defaultRowHeight="12.75" x14ac:dyDescent="0.2"/>
  <cols>
    <col min="1" max="1" width="3.85546875" style="5" customWidth="1"/>
    <col min="2" max="2" width="11.28515625" style="5" customWidth="1"/>
    <col min="3" max="3" width="2.140625" style="5" customWidth="1"/>
    <col min="4" max="4" width="39.42578125" style="5" customWidth="1"/>
    <col min="5" max="5" width="15.28515625" style="5" customWidth="1"/>
    <col min="6" max="6" width="1" style="5" customWidth="1"/>
    <col min="7" max="7" width="3" style="5" customWidth="1"/>
    <col min="8" max="8" width="1" style="5" customWidth="1"/>
    <col min="9" max="9" width="13.140625" style="5" customWidth="1"/>
    <col min="10" max="10" width="1.140625" style="5" customWidth="1"/>
    <col min="11" max="11" width="2.5703125" style="5" customWidth="1"/>
    <col min="12" max="12" width="1.140625" style="5" customWidth="1"/>
    <col min="13" max="13" width="14.7109375" style="5" customWidth="1"/>
    <col min="14" max="14" width="1.140625" style="5" customWidth="1"/>
    <col min="15" max="15" width="2.7109375" style="5" customWidth="1"/>
    <col min="16" max="16" width="1.140625" style="5" customWidth="1"/>
    <col min="17" max="17" width="14.42578125" style="5" customWidth="1"/>
    <col min="18" max="18" width="2" style="5" customWidth="1"/>
    <col min="19" max="19" width="2.85546875" style="5" customWidth="1"/>
    <col min="20" max="20" width="1.140625" style="5" customWidth="1"/>
    <col min="21" max="21" width="15.7109375" style="5" customWidth="1"/>
    <col min="22" max="22" width="0.85546875" style="5" customWidth="1"/>
    <col min="23" max="23" width="2.85546875" style="5" customWidth="1"/>
    <col min="24" max="16384" width="9.140625" style="5"/>
  </cols>
  <sheetData>
    <row r="1" spans="2:24" s="2" customFormat="1" ht="36.75" customHeight="1" x14ac:dyDescent="0.2">
      <c r="C1" s="463"/>
      <c r="D1" s="463"/>
      <c r="E1" s="463"/>
      <c r="F1" s="463"/>
      <c r="G1" s="463"/>
      <c r="H1" s="463"/>
      <c r="I1" s="463"/>
      <c r="J1" s="463"/>
      <c r="K1" s="463"/>
      <c r="L1" s="463"/>
      <c r="M1" s="463"/>
      <c r="N1" s="8"/>
      <c r="O1" s="8"/>
      <c r="P1" s="8"/>
      <c r="Q1" s="8"/>
      <c r="R1" s="8"/>
      <c r="S1" s="8"/>
      <c r="T1" s="8"/>
      <c r="U1" s="152" t="str">
        <f>CONCATENATE('2. Table of Contents'!$F$6," ",'2. Table of Contents'!$G$6)</f>
        <v xml:space="preserve"> </v>
      </c>
      <c r="V1" s="1"/>
    </row>
    <row r="2" spans="2:24" s="2" customFormat="1" ht="36.75" customHeight="1" x14ac:dyDescent="0.25">
      <c r="C2" s="474"/>
      <c r="D2" s="474"/>
      <c r="E2" s="474"/>
      <c r="F2" s="474"/>
      <c r="G2" s="474"/>
      <c r="H2" s="474"/>
      <c r="I2" s="474"/>
      <c r="J2" s="474"/>
      <c r="K2" s="474"/>
      <c r="L2" s="37"/>
      <c r="N2" s="37"/>
      <c r="O2" s="37"/>
      <c r="P2" s="37"/>
      <c r="Q2" s="37"/>
      <c r="R2" s="37"/>
      <c r="S2" s="37"/>
      <c r="T2" s="37"/>
      <c r="U2" s="389"/>
    </row>
    <row r="3" spans="2:24" s="2" customFormat="1" ht="36.75" customHeight="1" x14ac:dyDescent="0.25">
      <c r="C3" s="474"/>
      <c r="D3" s="474"/>
      <c r="E3" s="474"/>
      <c r="F3" s="474"/>
      <c r="G3" s="474"/>
      <c r="H3" s="474"/>
      <c r="I3" s="474"/>
      <c r="J3" s="474"/>
      <c r="K3" s="474"/>
      <c r="L3" s="37"/>
      <c r="N3" s="37"/>
      <c r="O3" s="37"/>
      <c r="P3" s="37"/>
      <c r="Q3" s="37"/>
      <c r="R3" s="37"/>
      <c r="S3" s="37"/>
      <c r="T3" s="37"/>
      <c r="U3" s="389"/>
    </row>
    <row r="4" spans="2:24" s="2" customFormat="1" ht="36.75" customHeight="1" x14ac:dyDescent="0.25">
      <c r="C4" s="474"/>
      <c r="D4" s="474"/>
      <c r="E4" s="474"/>
      <c r="F4" s="474"/>
      <c r="G4" s="474"/>
      <c r="H4" s="474"/>
      <c r="I4" s="474"/>
      <c r="J4" s="474"/>
      <c r="K4" s="474"/>
      <c r="L4" s="37"/>
      <c r="N4" s="37"/>
      <c r="O4" s="37"/>
      <c r="P4" s="37"/>
      <c r="Q4" s="37"/>
      <c r="R4" s="37"/>
      <c r="S4" s="37"/>
      <c r="T4" s="37"/>
      <c r="U4" s="386"/>
    </row>
    <row r="5" spans="2:24" s="2" customFormat="1" ht="36.75" customHeight="1" x14ac:dyDescent="0.25">
      <c r="G5" s="3"/>
      <c r="H5" s="3"/>
      <c r="I5" s="3"/>
      <c r="J5" s="3"/>
      <c r="U5" s="380"/>
    </row>
    <row r="6" spans="2:24" s="2" customFormat="1" ht="36.75" customHeight="1" x14ac:dyDescent="0.2">
      <c r="U6" s="380"/>
    </row>
    <row r="7" spans="2:24" ht="4.5" customHeight="1" x14ac:dyDescent="0.2"/>
    <row r="8" spans="2:24" ht="22.5" customHeight="1" x14ac:dyDescent="0.2">
      <c r="E8" s="464"/>
      <c r="F8" s="464"/>
      <c r="G8" s="464"/>
      <c r="H8" s="464"/>
      <c r="I8" s="464"/>
      <c r="J8" s="464"/>
      <c r="K8" s="464"/>
      <c r="L8" s="464"/>
      <c r="M8" s="464"/>
      <c r="N8" s="464"/>
      <c r="O8" s="464"/>
      <c r="P8" s="464"/>
      <c r="Q8" s="464"/>
      <c r="R8" s="464"/>
      <c r="S8" s="464"/>
      <c r="T8" s="464"/>
      <c r="U8" s="464"/>
      <c r="V8" s="148"/>
      <c r="W8" s="13"/>
      <c r="X8" s="14"/>
    </row>
    <row r="9" spans="2:24" ht="10.5" customHeight="1" x14ac:dyDescent="0.2">
      <c r="V9" s="27"/>
    </row>
    <row r="10" spans="2:24" ht="12.75" customHeight="1" x14ac:dyDescent="0.2">
      <c r="E10" s="476" t="s">
        <v>158</v>
      </c>
      <c r="F10" s="71"/>
      <c r="G10" s="27"/>
      <c r="H10" s="27"/>
      <c r="I10" s="465" t="str">
        <f>IF(ISBLANK(M10),"","Adjustments")</f>
        <v>Adjustments</v>
      </c>
      <c r="J10" s="71"/>
      <c r="K10" s="398"/>
      <c r="L10" s="398"/>
      <c r="M10" s="478" t="s">
        <v>335</v>
      </c>
      <c r="N10" s="398"/>
      <c r="O10" s="399" t="s">
        <v>150</v>
      </c>
      <c r="P10" s="398"/>
      <c r="Q10" s="465" t="str">
        <f>IF(ISBLANK(M10),"","Adjustments")</f>
        <v>Adjustments</v>
      </c>
      <c r="R10" s="398"/>
      <c r="S10" s="398"/>
      <c r="T10" s="398"/>
      <c r="U10" s="476" t="s">
        <v>157</v>
      </c>
      <c r="V10" s="149"/>
    </row>
    <row r="11" spans="2:24" ht="15.75" customHeight="1" x14ac:dyDescent="0.2">
      <c r="E11" s="477"/>
      <c r="F11" s="71"/>
      <c r="G11" s="27"/>
      <c r="H11" s="27"/>
      <c r="I11" s="465"/>
      <c r="J11" s="71"/>
      <c r="K11" s="398"/>
      <c r="L11" s="398"/>
      <c r="M11" s="478"/>
      <c r="N11" s="398"/>
      <c r="O11" s="398"/>
      <c r="P11" s="398"/>
      <c r="Q11" s="465"/>
      <c r="R11" s="398"/>
      <c r="S11" s="398"/>
      <c r="T11" s="398"/>
      <c r="U11" s="477"/>
      <c r="V11" s="149"/>
    </row>
    <row r="12" spans="2:24" ht="10.5" customHeight="1" x14ac:dyDescent="0.2">
      <c r="J12" s="27"/>
      <c r="V12" s="27"/>
    </row>
    <row r="13" spans="2:24" x14ac:dyDescent="0.2">
      <c r="B13" s="392">
        <v>1</v>
      </c>
      <c r="C13" s="17" t="s">
        <v>7</v>
      </c>
      <c r="D13" s="17"/>
      <c r="J13" s="27"/>
      <c r="V13" s="27"/>
    </row>
    <row r="14" spans="2:24" x14ac:dyDescent="0.2">
      <c r="B14" s="393"/>
      <c r="C14" s="5" t="s">
        <v>100</v>
      </c>
      <c r="E14" s="294">
        <v>21851554.864999995</v>
      </c>
      <c r="F14" s="295"/>
      <c r="G14" s="305"/>
      <c r="H14" s="11"/>
      <c r="I14" s="409"/>
      <c r="J14" s="295"/>
      <c r="K14" s="296"/>
      <c r="L14" s="223"/>
      <c r="M14" s="297">
        <f>IF(ISBLANK(E14),0,E14+I14)</f>
        <v>21851554.864999995</v>
      </c>
      <c r="N14" s="223"/>
      <c r="O14" s="296"/>
      <c r="P14" s="223"/>
      <c r="Q14" s="294"/>
      <c r="R14" s="295"/>
      <c r="S14" s="296"/>
      <c r="T14" s="223"/>
      <c r="U14" s="298">
        <f>IF(ISBLANK(E14),"",E14+I14+Q14)</f>
        <v>21851554.864999995</v>
      </c>
      <c r="V14" s="19"/>
    </row>
    <row r="15" spans="2:24" x14ac:dyDescent="0.2">
      <c r="B15" s="393"/>
      <c r="C15" s="5" t="s">
        <v>101</v>
      </c>
      <c r="E15" s="294">
        <v>-11281422.792877778</v>
      </c>
      <c r="F15" s="295"/>
      <c r="G15" s="11" t="s">
        <v>123</v>
      </c>
      <c r="H15" s="11"/>
      <c r="I15" s="294"/>
      <c r="J15" s="295"/>
      <c r="K15" s="296"/>
      <c r="L15" s="223"/>
      <c r="M15" s="298">
        <f>IF(ISBLANK(E15),0,E15+I15)</f>
        <v>-11281422.792877778</v>
      </c>
      <c r="N15" s="223"/>
      <c r="O15" s="296"/>
      <c r="P15" s="223"/>
      <c r="Q15" s="294"/>
      <c r="R15" s="295"/>
      <c r="S15" s="296"/>
      <c r="T15" s="223"/>
      <c r="U15" s="298">
        <f>IF(ISBLANK(E15),"",E15+I15+Q15)</f>
        <v>-11281422.792877778</v>
      </c>
      <c r="V15" s="19"/>
    </row>
    <row r="16" spans="2:24" x14ac:dyDescent="0.2">
      <c r="B16" s="393"/>
      <c r="C16" s="20" t="s">
        <v>85</v>
      </c>
      <c r="D16" s="20"/>
      <c r="E16" s="300"/>
      <c r="F16" s="300"/>
      <c r="G16" s="248"/>
      <c r="H16" s="248"/>
      <c r="I16" s="300"/>
      <c r="J16" s="300"/>
      <c r="K16" s="221"/>
      <c r="L16" s="221"/>
      <c r="M16" s="301"/>
      <c r="N16" s="221"/>
      <c r="O16" s="221"/>
      <c r="P16" s="221"/>
      <c r="Q16" s="300"/>
      <c r="R16" s="300"/>
      <c r="S16" s="221"/>
      <c r="T16" s="221"/>
      <c r="U16" s="300"/>
      <c r="V16" s="21"/>
    </row>
    <row r="17" spans="2:29" x14ac:dyDescent="0.2">
      <c r="B17" s="393"/>
      <c r="C17" s="5" t="s">
        <v>61</v>
      </c>
      <c r="E17" s="294">
        <v>2826830.94</v>
      </c>
      <c r="F17" s="295"/>
      <c r="G17" s="296"/>
      <c r="H17" s="221"/>
      <c r="I17" s="294">
        <v>-252577</v>
      </c>
      <c r="J17" s="295"/>
      <c r="K17" s="296"/>
      <c r="L17" s="223"/>
      <c r="M17" s="299">
        <f>IF(ISBLANK(E17),0,E17+I17)</f>
        <v>2574253.94</v>
      </c>
      <c r="N17" s="223"/>
      <c r="O17" s="296"/>
      <c r="P17" s="223"/>
      <c r="Q17" s="294"/>
      <c r="R17" s="295"/>
      <c r="S17" s="296"/>
      <c r="T17" s="223"/>
      <c r="U17" s="298">
        <f>IF(ISBLANK(E17),"",E17+I17+Q17)</f>
        <v>2574253.94</v>
      </c>
      <c r="V17" s="19"/>
    </row>
    <row r="18" spans="2:29" x14ac:dyDescent="0.2">
      <c r="B18" s="393"/>
      <c r="C18" s="5" t="s">
        <v>62</v>
      </c>
      <c r="E18" s="294">
        <v>13112405.513978096</v>
      </c>
      <c r="F18" s="295"/>
      <c r="G18" s="296"/>
      <c r="H18" s="221"/>
      <c r="I18" s="294">
        <f>-12401-12044</f>
        <v>-24445</v>
      </c>
      <c r="J18" s="295"/>
      <c r="K18" s="296"/>
      <c r="L18" s="223"/>
      <c r="M18" s="299">
        <f>IF(ISBLANK(E18),0,E18+I18)</f>
        <v>13087960.513978096</v>
      </c>
      <c r="N18" s="223"/>
      <c r="O18" s="296"/>
      <c r="P18" s="223"/>
      <c r="Q18" s="294"/>
      <c r="R18" s="295"/>
      <c r="S18" s="296"/>
      <c r="T18" s="223"/>
      <c r="U18" s="298">
        <f>IF(ISBLANK(E18),"",E18+I18+Q18)</f>
        <v>13087960.513978096</v>
      </c>
      <c r="V18" s="19"/>
      <c r="Y18" s="465"/>
    </row>
    <row r="19" spans="2:29" x14ac:dyDescent="0.2">
      <c r="B19" s="393"/>
      <c r="C19" s="5" t="s">
        <v>63</v>
      </c>
      <c r="E19" s="302">
        <v>0.15</v>
      </c>
      <c r="F19" s="303"/>
      <c r="G19" s="296"/>
      <c r="H19" s="221"/>
      <c r="I19" s="300"/>
      <c r="J19" s="300"/>
      <c r="K19" s="221"/>
      <c r="L19" s="221"/>
      <c r="M19" s="302">
        <v>0.14000000000000001</v>
      </c>
      <c r="N19" s="303"/>
      <c r="O19" s="296"/>
      <c r="P19" s="221"/>
      <c r="Q19" s="221"/>
      <c r="R19" s="221"/>
      <c r="S19" s="221"/>
      <c r="T19" s="221"/>
      <c r="U19" s="302">
        <f>IF(ISBLANK(M19),IF(ISBLANK(E19),0,E19),M19)</f>
        <v>0.14000000000000001</v>
      </c>
      <c r="V19" s="201"/>
      <c r="W19" s="150"/>
      <c r="Y19" s="465"/>
    </row>
    <row r="20" spans="2:29" ht="10.5" customHeight="1" x14ac:dyDescent="0.2">
      <c r="B20" s="393"/>
      <c r="E20" s="291"/>
      <c r="F20" s="300"/>
      <c r="G20" s="221"/>
      <c r="H20" s="221"/>
      <c r="I20" s="291"/>
      <c r="J20" s="300"/>
      <c r="K20" s="221"/>
      <c r="L20" s="221"/>
      <c r="M20" s="303"/>
      <c r="N20" s="303"/>
      <c r="O20" s="304"/>
      <c r="P20" s="221"/>
      <c r="Q20" s="221"/>
      <c r="R20" s="221"/>
      <c r="S20" s="221"/>
      <c r="T20" s="221"/>
      <c r="U20" s="291"/>
      <c r="V20" s="21"/>
    </row>
    <row r="21" spans="2:29" x14ac:dyDescent="0.2">
      <c r="B21" s="392">
        <v>2</v>
      </c>
      <c r="C21" s="24" t="s">
        <v>47</v>
      </c>
      <c r="D21" s="24"/>
      <c r="E21" s="291"/>
      <c r="F21" s="300"/>
      <c r="G21" s="221"/>
      <c r="H21" s="221"/>
      <c r="I21" s="291"/>
      <c r="J21" s="300"/>
      <c r="K21" s="221"/>
      <c r="L21" s="221"/>
      <c r="M21" s="221"/>
      <c r="N21" s="221"/>
      <c r="O21" s="221"/>
      <c r="P21" s="221"/>
      <c r="Q21" s="221"/>
      <c r="R21" s="221"/>
      <c r="S21" s="221"/>
      <c r="T21" s="221"/>
      <c r="U21" s="291"/>
      <c r="V21" s="147"/>
      <c r="W21" s="15"/>
      <c r="X21" s="15"/>
      <c r="Y21" s="15"/>
      <c r="Z21" s="15"/>
      <c r="AA21" s="15"/>
      <c r="AB21" s="15"/>
      <c r="AC21" s="15"/>
    </row>
    <row r="22" spans="2:29" x14ac:dyDescent="0.2">
      <c r="B22" s="393"/>
      <c r="C22" s="25" t="s">
        <v>24</v>
      </c>
      <c r="D22" s="25"/>
      <c r="E22" s="291"/>
      <c r="F22" s="300"/>
      <c r="G22" s="221"/>
      <c r="H22" s="221"/>
      <c r="I22" s="291"/>
      <c r="J22" s="300"/>
      <c r="K22" s="221"/>
      <c r="L22" s="221"/>
      <c r="M22" s="221"/>
      <c r="N22" s="221"/>
      <c r="O22" s="221"/>
      <c r="P22" s="221"/>
      <c r="Q22" s="221"/>
      <c r="R22" s="221"/>
      <c r="S22" s="221"/>
      <c r="T22" s="221"/>
      <c r="U22" s="291"/>
      <c r="V22" s="147"/>
      <c r="W22" s="15"/>
      <c r="X22" s="15"/>
      <c r="Y22" s="15"/>
      <c r="Z22" s="15"/>
      <c r="AA22" s="15"/>
      <c r="AB22" s="15"/>
      <c r="AC22" s="15"/>
    </row>
    <row r="23" spans="2:29" x14ac:dyDescent="0.2">
      <c r="B23" s="393"/>
      <c r="C23" s="26" t="s">
        <v>113</v>
      </c>
      <c r="D23" s="26"/>
      <c r="E23" s="294">
        <v>3533925.1902229167</v>
      </c>
      <c r="F23" s="295"/>
      <c r="G23" s="296"/>
      <c r="H23" s="221"/>
      <c r="I23" s="300">
        <f>IF(ISBLANK(M23),"",IF(ISBLANK(E23),"",M23-E23))</f>
        <v>-148888.19022291666</v>
      </c>
      <c r="J23" s="300"/>
      <c r="K23" s="221"/>
      <c r="L23" s="221"/>
      <c r="M23" s="294">
        <v>3385037</v>
      </c>
      <c r="N23" s="295"/>
      <c r="O23" s="296"/>
      <c r="P23" s="221"/>
      <c r="Q23" s="300" t="str">
        <f>IF(ISBLANK(U23),"",IF(ISBLANK(M23),"",U23-M23))</f>
        <v/>
      </c>
      <c r="R23" s="221"/>
      <c r="S23" s="221"/>
      <c r="T23" s="221"/>
      <c r="U23" s="294"/>
      <c r="V23" s="30"/>
      <c r="W23" s="150"/>
    </row>
    <row r="24" spans="2:29" x14ac:dyDescent="0.2">
      <c r="B24" s="393"/>
      <c r="C24" s="5" t="s">
        <v>109</v>
      </c>
      <c r="E24" s="294">
        <v>3710035.656704416</v>
      </c>
      <c r="F24" s="295"/>
      <c r="G24" s="296"/>
      <c r="H24" s="221"/>
      <c r="I24" s="300">
        <f>IF(ISBLANK(M24),"",IF(ISBLANK(E24),"",M24-E24))</f>
        <v>-324998.65670441603</v>
      </c>
      <c r="J24" s="298"/>
      <c r="K24" s="221"/>
      <c r="L24" s="221"/>
      <c r="M24" s="294">
        <v>3385037</v>
      </c>
      <c r="N24" s="295"/>
      <c r="O24" s="296"/>
      <c r="P24" s="221"/>
      <c r="Q24" s="300" t="str">
        <f>IF(ISBLANK(U24),"",IF(ISBLANK(M24),"",U24-M24))</f>
        <v/>
      </c>
      <c r="R24" s="221"/>
      <c r="S24" s="221"/>
      <c r="T24" s="221"/>
      <c r="U24" s="294"/>
      <c r="V24" s="30"/>
      <c r="W24" s="150"/>
    </row>
    <row r="25" spans="2:29" x14ac:dyDescent="0.2">
      <c r="B25" s="393"/>
      <c r="C25" s="20" t="s">
        <v>86</v>
      </c>
      <c r="D25" s="20"/>
      <c r="E25" s="291"/>
      <c r="F25" s="300"/>
      <c r="G25" s="221"/>
      <c r="H25" s="221"/>
      <c r="I25" s="291"/>
      <c r="J25" s="300"/>
      <c r="K25" s="221"/>
      <c r="L25" s="221"/>
      <c r="M25" s="291"/>
      <c r="N25" s="300"/>
      <c r="O25" s="221"/>
      <c r="P25" s="221"/>
      <c r="Q25" s="291"/>
      <c r="R25" s="221"/>
      <c r="S25" s="221"/>
      <c r="T25" s="221"/>
      <c r="U25" s="291"/>
      <c r="V25" s="21"/>
    </row>
    <row r="26" spans="2:29" x14ac:dyDescent="0.2">
      <c r="B26" s="393"/>
      <c r="C26" s="5" t="s">
        <v>68</v>
      </c>
      <c r="E26" s="294">
        <v>34800</v>
      </c>
      <c r="F26" s="295"/>
      <c r="G26" s="296"/>
      <c r="H26" s="221"/>
      <c r="I26" s="300">
        <f>IF(ISBLANK(M26),"",IF(ISBLANK(E26),"",M26-E26))</f>
        <v>2655</v>
      </c>
      <c r="J26" s="300"/>
      <c r="K26" s="221"/>
      <c r="L26" s="221"/>
      <c r="M26" s="294">
        <v>37455</v>
      </c>
      <c r="N26" s="295"/>
      <c r="O26" s="296"/>
      <c r="P26" s="221"/>
      <c r="Q26" s="300" t="str">
        <f>IF(ISBLANK(U26),"",IF(ISBLANK(M26),"",U26-M26))</f>
        <v/>
      </c>
      <c r="R26" s="221"/>
      <c r="S26" s="221"/>
      <c r="T26" s="221"/>
      <c r="U26" s="294"/>
      <c r="V26" s="30"/>
      <c r="W26" s="150"/>
    </row>
    <row r="27" spans="2:29" x14ac:dyDescent="0.2">
      <c r="B27" s="393"/>
      <c r="C27" s="5" t="s">
        <v>69</v>
      </c>
      <c r="E27" s="294">
        <v>32000</v>
      </c>
      <c r="F27" s="295"/>
      <c r="G27" s="296"/>
      <c r="H27" s="221"/>
      <c r="I27" s="300">
        <f>IF(ISBLANK(M27),"",IF(ISBLANK(E27),"",M27-E27))</f>
        <v>0</v>
      </c>
      <c r="J27" s="300"/>
      <c r="K27" s="221"/>
      <c r="L27" s="221"/>
      <c r="M27" s="294">
        <v>32000</v>
      </c>
      <c r="N27" s="295"/>
      <c r="O27" s="296"/>
      <c r="P27" s="221"/>
      <c r="Q27" s="300" t="str">
        <f>IF(ISBLANK(U27),"",IF(ISBLANK(M27),"",U27-M27))</f>
        <v/>
      </c>
      <c r="R27" s="221"/>
      <c r="S27" s="221"/>
      <c r="T27" s="221"/>
      <c r="U27" s="294"/>
      <c r="V27" s="30"/>
      <c r="W27" s="150"/>
    </row>
    <row r="28" spans="2:29" x14ac:dyDescent="0.2">
      <c r="B28" s="393"/>
      <c r="C28" s="5" t="s">
        <v>70</v>
      </c>
      <c r="E28" s="294">
        <v>114806.85</v>
      </c>
      <c r="F28" s="295"/>
      <c r="G28" s="296"/>
      <c r="H28" s="221"/>
      <c r="I28" s="300">
        <f>IF(ISBLANK(M28),"",IF(ISBLANK(E28),"",M28-E28))</f>
        <v>6012.1499999999942</v>
      </c>
      <c r="J28" s="300"/>
      <c r="K28" s="221"/>
      <c r="L28" s="221"/>
      <c r="M28" s="294">
        <v>120819</v>
      </c>
      <c r="N28" s="295"/>
      <c r="O28" s="296"/>
      <c r="P28" s="221"/>
      <c r="Q28" s="300" t="str">
        <f>IF(ISBLANK(U28),"",IF(ISBLANK(M28),"",U28-M28))</f>
        <v/>
      </c>
      <c r="R28" s="221"/>
      <c r="S28" s="221"/>
      <c r="T28" s="221"/>
      <c r="U28" s="294"/>
      <c r="V28" s="30"/>
      <c r="W28" s="150"/>
    </row>
    <row r="29" spans="2:29" x14ac:dyDescent="0.2">
      <c r="B29" s="393"/>
      <c r="C29" s="5" t="s">
        <v>71</v>
      </c>
      <c r="E29" s="294">
        <v>372394.48</v>
      </c>
      <c r="F29" s="295"/>
      <c r="G29" s="296"/>
      <c r="H29" s="221"/>
      <c r="I29" s="300">
        <f>IF(ISBLANK(M29),"",IF(ISBLANK(E29),"",M29-E29))</f>
        <v>20229.520000000019</v>
      </c>
      <c r="J29" s="300"/>
      <c r="K29" s="221"/>
      <c r="L29" s="221"/>
      <c r="M29" s="294">
        <v>392624</v>
      </c>
      <c r="N29" s="295"/>
      <c r="O29" s="296"/>
      <c r="P29" s="221"/>
      <c r="Q29" s="300" t="str">
        <f>IF(ISBLANK(U29),"",IF(ISBLANK(M29),"",U29-M29))</f>
        <v/>
      </c>
      <c r="R29" s="221"/>
      <c r="S29" s="221"/>
      <c r="T29" s="221"/>
      <c r="U29" s="294"/>
      <c r="V29" s="30"/>
      <c r="W29" s="150"/>
    </row>
    <row r="30" spans="2:29" x14ac:dyDescent="0.2">
      <c r="B30" s="393"/>
      <c r="D30" s="27"/>
      <c r="E30" s="446"/>
      <c r="F30" s="295"/>
      <c r="G30" s="335"/>
      <c r="H30" s="223"/>
      <c r="I30" s="300"/>
      <c r="J30" s="300"/>
      <c r="K30" s="223"/>
      <c r="L30" s="223"/>
      <c r="M30" s="446"/>
      <c r="N30" s="295"/>
      <c r="O30" s="335"/>
      <c r="P30" s="223"/>
      <c r="Q30" s="300"/>
      <c r="R30" s="223"/>
      <c r="S30" s="223"/>
      <c r="T30" s="223"/>
      <c r="U30" s="446"/>
      <c r="V30" s="30"/>
      <c r="W30" s="447"/>
    </row>
    <row r="31" spans="2:29" x14ac:dyDescent="0.2">
      <c r="B31" s="393"/>
      <c r="D31" s="5" t="s">
        <v>57</v>
      </c>
      <c r="E31" s="294">
        <v>554001.32999999996</v>
      </c>
      <c r="F31" s="295"/>
      <c r="G31" s="11" t="s">
        <v>321</v>
      </c>
      <c r="H31" s="221"/>
      <c r="I31" s="300">
        <f>IF(ISBLANK(M31),"",IF(ISBLANK(E31),"",M31-E31))</f>
        <v>28896.670000000042</v>
      </c>
      <c r="J31" s="300"/>
      <c r="K31" s="221"/>
      <c r="L31" s="221"/>
      <c r="M31" s="294">
        <v>582898</v>
      </c>
      <c r="N31" s="295"/>
      <c r="O31" s="296"/>
      <c r="P31" s="221"/>
      <c r="Q31" s="300" t="str">
        <f>IF(ISBLANK(U31),"",IF(ISBLANK(M31),"",U31-M31))</f>
        <v/>
      </c>
      <c r="R31" s="221"/>
      <c r="S31" s="221"/>
      <c r="T31" s="221"/>
      <c r="U31" s="294"/>
      <c r="V31" s="30"/>
      <c r="W31" s="150"/>
    </row>
    <row r="32" spans="2:29" ht="10.5" customHeight="1" x14ac:dyDescent="0.2">
      <c r="B32" s="393"/>
      <c r="E32" s="300"/>
      <c r="F32" s="300"/>
      <c r="G32" s="223"/>
      <c r="H32" s="223"/>
      <c r="I32" s="300"/>
      <c r="J32" s="300"/>
      <c r="K32" s="223"/>
      <c r="L32" s="223"/>
      <c r="M32" s="223"/>
      <c r="N32" s="223"/>
      <c r="O32" s="223"/>
      <c r="P32" s="223"/>
      <c r="Q32" s="223"/>
      <c r="R32" s="223"/>
      <c r="S32" s="223"/>
      <c r="T32" s="223"/>
      <c r="U32" s="300"/>
      <c r="V32" s="21"/>
    </row>
    <row r="33" spans="2:23" x14ac:dyDescent="0.2">
      <c r="B33" s="393"/>
      <c r="C33" s="20" t="s">
        <v>25</v>
      </c>
      <c r="D33" s="20"/>
      <c r="E33" s="291"/>
      <c r="F33" s="300"/>
      <c r="G33" s="221"/>
      <c r="H33" s="221"/>
      <c r="I33" s="291"/>
      <c r="J33" s="300"/>
      <c r="K33" s="221"/>
      <c r="L33" s="221"/>
      <c r="M33" s="221"/>
      <c r="N33" s="221"/>
      <c r="O33" s="221"/>
      <c r="P33" s="221"/>
      <c r="Q33" s="221"/>
      <c r="R33" s="221"/>
      <c r="S33" s="221"/>
      <c r="T33" s="221"/>
      <c r="U33" s="291"/>
      <c r="V33" s="21"/>
    </row>
    <row r="34" spans="2:23" x14ac:dyDescent="0.2">
      <c r="B34" s="393"/>
      <c r="C34" s="5" t="s">
        <v>65</v>
      </c>
      <c r="E34" s="294">
        <v>2826830.94</v>
      </c>
      <c r="F34" s="295"/>
      <c r="G34" s="296"/>
      <c r="H34" s="221"/>
      <c r="I34" s="294">
        <v>-252577</v>
      </c>
      <c r="J34" s="295"/>
      <c r="K34" s="296"/>
      <c r="L34" s="221"/>
      <c r="M34" s="299">
        <f>IF(ISBLANK(E34),"",E34+I34)</f>
        <v>2574253.94</v>
      </c>
      <c r="N34" s="221"/>
      <c r="O34" s="221"/>
      <c r="P34" s="221"/>
      <c r="Q34" s="294"/>
      <c r="R34" s="295"/>
      <c r="S34" s="296"/>
      <c r="T34" s="221"/>
      <c r="U34" s="298">
        <f>IF(ISBLANK(E34),"",E34+I34+Q34)</f>
        <v>2574253.94</v>
      </c>
      <c r="V34" s="19"/>
    </row>
    <row r="35" spans="2:23" x14ac:dyDescent="0.2">
      <c r="B35" s="393"/>
      <c r="C35" s="5" t="s">
        <v>146</v>
      </c>
      <c r="E35" s="294">
        <v>561545.6657555555</v>
      </c>
      <c r="F35" s="295"/>
      <c r="G35" s="296"/>
      <c r="H35" s="221"/>
      <c r="I35" s="294"/>
      <c r="J35" s="295"/>
      <c r="K35" s="296"/>
      <c r="L35" s="221"/>
      <c r="M35" s="299">
        <f>IF(ISBLANK(E35),"",E35+I35)</f>
        <v>561545.6657555555</v>
      </c>
      <c r="N35" s="221"/>
      <c r="O35" s="221"/>
      <c r="P35" s="221"/>
      <c r="Q35" s="294"/>
      <c r="R35" s="295"/>
      <c r="S35" s="296"/>
      <c r="T35" s="221"/>
      <c r="U35" s="298">
        <f>IF(ISBLANK(E35),"",E35+I35+Q35)</f>
        <v>561545.6657555555</v>
      </c>
      <c r="V35" s="19"/>
    </row>
    <row r="36" spans="2:23" x14ac:dyDescent="0.2">
      <c r="B36" s="393"/>
      <c r="C36" s="5" t="s">
        <v>66</v>
      </c>
      <c r="E36" s="294"/>
      <c r="F36" s="295"/>
      <c r="G36" s="296"/>
      <c r="H36" s="221"/>
      <c r="I36" s="294"/>
      <c r="J36" s="295"/>
      <c r="K36" s="296"/>
      <c r="L36" s="221"/>
      <c r="M36" s="299" t="str">
        <f>IF(ISBLANK(E36),"",E36+I36)</f>
        <v/>
      </c>
      <c r="N36" s="221"/>
      <c r="O36" s="221"/>
      <c r="P36" s="221"/>
      <c r="Q36" s="294"/>
      <c r="R36" s="295"/>
      <c r="S36" s="296"/>
      <c r="T36" s="221"/>
      <c r="U36" s="298" t="str">
        <f>IF(ISBLANK(E36),"",E36+I36+Q36)</f>
        <v/>
      </c>
      <c r="V36" s="19"/>
    </row>
    <row r="37" spans="2:23" s="181" customFormat="1" ht="0.75" customHeight="1" x14ac:dyDescent="0.2">
      <c r="B37" s="429"/>
      <c r="C37" s="181" t="s">
        <v>67</v>
      </c>
      <c r="E37" s="430" t="str">
        <f>IF(ISBLANK(E46),"",E46)</f>
        <v/>
      </c>
      <c r="F37" s="430"/>
      <c r="G37" s="431"/>
      <c r="H37" s="431"/>
      <c r="I37" s="432"/>
      <c r="J37" s="432"/>
      <c r="K37" s="433"/>
      <c r="L37" s="433"/>
      <c r="M37" s="430" t="str">
        <f>IF(ISBLANK(M46),"",M46)</f>
        <v/>
      </c>
      <c r="N37" s="433"/>
      <c r="O37" s="433"/>
      <c r="P37" s="433"/>
      <c r="Q37" s="432"/>
      <c r="R37" s="432"/>
      <c r="S37" s="433"/>
      <c r="T37" s="433"/>
      <c r="U37" s="430" t="str">
        <f>IF(ISBLANK(U46),"",U46)</f>
        <v/>
      </c>
      <c r="V37" s="434"/>
    </row>
    <row r="38" spans="2:23" x14ac:dyDescent="0.2">
      <c r="B38" s="393"/>
      <c r="C38" s="5" t="s">
        <v>93</v>
      </c>
      <c r="E38" s="294"/>
      <c r="F38" s="295"/>
      <c r="G38" s="296"/>
      <c r="H38" s="221"/>
      <c r="I38" s="294"/>
      <c r="J38" s="295"/>
      <c r="K38" s="296"/>
      <c r="L38" s="221"/>
      <c r="M38" s="223" t="str">
        <f>IF(ISBLANK(E38),"",E38+I38)</f>
        <v/>
      </c>
      <c r="N38" s="221"/>
      <c r="O38" s="221"/>
      <c r="P38" s="221"/>
      <c r="Q38" s="294"/>
      <c r="R38" s="295"/>
      <c r="S38" s="296"/>
      <c r="T38" s="221"/>
      <c r="U38" s="298" t="str">
        <f>IF(ISBLANK(E38),"",E38+I38+Q38)</f>
        <v/>
      </c>
      <c r="V38" s="19"/>
    </row>
    <row r="39" spans="2:23" ht="9.75" customHeight="1" x14ac:dyDescent="0.2">
      <c r="B39" s="393"/>
      <c r="E39" s="291"/>
      <c r="F39" s="300"/>
      <c r="G39" s="221"/>
      <c r="H39" s="221"/>
      <c r="I39" s="291"/>
      <c r="J39" s="300"/>
      <c r="K39" s="221"/>
      <c r="L39" s="221"/>
      <c r="M39" s="221"/>
      <c r="N39" s="221"/>
      <c r="O39" s="221"/>
      <c r="P39" s="221"/>
      <c r="Q39" s="221"/>
      <c r="R39" s="221"/>
      <c r="S39" s="221"/>
      <c r="T39" s="221"/>
      <c r="U39" s="291"/>
      <c r="V39" s="21"/>
    </row>
    <row r="40" spans="2:23" x14ac:dyDescent="0.2">
      <c r="B40" s="392">
        <v>3</v>
      </c>
      <c r="C40" s="28" t="s">
        <v>6</v>
      </c>
      <c r="D40" s="28"/>
      <c r="E40" s="291"/>
      <c r="F40" s="300"/>
      <c r="G40" s="221"/>
      <c r="H40" s="221"/>
      <c r="I40" s="291"/>
      <c r="J40" s="300"/>
      <c r="K40" s="221"/>
      <c r="L40" s="221"/>
      <c r="M40" s="221"/>
      <c r="N40" s="221"/>
      <c r="O40" s="221"/>
      <c r="P40" s="221"/>
      <c r="Q40" s="221"/>
      <c r="R40" s="221"/>
      <c r="S40" s="221"/>
      <c r="T40" s="221"/>
      <c r="U40" s="291"/>
      <c r="V40" s="21"/>
    </row>
    <row r="41" spans="2:23" x14ac:dyDescent="0.2">
      <c r="B41" s="393"/>
      <c r="C41" s="5" t="s">
        <v>72</v>
      </c>
      <c r="E41" s="291"/>
      <c r="F41" s="300"/>
      <c r="G41" s="221"/>
      <c r="H41" s="221"/>
      <c r="I41" s="291"/>
      <c r="J41" s="300"/>
      <c r="K41" s="221"/>
      <c r="L41" s="221"/>
      <c r="M41" s="221"/>
      <c r="N41" s="221"/>
      <c r="O41" s="221"/>
      <c r="P41" s="221"/>
      <c r="Q41" s="221"/>
      <c r="R41" s="221"/>
      <c r="S41" s="221"/>
      <c r="T41" s="221"/>
      <c r="U41" s="291"/>
      <c r="V41" s="21"/>
    </row>
    <row r="42" spans="2:23" ht="26.25" customHeight="1" x14ac:dyDescent="0.2">
      <c r="B42" s="393"/>
      <c r="C42" s="29"/>
      <c r="D42" s="29" t="s">
        <v>149</v>
      </c>
      <c r="E42" s="294">
        <v>-80445.684440444456</v>
      </c>
      <c r="F42" s="295"/>
      <c r="G42" s="11" t="s">
        <v>98</v>
      </c>
      <c r="H42" s="11"/>
      <c r="I42" s="298"/>
      <c r="J42" s="298"/>
      <c r="K42" s="221"/>
      <c r="L42" s="221"/>
      <c r="M42" s="294">
        <v>-114471</v>
      </c>
      <c r="N42" s="295"/>
      <c r="O42" s="305"/>
      <c r="P42" s="221"/>
      <c r="Q42" s="221"/>
      <c r="R42" s="221"/>
      <c r="S42" s="221"/>
      <c r="T42" s="221"/>
      <c r="U42" s="294"/>
      <c r="V42" s="30"/>
      <c r="W42" s="150"/>
    </row>
    <row r="43" spans="2:23" x14ac:dyDescent="0.2">
      <c r="B43" s="393"/>
      <c r="C43" s="20" t="s">
        <v>73</v>
      </c>
      <c r="D43" s="20"/>
      <c r="E43" s="291"/>
      <c r="F43" s="300"/>
      <c r="G43" s="221"/>
      <c r="H43" s="221"/>
      <c r="I43" s="291"/>
      <c r="J43" s="300"/>
      <c r="K43" s="221"/>
      <c r="L43" s="221"/>
      <c r="M43" s="291"/>
      <c r="N43" s="300"/>
      <c r="O43" s="221"/>
      <c r="P43" s="221"/>
      <c r="Q43" s="221"/>
      <c r="R43" s="221"/>
      <c r="S43" s="221"/>
      <c r="T43" s="221"/>
      <c r="U43" s="291"/>
      <c r="V43" s="21"/>
    </row>
    <row r="44" spans="2:23" x14ac:dyDescent="0.2">
      <c r="B44" s="393"/>
      <c r="C44" s="5" t="s">
        <v>125</v>
      </c>
      <c r="E44" s="294">
        <v>60817.696491145107</v>
      </c>
      <c r="F44" s="295"/>
      <c r="G44" s="296"/>
      <c r="H44" s="221"/>
      <c r="I44" s="291"/>
      <c r="J44" s="300"/>
      <c r="K44" s="221"/>
      <c r="L44" s="221"/>
      <c r="M44" s="294">
        <v>34423</v>
      </c>
      <c r="N44" s="295"/>
      <c r="O44" s="296"/>
      <c r="P44" s="221"/>
      <c r="Q44" s="221"/>
      <c r="R44" s="221"/>
      <c r="S44" s="221"/>
      <c r="T44" s="221"/>
      <c r="U44" s="294"/>
      <c r="V44" s="30"/>
      <c r="W44" s="150"/>
    </row>
    <row r="45" spans="2:23" x14ac:dyDescent="0.2">
      <c r="B45" s="393"/>
      <c r="C45" s="20" t="s">
        <v>126</v>
      </c>
      <c r="D45" s="20"/>
      <c r="E45" s="295">
        <f>IF(ISBLANK(E44),"",E44/(1-SUM(E47:E48)))</f>
        <v>71973.605314964632</v>
      </c>
      <c r="F45" s="295"/>
      <c r="G45" s="306"/>
      <c r="H45" s="306"/>
      <c r="I45" s="307"/>
      <c r="J45" s="307"/>
      <c r="K45" s="306"/>
      <c r="L45" s="306"/>
      <c r="M45" s="295">
        <f>IF(ISBLANK(M44),"",M44/(1-SUM(M47:M48)))</f>
        <v>40737.278106508878</v>
      </c>
      <c r="N45" s="295"/>
      <c r="O45" s="306"/>
      <c r="P45" s="306"/>
      <c r="Q45" s="306"/>
      <c r="R45" s="306"/>
      <c r="S45" s="306"/>
      <c r="T45" s="306"/>
      <c r="U45" s="295" t="str">
        <f>IF(ISBLANK(U44),"",U44/(1-SUM(U47:U48)))</f>
        <v/>
      </c>
      <c r="V45" s="30"/>
    </row>
    <row r="46" spans="2:23" ht="0.75" customHeight="1" x14ac:dyDescent="0.2">
      <c r="B46" s="393"/>
      <c r="C46" s="181" t="s">
        <v>87</v>
      </c>
      <c r="D46" s="194"/>
      <c r="E46" s="295"/>
      <c r="F46" s="295"/>
      <c r="G46" s="308"/>
      <c r="H46" s="221"/>
      <c r="I46" s="291"/>
      <c r="J46" s="300"/>
      <c r="K46" s="221"/>
      <c r="L46" s="221"/>
      <c r="M46" s="295"/>
      <c r="N46" s="295"/>
      <c r="O46" s="308"/>
      <c r="P46" s="221"/>
      <c r="Q46" s="221"/>
      <c r="R46" s="221"/>
      <c r="S46" s="221"/>
      <c r="T46" s="221"/>
      <c r="U46" s="303"/>
      <c r="V46" s="30"/>
      <c r="W46" s="203"/>
    </row>
    <row r="47" spans="2:23" x14ac:dyDescent="0.2">
      <c r="B47" s="393"/>
      <c r="C47" s="5" t="s">
        <v>83</v>
      </c>
      <c r="E47" s="302">
        <v>0.11</v>
      </c>
      <c r="F47" s="303"/>
      <c r="G47" s="296"/>
      <c r="H47" s="221"/>
      <c r="I47" s="221"/>
      <c r="J47" s="223"/>
      <c r="K47" s="221"/>
      <c r="L47" s="221"/>
      <c r="M47" s="302">
        <v>0.11</v>
      </c>
      <c r="N47" s="303"/>
      <c r="O47" s="296"/>
      <c r="P47" s="221"/>
      <c r="Q47" s="221"/>
      <c r="R47" s="221"/>
      <c r="S47" s="221"/>
      <c r="T47" s="221"/>
      <c r="U47" s="302"/>
      <c r="V47" s="201"/>
      <c r="W47" s="150"/>
    </row>
    <row r="48" spans="2:23" x14ac:dyDescent="0.2">
      <c r="B48" s="393"/>
      <c r="C48" s="5" t="s">
        <v>84</v>
      </c>
      <c r="E48" s="302">
        <v>4.4999999999999998E-2</v>
      </c>
      <c r="F48" s="303"/>
      <c r="G48" s="296"/>
      <c r="H48" s="221"/>
      <c r="I48" s="221"/>
      <c r="J48" s="223"/>
      <c r="K48" s="221"/>
      <c r="L48" s="221"/>
      <c r="M48" s="302">
        <v>4.4999999999999998E-2</v>
      </c>
      <c r="N48" s="303"/>
      <c r="O48" s="296"/>
      <c r="P48" s="221"/>
      <c r="Q48" s="221"/>
      <c r="R48" s="221"/>
      <c r="S48" s="221"/>
      <c r="T48" s="221"/>
      <c r="U48" s="302"/>
      <c r="V48" s="201"/>
      <c r="W48" s="150"/>
    </row>
    <row r="49" spans="2:23" x14ac:dyDescent="0.2">
      <c r="B49" s="393"/>
      <c r="C49" s="32" t="s">
        <v>116</v>
      </c>
      <c r="D49" s="32"/>
      <c r="E49" s="294"/>
      <c r="F49" s="295"/>
      <c r="G49" s="296"/>
      <c r="H49" s="221"/>
      <c r="I49" s="221"/>
      <c r="J49" s="223"/>
      <c r="K49" s="221"/>
      <c r="L49" s="221"/>
      <c r="M49" s="294">
        <v>-20000</v>
      </c>
      <c r="N49" s="295"/>
      <c r="O49" s="296"/>
      <c r="P49" s="221"/>
      <c r="Q49" s="221"/>
      <c r="R49" s="221"/>
      <c r="S49" s="221"/>
      <c r="T49" s="221"/>
      <c r="U49" s="294"/>
      <c r="V49" s="30"/>
      <c r="W49" s="150"/>
    </row>
    <row r="50" spans="2:23" ht="10.5" customHeight="1" x14ac:dyDescent="0.2">
      <c r="B50" s="393"/>
      <c r="C50" s="5" t="s">
        <v>60</v>
      </c>
      <c r="E50" s="221"/>
      <c r="F50" s="223"/>
      <c r="G50" s="221"/>
      <c r="H50" s="221"/>
      <c r="I50" s="221"/>
      <c r="J50" s="223"/>
      <c r="K50" s="221"/>
      <c r="L50" s="221"/>
      <c r="M50" s="221"/>
      <c r="N50" s="223"/>
      <c r="O50" s="221"/>
      <c r="P50" s="221"/>
      <c r="Q50" s="221"/>
      <c r="R50" s="221"/>
      <c r="S50" s="221"/>
      <c r="T50" s="221"/>
      <c r="U50" s="221"/>
      <c r="V50" s="27"/>
    </row>
    <row r="51" spans="2:23" x14ac:dyDescent="0.2">
      <c r="B51" s="392">
        <v>4</v>
      </c>
      <c r="C51" s="28" t="s">
        <v>50</v>
      </c>
      <c r="D51" s="28"/>
      <c r="E51" s="221"/>
      <c r="F51" s="223"/>
      <c r="G51" s="221"/>
      <c r="H51" s="221"/>
      <c r="I51" s="221"/>
      <c r="J51" s="223"/>
      <c r="K51" s="221"/>
      <c r="L51" s="221"/>
      <c r="M51" s="221"/>
      <c r="N51" s="223"/>
      <c r="O51" s="221"/>
      <c r="P51" s="221"/>
      <c r="Q51" s="221"/>
      <c r="R51" s="221"/>
      <c r="S51" s="221"/>
      <c r="T51" s="221"/>
      <c r="U51" s="221"/>
      <c r="V51" s="27"/>
    </row>
    <row r="52" spans="2:23" x14ac:dyDescent="0.2">
      <c r="C52" s="20" t="s">
        <v>88</v>
      </c>
      <c r="D52" s="20"/>
      <c r="E52" s="221"/>
      <c r="F52" s="223"/>
      <c r="G52" s="221"/>
      <c r="H52" s="221"/>
      <c r="I52" s="221"/>
      <c r="J52" s="223"/>
      <c r="K52" s="221"/>
      <c r="L52" s="221"/>
      <c r="M52" s="221"/>
      <c r="N52" s="223"/>
      <c r="O52" s="221"/>
      <c r="P52" s="221"/>
      <c r="Q52" s="221"/>
      <c r="R52" s="221"/>
      <c r="S52" s="221"/>
      <c r="T52" s="221"/>
      <c r="U52" s="221"/>
      <c r="V52" s="27"/>
    </row>
    <row r="53" spans="2:23" x14ac:dyDescent="0.2">
      <c r="C53" s="5" t="s">
        <v>74</v>
      </c>
      <c r="E53" s="309">
        <v>0.56000000000000005</v>
      </c>
      <c r="F53" s="310"/>
      <c r="G53" s="296"/>
      <c r="H53" s="221"/>
      <c r="I53" s="221"/>
      <c r="J53" s="223"/>
      <c r="K53" s="221"/>
      <c r="L53" s="221"/>
      <c r="M53" s="309">
        <v>0.56000000000000005</v>
      </c>
      <c r="N53" s="310"/>
      <c r="O53" s="296"/>
      <c r="P53" s="221"/>
      <c r="Q53" s="221"/>
      <c r="R53" s="221"/>
      <c r="S53" s="221"/>
      <c r="T53" s="221"/>
      <c r="U53" s="309"/>
      <c r="V53" s="204"/>
      <c r="W53" s="150"/>
    </row>
    <row r="54" spans="2:23" x14ac:dyDescent="0.2">
      <c r="C54" s="5" t="s">
        <v>75</v>
      </c>
      <c r="E54" s="309">
        <v>0.04</v>
      </c>
      <c r="F54" s="310"/>
      <c r="G54" s="11" t="s">
        <v>3</v>
      </c>
      <c r="H54" s="11"/>
      <c r="I54" s="221"/>
      <c r="J54" s="223"/>
      <c r="K54" s="221"/>
      <c r="L54" s="221"/>
      <c r="M54" s="309">
        <v>0.04</v>
      </c>
      <c r="N54" s="310"/>
      <c r="O54" s="11" t="s">
        <v>3</v>
      </c>
      <c r="P54" s="221"/>
      <c r="Q54" s="221"/>
      <c r="R54" s="221"/>
      <c r="S54" s="221"/>
      <c r="T54" s="221"/>
      <c r="U54" s="309"/>
      <c r="V54" s="204"/>
      <c r="W54" s="18" t="s">
        <v>3</v>
      </c>
    </row>
    <row r="55" spans="2:23" x14ac:dyDescent="0.2">
      <c r="C55" s="5" t="s">
        <v>76</v>
      </c>
      <c r="E55" s="309">
        <v>0.4</v>
      </c>
      <c r="F55" s="310"/>
      <c r="G55" s="296"/>
      <c r="H55" s="221"/>
      <c r="I55" s="221"/>
      <c r="J55" s="223"/>
      <c r="K55" s="221"/>
      <c r="L55" s="221"/>
      <c r="M55" s="309">
        <v>0.4</v>
      </c>
      <c r="N55" s="310"/>
      <c r="O55" s="296"/>
      <c r="P55" s="221"/>
      <c r="Q55" s="221"/>
      <c r="R55" s="221"/>
      <c r="S55" s="221"/>
      <c r="T55" s="221"/>
      <c r="U55" s="309"/>
      <c r="V55" s="204"/>
      <c r="W55" s="150"/>
    </row>
    <row r="56" spans="2:23" ht="13.5" thickBot="1" x14ac:dyDescent="0.25">
      <c r="C56" s="5" t="s">
        <v>77</v>
      </c>
      <c r="E56" s="311"/>
      <c r="F56" s="310"/>
      <c r="G56" s="296"/>
      <c r="H56" s="221"/>
      <c r="I56" s="221"/>
      <c r="J56" s="223"/>
      <c r="K56" s="221"/>
      <c r="L56" s="221"/>
      <c r="M56" s="311"/>
      <c r="N56" s="310"/>
      <c r="O56" s="296"/>
      <c r="P56" s="221"/>
      <c r="Q56" s="221"/>
      <c r="R56" s="221"/>
      <c r="S56" s="221"/>
      <c r="T56" s="221"/>
      <c r="U56" s="311"/>
      <c r="V56" s="204"/>
      <c r="W56" s="150"/>
    </row>
    <row r="57" spans="2:23" ht="13.5" thickTop="1" x14ac:dyDescent="0.2">
      <c r="E57" s="312">
        <f>SUM(E53:E56)</f>
        <v>1</v>
      </c>
      <c r="F57" s="310"/>
      <c r="G57" s="304"/>
      <c r="H57" s="223"/>
      <c r="I57" s="223"/>
      <c r="J57" s="223"/>
      <c r="K57" s="223"/>
      <c r="L57" s="223"/>
      <c r="M57" s="312">
        <f>SUM(M53:M56)</f>
        <v>1</v>
      </c>
      <c r="N57" s="310"/>
      <c r="O57" s="304"/>
      <c r="P57" s="223"/>
      <c r="Q57" s="223"/>
      <c r="R57" s="223"/>
      <c r="S57" s="223"/>
      <c r="T57" s="223"/>
      <c r="U57" s="312">
        <f>SUM(U53:U56)</f>
        <v>0</v>
      </c>
      <c r="V57" s="204"/>
      <c r="W57" s="202"/>
    </row>
    <row r="58" spans="2:23" ht="25.5" customHeight="1" x14ac:dyDescent="0.2">
      <c r="E58" s="313" t="str">
        <f>IF(ISBLANK(E55),"",IF(SUM(E53:E56)=100%,"","Capital Structure must total 100%"))</f>
        <v/>
      </c>
      <c r="F58" s="313"/>
      <c r="G58" s="314"/>
      <c r="H58" s="314"/>
      <c r="I58" s="314"/>
      <c r="J58" s="314"/>
      <c r="K58" s="314"/>
      <c r="L58" s="314"/>
      <c r="M58" s="313" t="str">
        <f>IF(ISBLANK(M55),"",IF(SUM(M53:M56)=100%,"","Capital Structure must total 100%"))</f>
        <v/>
      </c>
      <c r="N58" s="314"/>
      <c r="O58" s="314"/>
      <c r="P58" s="314"/>
      <c r="Q58" s="314"/>
      <c r="R58" s="314"/>
      <c r="S58" s="314"/>
      <c r="T58" s="314"/>
      <c r="U58" s="313" t="str">
        <f>IF(ISBLANK(U55),"",IF(SUM(U53:U56)=100%,"","Capital Structure must total 100%"))</f>
        <v/>
      </c>
      <c r="V58" s="33"/>
    </row>
    <row r="59" spans="2:23" x14ac:dyDescent="0.2">
      <c r="C59" s="20" t="s">
        <v>89</v>
      </c>
      <c r="D59" s="20"/>
      <c r="E59" s="221"/>
      <c r="F59" s="223"/>
      <c r="G59" s="221"/>
      <c r="H59" s="221"/>
      <c r="I59" s="221"/>
      <c r="J59" s="223"/>
      <c r="K59" s="221"/>
      <c r="L59" s="221"/>
      <c r="M59" s="221"/>
      <c r="N59" s="221"/>
      <c r="O59" s="221"/>
      <c r="P59" s="221"/>
      <c r="Q59" s="221"/>
      <c r="R59" s="221"/>
      <c r="S59" s="221"/>
      <c r="T59" s="221"/>
      <c r="U59" s="221"/>
      <c r="V59" s="27"/>
    </row>
    <row r="60" spans="2:23" x14ac:dyDescent="0.2">
      <c r="C60" s="5" t="s">
        <v>78</v>
      </c>
      <c r="E60" s="315">
        <v>4.41E-2</v>
      </c>
      <c r="F60" s="316"/>
      <c r="G60" s="296"/>
      <c r="H60" s="221"/>
      <c r="I60" s="221"/>
      <c r="J60" s="223"/>
      <c r="K60" s="221"/>
      <c r="L60" s="221"/>
      <c r="M60" s="315">
        <v>4.41E-2</v>
      </c>
      <c r="N60" s="316"/>
      <c r="O60" s="296"/>
      <c r="P60" s="221"/>
      <c r="Q60" s="221"/>
      <c r="R60" s="221"/>
      <c r="S60" s="221"/>
      <c r="T60" s="221"/>
      <c r="U60" s="315"/>
      <c r="V60" s="205"/>
      <c r="W60" s="150"/>
    </row>
    <row r="61" spans="2:23" x14ac:dyDescent="0.2">
      <c r="C61" s="5" t="s">
        <v>79</v>
      </c>
      <c r="E61" s="315">
        <v>2.0799999999999999E-2</v>
      </c>
      <c r="F61" s="316"/>
      <c r="G61" s="296"/>
      <c r="H61" s="221"/>
      <c r="I61" s="221"/>
      <c r="J61" s="223"/>
      <c r="K61" s="221"/>
      <c r="L61" s="221"/>
      <c r="M61" s="315">
        <v>2.0799999999999999E-2</v>
      </c>
      <c r="N61" s="316"/>
      <c r="O61" s="296"/>
      <c r="P61" s="221"/>
      <c r="Q61" s="221"/>
      <c r="R61" s="221"/>
      <c r="S61" s="221"/>
      <c r="T61" s="221"/>
      <c r="U61" s="315"/>
      <c r="V61" s="205"/>
      <c r="W61" s="150"/>
    </row>
    <row r="62" spans="2:23" x14ac:dyDescent="0.2">
      <c r="C62" s="5" t="s">
        <v>80</v>
      </c>
      <c r="E62" s="315">
        <v>9.1200000000000003E-2</v>
      </c>
      <c r="F62" s="316"/>
      <c r="G62" s="296"/>
      <c r="H62" s="221"/>
      <c r="I62" s="221"/>
      <c r="J62" s="223"/>
      <c r="K62" s="221"/>
      <c r="L62" s="221"/>
      <c r="M62" s="315">
        <v>9.1200000000000003E-2</v>
      </c>
      <c r="N62" s="316"/>
      <c r="O62" s="296"/>
      <c r="P62" s="221"/>
      <c r="Q62" s="221"/>
      <c r="R62" s="221"/>
      <c r="S62" s="221"/>
      <c r="T62" s="221"/>
      <c r="U62" s="315"/>
      <c r="V62" s="205"/>
      <c r="W62" s="150"/>
    </row>
    <row r="63" spans="2:23" x14ac:dyDescent="0.2">
      <c r="C63" s="5" t="s">
        <v>81</v>
      </c>
      <c r="E63" s="315"/>
      <c r="F63" s="316"/>
      <c r="G63" s="296"/>
      <c r="H63" s="221"/>
      <c r="I63" s="221"/>
      <c r="J63" s="223"/>
      <c r="K63" s="221"/>
      <c r="L63" s="221"/>
      <c r="M63" s="315"/>
      <c r="N63" s="316"/>
      <c r="O63" s="296"/>
      <c r="P63" s="221"/>
      <c r="Q63" s="221"/>
      <c r="R63" s="221"/>
      <c r="S63" s="221"/>
      <c r="T63" s="221"/>
      <c r="U63" s="315"/>
      <c r="V63" s="205"/>
      <c r="W63" s="150"/>
    </row>
    <row r="64" spans="2:23" ht="10.5" customHeight="1" x14ac:dyDescent="0.2"/>
    <row r="65" spans="1:22" x14ac:dyDescent="0.2">
      <c r="A65" s="4" t="s">
        <v>42</v>
      </c>
      <c r="B65" s="4"/>
      <c r="C65" s="4"/>
      <c r="D65" s="4"/>
    </row>
    <row r="66" spans="1:22" ht="39" customHeight="1" x14ac:dyDescent="0.2">
      <c r="B66" s="450" t="s">
        <v>327</v>
      </c>
      <c r="C66" s="472" t="s">
        <v>326</v>
      </c>
      <c r="D66" s="472"/>
      <c r="E66" s="472"/>
      <c r="F66" s="472"/>
      <c r="G66" s="472"/>
      <c r="H66" s="472"/>
      <c r="I66" s="472"/>
      <c r="J66" s="472"/>
      <c r="K66" s="473"/>
      <c r="L66" s="473"/>
      <c r="M66" s="473"/>
      <c r="N66" s="473"/>
      <c r="O66" s="473"/>
      <c r="P66" s="473"/>
      <c r="Q66" s="473"/>
      <c r="R66" s="473"/>
      <c r="S66" s="473"/>
      <c r="T66" s="473"/>
      <c r="U66" s="473"/>
      <c r="V66" s="29"/>
    </row>
    <row r="67" spans="1:22" x14ac:dyDescent="0.2">
      <c r="B67" s="394" t="s">
        <v>2</v>
      </c>
      <c r="C67" s="469" t="s">
        <v>90</v>
      </c>
      <c r="D67" s="469"/>
      <c r="E67" s="469"/>
      <c r="F67" s="469"/>
      <c r="G67" s="469"/>
      <c r="H67" s="469"/>
      <c r="I67" s="469"/>
      <c r="J67" s="469"/>
      <c r="K67" s="469"/>
      <c r="L67" s="469"/>
      <c r="M67" s="469"/>
      <c r="N67" s="469"/>
      <c r="O67" s="469"/>
      <c r="P67" s="469"/>
      <c r="Q67" s="469"/>
      <c r="R67" s="469"/>
      <c r="S67" s="469"/>
      <c r="T67" s="469"/>
      <c r="U67" s="469"/>
      <c r="V67" s="44"/>
    </row>
    <row r="68" spans="1:22" x14ac:dyDescent="0.2">
      <c r="B68" s="394" t="s">
        <v>3</v>
      </c>
      <c r="C68" s="468" t="s">
        <v>92</v>
      </c>
      <c r="D68" s="468"/>
      <c r="E68" s="468"/>
      <c r="F68" s="468"/>
      <c r="G68" s="468"/>
      <c r="H68" s="468"/>
      <c r="I68" s="468"/>
      <c r="J68" s="468"/>
      <c r="K68" s="468"/>
      <c r="L68" s="468"/>
      <c r="M68" s="468"/>
      <c r="N68" s="468"/>
      <c r="O68" s="468"/>
      <c r="P68" s="468"/>
      <c r="Q68" s="468"/>
      <c r="R68" s="468"/>
      <c r="S68" s="468"/>
      <c r="T68" s="468"/>
      <c r="U68" s="468"/>
      <c r="V68" s="15"/>
    </row>
    <row r="69" spans="1:22" x14ac:dyDescent="0.2">
      <c r="B69" s="394" t="s">
        <v>98</v>
      </c>
      <c r="C69" s="468" t="s">
        <v>99</v>
      </c>
      <c r="D69" s="468"/>
      <c r="E69" s="468"/>
      <c r="F69" s="468"/>
      <c r="G69" s="468"/>
      <c r="H69" s="468"/>
      <c r="I69" s="468"/>
      <c r="J69" s="468"/>
      <c r="K69" s="468"/>
      <c r="L69" s="468"/>
      <c r="M69" s="468"/>
      <c r="N69" s="468"/>
      <c r="O69" s="468"/>
      <c r="P69" s="468"/>
      <c r="Q69" s="468"/>
      <c r="R69" s="468"/>
      <c r="S69" s="468"/>
      <c r="T69" s="468"/>
      <c r="U69" s="468"/>
      <c r="V69" s="15"/>
    </row>
    <row r="70" spans="1:22" x14ac:dyDescent="0.2">
      <c r="B70" s="394" t="s">
        <v>122</v>
      </c>
      <c r="C70" s="475" t="s">
        <v>124</v>
      </c>
      <c r="D70" s="475"/>
      <c r="E70" s="475"/>
      <c r="F70" s="475"/>
      <c r="G70" s="475"/>
      <c r="H70" s="475"/>
      <c r="I70" s="475"/>
      <c r="J70" s="475"/>
      <c r="K70" s="475"/>
      <c r="L70" s="475"/>
      <c r="M70" s="475"/>
      <c r="N70" s="475"/>
      <c r="O70" s="475"/>
      <c r="P70" s="475"/>
      <c r="Q70" s="475"/>
      <c r="R70" s="475"/>
      <c r="S70" s="475"/>
      <c r="T70" s="475"/>
      <c r="U70" s="475"/>
      <c r="V70" s="29"/>
    </row>
    <row r="71" spans="1:22" x14ac:dyDescent="0.2">
      <c r="B71" s="394" t="s">
        <v>123</v>
      </c>
      <c r="C71" s="468" t="s">
        <v>138</v>
      </c>
      <c r="D71" s="468"/>
      <c r="E71" s="468"/>
      <c r="F71" s="468"/>
      <c r="G71" s="468"/>
      <c r="H71" s="468"/>
      <c r="I71" s="468"/>
      <c r="J71" s="468"/>
      <c r="K71" s="468"/>
      <c r="L71" s="468"/>
      <c r="M71" s="468"/>
      <c r="N71" s="468"/>
      <c r="O71" s="468"/>
      <c r="P71" s="468"/>
      <c r="Q71" s="468"/>
      <c r="R71" s="468"/>
      <c r="S71" s="468"/>
      <c r="T71" s="468"/>
      <c r="U71" s="468"/>
      <c r="V71" s="15"/>
    </row>
    <row r="72" spans="1:22" ht="26.25" customHeight="1" x14ac:dyDescent="0.2">
      <c r="B72" s="395" t="s">
        <v>150</v>
      </c>
      <c r="C72" s="471" t="s">
        <v>310</v>
      </c>
      <c r="D72" s="471"/>
      <c r="E72" s="471"/>
      <c r="F72" s="471"/>
      <c r="G72" s="471"/>
      <c r="H72" s="471"/>
      <c r="I72" s="471"/>
      <c r="J72" s="471"/>
      <c r="K72" s="471"/>
      <c r="L72" s="471"/>
      <c r="M72" s="471"/>
      <c r="N72" s="471"/>
      <c r="O72" s="471"/>
      <c r="P72" s="471"/>
      <c r="Q72" s="471"/>
      <c r="R72" s="471"/>
      <c r="S72" s="471"/>
      <c r="T72" s="471"/>
      <c r="U72" s="471"/>
      <c r="V72" s="206"/>
    </row>
    <row r="73" spans="1:22" x14ac:dyDescent="0.2">
      <c r="B73" s="395" t="s">
        <v>321</v>
      </c>
      <c r="C73" s="472" t="s">
        <v>322</v>
      </c>
      <c r="D73" s="472"/>
      <c r="E73" s="472"/>
      <c r="F73" s="472"/>
      <c r="G73" s="472"/>
      <c r="H73" s="472"/>
      <c r="I73" s="472"/>
      <c r="J73" s="472"/>
      <c r="K73" s="472"/>
      <c r="L73" s="472"/>
      <c r="M73" s="472"/>
      <c r="N73" s="472"/>
      <c r="O73" s="472"/>
      <c r="P73" s="472"/>
      <c r="Q73" s="472"/>
      <c r="R73" s="472"/>
      <c r="S73" s="472"/>
      <c r="T73" s="472"/>
      <c r="U73" s="472"/>
      <c r="V73" s="206"/>
    </row>
    <row r="74" spans="1:22" x14ac:dyDescent="0.2">
      <c r="B74" s="396"/>
      <c r="C74" s="470"/>
      <c r="D74" s="470"/>
      <c r="E74" s="470"/>
      <c r="F74" s="470"/>
      <c r="G74" s="470"/>
      <c r="H74" s="470"/>
      <c r="I74" s="470"/>
      <c r="J74" s="470"/>
      <c r="K74" s="470"/>
      <c r="L74" s="470"/>
      <c r="M74" s="470"/>
      <c r="N74" s="470"/>
      <c r="O74" s="470"/>
      <c r="P74" s="470"/>
      <c r="Q74" s="470"/>
      <c r="R74" s="470"/>
      <c r="S74" s="470"/>
      <c r="T74" s="470"/>
      <c r="U74" s="470"/>
      <c r="V74" s="206"/>
    </row>
    <row r="75" spans="1:22" x14ac:dyDescent="0.2">
      <c r="B75" s="396"/>
      <c r="C75" s="470"/>
      <c r="D75" s="470"/>
      <c r="E75" s="470"/>
      <c r="F75" s="470"/>
      <c r="G75" s="470"/>
      <c r="H75" s="470"/>
      <c r="I75" s="470"/>
      <c r="J75" s="470"/>
      <c r="K75" s="470"/>
      <c r="L75" s="470"/>
      <c r="M75" s="470"/>
      <c r="N75" s="470"/>
      <c r="O75" s="470"/>
      <c r="P75" s="470"/>
      <c r="Q75" s="470"/>
      <c r="R75" s="470"/>
      <c r="S75" s="470"/>
      <c r="T75" s="470"/>
      <c r="U75" s="470"/>
      <c r="V75" s="206"/>
    </row>
    <row r="76" spans="1:22" x14ac:dyDescent="0.2">
      <c r="B76" s="396"/>
      <c r="C76" s="470"/>
      <c r="D76" s="470"/>
      <c r="E76" s="470"/>
      <c r="F76" s="470"/>
      <c r="G76" s="470"/>
      <c r="H76" s="470"/>
      <c r="I76" s="470"/>
      <c r="J76" s="470"/>
      <c r="K76" s="470"/>
      <c r="L76" s="470"/>
      <c r="M76" s="470"/>
      <c r="N76" s="470"/>
      <c r="O76" s="470"/>
      <c r="P76" s="470"/>
      <c r="Q76" s="470"/>
      <c r="R76" s="470"/>
      <c r="S76" s="470"/>
      <c r="T76" s="470"/>
      <c r="U76" s="470"/>
      <c r="V76" s="206"/>
    </row>
    <row r="77" spans="1:22" x14ac:dyDescent="0.2">
      <c r="B77" s="396"/>
      <c r="C77" s="470"/>
      <c r="D77" s="470"/>
      <c r="E77" s="470"/>
      <c r="F77" s="470"/>
      <c r="G77" s="470"/>
      <c r="H77" s="470"/>
      <c r="I77" s="470"/>
      <c r="J77" s="470"/>
      <c r="K77" s="470"/>
      <c r="L77" s="470"/>
      <c r="M77" s="470"/>
      <c r="N77" s="470"/>
      <c r="O77" s="470"/>
      <c r="P77" s="470"/>
      <c r="Q77" s="470"/>
      <c r="R77" s="470"/>
      <c r="S77" s="470"/>
      <c r="T77" s="470"/>
      <c r="U77" s="470"/>
      <c r="V77" s="206"/>
    </row>
    <row r="78" spans="1:22" x14ac:dyDescent="0.2">
      <c r="B78" s="396"/>
      <c r="C78" s="470"/>
      <c r="D78" s="470"/>
      <c r="E78" s="470"/>
      <c r="F78" s="470"/>
      <c r="G78" s="470"/>
      <c r="H78" s="470"/>
      <c r="I78" s="470"/>
      <c r="J78" s="470"/>
      <c r="K78" s="470"/>
      <c r="L78" s="470"/>
      <c r="M78" s="470"/>
      <c r="N78" s="470"/>
      <c r="O78" s="470"/>
      <c r="P78" s="470"/>
      <c r="Q78" s="470"/>
      <c r="R78" s="470"/>
      <c r="S78" s="470"/>
      <c r="T78" s="470"/>
      <c r="U78" s="470"/>
      <c r="V78" s="206"/>
    </row>
    <row r="79" spans="1:22" x14ac:dyDescent="0.2">
      <c r="B79" s="396"/>
      <c r="C79" s="470"/>
      <c r="D79" s="470"/>
      <c r="E79" s="470"/>
      <c r="F79" s="470"/>
      <c r="G79" s="470"/>
      <c r="H79" s="470"/>
      <c r="I79" s="470"/>
      <c r="J79" s="470"/>
      <c r="K79" s="470"/>
      <c r="L79" s="470"/>
      <c r="M79" s="470"/>
      <c r="N79" s="470"/>
      <c r="O79" s="470"/>
      <c r="P79" s="470"/>
      <c r="Q79" s="470"/>
      <c r="R79" s="470"/>
      <c r="S79" s="470"/>
      <c r="T79" s="470"/>
      <c r="U79" s="470"/>
      <c r="V79" s="206"/>
    </row>
    <row r="80" spans="1:22" x14ac:dyDescent="0.2">
      <c r="C80" s="466"/>
      <c r="D80" s="466"/>
      <c r="E80" s="467"/>
      <c r="F80" s="467"/>
      <c r="G80" s="467"/>
      <c r="H80" s="467"/>
      <c r="I80" s="467"/>
      <c r="J80" s="467"/>
      <c r="K80" s="467"/>
      <c r="L80" s="467"/>
      <c r="M80" s="467"/>
      <c r="N80" s="467"/>
      <c r="O80" s="467"/>
      <c r="P80" s="467"/>
      <c r="Q80" s="467"/>
      <c r="R80" s="467"/>
      <c r="S80" s="467"/>
      <c r="T80" s="467"/>
      <c r="U80" s="467"/>
      <c r="V80" s="29"/>
    </row>
    <row r="81" spans="3:22" x14ac:dyDescent="0.2">
      <c r="C81" s="467"/>
      <c r="D81" s="467"/>
      <c r="E81" s="467"/>
      <c r="F81" s="467"/>
      <c r="G81" s="467"/>
      <c r="H81" s="467"/>
      <c r="I81" s="467"/>
      <c r="J81" s="467"/>
      <c r="K81" s="467"/>
      <c r="L81" s="467"/>
      <c r="M81" s="467"/>
      <c r="N81" s="467"/>
      <c r="O81" s="467"/>
      <c r="P81" s="467"/>
      <c r="Q81" s="467"/>
      <c r="R81" s="467"/>
      <c r="S81" s="467"/>
      <c r="T81" s="467"/>
      <c r="U81" s="467"/>
      <c r="V81" s="29"/>
    </row>
  </sheetData>
  <sheetProtection password="82A3" sheet="1" objects="1" scenarios="1"/>
  <mergeCells count="26">
    <mergeCell ref="C78:U78"/>
    <mergeCell ref="E10:E11"/>
    <mergeCell ref="I10:I11"/>
    <mergeCell ref="U10:U11"/>
    <mergeCell ref="C71:U71"/>
    <mergeCell ref="M10:M11"/>
    <mergeCell ref="Q10:Q11"/>
    <mergeCell ref="C73:U73"/>
    <mergeCell ref="C74:U74"/>
    <mergeCell ref="C75:U75"/>
    <mergeCell ref="C1:M1"/>
    <mergeCell ref="E8:U8"/>
    <mergeCell ref="Y18:Y19"/>
    <mergeCell ref="C80:U81"/>
    <mergeCell ref="C68:U68"/>
    <mergeCell ref="C69:U69"/>
    <mergeCell ref="C67:U67"/>
    <mergeCell ref="C79:U79"/>
    <mergeCell ref="C72:U72"/>
    <mergeCell ref="C66:U66"/>
    <mergeCell ref="C76:U76"/>
    <mergeCell ref="C77:U77"/>
    <mergeCell ref="C4:K4"/>
    <mergeCell ref="C2:K2"/>
    <mergeCell ref="C3:K3"/>
    <mergeCell ref="C70:U70"/>
  </mergeCells>
  <phoneticPr fontId="2" type="noConversion"/>
  <conditionalFormatting sqref="U57 M57 E57">
    <cfRule type="cellIs" dxfId="10" priority="1" stopIfTrue="1" operator="equal">
      <formula>0</formula>
    </cfRule>
  </conditionalFormatting>
  <conditionalFormatting sqref="M19 U19">
    <cfRule type="cellIs" dxfId="9" priority="2" stopIfTrue="1" operator="equal">
      <formula>0</formula>
    </cfRule>
  </conditionalFormatting>
  <conditionalFormatting sqref="M17:M18 M14">
    <cfRule type="cellIs" dxfId="8" priority="3" stopIfTrue="1" operator="equal">
      <formula>0</formula>
    </cfRule>
  </conditionalFormatting>
  <conditionalFormatting sqref="I10:I11 M10:M11 Q10:Q11">
    <cfRule type="cellIs" dxfId="7" priority="4" stopIfTrue="1" operator="notEqual">
      <formula>""</formula>
    </cfRule>
  </conditionalFormatting>
  <dataValidations count="1">
    <dataValidation type="list" allowBlank="1" showInputMessage="1" showErrorMessage="1" prompt="Select either Close of Discovery, Argument-in-Chief, or Settlement Agreement" sqref="M10:M11">
      <formula1>"Argument-in-Chief, Settlement Agreement, Close of Discovery"</formula1>
    </dataValidation>
  </dataValidations>
  <pageMargins left="0.75" right="0.75" top="0.46" bottom="0.79" header="0.26" footer="0.5"/>
  <pageSetup scale="58" orientation="portrait" r:id="rId1"/>
  <headerFooter alignWithMargins="0">
    <oddFooter>&amp;C2</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1:AB41"/>
  <sheetViews>
    <sheetView showGridLines="0" zoomScaleNormal="100" workbookViewId="0">
      <selection activeCell="D40" sqref="D40:W40"/>
    </sheetView>
  </sheetViews>
  <sheetFormatPr defaultRowHeight="12.75" x14ac:dyDescent="0.2"/>
  <cols>
    <col min="1" max="1" width="1.140625" style="5" customWidth="1"/>
    <col min="2" max="2" width="5.28515625" style="5" customWidth="1"/>
    <col min="3" max="3" width="9.42578125" style="5" customWidth="1"/>
    <col min="4" max="4" width="31.140625" style="5" customWidth="1"/>
    <col min="5" max="5" width="3.7109375" style="5" customWidth="1"/>
    <col min="6" max="6" width="1.28515625" style="5" customWidth="1"/>
    <col min="7" max="7" width="14.42578125" style="5" customWidth="1"/>
    <col min="8" max="8" width="1.140625" style="5" customWidth="1"/>
    <col min="9" max="9" width="3.42578125" style="5" customWidth="1"/>
    <col min="10" max="10" width="1.140625" style="5" customWidth="1"/>
    <col min="11" max="11" width="12.140625" style="5" customWidth="1"/>
    <col min="12" max="12" width="1.140625" style="5" customWidth="1"/>
    <col min="13" max="13" width="3.42578125" style="5" customWidth="1"/>
    <col min="14" max="14" width="1.140625" style="5" customWidth="1"/>
    <col min="15" max="15" width="14.5703125" style="5" customWidth="1"/>
    <col min="16" max="16" width="1.42578125" style="5" customWidth="1"/>
    <col min="17" max="17" width="3.42578125" style="5" customWidth="1"/>
    <col min="18" max="18" width="1.140625" style="5" customWidth="1"/>
    <col min="19" max="19" width="12" style="5" customWidth="1"/>
    <col min="20" max="20" width="1.140625" style="5" customWidth="1"/>
    <col min="21" max="21" width="3.42578125" style="5" customWidth="1"/>
    <col min="22" max="22" width="1.140625" style="5" customWidth="1"/>
    <col min="23" max="23" width="14.7109375" style="5" customWidth="1"/>
    <col min="24" max="24" width="2.85546875" style="5" customWidth="1"/>
    <col min="25" max="16384" width="9.140625" style="5"/>
  </cols>
  <sheetData>
    <row r="1" spans="2:28" s="2" customFormat="1" ht="36.75" customHeight="1" x14ac:dyDescent="0.2">
      <c r="C1" s="480"/>
      <c r="D1" s="480"/>
      <c r="E1" s="480"/>
      <c r="F1" s="480"/>
      <c r="G1" s="480"/>
      <c r="H1" s="480"/>
      <c r="I1" s="480"/>
      <c r="J1" s="480"/>
      <c r="K1" s="480"/>
      <c r="L1" s="145"/>
      <c r="W1" s="152"/>
    </row>
    <row r="2" spans="2:28" s="2" customFormat="1" ht="36.75" customHeight="1" x14ac:dyDescent="0.25">
      <c r="C2" s="474"/>
      <c r="D2" s="474"/>
      <c r="E2" s="474"/>
      <c r="F2" s="474"/>
      <c r="G2" s="474"/>
      <c r="H2" s="474"/>
      <c r="I2" s="474"/>
      <c r="J2" s="474"/>
      <c r="K2" s="474"/>
      <c r="L2" s="474"/>
      <c r="M2" s="474"/>
      <c r="N2" s="474"/>
      <c r="O2" s="474"/>
      <c r="P2" s="474"/>
      <c r="Q2" s="474"/>
      <c r="R2" s="474"/>
      <c r="S2" s="474"/>
      <c r="T2" s="474"/>
      <c r="U2" s="474"/>
      <c r="V2" s="474"/>
      <c r="W2" s="474"/>
    </row>
    <row r="3" spans="2:28" s="2" customFormat="1" ht="36.75" customHeight="1" x14ac:dyDescent="0.25">
      <c r="C3" s="474"/>
      <c r="D3" s="474"/>
      <c r="E3" s="474"/>
      <c r="F3" s="474"/>
      <c r="G3" s="474"/>
      <c r="H3" s="37"/>
      <c r="I3" s="34"/>
      <c r="J3" s="34"/>
      <c r="K3" s="34"/>
      <c r="L3" s="34"/>
    </row>
    <row r="4" spans="2:28" s="2" customFormat="1" ht="36.75" customHeight="1" x14ac:dyDescent="0.25">
      <c r="C4" s="474"/>
      <c r="D4" s="474"/>
      <c r="E4" s="474"/>
      <c r="F4" s="474"/>
      <c r="G4" s="474"/>
      <c r="H4" s="37"/>
      <c r="I4" s="34"/>
      <c r="J4" s="34"/>
      <c r="K4" s="34"/>
      <c r="L4" s="34"/>
    </row>
    <row r="5" spans="2:28" s="2" customFormat="1" ht="36.75" customHeight="1" x14ac:dyDescent="0.25">
      <c r="E5" s="3"/>
      <c r="F5" s="3"/>
    </row>
    <row r="6" spans="2:28" s="2" customFormat="1" ht="36.75" customHeight="1" x14ac:dyDescent="0.2"/>
    <row r="7" spans="2:28" ht="4.5" customHeight="1" x14ac:dyDescent="0.2"/>
    <row r="8" spans="2:28" ht="15.75" x14ac:dyDescent="0.25">
      <c r="F8" s="482"/>
      <c r="G8" s="482"/>
      <c r="H8" s="482"/>
      <c r="I8" s="482"/>
      <c r="J8" s="482"/>
      <c r="K8" s="482"/>
      <c r="L8" s="482"/>
      <c r="M8" s="482"/>
      <c r="N8" s="482"/>
      <c r="O8" s="482"/>
      <c r="P8" s="482"/>
      <c r="Q8" s="482"/>
      <c r="R8" s="482"/>
      <c r="S8" s="482"/>
      <c r="T8" s="482"/>
      <c r="U8" s="482"/>
      <c r="V8" s="482"/>
      <c r="W8" s="482"/>
    </row>
    <row r="9" spans="2:28" x14ac:dyDescent="0.2">
      <c r="F9" s="130"/>
      <c r="G9" s="130"/>
      <c r="H9" s="130"/>
      <c r="I9" s="130"/>
      <c r="J9" s="130"/>
      <c r="K9" s="130"/>
      <c r="L9" s="130"/>
      <c r="M9" s="130"/>
      <c r="N9" s="130"/>
      <c r="O9" s="130"/>
      <c r="P9" s="130"/>
      <c r="Q9" s="130"/>
      <c r="R9" s="130"/>
      <c r="S9" s="130"/>
      <c r="T9" s="130"/>
      <c r="U9" s="130"/>
      <c r="V9" s="130"/>
      <c r="W9" s="130"/>
    </row>
    <row r="10" spans="2:28" ht="25.5" x14ac:dyDescent="0.2">
      <c r="B10" s="42" t="s">
        <v>37</v>
      </c>
      <c r="C10" s="29"/>
      <c r="D10" s="43" t="s">
        <v>36</v>
      </c>
      <c r="E10" s="68"/>
      <c r="F10" s="35"/>
      <c r="G10" s="391" t="s">
        <v>158</v>
      </c>
      <c r="H10" s="71"/>
      <c r="I10" s="397"/>
      <c r="J10" s="397"/>
      <c r="K10" s="71" t="str">
        <f>IF(ISBLANK('3. Data_Input_Sheet'!M10:M11),"","Adjustments")</f>
        <v>Adjustments</v>
      </c>
      <c r="L10" s="71"/>
      <c r="M10" s="397"/>
      <c r="N10" s="397"/>
      <c r="O10" s="175" t="str">
        <f>IF(ISBLANK('3. Data_Input_Sheet'!M10:M11),"",'3. Data_Input_Sheet'!M10:M11)</f>
        <v>Settlement Agreement</v>
      </c>
      <c r="P10" s="397"/>
      <c r="Q10" s="397"/>
      <c r="R10" s="397"/>
      <c r="S10" s="71" t="str">
        <f>IF(ISBLANK('3. Data_Input_Sheet'!Q10:Q11),"",'3. Data_Input_Sheet'!Q10:Q11)</f>
        <v>Adjustments</v>
      </c>
      <c r="T10" s="397"/>
      <c r="U10" s="397"/>
      <c r="V10" s="397"/>
      <c r="W10" s="391" t="str">
        <f>'3. Data_Input_Sheet'!U10</f>
        <v>Per Board Decision</v>
      </c>
    </row>
    <row r="11" spans="2:28" x14ac:dyDescent="0.2">
      <c r="F11" s="35"/>
      <c r="G11" s="35"/>
      <c r="H11" s="35"/>
      <c r="I11" s="35"/>
      <c r="J11" s="35"/>
      <c r="K11" s="35"/>
      <c r="L11" s="35"/>
      <c r="M11" s="35"/>
      <c r="N11" s="35"/>
      <c r="O11" s="35"/>
      <c r="P11" s="35"/>
      <c r="Q11" s="35"/>
      <c r="R11" s="35"/>
      <c r="S11" s="35"/>
      <c r="T11" s="35"/>
      <c r="U11" s="35"/>
      <c r="V11" s="35"/>
      <c r="W11" s="35"/>
    </row>
    <row r="12" spans="2:28" x14ac:dyDescent="0.2">
      <c r="B12" s="4">
        <v>1</v>
      </c>
      <c r="D12" s="5" t="s">
        <v>102</v>
      </c>
      <c r="E12" s="18" t="s">
        <v>98</v>
      </c>
      <c r="F12" s="35"/>
      <c r="G12" s="102">
        <f>'3. Data_Input_Sheet'!E14</f>
        <v>21851554.864999995</v>
      </c>
      <c r="H12" s="102"/>
      <c r="I12" s="150"/>
      <c r="J12" s="202"/>
      <c r="K12" s="102">
        <f>'3. Data_Input_Sheet'!I14</f>
        <v>0</v>
      </c>
      <c r="L12" s="102"/>
      <c r="M12" s="150"/>
      <c r="N12" s="202"/>
      <c r="O12" s="102">
        <f>G12+K12</f>
        <v>21851554.864999995</v>
      </c>
      <c r="P12" s="202"/>
      <c r="Q12" s="150"/>
      <c r="R12" s="202"/>
      <c r="S12" s="102">
        <f>'3. Data_Input_Sheet'!Q14</f>
        <v>0</v>
      </c>
      <c r="T12" s="202"/>
      <c r="U12" s="150"/>
      <c r="V12" s="202"/>
      <c r="W12" s="102">
        <f>G12+K12+S12</f>
        <v>21851554.864999995</v>
      </c>
      <c r="Z12" s="55"/>
      <c r="AA12" s="55"/>
      <c r="AB12" s="55"/>
    </row>
    <row r="13" spans="2:28" x14ac:dyDescent="0.2">
      <c r="B13" s="4">
        <v>2</v>
      </c>
      <c r="D13" s="5" t="s">
        <v>103</v>
      </c>
      <c r="E13" s="18" t="s">
        <v>98</v>
      </c>
      <c r="F13" s="35"/>
      <c r="G13" s="104">
        <f>'3. Data_Input_Sheet'!E15</f>
        <v>-11281422.792877778</v>
      </c>
      <c r="H13" s="102"/>
      <c r="I13" s="150"/>
      <c r="J13" s="202"/>
      <c r="K13" s="104">
        <f>'3. Data_Input_Sheet'!I15</f>
        <v>0</v>
      </c>
      <c r="L13" s="102"/>
      <c r="M13" s="150"/>
      <c r="N13" s="202"/>
      <c r="O13" s="104">
        <f>G13+K13</f>
        <v>-11281422.792877778</v>
      </c>
      <c r="P13" s="202"/>
      <c r="Q13" s="150"/>
      <c r="R13" s="202"/>
      <c r="S13" s="104">
        <f>'3. Data_Input_Sheet'!Q15</f>
        <v>0</v>
      </c>
      <c r="T13" s="202"/>
      <c r="U13" s="150"/>
      <c r="V13" s="202"/>
      <c r="W13" s="104">
        <f>G13+K13+S13</f>
        <v>-11281422.792877778</v>
      </c>
    </row>
    <row r="14" spans="2:28" x14ac:dyDescent="0.2">
      <c r="B14" s="4">
        <v>3</v>
      </c>
      <c r="D14" s="62" t="s">
        <v>104</v>
      </c>
      <c r="E14" s="18" t="s">
        <v>98</v>
      </c>
      <c r="F14" s="35"/>
      <c r="G14" s="48">
        <f>SUM(G12:G13)</f>
        <v>10570132.072122216</v>
      </c>
      <c r="H14" s="48"/>
      <c r="I14" s="131"/>
      <c r="J14" s="131"/>
      <c r="K14" s="48">
        <f>SUM(K12:K13)</f>
        <v>0</v>
      </c>
      <c r="L14" s="48"/>
      <c r="M14" s="131"/>
      <c r="N14" s="131"/>
      <c r="O14" s="48">
        <f>SUM(O12:O13)</f>
        <v>10570132.072122216</v>
      </c>
      <c r="P14" s="131"/>
      <c r="Q14" s="131"/>
      <c r="R14" s="131"/>
      <c r="S14" s="48">
        <f>SUM(S12:S13)</f>
        <v>0</v>
      </c>
      <c r="T14" s="131"/>
      <c r="U14" s="131"/>
      <c r="V14" s="131"/>
      <c r="W14" s="48">
        <f>SUM(W12:W13)</f>
        <v>10570132.072122216</v>
      </c>
    </row>
    <row r="15" spans="2:28" x14ac:dyDescent="0.2">
      <c r="B15" s="4"/>
      <c r="E15" s="4"/>
      <c r="F15" s="35"/>
      <c r="G15" s="48"/>
      <c r="H15" s="48"/>
      <c r="I15" s="131"/>
      <c r="J15" s="131"/>
      <c r="K15" s="48"/>
      <c r="L15" s="48"/>
      <c r="M15" s="131"/>
      <c r="N15" s="131"/>
      <c r="O15" s="48"/>
      <c r="P15" s="131"/>
      <c r="Q15" s="131"/>
      <c r="R15" s="131"/>
      <c r="S15" s="48"/>
      <c r="T15" s="131"/>
      <c r="U15" s="131"/>
      <c r="V15" s="131"/>
      <c r="W15" s="48"/>
    </row>
    <row r="16" spans="2:28" x14ac:dyDescent="0.2">
      <c r="B16" s="4">
        <v>4</v>
      </c>
      <c r="D16" s="129" t="s">
        <v>58</v>
      </c>
      <c r="E16" s="174" t="s">
        <v>2</v>
      </c>
      <c r="F16" s="35"/>
      <c r="G16" s="56">
        <f>G29</f>
        <v>2390885.468096714</v>
      </c>
      <c r="H16" s="48"/>
      <c r="I16" s="131"/>
      <c r="J16" s="131"/>
      <c r="K16" s="56">
        <f>K29</f>
        <v>-198175.44453978026</v>
      </c>
      <c r="L16" s="48"/>
      <c r="M16" s="131"/>
      <c r="N16" s="131"/>
      <c r="O16" s="56">
        <f>O29</f>
        <v>2192710.0235569337</v>
      </c>
      <c r="P16" s="131"/>
      <c r="Q16" s="131"/>
      <c r="R16" s="131"/>
      <c r="S16" s="56">
        <f>S29</f>
        <v>0</v>
      </c>
      <c r="T16" s="131"/>
      <c r="U16" s="131"/>
      <c r="V16" s="131"/>
      <c r="W16" s="56">
        <f>W29</f>
        <v>2192710.0235569337</v>
      </c>
    </row>
    <row r="17" spans="2:26" x14ac:dyDescent="0.2">
      <c r="B17" s="4"/>
      <c r="D17" s="485" t="s">
        <v>1</v>
      </c>
      <c r="E17" s="38"/>
      <c r="F17" s="72"/>
      <c r="G17" s="483">
        <f>G16+G14</f>
        <v>12961017.540218931</v>
      </c>
      <c r="H17" s="50"/>
      <c r="I17" s="131"/>
      <c r="J17" s="131"/>
      <c r="K17" s="483">
        <f>K16+K14</f>
        <v>-198175.44453978026</v>
      </c>
      <c r="L17" s="50"/>
      <c r="M17" s="131"/>
      <c r="N17" s="131"/>
      <c r="O17" s="483">
        <f>O16+O14</f>
        <v>12762842.095679149</v>
      </c>
      <c r="P17" s="131"/>
      <c r="Q17" s="131"/>
      <c r="R17" s="131"/>
      <c r="S17" s="483">
        <f>S16+S14</f>
        <v>0</v>
      </c>
      <c r="T17" s="131"/>
      <c r="U17" s="131"/>
      <c r="V17" s="131"/>
      <c r="W17" s="483">
        <f>W14+W16</f>
        <v>12762842.095679149</v>
      </c>
    </row>
    <row r="18" spans="2:26" ht="13.5" thickBot="1" x14ac:dyDescent="0.25">
      <c r="B18" s="4">
        <v>5</v>
      </c>
      <c r="D18" s="486"/>
      <c r="E18" s="38"/>
      <c r="F18" s="72"/>
      <c r="G18" s="484"/>
      <c r="H18" s="50"/>
      <c r="I18" s="103"/>
      <c r="J18" s="103"/>
      <c r="K18" s="484"/>
      <c r="L18" s="50"/>
      <c r="M18" s="103"/>
      <c r="N18" s="103"/>
      <c r="O18" s="484"/>
      <c r="P18" s="103"/>
      <c r="Q18" s="103"/>
      <c r="R18" s="103"/>
      <c r="S18" s="484"/>
      <c r="T18" s="103"/>
      <c r="U18" s="103"/>
      <c r="V18" s="103"/>
      <c r="W18" s="484"/>
    </row>
    <row r="19" spans="2:26" ht="56.25" customHeight="1" thickTop="1" x14ac:dyDescent="0.2">
      <c r="B19" s="4"/>
    </row>
    <row r="20" spans="2:26" x14ac:dyDescent="0.2">
      <c r="B20" s="68"/>
      <c r="C20" s="35"/>
      <c r="D20" s="35"/>
      <c r="E20" s="35"/>
      <c r="F20" s="35"/>
      <c r="G20" s="35"/>
      <c r="H20" s="35"/>
      <c r="I20" s="35"/>
      <c r="J20" s="35"/>
      <c r="K20" s="35"/>
      <c r="L20" s="35"/>
      <c r="M20" s="35"/>
      <c r="N20" s="35"/>
      <c r="O20" s="35"/>
      <c r="P20" s="35"/>
      <c r="Q20" s="35"/>
      <c r="R20" s="35"/>
      <c r="S20" s="35"/>
      <c r="T20" s="35"/>
      <c r="U20" s="35"/>
      <c r="V20" s="35"/>
      <c r="W20" s="35"/>
      <c r="X20" s="35"/>
    </row>
    <row r="21" spans="2:26" x14ac:dyDescent="0.2">
      <c r="B21" s="72"/>
      <c r="C21" s="390" t="s">
        <v>2</v>
      </c>
      <c r="D21" s="487"/>
      <c r="E21" s="488"/>
      <c r="F21" s="488"/>
      <c r="G21" s="488"/>
      <c r="H21" s="488"/>
      <c r="I21" s="488"/>
      <c r="J21" s="488"/>
      <c r="K21" s="488"/>
      <c r="L21" s="488"/>
      <c r="M21" s="488"/>
      <c r="N21" s="488"/>
      <c r="O21" s="488"/>
      <c r="P21" s="488"/>
      <c r="Q21" s="488"/>
      <c r="R21" s="488"/>
      <c r="S21" s="488"/>
      <c r="T21" s="488"/>
      <c r="U21" s="488"/>
      <c r="V21" s="488"/>
      <c r="W21" s="488"/>
      <c r="X21" s="132"/>
      <c r="Y21" s="15"/>
      <c r="Z21" s="15"/>
    </row>
    <row r="22" spans="2:26" x14ac:dyDescent="0.2">
      <c r="B22" s="72"/>
      <c r="C22" s="91"/>
      <c r="D22" s="133"/>
      <c r="E22" s="91"/>
      <c r="F22" s="91"/>
      <c r="G22" s="91"/>
      <c r="H22" s="91"/>
      <c r="I22" s="91"/>
      <c r="J22" s="91"/>
      <c r="K22" s="91"/>
      <c r="L22" s="91"/>
      <c r="M22" s="91"/>
      <c r="N22" s="91"/>
      <c r="O22" s="91"/>
      <c r="P22" s="91"/>
      <c r="Q22" s="91"/>
      <c r="R22" s="91"/>
      <c r="S22" s="91"/>
      <c r="T22" s="91"/>
      <c r="U22" s="91"/>
      <c r="V22" s="91"/>
      <c r="W22" s="134"/>
      <c r="X22" s="91"/>
      <c r="Y22" s="15"/>
      <c r="Z22" s="15"/>
    </row>
    <row r="23" spans="2:26" x14ac:dyDescent="0.2">
      <c r="B23" s="68">
        <v>6</v>
      </c>
      <c r="C23" s="35"/>
      <c r="D23" s="67" t="s">
        <v>9</v>
      </c>
      <c r="E23" s="35"/>
      <c r="F23" s="35"/>
      <c r="G23" s="102">
        <f>'3. Data_Input_Sheet'!E17</f>
        <v>2826830.94</v>
      </c>
      <c r="H23" s="102"/>
      <c r="I23" s="150"/>
      <c r="J23" s="202"/>
      <c r="K23" s="102">
        <f>'3. Data_Input_Sheet'!I17</f>
        <v>-252577</v>
      </c>
      <c r="L23" s="102"/>
      <c r="M23" s="150"/>
      <c r="N23" s="202"/>
      <c r="O23" s="102">
        <f>G23+K23</f>
        <v>2574253.94</v>
      </c>
      <c r="P23" s="202"/>
      <c r="Q23" s="150"/>
      <c r="R23" s="202"/>
      <c r="S23" s="102">
        <f>'3. Data_Input_Sheet'!Q17</f>
        <v>0</v>
      </c>
      <c r="T23" s="202"/>
      <c r="U23" s="150"/>
      <c r="V23" s="202"/>
      <c r="W23" s="127">
        <f>G23+K23+S23</f>
        <v>2574253.94</v>
      </c>
      <c r="X23" s="35"/>
    </row>
    <row r="24" spans="2:26" x14ac:dyDescent="0.2">
      <c r="B24" s="68">
        <v>7</v>
      </c>
      <c r="C24" s="35"/>
      <c r="D24" s="128" t="s">
        <v>5</v>
      </c>
      <c r="E24" s="35"/>
      <c r="F24" s="35"/>
      <c r="G24" s="104">
        <f>'3. Data_Input_Sheet'!E18</f>
        <v>13112405.513978096</v>
      </c>
      <c r="H24" s="102"/>
      <c r="I24" s="150"/>
      <c r="J24" s="202"/>
      <c r="K24" s="104">
        <f>'3. Data_Input_Sheet'!I18</f>
        <v>-24445</v>
      </c>
      <c r="L24" s="102"/>
      <c r="M24" s="150"/>
      <c r="N24" s="202"/>
      <c r="O24" s="104">
        <f>G24+K24</f>
        <v>13087960.513978096</v>
      </c>
      <c r="P24" s="202"/>
      <c r="Q24" s="150"/>
      <c r="R24" s="202"/>
      <c r="S24" s="104">
        <f>'3. Data_Input_Sheet'!Q18</f>
        <v>0</v>
      </c>
      <c r="T24" s="202"/>
      <c r="U24" s="150"/>
      <c r="V24" s="202"/>
      <c r="W24" s="135">
        <f>G24+K24+S24</f>
        <v>13087960.513978096</v>
      </c>
      <c r="X24" s="35"/>
    </row>
    <row r="25" spans="2:26" x14ac:dyDescent="0.2">
      <c r="B25" s="68">
        <v>8</v>
      </c>
      <c r="C25" s="35"/>
      <c r="D25" s="67" t="s">
        <v>10</v>
      </c>
      <c r="E25" s="35"/>
      <c r="F25" s="35"/>
      <c r="G25" s="48">
        <f>SUM(G23:G24)</f>
        <v>15939236.453978095</v>
      </c>
      <c r="H25" s="48"/>
      <c r="I25" s="131"/>
      <c r="J25" s="162"/>
      <c r="K25" s="48">
        <f>K23+K24</f>
        <v>-277022</v>
      </c>
      <c r="L25" s="48"/>
      <c r="M25" s="131"/>
      <c r="N25" s="131"/>
      <c r="O25" s="48">
        <f>SUM(O23:O24)</f>
        <v>15662214.453978095</v>
      </c>
      <c r="P25" s="131"/>
      <c r="Q25" s="131"/>
      <c r="R25" s="131"/>
      <c r="S25" s="48">
        <f>S23+S24</f>
        <v>0</v>
      </c>
      <c r="T25" s="131"/>
      <c r="U25" s="131"/>
      <c r="V25" s="131"/>
      <c r="W25" s="70">
        <f>SUM(W23:W24)</f>
        <v>15662214.453978095</v>
      </c>
      <c r="X25" s="35"/>
    </row>
    <row r="26" spans="2:26" x14ac:dyDescent="0.2">
      <c r="B26" s="68"/>
      <c r="C26" s="35"/>
      <c r="D26" s="67"/>
      <c r="E26" s="35"/>
      <c r="F26" s="35"/>
      <c r="G26" s="35"/>
      <c r="H26" s="35"/>
      <c r="I26" s="35"/>
      <c r="J26" s="31"/>
      <c r="K26" s="35"/>
      <c r="L26" s="35"/>
      <c r="M26" s="35"/>
      <c r="N26" s="35"/>
      <c r="O26" s="35"/>
      <c r="P26" s="35"/>
      <c r="Q26" s="35"/>
      <c r="R26" s="35"/>
      <c r="S26" s="35"/>
      <c r="T26" s="35"/>
      <c r="U26" s="35"/>
      <c r="V26" s="35"/>
      <c r="W26" s="36"/>
      <c r="X26" s="35"/>
    </row>
    <row r="27" spans="2:26" x14ac:dyDescent="0.2">
      <c r="B27" s="75">
        <v>9</v>
      </c>
      <c r="C27" s="31"/>
      <c r="D27" s="67" t="s">
        <v>82</v>
      </c>
      <c r="E27" s="136" t="s">
        <v>3</v>
      </c>
      <c r="F27" s="35"/>
      <c r="G27" s="82">
        <f>'3. Data_Input_Sheet'!E19</f>
        <v>0.15</v>
      </c>
      <c r="H27" s="82"/>
      <c r="I27" s="150"/>
      <c r="J27" s="202"/>
      <c r="K27" s="90">
        <f>O27-G27</f>
        <v>-9.9999999999999811E-3</v>
      </c>
      <c r="L27" s="90"/>
      <c r="M27" s="150"/>
      <c r="N27" s="90"/>
      <c r="O27" s="82">
        <f>'3. Data_Input_Sheet'!M19</f>
        <v>0.14000000000000001</v>
      </c>
      <c r="P27" s="90"/>
      <c r="Q27" s="150"/>
      <c r="R27" s="90"/>
      <c r="S27" s="90">
        <f>W27-O27</f>
        <v>0</v>
      </c>
      <c r="T27" s="90"/>
      <c r="U27" s="150"/>
      <c r="V27" s="90"/>
      <c r="W27" s="137">
        <f>'3. Data_Input_Sheet'!U19</f>
        <v>0.14000000000000001</v>
      </c>
      <c r="X27" s="35"/>
    </row>
    <row r="28" spans="2:26" ht="13.5" thickBot="1" x14ac:dyDescent="0.25">
      <c r="B28" s="68"/>
      <c r="C28" s="35"/>
      <c r="D28" s="67"/>
      <c r="E28" s="35"/>
      <c r="F28" s="35"/>
      <c r="G28" s="138"/>
      <c r="H28" s="35"/>
      <c r="I28" s="35"/>
      <c r="J28" s="35"/>
      <c r="K28" s="138"/>
      <c r="L28" s="35"/>
      <c r="M28" s="35"/>
      <c r="N28" s="35"/>
      <c r="O28" s="138"/>
      <c r="P28" s="35"/>
      <c r="Q28" s="35"/>
      <c r="R28" s="35"/>
      <c r="S28" s="138"/>
      <c r="T28" s="35"/>
      <c r="U28" s="35"/>
      <c r="V28" s="35"/>
      <c r="W28" s="139"/>
      <c r="X28" s="35"/>
    </row>
    <row r="29" spans="2:26" ht="13.5" thickTop="1" x14ac:dyDescent="0.2">
      <c r="B29" s="75">
        <v>10</v>
      </c>
      <c r="C29" s="31"/>
      <c r="D29" s="128" t="s">
        <v>0</v>
      </c>
      <c r="E29" s="129"/>
      <c r="F29" s="129"/>
      <c r="G29" s="104">
        <f>G25*G27</f>
        <v>2390885.468096714</v>
      </c>
      <c r="H29" s="104"/>
      <c r="I29" s="104"/>
      <c r="J29" s="104"/>
      <c r="K29" s="104">
        <f>O29-G29</f>
        <v>-198175.44453978026</v>
      </c>
      <c r="L29" s="104"/>
      <c r="M29" s="104"/>
      <c r="N29" s="104"/>
      <c r="O29" s="104">
        <f>O25*O27</f>
        <v>2192710.0235569337</v>
      </c>
      <c r="P29" s="104"/>
      <c r="Q29" s="104"/>
      <c r="R29" s="104"/>
      <c r="S29" s="104">
        <f>W29-O29</f>
        <v>0</v>
      </c>
      <c r="T29" s="104"/>
      <c r="U29" s="104"/>
      <c r="V29" s="104"/>
      <c r="W29" s="135">
        <f>W25*W27</f>
        <v>2192710.0235569337</v>
      </c>
      <c r="X29" s="35"/>
    </row>
    <row r="30" spans="2:26" ht="5.25" customHeight="1" x14ac:dyDescent="0.2">
      <c r="B30" s="35"/>
      <c r="C30" s="35"/>
      <c r="D30" s="35"/>
      <c r="E30" s="35"/>
      <c r="F30" s="35"/>
      <c r="G30" s="35"/>
      <c r="H30" s="35"/>
      <c r="I30" s="35"/>
      <c r="J30" s="35"/>
      <c r="K30" s="35"/>
      <c r="L30" s="35"/>
      <c r="M30" s="35"/>
      <c r="N30" s="35"/>
      <c r="O30" s="35"/>
      <c r="P30" s="35"/>
      <c r="Q30" s="35"/>
      <c r="R30" s="35"/>
      <c r="S30" s="35"/>
      <c r="T30" s="35"/>
      <c r="U30" s="35"/>
      <c r="V30" s="35"/>
      <c r="W30" s="35"/>
      <c r="X30" s="35"/>
    </row>
    <row r="31" spans="2:26" ht="6.75" customHeight="1" x14ac:dyDescent="0.2"/>
    <row r="32" spans="2:26" x14ac:dyDescent="0.2">
      <c r="B32" s="481" t="s">
        <v>38</v>
      </c>
      <c r="C32" s="481"/>
      <c r="D32" s="481"/>
      <c r="E32" s="481"/>
      <c r="F32" s="481"/>
      <c r="G32" s="481"/>
      <c r="H32" s="481"/>
      <c r="I32" s="481"/>
      <c r="J32" s="481"/>
      <c r="K32" s="481"/>
      <c r="L32" s="481"/>
      <c r="M32" s="481"/>
      <c r="N32" s="481"/>
      <c r="O32" s="481"/>
      <c r="P32" s="481"/>
      <c r="Q32" s="481"/>
      <c r="R32" s="481"/>
      <c r="S32" s="481"/>
      <c r="T32" s="481"/>
      <c r="U32" s="481"/>
      <c r="V32" s="481"/>
      <c r="W32" s="481"/>
    </row>
    <row r="33" spans="2:23" x14ac:dyDescent="0.2">
      <c r="B33" s="140" t="s">
        <v>3</v>
      </c>
      <c r="D33" s="475" t="s">
        <v>328</v>
      </c>
      <c r="E33" s="475"/>
      <c r="F33" s="475"/>
      <c r="G33" s="475"/>
      <c r="H33" s="475"/>
      <c r="I33" s="475"/>
      <c r="J33" s="475"/>
      <c r="K33" s="475"/>
      <c r="L33" s="475"/>
      <c r="M33" s="475"/>
      <c r="N33" s="475"/>
      <c r="O33" s="475"/>
      <c r="P33" s="475"/>
      <c r="Q33" s="475"/>
      <c r="R33" s="475"/>
      <c r="S33" s="475"/>
      <c r="T33" s="475"/>
      <c r="U33" s="475"/>
      <c r="V33" s="475"/>
      <c r="W33" s="475"/>
    </row>
    <row r="34" spans="2:23" x14ac:dyDescent="0.2">
      <c r="B34" s="141" t="s">
        <v>98</v>
      </c>
      <c r="C34" s="27"/>
      <c r="D34" s="473" t="s">
        <v>135</v>
      </c>
      <c r="E34" s="473"/>
      <c r="F34" s="473"/>
      <c r="G34" s="473"/>
      <c r="H34" s="473"/>
      <c r="I34" s="473"/>
      <c r="J34" s="473"/>
      <c r="K34" s="473"/>
      <c r="L34" s="473"/>
      <c r="M34" s="473"/>
      <c r="N34" s="473"/>
      <c r="O34" s="473"/>
      <c r="P34" s="473"/>
      <c r="Q34" s="473"/>
      <c r="R34" s="473"/>
      <c r="S34" s="473"/>
      <c r="T34" s="473"/>
      <c r="U34" s="473"/>
      <c r="V34" s="473"/>
      <c r="W34" s="473"/>
    </row>
    <row r="35" spans="2:23" x14ac:dyDescent="0.2">
      <c r="B35" s="150"/>
      <c r="D35" s="479"/>
      <c r="E35" s="479"/>
      <c r="F35" s="479"/>
      <c r="G35" s="479"/>
      <c r="H35" s="479"/>
      <c r="I35" s="479"/>
      <c r="J35" s="479"/>
      <c r="K35" s="479"/>
      <c r="L35" s="479"/>
      <c r="M35" s="479"/>
      <c r="N35" s="479"/>
      <c r="O35" s="479"/>
      <c r="P35" s="479"/>
      <c r="Q35" s="479"/>
      <c r="R35" s="479"/>
      <c r="S35" s="479"/>
      <c r="T35" s="479"/>
      <c r="U35" s="479"/>
      <c r="V35" s="479"/>
      <c r="W35" s="479"/>
    </row>
    <row r="36" spans="2:23" x14ac:dyDescent="0.2">
      <c r="B36" s="150"/>
      <c r="D36" s="479"/>
      <c r="E36" s="479"/>
      <c r="F36" s="479"/>
      <c r="G36" s="479"/>
      <c r="H36" s="479"/>
      <c r="I36" s="479"/>
      <c r="J36" s="479"/>
      <c r="K36" s="479"/>
      <c r="L36" s="479"/>
      <c r="M36" s="479"/>
      <c r="N36" s="479"/>
      <c r="O36" s="479"/>
      <c r="P36" s="479"/>
      <c r="Q36" s="479"/>
      <c r="R36" s="479"/>
      <c r="S36" s="479"/>
      <c r="T36" s="479"/>
      <c r="U36" s="479"/>
      <c r="V36" s="479"/>
      <c r="W36" s="479"/>
    </row>
    <row r="37" spans="2:23" x14ac:dyDescent="0.2">
      <c r="B37" s="150"/>
      <c r="D37" s="479"/>
      <c r="E37" s="479"/>
      <c r="F37" s="479"/>
      <c r="G37" s="479"/>
      <c r="H37" s="479"/>
      <c r="I37" s="479"/>
      <c r="J37" s="479"/>
      <c r="K37" s="479"/>
      <c r="L37" s="479"/>
      <c r="M37" s="479"/>
      <c r="N37" s="479"/>
      <c r="O37" s="479"/>
      <c r="P37" s="479"/>
      <c r="Q37" s="479"/>
      <c r="R37" s="479"/>
      <c r="S37" s="479"/>
      <c r="T37" s="479"/>
      <c r="U37" s="479"/>
      <c r="V37" s="479"/>
      <c r="W37" s="479"/>
    </row>
    <row r="38" spans="2:23" x14ac:dyDescent="0.2">
      <c r="B38" s="150"/>
      <c r="D38" s="479"/>
      <c r="E38" s="479"/>
      <c r="F38" s="479"/>
      <c r="G38" s="479"/>
      <c r="H38" s="479"/>
      <c r="I38" s="479"/>
      <c r="J38" s="479"/>
      <c r="K38" s="479"/>
      <c r="L38" s="479"/>
      <c r="M38" s="479"/>
      <c r="N38" s="479"/>
      <c r="O38" s="479"/>
      <c r="P38" s="479"/>
      <c r="Q38" s="479"/>
      <c r="R38" s="479"/>
      <c r="S38" s="479"/>
      <c r="T38" s="479"/>
      <c r="U38" s="479"/>
      <c r="V38" s="479"/>
      <c r="W38" s="479"/>
    </row>
    <row r="39" spans="2:23" x14ac:dyDescent="0.2">
      <c r="B39" s="150"/>
      <c r="D39" s="479"/>
      <c r="E39" s="479"/>
      <c r="F39" s="479"/>
      <c r="G39" s="479"/>
      <c r="H39" s="479"/>
      <c r="I39" s="479"/>
      <c r="J39" s="479"/>
      <c r="K39" s="479"/>
      <c r="L39" s="479"/>
      <c r="M39" s="479"/>
      <c r="N39" s="479"/>
      <c r="O39" s="479"/>
      <c r="P39" s="479"/>
      <c r="Q39" s="479"/>
      <c r="R39" s="479"/>
      <c r="S39" s="479"/>
      <c r="T39" s="479"/>
      <c r="U39" s="479"/>
      <c r="V39" s="479"/>
      <c r="W39" s="479"/>
    </row>
    <row r="40" spans="2:23" x14ac:dyDescent="0.2">
      <c r="B40" s="150"/>
      <c r="D40" s="479"/>
      <c r="E40" s="479"/>
      <c r="F40" s="479"/>
      <c r="G40" s="479"/>
      <c r="H40" s="479"/>
      <c r="I40" s="479"/>
      <c r="J40" s="479"/>
      <c r="K40" s="479"/>
      <c r="L40" s="479"/>
      <c r="M40" s="479"/>
      <c r="N40" s="479"/>
      <c r="O40" s="479"/>
      <c r="P40" s="479"/>
      <c r="Q40" s="479"/>
      <c r="R40" s="479"/>
      <c r="S40" s="479"/>
      <c r="T40" s="479"/>
      <c r="U40" s="479"/>
      <c r="V40" s="479"/>
      <c r="W40" s="479"/>
    </row>
    <row r="41" spans="2:23" x14ac:dyDescent="0.2">
      <c r="B41" s="150"/>
      <c r="D41" s="479"/>
      <c r="E41" s="479"/>
      <c r="F41" s="479"/>
      <c r="G41" s="479"/>
      <c r="H41" s="479"/>
      <c r="I41" s="479"/>
      <c r="J41" s="479"/>
      <c r="K41" s="479"/>
      <c r="L41" s="479"/>
      <c r="M41" s="479"/>
      <c r="N41" s="479"/>
      <c r="O41" s="479"/>
      <c r="P41" s="479"/>
      <c r="Q41" s="479"/>
      <c r="R41" s="479"/>
      <c r="S41" s="479"/>
      <c r="T41" s="479"/>
      <c r="U41" s="479"/>
      <c r="V41" s="479"/>
      <c r="W41" s="479"/>
    </row>
  </sheetData>
  <sheetProtection password="82A3" sheet="1" objects="1" scenarios="1"/>
  <mergeCells count="22">
    <mergeCell ref="D40:W40"/>
    <mergeCell ref="D41:W41"/>
    <mergeCell ref="D36:W36"/>
    <mergeCell ref="D37:W37"/>
    <mergeCell ref="D38:W38"/>
    <mergeCell ref="D39:W39"/>
    <mergeCell ref="D35:W35"/>
    <mergeCell ref="C3:G3"/>
    <mergeCell ref="C4:G4"/>
    <mergeCell ref="C1:K1"/>
    <mergeCell ref="C2:W2"/>
    <mergeCell ref="B32:W32"/>
    <mergeCell ref="F8:W8"/>
    <mergeCell ref="G17:G18"/>
    <mergeCell ref="K17:K18"/>
    <mergeCell ref="W17:W18"/>
    <mergeCell ref="D17:D18"/>
    <mergeCell ref="D21:W21"/>
    <mergeCell ref="O17:O18"/>
    <mergeCell ref="S17:S18"/>
    <mergeCell ref="D33:W33"/>
    <mergeCell ref="D34:W34"/>
  </mergeCells>
  <phoneticPr fontId="2" type="noConversion"/>
  <conditionalFormatting sqref="K10 O10 S10">
    <cfRule type="cellIs" dxfId="6" priority="1" stopIfTrue="1" operator="notEqual">
      <formula>""</formula>
    </cfRule>
  </conditionalFormatting>
  <pageMargins left="0.75" right="0.75" top="0.56999999999999995" bottom="1" header="0.34" footer="0.5"/>
  <pageSetup scale="72" orientation="landscape" r:id="rId1"/>
  <headerFooter alignWithMargins="0">
    <oddFooter>&amp;C3</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B1:Z54"/>
  <sheetViews>
    <sheetView showGridLines="0" zoomScale="90" zoomScaleNormal="90" workbookViewId="0">
      <selection activeCell="O34" sqref="O34"/>
    </sheetView>
  </sheetViews>
  <sheetFormatPr defaultRowHeight="12.75" x14ac:dyDescent="0.2"/>
  <cols>
    <col min="1" max="1" width="1.42578125" style="5" customWidth="1"/>
    <col min="2" max="2" width="5.28515625" style="5" customWidth="1"/>
    <col min="3" max="3" width="8.28515625" style="5" customWidth="1"/>
    <col min="4" max="4" width="26.140625" style="5" customWidth="1"/>
    <col min="5" max="5" width="2.85546875" style="5" customWidth="1"/>
    <col min="6" max="6" width="15.42578125" style="5" customWidth="1"/>
    <col min="7" max="7" width="1.28515625" style="5" customWidth="1"/>
    <col min="8" max="8" width="2.85546875" style="5" customWidth="1"/>
    <col min="9" max="9" width="1.28515625" style="5" customWidth="1"/>
    <col min="10" max="10" width="15.140625" style="5" customWidth="1"/>
    <col min="11" max="11" width="1.28515625" style="5" customWidth="1"/>
    <col min="12" max="12" width="2.85546875" style="5" customWidth="1"/>
    <col min="13" max="13" width="1.28515625" style="5" customWidth="1"/>
    <col min="14" max="14" width="15.5703125" style="5" customWidth="1"/>
    <col min="15" max="15" width="1.28515625" style="5" customWidth="1"/>
    <col min="16" max="16" width="2.85546875" style="5" customWidth="1"/>
    <col min="17" max="17" width="1.28515625" style="5" customWidth="1"/>
    <col min="18" max="18" width="14.85546875" style="5" customWidth="1"/>
    <col min="19" max="19" width="1.28515625" style="5" customWidth="1"/>
    <col min="20" max="20" width="2.85546875" style="5" customWidth="1"/>
    <col min="21" max="21" width="1.28515625" style="5" customWidth="1"/>
    <col min="22" max="22" width="15.5703125" style="5" customWidth="1"/>
    <col min="23" max="23" width="1.42578125" style="5" customWidth="1"/>
    <col min="24" max="24" width="11.7109375" style="5" bestFit="1" customWidth="1"/>
    <col min="25" max="16384" width="9.140625" style="5"/>
  </cols>
  <sheetData>
    <row r="1" spans="2:24" s="2" customFormat="1" ht="36.75" customHeight="1" x14ac:dyDescent="0.2">
      <c r="C1" s="480"/>
      <c r="D1" s="480"/>
      <c r="E1" s="480"/>
      <c r="F1" s="480"/>
      <c r="G1" s="480"/>
      <c r="H1" s="480"/>
      <c r="I1" s="480"/>
      <c r="J1" s="480"/>
      <c r="K1" s="480"/>
      <c r="L1" s="480"/>
      <c r="M1" s="145"/>
      <c r="N1" s="145"/>
      <c r="O1" s="145"/>
      <c r="P1" s="145"/>
      <c r="Q1" s="145"/>
      <c r="R1" s="145"/>
      <c r="S1" s="145"/>
      <c r="T1" s="145"/>
      <c r="U1" s="145"/>
      <c r="V1" s="152"/>
    </row>
    <row r="2" spans="2:24" s="2" customFormat="1" ht="36.75" customHeight="1" x14ac:dyDescent="0.25">
      <c r="C2" s="474"/>
      <c r="D2" s="474"/>
      <c r="E2" s="474"/>
      <c r="F2" s="474"/>
      <c r="G2" s="474"/>
      <c r="H2" s="474"/>
      <c r="I2" s="474"/>
      <c r="J2" s="474"/>
      <c r="K2" s="474"/>
      <c r="L2" s="474"/>
      <c r="M2" s="474"/>
      <c r="N2" s="474"/>
      <c r="O2" s="474"/>
      <c r="P2" s="474"/>
      <c r="Q2" s="474"/>
      <c r="R2" s="474"/>
      <c r="S2" s="474"/>
      <c r="T2" s="474"/>
      <c r="U2" s="474"/>
      <c r="V2" s="474"/>
    </row>
    <row r="3" spans="2:24" s="2" customFormat="1" ht="36.75" customHeight="1" x14ac:dyDescent="0.25">
      <c r="C3" s="474"/>
      <c r="D3" s="474"/>
      <c r="E3" s="474"/>
      <c r="F3" s="474"/>
      <c r="G3" s="474"/>
      <c r="H3" s="474"/>
      <c r="I3" s="37"/>
      <c r="J3" s="34"/>
      <c r="K3" s="34"/>
      <c r="L3" s="34"/>
      <c r="M3" s="34"/>
      <c r="N3" s="34"/>
      <c r="O3" s="34"/>
      <c r="P3" s="34"/>
      <c r="Q3" s="34"/>
      <c r="R3" s="34"/>
      <c r="S3" s="34"/>
      <c r="T3" s="34"/>
      <c r="U3" s="34"/>
    </row>
    <row r="4" spans="2:24" s="2" customFormat="1" ht="36.75" customHeight="1" x14ac:dyDescent="0.25">
      <c r="C4" s="474"/>
      <c r="D4" s="474"/>
      <c r="E4" s="474"/>
      <c r="F4" s="474"/>
      <c r="G4" s="474"/>
      <c r="H4" s="474"/>
      <c r="I4" s="37"/>
      <c r="J4" s="34"/>
      <c r="K4" s="34"/>
      <c r="L4" s="34"/>
      <c r="M4" s="34"/>
      <c r="N4" s="34"/>
      <c r="O4" s="34"/>
      <c r="P4" s="34"/>
      <c r="Q4" s="34"/>
      <c r="R4" s="34"/>
      <c r="S4" s="34"/>
      <c r="T4" s="34"/>
      <c r="U4" s="34"/>
    </row>
    <row r="5" spans="2:24" s="2" customFormat="1" ht="36.75" customHeight="1" x14ac:dyDescent="0.25">
      <c r="E5" s="3"/>
      <c r="F5" s="3"/>
      <c r="G5" s="3"/>
    </row>
    <row r="6" spans="2:24" s="2" customFormat="1" ht="36.75" customHeight="1" x14ac:dyDescent="0.2"/>
    <row r="7" spans="2:24" ht="4.5" customHeight="1" x14ac:dyDescent="0.2"/>
    <row r="8" spans="2:24" ht="15.75" x14ac:dyDescent="0.25">
      <c r="D8" s="121"/>
      <c r="E8" s="60"/>
      <c r="F8" s="482"/>
      <c r="G8" s="482"/>
      <c r="H8" s="482"/>
      <c r="I8" s="482"/>
      <c r="J8" s="482"/>
      <c r="K8" s="482"/>
      <c r="L8" s="482"/>
      <c r="M8" s="482"/>
      <c r="N8" s="482"/>
      <c r="O8" s="482"/>
      <c r="P8" s="482"/>
      <c r="Q8" s="482"/>
      <c r="R8" s="482"/>
      <c r="S8" s="482"/>
      <c r="T8" s="482"/>
      <c r="U8" s="482"/>
      <c r="V8" s="482"/>
      <c r="W8" s="60"/>
    </row>
    <row r="10" spans="2:24" ht="30.75" customHeight="1" x14ac:dyDescent="0.2">
      <c r="B10" s="42" t="s">
        <v>37</v>
      </c>
      <c r="D10" s="43" t="s">
        <v>41</v>
      </c>
      <c r="E10" s="122"/>
      <c r="F10" s="391" t="s">
        <v>159</v>
      </c>
      <c r="G10" s="149"/>
      <c r="H10" s="27"/>
      <c r="I10" s="27"/>
      <c r="J10" s="391" t="str">
        <f>IF(N10="","","Adjustments")</f>
        <v>Adjustments</v>
      </c>
      <c r="K10" s="149"/>
      <c r="L10" s="27"/>
      <c r="M10" s="27"/>
      <c r="N10" s="391" t="str">
        <f>IF(ISBLANK('3. Data_Input_Sheet'!M10:M11),"",'3. Data_Input_Sheet'!M10:M11)</f>
        <v>Settlement Agreement</v>
      </c>
      <c r="O10" s="27"/>
      <c r="P10" s="27"/>
      <c r="Q10" s="27"/>
      <c r="R10" s="391" t="str">
        <f>IF(N10="","","Adjustments")</f>
        <v>Adjustments</v>
      </c>
      <c r="S10" s="27"/>
      <c r="T10" s="27"/>
      <c r="U10" s="27"/>
      <c r="V10" s="391" t="str">
        <f>'3. Data_Input_Sheet'!U10</f>
        <v>Per Board Decision</v>
      </c>
    </row>
    <row r="12" spans="2:24" x14ac:dyDescent="0.2">
      <c r="D12" s="28" t="s">
        <v>24</v>
      </c>
    </row>
    <row r="13" spans="2:24" ht="25.5" x14ac:dyDescent="0.2">
      <c r="B13" s="178">
        <v>1</v>
      </c>
      <c r="D13" s="29" t="s">
        <v>129</v>
      </c>
      <c r="E13" s="123"/>
      <c r="F13" s="295">
        <f>'3. Data_Input_Sheet'!E24</f>
        <v>3710035.656704416</v>
      </c>
      <c r="G13" s="295"/>
      <c r="H13" s="296"/>
      <c r="I13" s="304"/>
      <c r="J13" s="295">
        <f>N13-F13</f>
        <v>-324998.65670441603</v>
      </c>
      <c r="K13" s="295"/>
      <c r="L13" s="296"/>
      <c r="M13" s="304"/>
      <c r="N13" s="295">
        <f>'3. Data_Input_Sheet'!M24</f>
        <v>3385037</v>
      </c>
      <c r="O13" s="304"/>
      <c r="P13" s="296"/>
      <c r="Q13" s="304"/>
      <c r="R13" s="295">
        <f>V13-N13</f>
        <v>0</v>
      </c>
      <c r="S13" s="304"/>
      <c r="T13" s="296"/>
      <c r="U13" s="304"/>
      <c r="V13" s="295">
        <f>IF(ISBLANK('3. Data_Input_Sheet'!U24),'5. Utility Income'!N13,'3. Data_Input_Sheet'!U24)</f>
        <v>3385037</v>
      </c>
    </row>
    <row r="14" spans="2:24" x14ac:dyDescent="0.2">
      <c r="B14" s="178">
        <v>2</v>
      </c>
      <c r="D14" s="5" t="s">
        <v>64</v>
      </c>
      <c r="E14" s="18" t="s">
        <v>2</v>
      </c>
      <c r="F14" s="317">
        <f>F45</f>
        <v>554001.32999999996</v>
      </c>
      <c r="G14" s="318"/>
      <c r="H14" s="296"/>
      <c r="I14" s="304"/>
      <c r="J14" s="317">
        <f>N14-F14</f>
        <v>28896.670000000042</v>
      </c>
      <c r="K14" s="318"/>
      <c r="L14" s="296"/>
      <c r="M14" s="304"/>
      <c r="N14" s="317">
        <f>N45</f>
        <v>582898</v>
      </c>
      <c r="O14" s="304"/>
      <c r="P14" s="296"/>
      <c r="Q14" s="304"/>
      <c r="R14" s="317">
        <f>V14-N14</f>
        <v>0</v>
      </c>
      <c r="S14" s="304"/>
      <c r="T14" s="296"/>
      <c r="U14" s="304"/>
      <c r="V14" s="317">
        <f>V45</f>
        <v>582898</v>
      </c>
    </row>
    <row r="15" spans="2:24" x14ac:dyDescent="0.2">
      <c r="B15" s="178"/>
      <c r="F15" s="490">
        <f>SUM(F13:F14)</f>
        <v>4264036.9867044156</v>
      </c>
      <c r="G15" s="49"/>
      <c r="H15" s="336"/>
      <c r="I15" s="336"/>
      <c r="J15" s="490">
        <f>SUM(J13:J14)</f>
        <v>-296101.98670441599</v>
      </c>
      <c r="K15" s="49"/>
      <c r="L15" s="336"/>
      <c r="M15" s="337"/>
      <c r="N15" s="490">
        <f>SUM(N13:N14)</f>
        <v>3967935</v>
      </c>
      <c r="O15" s="337"/>
      <c r="P15" s="336"/>
      <c r="Q15" s="337"/>
      <c r="R15" s="490">
        <f>SUM(R13:R14)</f>
        <v>0</v>
      </c>
      <c r="S15" s="337"/>
      <c r="T15" s="336"/>
      <c r="U15" s="337"/>
      <c r="V15" s="490">
        <f>SUM(V13:V14)</f>
        <v>3967935</v>
      </c>
    </row>
    <row r="16" spans="2:24" x14ac:dyDescent="0.2">
      <c r="B16" s="178">
        <v>3</v>
      </c>
      <c r="D16" s="5" t="s">
        <v>114</v>
      </c>
      <c r="F16" s="498"/>
      <c r="G16" s="49"/>
      <c r="H16" s="336"/>
      <c r="I16" s="336"/>
      <c r="J16" s="498"/>
      <c r="K16" s="49"/>
      <c r="L16" s="336"/>
      <c r="M16" s="337"/>
      <c r="N16" s="498"/>
      <c r="O16" s="337"/>
      <c r="P16" s="336"/>
      <c r="Q16" s="337"/>
      <c r="R16" s="498"/>
      <c r="S16" s="337"/>
      <c r="T16" s="336"/>
      <c r="U16" s="337"/>
      <c r="V16" s="498"/>
      <c r="X16" s="23"/>
    </row>
    <row r="17" spans="2:26" x14ac:dyDescent="0.2">
      <c r="B17" s="178"/>
      <c r="F17" s="321"/>
      <c r="G17" s="321"/>
      <c r="H17" s="320"/>
      <c r="I17" s="320"/>
      <c r="J17" s="321"/>
      <c r="K17" s="321"/>
      <c r="L17" s="320"/>
      <c r="M17" s="298"/>
      <c r="N17" s="321"/>
      <c r="O17" s="298"/>
      <c r="P17" s="320"/>
      <c r="Q17" s="298"/>
      <c r="R17" s="321"/>
      <c r="S17" s="298"/>
      <c r="T17" s="320"/>
      <c r="U17" s="298"/>
      <c r="V17" s="321"/>
    </row>
    <row r="18" spans="2:26" x14ac:dyDescent="0.2">
      <c r="B18" s="178"/>
      <c r="D18" s="28" t="s">
        <v>25</v>
      </c>
      <c r="F18" s="321"/>
      <c r="G18" s="321"/>
      <c r="H18" s="320"/>
      <c r="I18" s="320"/>
      <c r="J18" s="321"/>
      <c r="K18" s="321"/>
      <c r="L18" s="320"/>
      <c r="M18" s="298"/>
      <c r="N18" s="321"/>
      <c r="O18" s="298"/>
      <c r="P18" s="320"/>
      <c r="Q18" s="298"/>
      <c r="R18" s="321"/>
      <c r="S18" s="298"/>
      <c r="T18" s="320"/>
      <c r="U18" s="298"/>
      <c r="V18" s="321"/>
    </row>
    <row r="19" spans="2:26" x14ac:dyDescent="0.2">
      <c r="B19" s="178">
        <v>4</v>
      </c>
      <c r="D19" s="5" t="s">
        <v>39</v>
      </c>
      <c r="F19" s="295">
        <f>'3. Data_Input_Sheet'!E34</f>
        <v>2826830.94</v>
      </c>
      <c r="G19" s="295"/>
      <c r="H19" s="296"/>
      <c r="I19" s="304"/>
      <c r="J19" s="295">
        <f>'3. Data_Input_Sheet'!I34</f>
        <v>-252577</v>
      </c>
      <c r="K19" s="295"/>
      <c r="L19" s="296"/>
      <c r="M19" s="304"/>
      <c r="N19" s="295">
        <f>'3. Data_Input_Sheet'!M34</f>
        <v>2574253.94</v>
      </c>
      <c r="O19" s="304"/>
      <c r="P19" s="296"/>
      <c r="Q19" s="304"/>
      <c r="R19" s="295">
        <f>'3. Data_Input_Sheet'!Q34</f>
        <v>0</v>
      </c>
      <c r="S19" s="304"/>
      <c r="T19" s="296"/>
      <c r="U19" s="304"/>
      <c r="V19" s="295">
        <f>'3. Data_Input_Sheet'!U34</f>
        <v>2574253.94</v>
      </c>
    </row>
    <row r="20" spans="2:26" x14ac:dyDescent="0.2">
      <c r="B20" s="178">
        <v>5</v>
      </c>
      <c r="D20" s="5" t="s">
        <v>26</v>
      </c>
      <c r="F20" s="295">
        <f>'3. Data_Input_Sheet'!E35</f>
        <v>561545.6657555555</v>
      </c>
      <c r="G20" s="295"/>
      <c r="H20" s="296"/>
      <c r="I20" s="304"/>
      <c r="J20" s="295">
        <f>'3. Data_Input_Sheet'!I35</f>
        <v>0</v>
      </c>
      <c r="K20" s="295"/>
      <c r="L20" s="296"/>
      <c r="M20" s="304"/>
      <c r="N20" s="295">
        <f>'3. Data_Input_Sheet'!M35</f>
        <v>561545.6657555555</v>
      </c>
      <c r="O20" s="304"/>
      <c r="P20" s="296"/>
      <c r="Q20" s="304"/>
      <c r="R20" s="295">
        <f>'3. Data_Input_Sheet'!Q35</f>
        <v>0</v>
      </c>
      <c r="S20" s="304"/>
      <c r="T20" s="296"/>
      <c r="U20" s="304"/>
      <c r="V20" s="295">
        <f>'3. Data_Input_Sheet'!U35</f>
        <v>561545.6657555555</v>
      </c>
    </row>
    <row r="21" spans="2:26" x14ac:dyDescent="0.2">
      <c r="B21" s="178">
        <v>6</v>
      </c>
      <c r="C21" s="15"/>
      <c r="D21" s="15" t="s">
        <v>44</v>
      </c>
      <c r="E21" s="15"/>
      <c r="F21" s="295">
        <f>'3. Data_Input_Sheet'!E36</f>
        <v>0</v>
      </c>
      <c r="G21" s="295"/>
      <c r="H21" s="296"/>
      <c r="I21" s="304"/>
      <c r="J21" s="295">
        <f>'3. Data_Input_Sheet'!I36</f>
        <v>0</v>
      </c>
      <c r="K21" s="295"/>
      <c r="L21" s="296"/>
      <c r="M21" s="304"/>
      <c r="N21" s="295" t="str">
        <f>'3. Data_Input_Sheet'!M36</f>
        <v/>
      </c>
      <c r="O21" s="304"/>
      <c r="P21" s="296"/>
      <c r="Q21" s="304"/>
      <c r="R21" s="295">
        <f>'3. Data_Input_Sheet'!Q36</f>
        <v>0</v>
      </c>
      <c r="S21" s="304"/>
      <c r="T21" s="296"/>
      <c r="U21" s="304"/>
      <c r="V21" s="295" t="str">
        <f>'3. Data_Input_Sheet'!U36</f>
        <v/>
      </c>
      <c r="W21" s="15"/>
      <c r="X21" s="15"/>
      <c r="Y21" s="15"/>
      <c r="Z21" s="15"/>
    </row>
    <row r="22" spans="2:26" x14ac:dyDescent="0.2">
      <c r="B22" s="178">
        <v>7</v>
      </c>
      <c r="C22" s="15"/>
      <c r="D22" s="15" t="s">
        <v>43</v>
      </c>
      <c r="E22" s="15"/>
      <c r="F22" s="319">
        <f>'6. Taxes_PILs'!G23</f>
        <v>0</v>
      </c>
      <c r="G22" s="319"/>
      <c r="H22" s="296"/>
      <c r="I22" s="304"/>
      <c r="J22" s="319">
        <f>N22-F22</f>
        <v>0</v>
      </c>
      <c r="K22" s="319"/>
      <c r="L22" s="296"/>
      <c r="M22" s="304"/>
      <c r="N22" s="319">
        <f>'6. Taxes_PILs'!K23</f>
        <v>0</v>
      </c>
      <c r="O22" s="304"/>
      <c r="P22" s="296"/>
      <c r="Q22" s="304"/>
      <c r="R22" s="319">
        <f>V22-N22</f>
        <v>0</v>
      </c>
      <c r="S22" s="304"/>
      <c r="T22" s="296"/>
      <c r="U22" s="304"/>
      <c r="V22" s="319">
        <f>'6. Taxes_PILs'!O23</f>
        <v>0</v>
      </c>
      <c r="W22" s="15"/>
      <c r="X22" s="15"/>
      <c r="Y22" s="15"/>
      <c r="Z22" s="15"/>
    </row>
    <row r="23" spans="2:26" x14ac:dyDescent="0.2">
      <c r="B23" s="178">
        <v>8</v>
      </c>
      <c r="D23" s="5" t="s">
        <v>94</v>
      </c>
      <c r="F23" s="317">
        <f>'3. Data_Input_Sheet'!E38</f>
        <v>0</v>
      </c>
      <c r="G23" s="318"/>
      <c r="H23" s="296"/>
      <c r="I23" s="304"/>
      <c r="J23" s="317">
        <f>'3. Data_Input_Sheet'!I38</f>
        <v>0</v>
      </c>
      <c r="K23" s="318"/>
      <c r="L23" s="296"/>
      <c r="M23" s="304"/>
      <c r="N23" s="317" t="str">
        <f>'3. Data_Input_Sheet'!M38</f>
        <v/>
      </c>
      <c r="O23" s="304"/>
      <c r="P23" s="296"/>
      <c r="Q23" s="304"/>
      <c r="R23" s="317">
        <f>'3. Data_Input_Sheet'!Q38</f>
        <v>0</v>
      </c>
      <c r="S23" s="304"/>
      <c r="T23" s="296"/>
      <c r="U23" s="304"/>
      <c r="V23" s="317" t="str">
        <f>'3. Data_Input_Sheet'!U38</f>
        <v/>
      </c>
    </row>
    <row r="24" spans="2:26" x14ac:dyDescent="0.2">
      <c r="B24" s="178"/>
      <c r="D24" s="26"/>
      <c r="F24" s="483">
        <f>SUM(F19:F23)</f>
        <v>3388376.6057555554</v>
      </c>
      <c r="G24" s="50"/>
      <c r="H24" s="336"/>
      <c r="I24" s="336"/>
      <c r="J24" s="483">
        <f>SUM(J19:J23)</f>
        <v>-252577</v>
      </c>
      <c r="K24" s="50"/>
      <c r="L24" s="336"/>
      <c r="M24" s="336"/>
      <c r="N24" s="483">
        <f>SUM(N19:N23)</f>
        <v>3135799.6057555554</v>
      </c>
      <c r="O24" s="336"/>
      <c r="P24" s="336"/>
      <c r="Q24" s="336"/>
      <c r="R24" s="483">
        <f>SUM(R19:R23)</f>
        <v>0</v>
      </c>
      <c r="S24" s="336"/>
      <c r="T24" s="336"/>
      <c r="U24" s="336"/>
      <c r="V24" s="483">
        <f>SUM(V19:V23)</f>
        <v>3135799.6057555554</v>
      </c>
    </row>
    <row r="25" spans="2:26" x14ac:dyDescent="0.2">
      <c r="B25" s="178">
        <v>9</v>
      </c>
      <c r="D25" s="124" t="s">
        <v>196</v>
      </c>
      <c r="F25" s="497"/>
      <c r="G25" s="50"/>
      <c r="H25" s="336"/>
      <c r="I25" s="336"/>
      <c r="J25" s="497"/>
      <c r="K25" s="50"/>
      <c r="L25" s="336"/>
      <c r="M25" s="336"/>
      <c r="N25" s="497"/>
      <c r="O25" s="336"/>
      <c r="P25" s="336"/>
      <c r="Q25" s="336"/>
      <c r="R25" s="497"/>
      <c r="S25" s="336"/>
      <c r="T25" s="336"/>
      <c r="U25" s="336"/>
      <c r="V25" s="497"/>
    </row>
    <row r="26" spans="2:26" x14ac:dyDescent="0.2">
      <c r="B26" s="178"/>
      <c r="F26" s="322"/>
      <c r="G26" s="322"/>
      <c r="H26" s="320"/>
      <c r="I26" s="320"/>
      <c r="J26" s="322"/>
      <c r="K26" s="322"/>
      <c r="L26" s="320"/>
      <c r="M26" s="320"/>
      <c r="N26" s="322"/>
      <c r="O26" s="320"/>
      <c r="P26" s="320"/>
      <c r="Q26" s="320"/>
      <c r="R26" s="322"/>
      <c r="S26" s="320"/>
      <c r="T26" s="320"/>
      <c r="U26" s="320"/>
      <c r="V26" s="322"/>
    </row>
    <row r="27" spans="2:26" x14ac:dyDescent="0.2">
      <c r="B27" s="178">
        <v>10</v>
      </c>
      <c r="D27" s="26" t="s">
        <v>95</v>
      </c>
      <c r="F27" s="323">
        <f>'7. Cost_of_Capital'!P19</f>
        <v>330868.8557667089</v>
      </c>
      <c r="G27" s="322"/>
      <c r="H27" s="320"/>
      <c r="I27" s="320"/>
      <c r="J27" s="323">
        <f>N27-F27</f>
        <v>-5059.0227482115733</v>
      </c>
      <c r="K27" s="322"/>
      <c r="L27" s="320"/>
      <c r="M27" s="320"/>
      <c r="N27" s="323">
        <f>'7. Cost_of_Capital'!P35</f>
        <v>325809.83301849733</v>
      </c>
      <c r="O27" s="320"/>
      <c r="P27" s="320"/>
      <c r="Q27" s="320"/>
      <c r="R27" s="323">
        <f>V27-N27</f>
        <v>0</v>
      </c>
      <c r="S27" s="320"/>
      <c r="T27" s="320"/>
      <c r="U27" s="320"/>
      <c r="V27" s="323">
        <f>'7. Cost_of_Capital'!P51</f>
        <v>325809.83301849733</v>
      </c>
    </row>
    <row r="28" spans="2:26" x14ac:dyDescent="0.2">
      <c r="B28" s="178"/>
      <c r="F28" s="322"/>
      <c r="G28" s="322"/>
      <c r="H28" s="320"/>
      <c r="I28" s="320"/>
      <c r="J28" s="322"/>
      <c r="K28" s="322"/>
      <c r="L28" s="320"/>
      <c r="M28" s="320"/>
      <c r="N28" s="322"/>
      <c r="O28" s="320"/>
      <c r="P28" s="320"/>
      <c r="Q28" s="320"/>
      <c r="R28" s="322"/>
      <c r="S28" s="320"/>
      <c r="T28" s="320"/>
      <c r="U28" s="320"/>
      <c r="V28" s="322"/>
    </row>
    <row r="29" spans="2:26" x14ac:dyDescent="0.2">
      <c r="B29" s="178">
        <v>11</v>
      </c>
      <c r="D29" s="124" t="s">
        <v>197</v>
      </c>
      <c r="F29" s="322">
        <f>F24+F27</f>
        <v>3719245.4615222644</v>
      </c>
      <c r="G29" s="322"/>
      <c r="H29" s="320"/>
      <c r="I29" s="320"/>
      <c r="J29" s="322">
        <f>J27+J24</f>
        <v>-257636.02274821157</v>
      </c>
      <c r="K29" s="322"/>
      <c r="L29" s="320"/>
      <c r="M29" s="320"/>
      <c r="N29" s="322">
        <f>N27+N24</f>
        <v>3461609.438774053</v>
      </c>
      <c r="O29" s="320"/>
      <c r="P29" s="320"/>
      <c r="Q29" s="320"/>
      <c r="R29" s="322">
        <f>R27+R24</f>
        <v>0</v>
      </c>
      <c r="S29" s="320"/>
      <c r="T29" s="320"/>
      <c r="U29" s="320"/>
      <c r="V29" s="322">
        <f>V24+V27</f>
        <v>3461609.438774053</v>
      </c>
    </row>
    <row r="30" spans="2:26" x14ac:dyDescent="0.2">
      <c r="B30" s="178"/>
      <c r="F30" s="490">
        <f>F15-F29</f>
        <v>544791.52518215124</v>
      </c>
      <c r="G30" s="49"/>
      <c r="H30" s="336"/>
      <c r="I30" s="336"/>
      <c r="J30" s="490">
        <f>J15-J29</f>
        <v>-38465.963956204418</v>
      </c>
      <c r="K30" s="49"/>
      <c r="L30" s="336"/>
      <c r="M30" s="336"/>
      <c r="N30" s="490">
        <f>N15-N29</f>
        <v>506325.56122594699</v>
      </c>
      <c r="O30" s="336"/>
      <c r="P30" s="336"/>
      <c r="Q30" s="336"/>
      <c r="R30" s="490">
        <f>R15-R29</f>
        <v>0</v>
      </c>
      <c r="S30" s="336"/>
      <c r="T30" s="336"/>
      <c r="U30" s="336"/>
      <c r="V30" s="490">
        <f>V15-V29</f>
        <v>506325.56122594699</v>
      </c>
    </row>
    <row r="31" spans="2:26" ht="26.25" thickBot="1" x14ac:dyDescent="0.25">
      <c r="B31" s="178">
        <v>12</v>
      </c>
      <c r="D31" s="58" t="s">
        <v>97</v>
      </c>
      <c r="E31" s="123"/>
      <c r="F31" s="491"/>
      <c r="G31" s="49"/>
      <c r="H31" s="125"/>
      <c r="I31" s="125"/>
      <c r="J31" s="491"/>
      <c r="K31" s="49"/>
      <c r="L31" s="126"/>
      <c r="M31" s="126"/>
      <c r="N31" s="491"/>
      <c r="O31" s="126"/>
      <c r="P31" s="126"/>
      <c r="Q31" s="126"/>
      <c r="R31" s="491"/>
      <c r="S31" s="126"/>
      <c r="T31" s="126"/>
      <c r="U31" s="126"/>
      <c r="V31" s="491"/>
      <c r="X31" s="23"/>
    </row>
    <row r="32" spans="2:26" ht="13.5" thickTop="1" x14ac:dyDescent="0.2">
      <c r="B32" s="178"/>
      <c r="F32" s="499">
        <f>'6. Taxes_PILs'!G29</f>
        <v>71973.605314964632</v>
      </c>
      <c r="G32" s="50"/>
      <c r="H32" s="336"/>
      <c r="I32" s="336"/>
      <c r="J32" s="499">
        <f>N32-F32</f>
        <v>-31236.327208455754</v>
      </c>
      <c r="K32" s="50"/>
      <c r="L32" s="336"/>
      <c r="M32" s="336"/>
      <c r="N32" s="499">
        <f>'6. Taxes_PILs'!K29</f>
        <v>40737.278106508878</v>
      </c>
      <c r="O32" s="336"/>
      <c r="P32" s="336"/>
      <c r="Q32" s="336"/>
      <c r="R32" s="499">
        <f>V32-N32</f>
        <v>0</v>
      </c>
      <c r="S32" s="336"/>
      <c r="T32" s="336"/>
      <c r="U32" s="336"/>
      <c r="V32" s="499">
        <f>IF('6. Taxes_PILs'!O29=0,N32,'6. Taxes_PILs'!O29)</f>
        <v>40737.278106508878</v>
      </c>
    </row>
    <row r="33" spans="2:22" x14ac:dyDescent="0.2">
      <c r="B33" s="178">
        <v>13</v>
      </c>
      <c r="D33" s="26" t="s">
        <v>108</v>
      </c>
      <c r="F33" s="500"/>
      <c r="G33" s="50"/>
      <c r="H33" s="336"/>
      <c r="I33" s="336"/>
      <c r="J33" s="500"/>
      <c r="K33" s="50"/>
      <c r="L33" s="336"/>
      <c r="M33" s="336"/>
      <c r="N33" s="500"/>
      <c r="O33" s="336"/>
      <c r="P33" s="336"/>
      <c r="Q33" s="336"/>
      <c r="R33" s="500"/>
      <c r="S33" s="336"/>
      <c r="T33" s="336"/>
      <c r="U33" s="336"/>
      <c r="V33" s="500"/>
    </row>
    <row r="34" spans="2:22" x14ac:dyDescent="0.2">
      <c r="B34" s="178"/>
      <c r="F34" s="495">
        <f>F30-F32</f>
        <v>472817.91986718657</v>
      </c>
      <c r="G34" s="155"/>
      <c r="H34" s="336"/>
      <c r="I34" s="336"/>
      <c r="J34" s="495">
        <f>J30-J32</f>
        <v>-7229.6367477486638</v>
      </c>
      <c r="K34" s="155"/>
      <c r="L34" s="336"/>
      <c r="M34" s="336"/>
      <c r="N34" s="495">
        <f>N30-N32</f>
        <v>465588.2831194381</v>
      </c>
      <c r="O34" s="336"/>
      <c r="P34" s="336"/>
      <c r="Q34" s="336"/>
      <c r="R34" s="495">
        <f>R30-R32</f>
        <v>0</v>
      </c>
      <c r="S34" s="336"/>
      <c r="T34" s="336"/>
      <c r="U34" s="336"/>
      <c r="V34" s="495">
        <f>V30-V32</f>
        <v>465588.2831194381</v>
      </c>
    </row>
    <row r="35" spans="2:22" ht="13.5" thickBot="1" x14ac:dyDescent="0.25">
      <c r="B35" s="178">
        <v>14</v>
      </c>
      <c r="D35" s="16" t="s">
        <v>105</v>
      </c>
      <c r="F35" s="496"/>
      <c r="G35" s="155"/>
      <c r="H35" s="125"/>
      <c r="I35" s="125"/>
      <c r="J35" s="496"/>
      <c r="K35" s="155"/>
      <c r="L35" s="125"/>
      <c r="M35" s="125"/>
      <c r="N35" s="496"/>
      <c r="O35" s="125"/>
      <c r="P35" s="125"/>
      <c r="Q35" s="125"/>
      <c r="R35" s="496"/>
      <c r="S35" s="125"/>
      <c r="T35" s="125"/>
      <c r="U35" s="125"/>
      <c r="V35" s="496"/>
    </row>
    <row r="36" spans="2:22" ht="13.5" thickTop="1" x14ac:dyDescent="0.2"/>
    <row r="37" spans="2:22" ht="7.5" customHeight="1" x14ac:dyDescent="0.2"/>
    <row r="39" spans="2:22" x14ac:dyDescent="0.2">
      <c r="B39" s="494" t="s">
        <v>38</v>
      </c>
      <c r="C39" s="494"/>
      <c r="D39" s="494"/>
      <c r="E39" s="494"/>
      <c r="F39" s="494"/>
      <c r="G39" s="494"/>
      <c r="H39" s="494"/>
      <c r="I39" s="494"/>
      <c r="J39" s="494"/>
      <c r="K39" s="494"/>
      <c r="L39" s="494"/>
      <c r="M39" s="494"/>
      <c r="N39" s="494"/>
      <c r="O39" s="494"/>
      <c r="P39" s="494"/>
      <c r="Q39" s="494"/>
      <c r="R39" s="494"/>
      <c r="S39" s="494"/>
      <c r="T39" s="494"/>
      <c r="U39" s="494"/>
      <c r="V39" s="494"/>
    </row>
    <row r="40" spans="2:22" x14ac:dyDescent="0.2">
      <c r="D40" s="84"/>
      <c r="E40" s="35"/>
      <c r="F40" s="35"/>
      <c r="G40" s="35"/>
      <c r="H40" s="35"/>
      <c r="I40" s="35"/>
      <c r="J40" s="35"/>
      <c r="K40" s="35"/>
      <c r="L40" s="35"/>
      <c r="M40" s="35"/>
      <c r="N40" s="35"/>
      <c r="O40" s="35"/>
      <c r="P40" s="35"/>
      <c r="Q40" s="35"/>
      <c r="R40" s="35"/>
      <c r="S40" s="35"/>
      <c r="T40" s="35"/>
      <c r="U40" s="35"/>
      <c r="V40" s="35"/>
    </row>
    <row r="41" spans="2:22" x14ac:dyDescent="0.2">
      <c r="B41" s="18" t="s">
        <v>2</v>
      </c>
      <c r="D41" s="80" t="s">
        <v>53</v>
      </c>
      <c r="E41" s="35"/>
      <c r="F41" s="102">
        <f>'3. Data_Input_Sheet'!E26</f>
        <v>34800</v>
      </c>
      <c r="G41" s="102"/>
      <c r="H41" s="176"/>
      <c r="I41" s="208"/>
      <c r="J41" s="102">
        <f>'3. Data_Input_Sheet'!I26</f>
        <v>2655</v>
      </c>
      <c r="K41" s="102"/>
      <c r="L41" s="176"/>
      <c r="M41" s="35"/>
      <c r="N41" s="102">
        <f>'3. Data_Input_Sheet'!M26</f>
        <v>37455</v>
      </c>
      <c r="O41" s="102"/>
      <c r="P41" s="176"/>
      <c r="Q41" s="35"/>
      <c r="R41" s="102" t="str">
        <f>'3. Data_Input_Sheet'!Q26</f>
        <v/>
      </c>
      <c r="S41" s="102"/>
      <c r="T41" s="176"/>
      <c r="U41" s="35"/>
      <c r="V41" s="102">
        <f>IF(ISBLANK('3. Data_Input_Sheet'!U26),N41,'3. Data_Input_Sheet'!U26)</f>
        <v>37455</v>
      </c>
    </row>
    <row r="42" spans="2:22" x14ac:dyDescent="0.2">
      <c r="D42" s="80" t="s">
        <v>54</v>
      </c>
      <c r="E42" s="35"/>
      <c r="F42" s="102">
        <f>'3. Data_Input_Sheet'!E27</f>
        <v>32000</v>
      </c>
      <c r="G42" s="102"/>
      <c r="H42" s="176"/>
      <c r="I42" s="208"/>
      <c r="J42" s="102">
        <f>'3. Data_Input_Sheet'!I27</f>
        <v>0</v>
      </c>
      <c r="K42" s="102"/>
      <c r="L42" s="176"/>
      <c r="M42" s="35"/>
      <c r="N42" s="102">
        <f>'3. Data_Input_Sheet'!M27</f>
        <v>32000</v>
      </c>
      <c r="O42" s="102"/>
      <c r="P42" s="176"/>
      <c r="Q42" s="35"/>
      <c r="R42" s="102" t="str">
        <f>'3. Data_Input_Sheet'!Q27</f>
        <v/>
      </c>
      <c r="S42" s="102"/>
      <c r="T42" s="176"/>
      <c r="U42" s="35"/>
      <c r="V42" s="102">
        <f>IF(ISBLANK('3. Data_Input_Sheet'!U27),N42,'3. Data_Input_Sheet'!U27)</f>
        <v>32000</v>
      </c>
    </row>
    <row r="43" spans="2:22" x14ac:dyDescent="0.2">
      <c r="D43" s="80" t="s">
        <v>55</v>
      </c>
      <c r="E43" s="35"/>
      <c r="F43" s="102">
        <f>'3. Data_Input_Sheet'!E28</f>
        <v>114806.85</v>
      </c>
      <c r="G43" s="102"/>
      <c r="H43" s="176"/>
      <c r="I43" s="208"/>
      <c r="J43" s="102">
        <f>'3. Data_Input_Sheet'!I28</f>
        <v>6012.1499999999942</v>
      </c>
      <c r="K43" s="102"/>
      <c r="L43" s="176"/>
      <c r="M43" s="35"/>
      <c r="N43" s="102">
        <f>'3. Data_Input_Sheet'!M28</f>
        <v>120819</v>
      </c>
      <c r="O43" s="102"/>
      <c r="P43" s="176"/>
      <c r="Q43" s="35"/>
      <c r="R43" s="102" t="str">
        <f>'3. Data_Input_Sheet'!Q28</f>
        <v/>
      </c>
      <c r="S43" s="102"/>
      <c r="T43" s="176"/>
      <c r="U43" s="35"/>
      <c r="V43" s="102">
        <f>IF(ISBLANK('3. Data_Input_Sheet'!U28),N43,'3. Data_Input_Sheet'!U28)</f>
        <v>120819</v>
      </c>
    </row>
    <row r="44" spans="2:22" x14ac:dyDescent="0.2">
      <c r="D44" s="80" t="s">
        <v>56</v>
      </c>
      <c r="E44" s="35"/>
      <c r="F44" s="102">
        <f>'3. Data_Input_Sheet'!E29</f>
        <v>372394.48</v>
      </c>
      <c r="G44" s="102"/>
      <c r="H44" s="176"/>
      <c r="I44" s="208"/>
      <c r="J44" s="102">
        <f>'3. Data_Input_Sheet'!I29</f>
        <v>20229.520000000019</v>
      </c>
      <c r="K44" s="102"/>
      <c r="L44" s="176"/>
      <c r="M44" s="35"/>
      <c r="N44" s="102">
        <f>'3. Data_Input_Sheet'!M29</f>
        <v>392624</v>
      </c>
      <c r="O44" s="102"/>
      <c r="P44" s="176"/>
      <c r="Q44" s="35"/>
      <c r="R44" s="102" t="str">
        <f>'3. Data_Input_Sheet'!Q29</f>
        <v/>
      </c>
      <c r="S44" s="102"/>
      <c r="T44" s="176"/>
      <c r="U44" s="35"/>
      <c r="V44" s="102">
        <f>IF(ISBLANK('3. Data_Input_Sheet'!U29),N44,'3. Data_Input_Sheet'!U29)</f>
        <v>392624</v>
      </c>
    </row>
    <row r="45" spans="2:22" x14ac:dyDescent="0.2">
      <c r="D45" s="80"/>
      <c r="E45" s="35"/>
      <c r="F45" s="492">
        <f>SUM(F41:F44)</f>
        <v>554001.32999999996</v>
      </c>
      <c r="G45" s="165"/>
      <c r="H45" s="35"/>
      <c r="I45" s="35"/>
      <c r="J45" s="492">
        <f>SUM(J41:J44)</f>
        <v>28896.670000000013</v>
      </c>
      <c r="K45" s="35"/>
      <c r="L45" s="35"/>
      <c r="M45" s="35"/>
      <c r="N45" s="492">
        <f>SUM(N41:N44)</f>
        <v>582898</v>
      </c>
      <c r="O45" s="35"/>
      <c r="P45" s="35"/>
      <c r="Q45" s="35"/>
      <c r="R45" s="492">
        <f>SUM(R41:R44)</f>
        <v>0</v>
      </c>
      <c r="S45" s="35"/>
      <c r="T45" s="35"/>
      <c r="U45" s="35"/>
      <c r="V45" s="492">
        <f>SUM(V41:V44)</f>
        <v>582898</v>
      </c>
    </row>
    <row r="46" spans="2:22" ht="13.5" thickBot="1" x14ac:dyDescent="0.25">
      <c r="D46" s="410" t="s">
        <v>57</v>
      </c>
      <c r="E46" s="35"/>
      <c r="F46" s="493"/>
      <c r="G46" s="165"/>
      <c r="H46" s="35"/>
      <c r="I46" s="35"/>
      <c r="J46" s="493"/>
      <c r="K46" s="35"/>
      <c r="L46" s="35"/>
      <c r="M46" s="35"/>
      <c r="N46" s="493"/>
      <c r="O46" s="35"/>
      <c r="P46" s="35"/>
      <c r="Q46" s="35"/>
      <c r="R46" s="493"/>
      <c r="S46" s="35"/>
      <c r="T46" s="35"/>
      <c r="U46" s="35"/>
      <c r="V46" s="493"/>
    </row>
    <row r="47" spans="2:22" ht="13.5" thickTop="1" x14ac:dyDescent="0.2">
      <c r="D47" s="35"/>
      <c r="E47" s="35"/>
      <c r="F47" s="35"/>
      <c r="G47" s="35"/>
      <c r="H47" s="35"/>
      <c r="I47" s="35"/>
      <c r="J47" s="35"/>
      <c r="K47" s="35"/>
      <c r="L47" s="35"/>
      <c r="M47" s="35"/>
      <c r="N47" s="35"/>
      <c r="O47" s="35"/>
      <c r="P47" s="35"/>
      <c r="Q47" s="35"/>
      <c r="R47" s="35"/>
      <c r="S47" s="35"/>
      <c r="T47" s="35"/>
      <c r="U47" s="35"/>
      <c r="V47" s="35"/>
    </row>
    <row r="48" spans="2:22" x14ac:dyDescent="0.2">
      <c r="D48" s="35"/>
      <c r="E48" s="35"/>
      <c r="F48" s="35"/>
      <c r="G48" s="35"/>
      <c r="H48" s="35"/>
      <c r="I48" s="35"/>
      <c r="J48" s="35"/>
      <c r="K48" s="35"/>
      <c r="L48" s="35"/>
      <c r="M48" s="35"/>
      <c r="N48" s="35"/>
      <c r="O48" s="35"/>
      <c r="P48" s="35"/>
      <c r="Q48" s="35"/>
      <c r="R48" s="35"/>
      <c r="S48" s="35"/>
      <c r="T48" s="35"/>
      <c r="U48" s="35"/>
      <c r="V48" s="35"/>
    </row>
    <row r="49" spans="2:22" x14ac:dyDescent="0.2">
      <c r="B49" s="400"/>
      <c r="D49" s="489"/>
      <c r="E49" s="489"/>
      <c r="F49" s="489"/>
      <c r="G49" s="489"/>
      <c r="H49" s="489"/>
      <c r="I49" s="489"/>
      <c r="J49" s="489"/>
      <c r="K49" s="489"/>
      <c r="L49" s="489"/>
      <c r="M49" s="489"/>
      <c r="N49" s="489"/>
      <c r="O49" s="489"/>
      <c r="P49" s="489"/>
      <c r="Q49" s="489"/>
      <c r="R49" s="489"/>
      <c r="S49" s="489"/>
      <c r="T49" s="489"/>
      <c r="U49" s="489"/>
      <c r="V49" s="489"/>
    </row>
    <row r="50" spans="2:22" x14ac:dyDescent="0.2">
      <c r="B50" s="400"/>
      <c r="D50" s="489"/>
      <c r="E50" s="489"/>
      <c r="F50" s="489"/>
      <c r="G50" s="489"/>
      <c r="H50" s="489"/>
      <c r="I50" s="489"/>
      <c r="J50" s="489"/>
      <c r="K50" s="489"/>
      <c r="L50" s="489"/>
      <c r="M50" s="489"/>
      <c r="N50" s="489"/>
      <c r="O50" s="489"/>
      <c r="P50" s="489"/>
      <c r="Q50" s="489"/>
      <c r="R50" s="489"/>
      <c r="S50" s="489"/>
      <c r="T50" s="489"/>
      <c r="U50" s="489"/>
      <c r="V50" s="489"/>
    </row>
    <row r="51" spans="2:22" x14ac:dyDescent="0.2">
      <c r="B51" s="400"/>
      <c r="D51" s="489"/>
      <c r="E51" s="489"/>
      <c r="F51" s="489"/>
      <c r="G51" s="489"/>
      <c r="H51" s="489"/>
      <c r="I51" s="489"/>
      <c r="J51" s="489"/>
      <c r="K51" s="489"/>
      <c r="L51" s="489"/>
      <c r="M51" s="489"/>
      <c r="N51" s="489"/>
      <c r="O51" s="489"/>
      <c r="P51" s="489"/>
      <c r="Q51" s="489"/>
      <c r="R51" s="489"/>
      <c r="S51" s="489"/>
      <c r="T51" s="489"/>
      <c r="U51" s="489"/>
      <c r="V51" s="489"/>
    </row>
    <row r="52" spans="2:22" x14ac:dyDescent="0.2">
      <c r="B52" s="400"/>
      <c r="D52" s="489"/>
      <c r="E52" s="489"/>
      <c r="F52" s="489"/>
      <c r="G52" s="489"/>
      <c r="H52" s="489"/>
      <c r="I52" s="489"/>
      <c r="J52" s="489"/>
      <c r="K52" s="489"/>
      <c r="L52" s="489"/>
      <c r="M52" s="489"/>
      <c r="N52" s="489"/>
      <c r="O52" s="489"/>
      <c r="P52" s="489"/>
      <c r="Q52" s="489"/>
      <c r="R52" s="489"/>
      <c r="S52" s="489"/>
      <c r="T52" s="489"/>
      <c r="U52" s="489"/>
      <c r="V52" s="489"/>
    </row>
    <row r="53" spans="2:22" x14ac:dyDescent="0.2">
      <c r="B53" s="400"/>
      <c r="D53" s="489"/>
      <c r="E53" s="489"/>
      <c r="F53" s="489"/>
      <c r="G53" s="489"/>
      <c r="H53" s="489"/>
      <c r="I53" s="489"/>
      <c r="J53" s="489"/>
      <c r="K53" s="489"/>
      <c r="L53" s="489"/>
      <c r="M53" s="489"/>
      <c r="N53" s="489"/>
      <c r="O53" s="489"/>
      <c r="P53" s="489"/>
      <c r="Q53" s="489"/>
      <c r="R53" s="489"/>
      <c r="S53" s="489"/>
      <c r="T53" s="489"/>
      <c r="U53" s="489"/>
      <c r="V53" s="489"/>
    </row>
    <row r="54" spans="2:22" x14ac:dyDescent="0.2">
      <c r="B54" s="400"/>
      <c r="D54" s="489"/>
      <c r="E54" s="489"/>
      <c r="F54" s="489"/>
      <c r="G54" s="489"/>
      <c r="H54" s="489"/>
      <c r="I54" s="489"/>
      <c r="J54" s="489"/>
      <c r="K54" s="489"/>
      <c r="L54" s="489"/>
      <c r="M54" s="489"/>
      <c r="N54" s="489"/>
      <c r="O54" s="489"/>
      <c r="P54" s="489"/>
      <c r="Q54" s="489"/>
      <c r="R54" s="489"/>
      <c r="S54" s="489"/>
      <c r="T54" s="489"/>
      <c r="U54" s="489"/>
      <c r="V54" s="489"/>
    </row>
  </sheetData>
  <sheetProtection password="82A3" sheet="1" objects="1" scenarios="1"/>
  <mergeCells count="42">
    <mergeCell ref="J32:J33"/>
    <mergeCell ref="J34:J35"/>
    <mergeCell ref="V32:V33"/>
    <mergeCell ref="F32:F33"/>
    <mergeCell ref="V34:V35"/>
    <mergeCell ref="F34:F35"/>
    <mergeCell ref="V30:V31"/>
    <mergeCell ref="N24:N25"/>
    <mergeCell ref="N30:N31"/>
    <mergeCell ref="N32:N33"/>
    <mergeCell ref="R24:R25"/>
    <mergeCell ref="R30:R31"/>
    <mergeCell ref="R32:R33"/>
    <mergeCell ref="C1:L1"/>
    <mergeCell ref="C3:H3"/>
    <mergeCell ref="C4:H4"/>
    <mergeCell ref="C2:V2"/>
    <mergeCell ref="V15:V16"/>
    <mergeCell ref="N15:N16"/>
    <mergeCell ref="R15:R16"/>
    <mergeCell ref="F8:V8"/>
    <mergeCell ref="F24:F25"/>
    <mergeCell ref="F15:F16"/>
    <mergeCell ref="J15:J16"/>
    <mergeCell ref="J24:J25"/>
    <mergeCell ref="V24:V25"/>
    <mergeCell ref="D54:V54"/>
    <mergeCell ref="D52:V52"/>
    <mergeCell ref="D53:V53"/>
    <mergeCell ref="D49:V49"/>
    <mergeCell ref="J30:J31"/>
    <mergeCell ref="D51:V51"/>
    <mergeCell ref="D50:V50"/>
    <mergeCell ref="F30:F31"/>
    <mergeCell ref="F45:F46"/>
    <mergeCell ref="V45:V46"/>
    <mergeCell ref="B39:V39"/>
    <mergeCell ref="N34:N35"/>
    <mergeCell ref="R34:R35"/>
    <mergeCell ref="J45:J46"/>
    <mergeCell ref="N45:N46"/>
    <mergeCell ref="R45:R46"/>
  </mergeCells>
  <phoneticPr fontId="2" type="noConversion"/>
  <conditionalFormatting sqref="J10">
    <cfRule type="cellIs" dxfId="5" priority="1" stopIfTrue="1" operator="equal">
      <formula>""</formula>
    </cfRule>
  </conditionalFormatting>
  <conditionalFormatting sqref="N10 R10">
    <cfRule type="cellIs" dxfId="4" priority="2" stopIfTrue="1" operator="equal">
      <formula>""</formula>
    </cfRule>
  </conditionalFormatting>
  <printOptions horizontalCentered="1"/>
  <pageMargins left="0.74803149606299213" right="0.74803149606299213" top="0.47244094488188981" bottom="0.98425196850393704" header="0.31496062992125984" footer="0.51181102362204722"/>
  <pageSetup scale="59" orientation="landscape" r:id="rId1"/>
  <headerFooter alignWithMargins="0">
    <oddFooter>&amp;C4</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B1:U51"/>
  <sheetViews>
    <sheetView showGridLines="0" zoomScaleNormal="100" workbookViewId="0">
      <selection activeCell="O16" sqref="O16"/>
    </sheetView>
  </sheetViews>
  <sheetFormatPr defaultRowHeight="12.75" x14ac:dyDescent="0.2"/>
  <cols>
    <col min="1" max="1" width="1.28515625" style="5" customWidth="1"/>
    <col min="2" max="2" width="5.85546875" style="5" customWidth="1"/>
    <col min="3" max="3" width="8" style="5" customWidth="1"/>
    <col min="4" max="4" width="22.28515625" style="5" customWidth="1"/>
    <col min="5" max="5" width="15.28515625" style="5" customWidth="1"/>
    <col min="6" max="6" width="1.28515625" style="5" customWidth="1"/>
    <col min="7" max="7" width="15.7109375" style="5" customWidth="1"/>
    <col min="8" max="8" width="1.42578125" style="5" customWidth="1"/>
    <col min="9" max="9" width="3.42578125" style="5" customWidth="1"/>
    <col min="10" max="10" width="1.28515625" style="5" customWidth="1"/>
    <col min="11" max="11" width="15.7109375" style="5" customWidth="1"/>
    <col min="12" max="12" width="1.28515625" style="5" customWidth="1"/>
    <col min="13" max="13" width="3.42578125" style="5" customWidth="1"/>
    <col min="14" max="14" width="1.28515625" style="5" customWidth="1"/>
    <col min="15" max="15" width="15.7109375" style="5" customWidth="1"/>
    <col min="16" max="16" width="1.28515625" style="5" customWidth="1"/>
    <col min="17" max="17" width="3.28515625" style="5" customWidth="1"/>
    <col min="18" max="16384" width="9.140625" style="5"/>
  </cols>
  <sheetData>
    <row r="1" spans="2:17" s="2" customFormat="1" ht="36.75" customHeight="1" x14ac:dyDescent="0.2">
      <c r="D1" s="463"/>
      <c r="E1" s="463"/>
      <c r="F1" s="463"/>
      <c r="G1" s="463"/>
      <c r="H1" s="463"/>
      <c r="I1" s="463"/>
      <c r="J1" s="463"/>
      <c r="K1" s="463"/>
      <c r="L1" s="463"/>
      <c r="M1" s="463"/>
      <c r="N1" s="1"/>
      <c r="O1" s="152"/>
      <c r="P1" s="152"/>
    </row>
    <row r="2" spans="2:17" s="2" customFormat="1" ht="36.75" customHeight="1" x14ac:dyDescent="0.25">
      <c r="C2" s="474"/>
      <c r="D2" s="474"/>
      <c r="E2" s="474"/>
      <c r="F2" s="474"/>
      <c r="G2" s="474"/>
      <c r="H2" s="474"/>
      <c r="I2" s="474"/>
      <c r="J2" s="474"/>
      <c r="K2" s="474"/>
      <c r="L2" s="474"/>
      <c r="M2" s="474"/>
      <c r="N2" s="474"/>
      <c r="O2" s="474"/>
      <c r="P2" s="37"/>
    </row>
    <row r="3" spans="2:17" s="2" customFormat="1" ht="36.75" customHeight="1" x14ac:dyDescent="0.25">
      <c r="C3" s="474"/>
      <c r="D3" s="474"/>
      <c r="E3" s="474"/>
      <c r="F3" s="474"/>
      <c r="G3" s="474"/>
      <c r="H3" s="37"/>
      <c r="I3" s="37"/>
      <c r="J3" s="37"/>
      <c r="K3" s="37"/>
      <c r="L3" s="34"/>
      <c r="M3" s="34"/>
      <c r="N3" s="34"/>
      <c r="O3" s="34"/>
      <c r="P3" s="34"/>
    </row>
    <row r="4" spans="2:17" s="2" customFormat="1" ht="36.75" customHeight="1" x14ac:dyDescent="0.25">
      <c r="C4" s="474"/>
      <c r="D4" s="474"/>
      <c r="E4" s="474"/>
      <c r="F4" s="474"/>
      <c r="G4" s="474"/>
      <c r="H4" s="37"/>
      <c r="I4" s="37"/>
      <c r="J4" s="37"/>
      <c r="K4" s="37"/>
      <c r="L4" s="34"/>
      <c r="M4" s="34"/>
      <c r="N4" s="34"/>
      <c r="O4" s="34"/>
      <c r="P4" s="34"/>
    </row>
    <row r="5" spans="2:17" s="2" customFormat="1" ht="36.75" customHeight="1" x14ac:dyDescent="0.25">
      <c r="C5" s="34"/>
      <c r="D5" s="34"/>
      <c r="E5" s="99"/>
      <c r="F5" s="99"/>
      <c r="G5" s="34"/>
      <c r="H5" s="34"/>
      <c r="I5" s="34"/>
      <c r="J5" s="34"/>
      <c r="K5" s="34"/>
      <c r="L5" s="34"/>
      <c r="M5" s="34"/>
      <c r="N5" s="34"/>
      <c r="O5" s="34"/>
      <c r="P5" s="34"/>
    </row>
    <row r="6" spans="2:17" s="2" customFormat="1" ht="36.75" customHeight="1" x14ac:dyDescent="0.2"/>
    <row r="7" spans="2:17" ht="4.5" customHeight="1" x14ac:dyDescent="0.2"/>
    <row r="8" spans="2:17" ht="15.75" x14ac:dyDescent="0.25">
      <c r="D8" s="482"/>
      <c r="E8" s="482"/>
      <c r="F8" s="482"/>
      <c r="G8" s="482"/>
      <c r="H8" s="482"/>
      <c r="I8" s="482"/>
      <c r="J8" s="482"/>
      <c r="K8" s="482"/>
      <c r="L8" s="482"/>
      <c r="M8" s="482"/>
      <c r="N8" s="482"/>
      <c r="O8" s="482"/>
      <c r="P8" s="61"/>
    </row>
    <row r="10" spans="2:17" ht="25.5" x14ac:dyDescent="0.2">
      <c r="B10" s="42" t="s">
        <v>37</v>
      </c>
      <c r="D10" s="43" t="s">
        <v>59</v>
      </c>
      <c r="E10" s="45"/>
      <c r="F10" s="45"/>
      <c r="G10" s="401" t="s">
        <v>4</v>
      </c>
      <c r="H10" s="402"/>
      <c r="I10" s="402"/>
      <c r="J10" s="402"/>
      <c r="K10" s="403" t="str">
        <f>IF(ISBLANK('3. Data_Input_Sheet'!M10:M11),"",'3. Data_Input_Sheet'!M10:M11)</f>
        <v>Settlement Agreement</v>
      </c>
      <c r="L10" s="402"/>
      <c r="M10" s="402"/>
      <c r="N10" s="402"/>
      <c r="O10" s="403" t="str">
        <f>'3. Data_Input_Sheet'!U10</f>
        <v>Per Board Decision</v>
      </c>
      <c r="P10" s="149"/>
    </row>
    <row r="11" spans="2:17" x14ac:dyDescent="0.2">
      <c r="F11" s="35"/>
      <c r="L11" s="35"/>
      <c r="M11" s="35"/>
      <c r="N11" s="35"/>
    </row>
    <row r="12" spans="2:17" x14ac:dyDescent="0.2">
      <c r="D12" s="24" t="s">
        <v>28</v>
      </c>
      <c r="E12" s="100"/>
      <c r="F12" s="101"/>
      <c r="G12" s="100"/>
      <c r="H12" s="100"/>
      <c r="I12" s="100"/>
      <c r="J12" s="100"/>
      <c r="K12" s="100"/>
      <c r="L12" s="101"/>
      <c r="M12" s="101"/>
      <c r="N12" s="101"/>
      <c r="O12" s="100"/>
      <c r="P12" s="100"/>
    </row>
    <row r="13" spans="2:17" x14ac:dyDescent="0.2">
      <c r="F13" s="35"/>
      <c r="L13" s="35"/>
      <c r="M13" s="35"/>
      <c r="N13" s="35"/>
    </row>
    <row r="14" spans="2:17" x14ac:dyDescent="0.2">
      <c r="B14" s="178">
        <v>1</v>
      </c>
      <c r="D14" s="469" t="s">
        <v>148</v>
      </c>
      <c r="E14" s="469"/>
      <c r="F14" s="35"/>
      <c r="G14" s="318">
        <f>'7. Cost_of_Capital'!P22</f>
        <v>472817.91986718669</v>
      </c>
      <c r="H14" s="318"/>
      <c r="I14" s="318"/>
      <c r="J14" s="318"/>
      <c r="K14" s="318">
        <f>'7. Cost_of_Capital'!P38</f>
        <v>465588.47965037538</v>
      </c>
      <c r="L14" s="324"/>
      <c r="M14" s="324"/>
      <c r="N14" s="324"/>
      <c r="O14" s="318">
        <f>'7. Cost_of_Capital'!P54</f>
        <v>465588.47965037538</v>
      </c>
      <c r="P14" s="102"/>
    </row>
    <row r="15" spans="2:17" x14ac:dyDescent="0.2">
      <c r="B15" s="178"/>
      <c r="F15" s="35"/>
      <c r="G15" s="325"/>
      <c r="H15" s="325"/>
      <c r="I15" s="325"/>
      <c r="J15" s="325"/>
      <c r="K15" s="325"/>
      <c r="L15" s="324"/>
      <c r="M15" s="324"/>
      <c r="N15" s="324"/>
      <c r="O15" s="325"/>
      <c r="P15" s="55"/>
    </row>
    <row r="16" spans="2:17" ht="24.75" customHeight="1" x14ac:dyDescent="0.2">
      <c r="B16" s="178">
        <v>2</v>
      </c>
      <c r="D16" s="502" t="s">
        <v>29</v>
      </c>
      <c r="E16" s="502"/>
      <c r="F16" s="35"/>
      <c r="G16" s="317">
        <f>'3. Data_Input_Sheet'!E42</f>
        <v>-80445.684440444456</v>
      </c>
      <c r="H16" s="318"/>
      <c r="I16" s="296"/>
      <c r="J16" s="318"/>
      <c r="K16" s="317">
        <f>'3. Data_Input_Sheet'!M42</f>
        <v>-114471</v>
      </c>
      <c r="L16" s="304"/>
      <c r="M16" s="296"/>
      <c r="N16" s="304"/>
      <c r="O16" s="317">
        <f>IF(ISBLANK('3. Data_Input_Sheet'!U42),G16,'3. Data_Input_Sheet'!U42)</f>
        <v>-80445.684440444456</v>
      </c>
      <c r="P16" s="102"/>
      <c r="Q16" s="296"/>
    </row>
    <row r="17" spans="2:21" x14ac:dyDescent="0.2">
      <c r="B17" s="178"/>
      <c r="F17" s="35"/>
      <c r="G17" s="325"/>
      <c r="H17" s="325"/>
      <c r="I17" s="325"/>
      <c r="J17" s="325"/>
      <c r="K17" s="325"/>
      <c r="L17" s="324"/>
      <c r="M17" s="324"/>
      <c r="N17" s="324"/>
      <c r="O17" s="325"/>
      <c r="P17" s="55"/>
    </row>
    <row r="18" spans="2:21" ht="13.5" thickBot="1" x14ac:dyDescent="0.25">
      <c r="B18" s="178">
        <v>3</v>
      </c>
      <c r="D18" s="469" t="s">
        <v>30</v>
      </c>
      <c r="E18" s="469"/>
      <c r="F18" s="35"/>
      <c r="G18" s="326">
        <f>G14+G16</f>
        <v>392372.23542674223</v>
      </c>
      <c r="H18" s="327"/>
      <c r="I18" s="327"/>
      <c r="J18" s="327"/>
      <c r="K18" s="326">
        <f>K14+K16</f>
        <v>351117.47965037538</v>
      </c>
      <c r="L18" s="324"/>
      <c r="M18" s="324"/>
      <c r="N18" s="324"/>
      <c r="O18" s="326">
        <f>O14+O16</f>
        <v>385142.79520993092</v>
      </c>
      <c r="P18" s="167"/>
    </row>
    <row r="19" spans="2:21" ht="13.5" thickTop="1" x14ac:dyDescent="0.2">
      <c r="B19" s="178"/>
      <c r="F19" s="35"/>
      <c r="G19" s="325"/>
      <c r="H19" s="325"/>
      <c r="I19" s="325"/>
      <c r="J19" s="325"/>
      <c r="K19" s="325"/>
      <c r="L19" s="324"/>
      <c r="M19" s="324"/>
      <c r="N19" s="324"/>
      <c r="O19" s="325"/>
      <c r="P19" s="55"/>
    </row>
    <row r="20" spans="2:21" x14ac:dyDescent="0.2">
      <c r="B20" s="178"/>
      <c r="D20" s="28" t="s">
        <v>31</v>
      </c>
      <c r="E20" s="105"/>
      <c r="F20" s="106"/>
      <c r="G20" s="328"/>
      <c r="H20" s="328"/>
      <c r="I20" s="328"/>
      <c r="J20" s="328"/>
      <c r="K20" s="328"/>
      <c r="L20" s="329"/>
      <c r="M20" s="329"/>
      <c r="N20" s="329"/>
      <c r="O20" s="328"/>
      <c r="P20" s="107"/>
    </row>
    <row r="21" spans="2:21" x14ac:dyDescent="0.2">
      <c r="B21" s="178"/>
      <c r="C21" s="15"/>
      <c r="D21" s="15"/>
      <c r="E21" s="15"/>
      <c r="F21" s="91"/>
      <c r="G21" s="330"/>
      <c r="H21" s="330"/>
      <c r="I21" s="330"/>
      <c r="J21" s="330"/>
      <c r="K21" s="330"/>
      <c r="L21" s="324"/>
      <c r="M21" s="324"/>
      <c r="N21" s="324"/>
      <c r="O21" s="330"/>
      <c r="P21" s="108"/>
      <c r="Q21" s="15"/>
      <c r="R21" s="15"/>
      <c r="S21" s="15"/>
      <c r="T21" s="15"/>
      <c r="U21" s="15"/>
    </row>
    <row r="22" spans="2:21" x14ac:dyDescent="0.2">
      <c r="B22" s="178">
        <v>4</v>
      </c>
      <c r="C22" s="15"/>
      <c r="D22" s="15" t="s">
        <v>27</v>
      </c>
      <c r="E22" s="15"/>
      <c r="F22" s="91"/>
      <c r="G22" s="318">
        <f>'3. Data_Input_Sheet'!E44</f>
        <v>60817.696491145107</v>
      </c>
      <c r="H22" s="318"/>
      <c r="I22" s="296"/>
      <c r="J22" s="318"/>
      <c r="K22" s="318">
        <f>IF(ISBLANK('3. Data_Input_Sheet'!M44),'6. Taxes_PILs'!G22,'3. Data_Input_Sheet'!M44)</f>
        <v>34423</v>
      </c>
      <c r="L22" s="304"/>
      <c r="M22" s="296"/>
      <c r="N22" s="304"/>
      <c r="O22" s="318">
        <f>IF(ISBLANK('3. Data_Input_Sheet'!U44),'6. Taxes_PILs'!K22,'3. Data_Input_Sheet'!U44)</f>
        <v>34423</v>
      </c>
      <c r="P22" s="109"/>
      <c r="Q22" s="296"/>
      <c r="R22" s="15"/>
      <c r="S22" s="15"/>
      <c r="T22" s="15"/>
      <c r="U22" s="15"/>
    </row>
    <row r="23" spans="2:21" ht="3" customHeight="1" x14ac:dyDescent="0.2">
      <c r="B23" s="411">
        <v>5</v>
      </c>
      <c r="C23" s="412"/>
      <c r="D23" s="412" t="s">
        <v>43</v>
      </c>
      <c r="E23" s="412"/>
      <c r="F23" s="413"/>
      <c r="G23" s="414">
        <f>'3. Data_Input_Sheet'!E46</f>
        <v>0</v>
      </c>
      <c r="H23" s="415"/>
      <c r="I23" s="416"/>
      <c r="J23" s="415"/>
      <c r="K23" s="414">
        <f>IF(ISBLANK('3. Data_Input_Sheet'!M46),'6. Taxes_PILs'!G23,'3. Data_Input_Sheet'!M46)</f>
        <v>0</v>
      </c>
      <c r="L23" s="417"/>
      <c r="M23" s="418"/>
      <c r="N23" s="417"/>
      <c r="O23" s="414">
        <f>IF(ISBLANK('3. Data_Input_Sheet'!U46),'6. Taxes_PILs'!K23,'3. Data_Input_Sheet'!U46)</f>
        <v>0</v>
      </c>
      <c r="P23" s="419"/>
      <c r="Q23" s="420"/>
    </row>
    <row r="24" spans="2:21" x14ac:dyDescent="0.2">
      <c r="B24" s="178"/>
      <c r="F24" s="35"/>
      <c r="G24" s="483">
        <f>SUM(G22:G23)</f>
        <v>60817.696491145107</v>
      </c>
      <c r="H24" s="50"/>
      <c r="I24" s="50"/>
      <c r="J24" s="50"/>
      <c r="K24" s="483">
        <f>SUM(K22:K23)</f>
        <v>34423</v>
      </c>
      <c r="L24" s="110"/>
      <c r="M24" s="110"/>
      <c r="N24" s="169"/>
      <c r="O24" s="483">
        <f>SUM(O22:O23)</f>
        <v>34423</v>
      </c>
      <c r="P24" s="50"/>
    </row>
    <row r="25" spans="2:21" ht="13.5" thickBot="1" x14ac:dyDescent="0.25">
      <c r="B25" s="178">
        <v>6</v>
      </c>
      <c r="D25" s="5" t="s">
        <v>32</v>
      </c>
      <c r="F25" s="35"/>
      <c r="G25" s="484"/>
      <c r="H25" s="50"/>
      <c r="I25" s="50"/>
      <c r="J25" s="50"/>
      <c r="K25" s="484"/>
      <c r="L25" s="110"/>
      <c r="M25" s="110"/>
      <c r="N25" s="169"/>
      <c r="O25" s="484"/>
      <c r="P25" s="50"/>
    </row>
    <row r="26" spans="2:21" ht="13.5" thickTop="1" x14ac:dyDescent="0.2">
      <c r="B26" s="178"/>
      <c r="F26" s="35"/>
      <c r="G26" s="333"/>
      <c r="H26" s="333"/>
      <c r="I26" s="333"/>
      <c r="J26" s="333"/>
      <c r="K26" s="333"/>
      <c r="L26" s="324"/>
      <c r="M26" s="324"/>
      <c r="N26" s="307"/>
      <c r="O26" s="333"/>
      <c r="P26" s="111"/>
    </row>
    <row r="27" spans="2:21" x14ac:dyDescent="0.2">
      <c r="B27" s="178">
        <v>7</v>
      </c>
      <c r="D27" s="5" t="s">
        <v>96</v>
      </c>
      <c r="F27" s="35"/>
      <c r="G27" s="323">
        <f>(G22/(1-G39))-G22</f>
        <v>11155.908823819525</v>
      </c>
      <c r="H27" s="322"/>
      <c r="I27" s="322"/>
      <c r="J27" s="322"/>
      <c r="K27" s="323">
        <f>(K22/(1-K39))-K22</f>
        <v>6314.2781065088784</v>
      </c>
      <c r="L27" s="331"/>
      <c r="M27" s="331"/>
      <c r="N27" s="332"/>
      <c r="O27" s="323">
        <f>(O22/(1-O39))-O22</f>
        <v>6314.2781065088784</v>
      </c>
      <c r="P27" s="50"/>
    </row>
    <row r="28" spans="2:21" x14ac:dyDescent="0.2">
      <c r="B28" s="178"/>
      <c r="F28" s="35"/>
      <c r="G28" s="322"/>
      <c r="H28" s="322"/>
      <c r="I28" s="322"/>
      <c r="J28" s="322"/>
      <c r="K28" s="322"/>
      <c r="L28" s="331"/>
      <c r="M28" s="331"/>
      <c r="N28" s="332"/>
      <c r="O28" s="322"/>
      <c r="P28" s="50"/>
    </row>
    <row r="29" spans="2:21" ht="13.5" thickBot="1" x14ac:dyDescent="0.25">
      <c r="B29" s="178">
        <v>8</v>
      </c>
      <c r="D29" s="5" t="s">
        <v>106</v>
      </c>
      <c r="F29" s="35"/>
      <c r="G29" s="334">
        <f>G22+G27</f>
        <v>71973.605314964632</v>
      </c>
      <c r="H29" s="322"/>
      <c r="I29" s="322"/>
      <c r="J29" s="322"/>
      <c r="K29" s="334">
        <f>K22+K27</f>
        <v>40737.278106508878</v>
      </c>
      <c r="L29" s="331"/>
      <c r="M29" s="331"/>
      <c r="N29" s="332"/>
      <c r="O29" s="334">
        <f>O22+O27</f>
        <v>40737.278106508878</v>
      </c>
      <c r="P29" s="50"/>
    </row>
    <row r="30" spans="2:21" ht="13.5" thickTop="1" x14ac:dyDescent="0.2">
      <c r="B30" s="178"/>
      <c r="F30" s="35"/>
      <c r="G30" s="322"/>
      <c r="H30" s="322"/>
      <c r="I30" s="322"/>
      <c r="J30" s="322"/>
      <c r="K30" s="322"/>
      <c r="L30" s="331"/>
      <c r="M30" s="331"/>
      <c r="N30" s="332"/>
      <c r="O30" s="322"/>
      <c r="P30" s="50"/>
    </row>
    <row r="31" spans="2:21" ht="25.5" customHeight="1" thickBot="1" x14ac:dyDescent="0.25">
      <c r="B31" s="178">
        <v>9</v>
      </c>
      <c r="D31" s="475" t="s">
        <v>107</v>
      </c>
      <c r="E31" s="475"/>
      <c r="F31" s="35"/>
      <c r="G31" s="146">
        <f>G24+G27</f>
        <v>71973.605314964632</v>
      </c>
      <c r="H31" s="50"/>
      <c r="I31" s="50"/>
      <c r="J31" s="50"/>
      <c r="K31" s="146">
        <f>K27+K24</f>
        <v>40737.278106508878</v>
      </c>
      <c r="L31" s="110"/>
      <c r="M31" s="110"/>
      <c r="N31" s="169"/>
      <c r="O31" s="146">
        <f>O27+O24</f>
        <v>40737.278106508878</v>
      </c>
      <c r="P31" s="50"/>
    </row>
    <row r="32" spans="2:21" ht="12.75" customHeight="1" thickTop="1" x14ac:dyDescent="0.2">
      <c r="B32" s="178"/>
      <c r="D32" s="29"/>
      <c r="E32" s="29"/>
      <c r="F32" s="35"/>
      <c r="G32" s="322"/>
      <c r="H32" s="322"/>
      <c r="I32" s="322"/>
      <c r="J32" s="322"/>
      <c r="K32" s="322"/>
      <c r="L32" s="331"/>
      <c r="M32" s="331"/>
      <c r="N32" s="332"/>
      <c r="O32" s="322"/>
      <c r="P32" s="50"/>
    </row>
    <row r="33" spans="2:17" ht="14.25" customHeight="1" x14ac:dyDescent="0.2">
      <c r="B33" s="178">
        <v>10</v>
      </c>
      <c r="D33" s="29" t="s">
        <v>133</v>
      </c>
      <c r="E33" s="29"/>
      <c r="F33" s="35"/>
      <c r="G33" s="322">
        <f>'3. Data_Input_Sheet'!E49</f>
        <v>0</v>
      </c>
      <c r="H33" s="322"/>
      <c r="I33" s="296"/>
      <c r="J33" s="322"/>
      <c r="K33" s="322">
        <f>IF(ISBLANK('3. Data_Input_Sheet'!M49),G33,'3. Data_Input_Sheet'!M49)</f>
        <v>-20000</v>
      </c>
      <c r="L33" s="304"/>
      <c r="M33" s="296"/>
      <c r="N33" s="335"/>
      <c r="O33" s="322">
        <f>IF(ISBLANK('3. Data_Input_Sheet'!U49),K33,'3. Data_Input_Sheet'!U49)</f>
        <v>-20000</v>
      </c>
      <c r="P33" s="50"/>
      <c r="Q33" s="296"/>
    </row>
    <row r="34" spans="2:17" x14ac:dyDescent="0.2">
      <c r="B34" s="178"/>
      <c r="F34" s="35"/>
      <c r="L34" s="31"/>
      <c r="M34" s="35"/>
      <c r="N34" s="31"/>
    </row>
    <row r="35" spans="2:17" x14ac:dyDescent="0.2">
      <c r="B35" s="178"/>
      <c r="D35" s="28" t="s">
        <v>33</v>
      </c>
      <c r="E35" s="112"/>
      <c r="F35" s="113"/>
      <c r="G35" s="112"/>
      <c r="H35" s="112"/>
      <c r="I35" s="112"/>
      <c r="J35" s="112"/>
      <c r="L35" s="170"/>
      <c r="M35" s="113"/>
      <c r="N35" s="170"/>
    </row>
    <row r="36" spans="2:17" x14ac:dyDescent="0.2">
      <c r="B36" s="178"/>
      <c r="F36" s="35"/>
      <c r="G36" s="114"/>
      <c r="H36" s="114"/>
      <c r="I36" s="114"/>
      <c r="J36" s="114"/>
      <c r="K36" s="116"/>
      <c r="L36" s="171"/>
      <c r="M36" s="115"/>
      <c r="N36" s="171"/>
      <c r="O36" s="116"/>
      <c r="P36" s="116"/>
    </row>
    <row r="37" spans="2:17" x14ac:dyDescent="0.2">
      <c r="B37" s="178">
        <v>11</v>
      </c>
      <c r="D37" s="5" t="s">
        <v>139</v>
      </c>
      <c r="F37" s="35"/>
      <c r="G37" s="82">
        <f>'3. Data_Input_Sheet'!E47</f>
        <v>0.11</v>
      </c>
      <c r="H37" s="82"/>
      <c r="I37" s="296"/>
      <c r="J37" s="82"/>
      <c r="K37" s="117">
        <f>IF(ISBLANK('3. Data_Input_Sheet'!M47),G37,'3. Data_Input_Sheet'!M47)</f>
        <v>0.11</v>
      </c>
      <c r="L37" s="202"/>
      <c r="M37" s="296"/>
      <c r="N37" s="202"/>
      <c r="O37" s="117">
        <f>IF(ISBLANK('3. Data_Input_Sheet'!U47),K37,'3. Data_Input_Sheet'!U47)</f>
        <v>0.11</v>
      </c>
      <c r="P37" s="117"/>
      <c r="Q37" s="296"/>
    </row>
    <row r="38" spans="2:17" x14ac:dyDescent="0.2">
      <c r="B38" s="178">
        <v>12</v>
      </c>
      <c r="D38" s="5" t="s">
        <v>140</v>
      </c>
      <c r="F38" s="35"/>
      <c r="G38" s="83">
        <f>'3. Data_Input_Sheet'!E48</f>
        <v>4.4999999999999998E-2</v>
      </c>
      <c r="H38" s="82"/>
      <c r="I38" s="296"/>
      <c r="J38" s="82"/>
      <c r="K38" s="95">
        <f>IF(ISBLANK('3. Data_Input_Sheet'!M48),G38,'3. Data_Input_Sheet'!M48)</f>
        <v>4.4999999999999998E-2</v>
      </c>
      <c r="L38" s="202"/>
      <c r="M38" s="296"/>
      <c r="N38" s="202"/>
      <c r="O38" s="95">
        <f>IF(ISBLANK('3. Data_Input_Sheet'!U48),K38,'3. Data_Input_Sheet'!U48)</f>
        <v>4.4999999999999998E-2</v>
      </c>
      <c r="P38" s="94"/>
      <c r="Q38" s="296"/>
    </row>
    <row r="39" spans="2:17" ht="13.5" thickBot="1" x14ac:dyDescent="0.25">
      <c r="B39" s="178">
        <v>13</v>
      </c>
      <c r="D39" s="5" t="s">
        <v>141</v>
      </c>
      <c r="F39" s="35"/>
      <c r="G39" s="118">
        <f>G37+G38</f>
        <v>0.155</v>
      </c>
      <c r="H39" s="168"/>
      <c r="I39" s="168"/>
      <c r="J39" s="168"/>
      <c r="K39" s="120">
        <f>K37+K38</f>
        <v>0.155</v>
      </c>
      <c r="L39" s="119"/>
      <c r="M39" s="119"/>
      <c r="N39" s="119"/>
      <c r="O39" s="120">
        <f>O37+O38</f>
        <v>0.155</v>
      </c>
      <c r="P39" s="93"/>
    </row>
    <row r="40" spans="2:17" ht="13.5" thickTop="1" x14ac:dyDescent="0.2">
      <c r="F40" s="35"/>
      <c r="L40" s="35"/>
      <c r="M40" s="35"/>
      <c r="N40" s="35"/>
    </row>
    <row r="41" spans="2:17" x14ac:dyDescent="0.2">
      <c r="L41" s="35"/>
      <c r="M41" s="35"/>
      <c r="N41" s="35"/>
    </row>
    <row r="42" spans="2:17" x14ac:dyDescent="0.2">
      <c r="B42" s="501" t="s">
        <v>38</v>
      </c>
      <c r="C42" s="501"/>
      <c r="D42" s="501"/>
      <c r="E42" s="501"/>
      <c r="F42" s="501"/>
      <c r="G42" s="501"/>
      <c r="H42" s="501"/>
      <c r="I42" s="501"/>
      <c r="J42" s="501"/>
      <c r="K42" s="501"/>
      <c r="L42" s="501"/>
      <c r="M42" s="501"/>
      <c r="N42" s="501"/>
      <c r="O42" s="501"/>
      <c r="P42" s="163"/>
    </row>
    <row r="43" spans="2:17" ht="12.75" customHeight="1" x14ac:dyDescent="0.2">
      <c r="B43" s="421"/>
      <c r="C43" s="422"/>
      <c r="D43" s="503" t="s">
        <v>151</v>
      </c>
      <c r="E43" s="503"/>
      <c r="F43" s="503"/>
      <c r="G43" s="503"/>
      <c r="H43" s="503"/>
      <c r="I43" s="503"/>
      <c r="J43" s="503"/>
      <c r="K43" s="503"/>
      <c r="L43" s="503"/>
      <c r="M43" s="503"/>
      <c r="N43" s="503"/>
      <c r="O43" s="503"/>
      <c r="P43" s="196"/>
    </row>
    <row r="44" spans="2:17" x14ac:dyDescent="0.2">
      <c r="B44" s="143"/>
      <c r="D44" s="479"/>
      <c r="E44" s="479"/>
      <c r="F44" s="479"/>
      <c r="G44" s="479"/>
      <c r="H44" s="479"/>
      <c r="I44" s="479"/>
      <c r="J44" s="479"/>
      <c r="K44" s="479"/>
      <c r="L44" s="479"/>
      <c r="M44" s="479"/>
      <c r="N44" s="479"/>
      <c r="O44" s="479"/>
      <c r="P44" s="196"/>
    </row>
    <row r="45" spans="2:17" x14ac:dyDescent="0.2">
      <c r="B45" s="143"/>
      <c r="D45" s="153"/>
      <c r="E45" s="153"/>
      <c r="F45" s="153"/>
      <c r="G45" s="153"/>
      <c r="H45" s="153"/>
      <c r="I45" s="153"/>
      <c r="J45" s="153"/>
      <c r="K45" s="153"/>
      <c r="L45" s="153"/>
      <c r="M45" s="153"/>
      <c r="N45" s="153"/>
      <c r="O45" s="153"/>
      <c r="P45" s="196"/>
    </row>
    <row r="46" spans="2:17" x14ac:dyDescent="0.2">
      <c r="B46" s="143"/>
      <c r="D46" s="153"/>
      <c r="E46" s="153"/>
      <c r="F46" s="153"/>
      <c r="G46" s="153"/>
      <c r="H46" s="153"/>
      <c r="I46" s="153"/>
      <c r="J46" s="153"/>
      <c r="K46" s="153"/>
      <c r="L46" s="153"/>
      <c r="M46" s="153"/>
      <c r="N46" s="153"/>
      <c r="O46" s="153"/>
      <c r="P46" s="196"/>
    </row>
    <row r="47" spans="2:17" x14ac:dyDescent="0.2">
      <c r="B47" s="143"/>
      <c r="D47" s="153"/>
      <c r="E47" s="153"/>
      <c r="F47" s="153"/>
      <c r="G47" s="153"/>
      <c r="H47" s="153"/>
      <c r="I47" s="153"/>
      <c r="J47" s="153"/>
      <c r="K47" s="153"/>
      <c r="L47" s="153"/>
      <c r="M47" s="153"/>
      <c r="N47" s="153"/>
      <c r="O47" s="153"/>
      <c r="P47" s="196"/>
    </row>
    <row r="48" spans="2:17" x14ac:dyDescent="0.2">
      <c r="B48" s="143"/>
      <c r="D48" s="479"/>
      <c r="E48" s="479"/>
      <c r="F48" s="479"/>
      <c r="G48" s="479"/>
      <c r="H48" s="479"/>
      <c r="I48" s="479"/>
      <c r="J48" s="479"/>
      <c r="K48" s="479"/>
      <c r="L48" s="479"/>
      <c r="M48" s="479"/>
      <c r="N48" s="479"/>
      <c r="O48" s="479"/>
      <c r="P48" s="196"/>
    </row>
    <row r="49" spans="2:16" x14ac:dyDescent="0.2">
      <c r="B49" s="143"/>
      <c r="D49" s="479"/>
      <c r="E49" s="479"/>
      <c r="F49" s="479"/>
      <c r="G49" s="479"/>
      <c r="H49" s="479"/>
      <c r="I49" s="479"/>
      <c r="J49" s="479"/>
      <c r="K49" s="479"/>
      <c r="L49" s="479"/>
      <c r="M49" s="479"/>
      <c r="N49" s="479"/>
      <c r="O49" s="479"/>
      <c r="P49" s="196"/>
    </row>
    <row r="50" spans="2:16" x14ac:dyDescent="0.2">
      <c r="B50" s="143"/>
      <c r="D50" s="479"/>
      <c r="E50" s="479"/>
      <c r="F50" s="479"/>
      <c r="G50" s="479"/>
      <c r="H50" s="479"/>
      <c r="I50" s="479"/>
      <c r="J50" s="479"/>
      <c r="K50" s="479"/>
      <c r="L50" s="479"/>
      <c r="M50" s="479"/>
      <c r="N50" s="479"/>
      <c r="O50" s="479"/>
      <c r="P50" s="196"/>
    </row>
    <row r="51" spans="2:16" x14ac:dyDescent="0.2">
      <c r="B51" s="143"/>
      <c r="D51" s="479"/>
      <c r="E51" s="479"/>
      <c r="F51" s="479"/>
      <c r="G51" s="479"/>
      <c r="H51" s="479"/>
      <c r="I51" s="479"/>
      <c r="J51" s="479"/>
      <c r="K51" s="479"/>
      <c r="L51" s="479"/>
      <c r="M51" s="479"/>
      <c r="N51" s="479"/>
      <c r="O51" s="479"/>
      <c r="P51" s="196"/>
    </row>
  </sheetData>
  <sheetProtection password="82A3" sheet="1" objects="1" scenarios="1"/>
  <mergeCells count="19">
    <mergeCell ref="D43:O43"/>
    <mergeCell ref="D50:O50"/>
    <mergeCell ref="D51:O51"/>
    <mergeCell ref="D44:O44"/>
    <mergeCell ref="D48:O48"/>
    <mergeCell ref="D49:O49"/>
    <mergeCell ref="D1:M1"/>
    <mergeCell ref="C3:G3"/>
    <mergeCell ref="C4:G4"/>
    <mergeCell ref="C2:O2"/>
    <mergeCell ref="B42:O42"/>
    <mergeCell ref="D8:O8"/>
    <mergeCell ref="G24:G25"/>
    <mergeCell ref="O24:O25"/>
    <mergeCell ref="D14:E14"/>
    <mergeCell ref="D16:E16"/>
    <mergeCell ref="D18:E18"/>
    <mergeCell ref="D31:E31"/>
    <mergeCell ref="K24:K25"/>
  </mergeCells>
  <phoneticPr fontId="2" type="noConversion"/>
  <conditionalFormatting sqref="K10">
    <cfRule type="cellIs" dxfId="3" priority="1" stopIfTrue="1" operator="equal">
      <formula>""</formula>
    </cfRule>
  </conditionalFormatting>
  <pageMargins left="0.75" right="0.75" top="0.47" bottom="1" header="0.31" footer="0.5"/>
  <pageSetup scale="58" orientation="portrait" r:id="rId1"/>
  <headerFooter alignWithMargins="0">
    <oddFooter>&amp;C5</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R68"/>
  <sheetViews>
    <sheetView showGridLines="0" zoomScaleNormal="100" workbookViewId="0">
      <selection activeCell="T69" sqref="T69"/>
    </sheetView>
  </sheetViews>
  <sheetFormatPr defaultRowHeight="12.75" x14ac:dyDescent="0.2"/>
  <cols>
    <col min="1" max="1" width="1.7109375" style="5" customWidth="1"/>
    <col min="2" max="2" width="5" style="5" customWidth="1"/>
    <col min="3" max="3" width="8.140625" style="5" customWidth="1"/>
    <col min="4" max="4" width="17.28515625" style="5" customWidth="1"/>
    <col min="5" max="5" width="2.140625" style="5" customWidth="1"/>
    <col min="6" max="6" width="9.28515625" style="5" customWidth="1"/>
    <col min="7" max="7" width="1.28515625" style="5" customWidth="1"/>
    <col min="8" max="8" width="3.28515625" style="5" customWidth="1"/>
    <col min="9" max="9" width="1.28515625" style="5" customWidth="1"/>
    <col min="10" max="10" width="17.85546875" style="5" customWidth="1"/>
    <col min="11" max="11" width="3" style="5" customWidth="1"/>
    <col min="12" max="12" width="9" style="5" customWidth="1"/>
    <col min="13" max="13" width="1.28515625" style="5" customWidth="1"/>
    <col min="14" max="14" width="2.85546875" style="5" customWidth="1"/>
    <col min="15" max="15" width="1.28515625" style="5" customWidth="1"/>
    <col min="16" max="16" width="14.7109375" style="5" customWidth="1"/>
    <col min="17" max="17" width="2.85546875" style="5" customWidth="1"/>
    <col min="18" max="16384" width="9.140625" style="5"/>
  </cols>
  <sheetData>
    <row r="1" spans="1:18" s="2" customFormat="1" ht="36.75" customHeight="1" x14ac:dyDescent="0.2">
      <c r="C1" s="504"/>
      <c r="D1" s="504"/>
      <c r="E1" s="504"/>
      <c r="F1" s="504"/>
      <c r="G1" s="504"/>
      <c r="H1" s="504"/>
      <c r="I1" s="504"/>
      <c r="J1" s="504"/>
      <c r="K1" s="504"/>
      <c r="L1" s="504"/>
      <c r="M1" s="504"/>
      <c r="N1" s="504"/>
      <c r="O1" s="160"/>
      <c r="P1" s="152"/>
    </row>
    <row r="2" spans="1:18" s="2" customFormat="1" ht="36.75" customHeight="1" x14ac:dyDescent="0.25">
      <c r="C2" s="505"/>
      <c r="D2" s="505"/>
      <c r="E2" s="505"/>
      <c r="F2" s="505"/>
      <c r="G2" s="505"/>
      <c r="H2" s="505"/>
      <c r="I2" s="505"/>
      <c r="J2" s="505"/>
      <c r="K2" s="505"/>
      <c r="L2" s="505"/>
      <c r="M2" s="505"/>
      <c r="N2" s="505"/>
      <c r="O2" s="505"/>
      <c r="P2" s="505"/>
      <c r="Q2" s="505"/>
      <c r="R2" s="505"/>
    </row>
    <row r="3" spans="1:18" s="2" customFormat="1" ht="36.75" customHeight="1" x14ac:dyDescent="0.25">
      <c r="C3" s="505"/>
      <c r="D3" s="505"/>
      <c r="E3" s="505"/>
      <c r="F3" s="505"/>
      <c r="G3" s="505"/>
      <c r="H3" s="505"/>
      <c r="I3" s="505"/>
      <c r="J3" s="505"/>
      <c r="K3" s="505"/>
      <c r="L3" s="505"/>
      <c r="M3" s="505"/>
      <c r="N3" s="505"/>
      <c r="O3" s="161"/>
    </row>
    <row r="4" spans="1:18" s="2" customFormat="1" ht="36.75" customHeight="1" x14ac:dyDescent="0.25">
      <c r="C4" s="505"/>
      <c r="D4" s="505"/>
      <c r="E4" s="505"/>
      <c r="F4" s="505"/>
      <c r="G4" s="505"/>
      <c r="H4" s="505"/>
      <c r="I4" s="505"/>
      <c r="J4" s="505"/>
      <c r="K4" s="39"/>
      <c r="L4" s="39"/>
      <c r="M4" s="39"/>
      <c r="N4" s="39"/>
      <c r="O4" s="39"/>
    </row>
    <row r="5" spans="1:18" s="2" customFormat="1" ht="36.75" customHeight="1" x14ac:dyDescent="0.25">
      <c r="E5" s="3"/>
      <c r="F5" s="3"/>
      <c r="G5" s="3"/>
    </row>
    <row r="6" spans="1:18" s="2" customFormat="1" ht="36.75" customHeight="1" x14ac:dyDescent="0.2"/>
    <row r="7" spans="1:18" ht="4.5" customHeight="1" x14ac:dyDescent="0.2"/>
    <row r="8" spans="1:18" ht="21" customHeight="1" x14ac:dyDescent="0.25">
      <c r="D8" s="506"/>
      <c r="E8" s="506"/>
      <c r="F8" s="506"/>
      <c r="G8" s="506"/>
      <c r="H8" s="506"/>
      <c r="I8" s="506"/>
      <c r="J8" s="506"/>
      <c r="K8" s="506"/>
      <c r="L8" s="506"/>
      <c r="M8" s="506"/>
      <c r="N8" s="506"/>
      <c r="O8" s="506"/>
      <c r="P8" s="506"/>
      <c r="Q8" s="60"/>
    </row>
    <row r="9" spans="1:18" ht="7.5" customHeight="1" x14ac:dyDescent="0.2"/>
    <row r="10" spans="1:18" ht="7.5" customHeight="1" x14ac:dyDescent="0.2">
      <c r="C10" s="35"/>
      <c r="D10" s="35"/>
      <c r="E10" s="35"/>
      <c r="F10" s="35"/>
      <c r="G10" s="35"/>
      <c r="H10" s="35"/>
      <c r="I10" s="35"/>
      <c r="J10" s="35"/>
      <c r="K10" s="35"/>
      <c r="L10" s="35"/>
      <c r="M10" s="35"/>
      <c r="N10" s="35"/>
      <c r="O10" s="35"/>
      <c r="P10" s="35"/>
      <c r="Q10" s="35"/>
    </row>
    <row r="11" spans="1:18" ht="25.5" x14ac:dyDescent="0.2">
      <c r="A11" s="4"/>
      <c r="B11" s="42" t="s">
        <v>37</v>
      </c>
      <c r="C11" s="35"/>
      <c r="D11" s="43" t="s">
        <v>36</v>
      </c>
      <c r="E11" s="35"/>
      <c r="F11" s="507" t="s">
        <v>46</v>
      </c>
      <c r="G11" s="507"/>
      <c r="H11" s="507"/>
      <c r="I11" s="507"/>
      <c r="J11" s="507"/>
      <c r="K11" s="77"/>
      <c r="L11" s="43" t="s">
        <v>21</v>
      </c>
      <c r="M11" s="45"/>
      <c r="N11" s="35"/>
      <c r="O11" s="35"/>
      <c r="P11" s="43" t="s">
        <v>22</v>
      </c>
      <c r="Q11" s="35"/>
    </row>
    <row r="12" spans="1:18" x14ac:dyDescent="0.2">
      <c r="A12" s="4"/>
      <c r="B12" s="4"/>
      <c r="C12" s="35"/>
      <c r="D12" s="35"/>
      <c r="E12" s="35"/>
      <c r="F12" s="35"/>
      <c r="G12" s="35"/>
      <c r="H12" s="35"/>
      <c r="I12" s="35"/>
      <c r="J12" s="78"/>
      <c r="K12" s="78"/>
      <c r="L12" s="35"/>
      <c r="M12" s="35"/>
      <c r="N12" s="35"/>
      <c r="O12" s="35"/>
      <c r="P12" s="35"/>
      <c r="Q12" s="35"/>
    </row>
    <row r="13" spans="1:18" x14ac:dyDescent="0.2">
      <c r="A13" s="4"/>
      <c r="B13" s="68"/>
      <c r="C13" s="35"/>
      <c r="D13" s="35"/>
      <c r="E13" s="35"/>
      <c r="F13" s="35"/>
      <c r="G13" s="35"/>
      <c r="H13" s="35"/>
      <c r="I13" s="35"/>
      <c r="J13" s="78"/>
      <c r="K13" s="78"/>
      <c r="L13" s="35"/>
      <c r="M13" s="35"/>
      <c r="N13" s="35"/>
      <c r="O13" s="35"/>
      <c r="P13" s="35"/>
      <c r="Q13" s="35"/>
    </row>
    <row r="14" spans="1:18" x14ac:dyDescent="0.2">
      <c r="A14" s="4"/>
      <c r="B14" s="68"/>
      <c r="C14" s="79"/>
      <c r="D14" s="509"/>
      <c r="E14" s="509"/>
      <c r="F14" s="509"/>
      <c r="G14" s="509"/>
      <c r="H14" s="509"/>
      <c r="I14" s="509"/>
      <c r="J14" s="509"/>
      <c r="K14" s="509"/>
      <c r="L14" s="509"/>
      <c r="M14" s="509"/>
      <c r="N14" s="509"/>
      <c r="O14" s="509"/>
      <c r="P14" s="509"/>
      <c r="Q14" s="35"/>
    </row>
    <row r="15" spans="1:18" x14ac:dyDescent="0.2">
      <c r="A15" s="4"/>
      <c r="B15" s="68"/>
      <c r="C15" s="35"/>
      <c r="D15" s="35"/>
      <c r="E15" s="35"/>
      <c r="F15" s="177" t="s">
        <v>20</v>
      </c>
      <c r="G15" s="177"/>
      <c r="H15" s="177"/>
      <c r="I15" s="177"/>
      <c r="J15" s="177" t="s">
        <v>8</v>
      </c>
      <c r="K15" s="78"/>
      <c r="L15" s="177" t="s">
        <v>20</v>
      </c>
      <c r="M15" s="177"/>
      <c r="N15" s="78"/>
      <c r="O15" s="78"/>
      <c r="P15" s="78" t="s">
        <v>8</v>
      </c>
      <c r="Q15" s="35"/>
    </row>
    <row r="16" spans="1:18" x14ac:dyDescent="0.2">
      <c r="A16" s="4"/>
      <c r="B16" s="68"/>
      <c r="C16" s="35"/>
      <c r="D16" s="81" t="s">
        <v>11</v>
      </c>
      <c r="E16" s="35"/>
      <c r="F16" s="35"/>
      <c r="G16" s="35"/>
      <c r="H16" s="35"/>
      <c r="I16" s="35"/>
      <c r="J16" s="35"/>
      <c r="K16" s="35"/>
      <c r="L16" s="35"/>
      <c r="M16" s="35"/>
      <c r="N16" s="35"/>
      <c r="O16" s="35"/>
      <c r="P16" s="35"/>
      <c r="Q16" s="35"/>
    </row>
    <row r="17" spans="1:18" x14ac:dyDescent="0.2">
      <c r="A17" s="4"/>
      <c r="B17" s="68">
        <v>1</v>
      </c>
      <c r="C17" s="35"/>
      <c r="D17" s="80" t="s">
        <v>12</v>
      </c>
      <c r="E17" s="35"/>
      <c r="F17" s="82">
        <f>'3. Data_Input_Sheet'!E53</f>
        <v>0.56000000000000005</v>
      </c>
      <c r="G17" s="82"/>
      <c r="H17" s="176"/>
      <c r="I17" s="208"/>
      <c r="J17" s="48">
        <f>$J$26*F17</f>
        <v>7258169.822522602</v>
      </c>
      <c r="K17" s="35"/>
      <c r="L17" s="82">
        <f>'3. Data_Input_Sheet'!E60</f>
        <v>4.41E-2</v>
      </c>
      <c r="M17" s="82"/>
      <c r="N17" s="176"/>
      <c r="O17" s="208"/>
      <c r="P17" s="48">
        <f>L17*J17</f>
        <v>320085.28917324677</v>
      </c>
      <c r="Q17" s="35"/>
    </row>
    <row r="18" spans="1:18" x14ac:dyDescent="0.2">
      <c r="A18" s="4"/>
      <c r="B18" s="68">
        <v>2</v>
      </c>
      <c r="C18" s="35"/>
      <c r="D18" s="80" t="s">
        <v>13</v>
      </c>
      <c r="E18" s="35"/>
      <c r="F18" s="83">
        <f>'3. Data_Input_Sheet'!E54</f>
        <v>0.04</v>
      </c>
      <c r="G18" s="82"/>
      <c r="H18" s="176"/>
      <c r="I18" s="208"/>
      <c r="J18" s="56">
        <f>$J$26*F18</f>
        <v>518440.70160875726</v>
      </c>
      <c r="K18" s="35"/>
      <c r="L18" s="83">
        <f>'3. Data_Input_Sheet'!E61</f>
        <v>2.0799999999999999E-2</v>
      </c>
      <c r="M18" s="82"/>
      <c r="N18" s="176"/>
      <c r="O18" s="208"/>
      <c r="P18" s="56">
        <f>L18*J18</f>
        <v>10783.56659346215</v>
      </c>
      <c r="Q18" s="35"/>
    </row>
    <row r="19" spans="1:18" ht="13.5" thickBot="1" x14ac:dyDescent="0.25">
      <c r="A19" s="4"/>
      <c r="B19" s="68">
        <v>3</v>
      </c>
      <c r="C19" s="35"/>
      <c r="D19" s="84" t="s">
        <v>14</v>
      </c>
      <c r="E19" s="35"/>
      <c r="F19" s="85">
        <f>SUM(F17:F18)</f>
        <v>0.60000000000000009</v>
      </c>
      <c r="G19" s="85"/>
      <c r="H19" s="86"/>
      <c r="I19" s="180"/>
      <c r="J19" s="87">
        <f>SUM(J17:J18)</f>
        <v>7776610.5241313595</v>
      </c>
      <c r="K19" s="35"/>
      <c r="L19" s="85">
        <f>IF(F19=0,0,SUMPRODUCT(F17:F18,L17:L18)/F19)</f>
        <v>4.2546666666666663E-2</v>
      </c>
      <c r="M19" s="90"/>
      <c r="N19" s="35"/>
      <c r="O19" s="31"/>
      <c r="P19" s="87">
        <f>SUM(P17:P18)</f>
        <v>330868.8557667089</v>
      </c>
      <c r="Q19" s="35"/>
    </row>
    <row r="20" spans="1:18" ht="13.5" thickTop="1" x14ac:dyDescent="0.2">
      <c r="A20" s="4"/>
      <c r="B20" s="68"/>
      <c r="C20" s="35"/>
      <c r="D20" s="35"/>
      <c r="E20" s="35"/>
      <c r="F20" s="88"/>
      <c r="G20" s="88"/>
      <c r="H20" s="88"/>
      <c r="I20" s="179"/>
      <c r="J20" s="89"/>
      <c r="K20" s="35"/>
      <c r="L20" s="90"/>
      <c r="M20" s="90"/>
      <c r="N20" s="35"/>
      <c r="O20" s="31"/>
      <c r="P20" s="89"/>
      <c r="Q20" s="35"/>
    </row>
    <row r="21" spans="1:18" x14ac:dyDescent="0.2">
      <c r="A21" s="4"/>
      <c r="B21" s="68"/>
      <c r="C21" s="35"/>
      <c r="D21" s="81" t="s">
        <v>15</v>
      </c>
      <c r="E21" s="35"/>
      <c r="F21" s="88"/>
      <c r="G21" s="88"/>
      <c r="H21" s="88"/>
      <c r="I21" s="179"/>
      <c r="J21" s="89"/>
      <c r="K21" s="35"/>
      <c r="L21" s="90"/>
      <c r="M21" s="90"/>
      <c r="N21" s="35"/>
      <c r="O21" s="31"/>
      <c r="P21" s="89"/>
      <c r="Q21" s="35"/>
    </row>
    <row r="22" spans="1:18" x14ac:dyDescent="0.2">
      <c r="A22" s="4"/>
      <c r="B22" s="72">
        <v>4</v>
      </c>
      <c r="C22" s="91"/>
      <c r="D22" s="92" t="s">
        <v>16</v>
      </c>
      <c r="E22" s="91"/>
      <c r="F22" s="93">
        <f>'3. Data_Input_Sheet'!E55</f>
        <v>0.4</v>
      </c>
      <c r="G22" s="93"/>
      <c r="H22" s="176"/>
      <c r="I22" s="208"/>
      <c r="J22" s="49">
        <f>$J$26*F22</f>
        <v>5184407.016087573</v>
      </c>
      <c r="K22" s="91"/>
      <c r="L22" s="94">
        <f>'3. Data_Input_Sheet'!E62</f>
        <v>9.1200000000000003E-2</v>
      </c>
      <c r="M22" s="94"/>
      <c r="N22" s="176"/>
      <c r="O22" s="208"/>
      <c r="P22" s="49">
        <f>L22*J22</f>
        <v>472817.91986718669</v>
      </c>
      <c r="Q22" s="91"/>
      <c r="R22" s="15"/>
    </row>
    <row r="23" spans="1:18" x14ac:dyDescent="0.2">
      <c r="A23" s="4"/>
      <c r="B23" s="72">
        <v>5</v>
      </c>
      <c r="C23" s="91"/>
      <c r="D23" s="92" t="s">
        <v>17</v>
      </c>
      <c r="E23" s="91"/>
      <c r="F23" s="95">
        <f>'3. Data_Input_Sheet'!E56</f>
        <v>0</v>
      </c>
      <c r="G23" s="94"/>
      <c r="H23" s="176"/>
      <c r="I23" s="208"/>
      <c r="J23" s="57">
        <f>$J$26*F23</f>
        <v>0</v>
      </c>
      <c r="K23" s="91"/>
      <c r="L23" s="95">
        <f>'3. Data_Input_Sheet'!E63</f>
        <v>0</v>
      </c>
      <c r="M23" s="94"/>
      <c r="N23" s="176"/>
      <c r="O23" s="208"/>
      <c r="P23" s="57">
        <f>L23*J23</f>
        <v>0</v>
      </c>
      <c r="Q23" s="91"/>
      <c r="R23" s="15"/>
    </row>
    <row r="24" spans="1:18" ht="13.5" thickBot="1" x14ac:dyDescent="0.25">
      <c r="A24" s="4"/>
      <c r="B24" s="68">
        <v>6</v>
      </c>
      <c r="C24" s="35"/>
      <c r="D24" s="84" t="s">
        <v>18</v>
      </c>
      <c r="E24" s="35"/>
      <c r="F24" s="85">
        <f>SUM(F22:F23)</f>
        <v>0.4</v>
      </c>
      <c r="G24" s="85"/>
      <c r="H24" s="86"/>
      <c r="I24" s="86"/>
      <c r="J24" s="87">
        <f>SUM(J22:J23)</f>
        <v>5184407.016087573</v>
      </c>
      <c r="K24" s="35"/>
      <c r="L24" s="85">
        <f>IF(F24=0,0,SUMPRODUCT(F22:F23,L22:L23)/F24)</f>
        <v>9.1200000000000003E-2</v>
      </c>
      <c r="M24" s="90"/>
      <c r="N24" s="35"/>
      <c r="O24" s="35"/>
      <c r="P24" s="87">
        <f>SUM(P22:P23)</f>
        <v>472817.91986718669</v>
      </c>
      <c r="Q24" s="35"/>
    </row>
    <row r="25" spans="1:18" ht="13.5" thickTop="1" x14ac:dyDescent="0.2">
      <c r="A25" s="4"/>
      <c r="B25" s="68"/>
      <c r="C25" s="35"/>
      <c r="D25" s="35"/>
      <c r="E25" s="35"/>
      <c r="F25" s="35"/>
      <c r="G25" s="35"/>
      <c r="H25" s="35"/>
      <c r="I25" s="35"/>
      <c r="J25" s="89"/>
      <c r="K25" s="35"/>
      <c r="L25" s="90"/>
      <c r="M25" s="90"/>
      <c r="N25" s="35"/>
      <c r="O25" s="35"/>
      <c r="P25" s="89"/>
      <c r="Q25" s="35"/>
    </row>
    <row r="26" spans="1:18" ht="13.5" thickBot="1" x14ac:dyDescent="0.25">
      <c r="A26" s="4"/>
      <c r="B26" s="68">
        <v>7</v>
      </c>
      <c r="C26" s="35"/>
      <c r="D26" s="81" t="s">
        <v>19</v>
      </c>
      <c r="E26" s="35"/>
      <c r="F26" s="197">
        <f>SUM(F19,F24)</f>
        <v>1</v>
      </c>
      <c r="G26" s="96"/>
      <c r="H26" s="96"/>
      <c r="I26" s="96"/>
      <c r="J26" s="97">
        <f>'4. Rate_Base'!G17</f>
        <v>12961017.540218931</v>
      </c>
      <c r="K26" s="35"/>
      <c r="L26" s="98">
        <f>(L19*F19)+(L24*F24)</f>
        <v>6.2008000000000008E-2</v>
      </c>
      <c r="M26" s="90"/>
      <c r="N26" s="35"/>
      <c r="O26" s="35"/>
      <c r="P26" s="97">
        <f>P19+P24</f>
        <v>803686.77563389554</v>
      </c>
      <c r="Q26" s="35"/>
    </row>
    <row r="27" spans="1:18" ht="13.5" thickTop="1" x14ac:dyDescent="0.2">
      <c r="A27" s="4"/>
      <c r="B27" s="68"/>
      <c r="C27" s="35"/>
      <c r="D27" s="35"/>
      <c r="E27" s="35"/>
      <c r="F27" s="35"/>
      <c r="G27" s="35"/>
      <c r="H27" s="35"/>
      <c r="I27" s="35"/>
      <c r="J27" s="35"/>
      <c r="K27" s="35"/>
      <c r="L27" s="35"/>
      <c r="M27" s="35"/>
      <c r="N27" s="35"/>
      <c r="O27" s="35"/>
      <c r="P27" s="35"/>
      <c r="Q27" s="35"/>
    </row>
    <row r="28" spans="1:18" x14ac:dyDescent="0.2">
      <c r="A28" s="4"/>
      <c r="B28" s="4"/>
      <c r="C28" s="35"/>
      <c r="D28" s="35"/>
      <c r="E28" s="35"/>
      <c r="F28" s="35"/>
      <c r="G28" s="35"/>
      <c r="H28" s="35"/>
      <c r="I28" s="35"/>
      <c r="J28" s="35"/>
      <c r="K28" s="35"/>
      <c r="L28" s="35"/>
      <c r="M28" s="35"/>
      <c r="N28" s="35"/>
      <c r="O28" s="35"/>
      <c r="P28" s="35"/>
      <c r="Q28" s="35"/>
    </row>
    <row r="29" spans="1:18" x14ac:dyDescent="0.2">
      <c r="A29" s="4"/>
      <c r="B29" s="68"/>
      <c r="C29" s="35"/>
      <c r="D29" s="35"/>
      <c r="E29" s="35"/>
      <c r="F29" s="35"/>
      <c r="G29" s="35"/>
      <c r="H29" s="35"/>
      <c r="I29" s="35"/>
      <c r="J29" s="35"/>
      <c r="K29" s="35"/>
      <c r="L29" s="35"/>
      <c r="M29" s="35"/>
      <c r="N29" s="35"/>
      <c r="O29" s="35"/>
      <c r="P29" s="35"/>
      <c r="Q29" s="35"/>
    </row>
    <row r="30" spans="1:18" x14ac:dyDescent="0.2">
      <c r="A30" s="4"/>
      <c r="B30" s="68"/>
      <c r="C30" s="79"/>
      <c r="D30" s="508"/>
      <c r="E30" s="508"/>
      <c r="F30" s="508"/>
      <c r="G30" s="508"/>
      <c r="H30" s="508"/>
      <c r="I30" s="508"/>
      <c r="J30" s="508"/>
      <c r="K30" s="508"/>
      <c r="L30" s="508"/>
      <c r="M30" s="508"/>
      <c r="N30" s="508"/>
      <c r="O30" s="508"/>
      <c r="P30" s="508"/>
      <c r="Q30" s="35"/>
    </row>
    <row r="31" spans="1:18" x14ac:dyDescent="0.2">
      <c r="A31" s="4"/>
      <c r="B31" s="68"/>
      <c r="C31" s="35"/>
      <c r="D31" s="35"/>
      <c r="E31" s="35"/>
      <c r="F31" s="177" t="s">
        <v>20</v>
      </c>
      <c r="G31" s="177"/>
      <c r="H31" s="177"/>
      <c r="I31" s="177"/>
      <c r="J31" s="177" t="s">
        <v>8</v>
      </c>
      <c r="K31" s="78"/>
      <c r="L31" s="177" t="s">
        <v>20</v>
      </c>
      <c r="M31" s="177"/>
      <c r="N31" s="78"/>
      <c r="O31" s="78"/>
      <c r="P31" s="78" t="s">
        <v>8</v>
      </c>
      <c r="Q31" s="35"/>
    </row>
    <row r="32" spans="1:18" x14ac:dyDescent="0.2">
      <c r="A32" s="4"/>
      <c r="B32" s="68"/>
      <c r="C32" s="35"/>
      <c r="D32" s="81" t="s">
        <v>11</v>
      </c>
      <c r="E32" s="35"/>
      <c r="F32" s="35"/>
      <c r="G32" s="35"/>
      <c r="H32" s="35"/>
      <c r="I32" s="35"/>
      <c r="J32" s="35"/>
      <c r="K32" s="35"/>
      <c r="L32" s="35"/>
      <c r="M32" s="35"/>
      <c r="N32" s="35"/>
      <c r="O32" s="35"/>
      <c r="P32" s="35"/>
      <c r="Q32" s="35"/>
    </row>
    <row r="33" spans="1:17" x14ac:dyDescent="0.2">
      <c r="A33" s="4"/>
      <c r="B33" s="68">
        <v>1</v>
      </c>
      <c r="C33" s="35"/>
      <c r="D33" s="80" t="s">
        <v>12</v>
      </c>
      <c r="E33" s="35"/>
      <c r="F33" s="82">
        <f>'3. Data_Input_Sheet'!M53</f>
        <v>0.56000000000000005</v>
      </c>
      <c r="G33" s="82"/>
      <c r="H33" s="176"/>
      <c r="I33" s="208"/>
      <c r="J33" s="48">
        <f>$J$42*F33</f>
        <v>7147191.5735803237</v>
      </c>
      <c r="K33" s="35"/>
      <c r="L33" s="82">
        <f>'3. Data_Input_Sheet'!M60</f>
        <v>4.41E-2</v>
      </c>
      <c r="M33" s="82"/>
      <c r="N33" s="176"/>
      <c r="O33" s="208"/>
      <c r="P33" s="48">
        <f>L33*J33</f>
        <v>315191.14839489228</v>
      </c>
      <c r="Q33" s="35"/>
    </row>
    <row r="34" spans="1:17" x14ac:dyDescent="0.2">
      <c r="A34" s="4"/>
      <c r="B34" s="68">
        <v>2</v>
      </c>
      <c r="C34" s="35"/>
      <c r="D34" s="80" t="s">
        <v>13</v>
      </c>
      <c r="E34" s="35"/>
      <c r="F34" s="83">
        <f>'3. Data_Input_Sheet'!M54</f>
        <v>0.04</v>
      </c>
      <c r="G34" s="82"/>
      <c r="H34" s="176"/>
      <c r="I34" s="208"/>
      <c r="J34" s="56">
        <f>$J$42*F34</f>
        <v>510513.68382716598</v>
      </c>
      <c r="K34" s="35"/>
      <c r="L34" s="83">
        <f>'3. Data_Input_Sheet'!M61</f>
        <v>2.0799999999999999E-2</v>
      </c>
      <c r="M34" s="82"/>
      <c r="N34" s="176"/>
      <c r="O34" s="208"/>
      <c r="P34" s="56">
        <f>L34*J34</f>
        <v>10618.684623605051</v>
      </c>
      <c r="Q34" s="35"/>
    </row>
    <row r="35" spans="1:17" ht="13.5" thickBot="1" x14ac:dyDescent="0.25">
      <c r="A35" s="4"/>
      <c r="B35" s="68">
        <v>3</v>
      </c>
      <c r="C35" s="35"/>
      <c r="D35" s="84" t="s">
        <v>14</v>
      </c>
      <c r="E35" s="35"/>
      <c r="F35" s="85">
        <f>SUM(F33:F34)</f>
        <v>0.60000000000000009</v>
      </c>
      <c r="G35" s="90"/>
      <c r="H35" s="88"/>
      <c r="I35" s="179"/>
      <c r="J35" s="87">
        <f>SUM(J33:J34)</f>
        <v>7657705.2574074902</v>
      </c>
      <c r="K35" s="35"/>
      <c r="L35" s="85">
        <f>IF(F35=0,0,SUMPRODUCT(F33:F34,L33:L34)/F35)</f>
        <v>4.2546666666666663E-2</v>
      </c>
      <c r="M35" s="90"/>
      <c r="N35" s="35"/>
      <c r="O35" s="31"/>
      <c r="P35" s="87">
        <f>SUM(P33:P34)</f>
        <v>325809.83301849733</v>
      </c>
      <c r="Q35" s="35"/>
    </row>
    <row r="36" spans="1:17" ht="13.5" thickTop="1" x14ac:dyDescent="0.2">
      <c r="A36" s="4"/>
      <c r="B36" s="68"/>
      <c r="C36" s="35"/>
      <c r="D36" s="35"/>
      <c r="E36" s="35"/>
      <c r="F36" s="88"/>
      <c r="G36" s="88"/>
      <c r="H36" s="88"/>
      <c r="I36" s="179"/>
      <c r="J36" s="89"/>
      <c r="K36" s="35"/>
      <c r="L36" s="90"/>
      <c r="M36" s="90"/>
      <c r="N36" s="35"/>
      <c r="O36" s="31"/>
      <c r="P36" s="89"/>
      <c r="Q36" s="35"/>
    </row>
    <row r="37" spans="1:17" x14ac:dyDescent="0.2">
      <c r="A37" s="4"/>
      <c r="B37" s="68"/>
      <c r="C37" s="35"/>
      <c r="D37" s="81" t="s">
        <v>15</v>
      </c>
      <c r="E37" s="35"/>
      <c r="F37" s="88"/>
      <c r="G37" s="88"/>
      <c r="H37" s="88"/>
      <c r="I37" s="179"/>
      <c r="J37" s="89"/>
      <c r="K37" s="35"/>
      <c r="L37" s="90"/>
      <c r="M37" s="90"/>
      <c r="N37" s="35"/>
      <c r="O37" s="31"/>
      <c r="P37" s="89"/>
      <c r="Q37" s="35"/>
    </row>
    <row r="38" spans="1:17" x14ac:dyDescent="0.2">
      <c r="A38" s="4"/>
      <c r="B38" s="72">
        <v>4</v>
      </c>
      <c r="C38" s="91"/>
      <c r="D38" s="92" t="s">
        <v>16</v>
      </c>
      <c r="E38" s="91"/>
      <c r="F38" s="93">
        <f>'3. Data_Input_Sheet'!M55</f>
        <v>0.4</v>
      </c>
      <c r="G38" s="93"/>
      <c r="H38" s="176"/>
      <c r="I38" s="208"/>
      <c r="J38" s="49">
        <f>$J$42*F38</f>
        <v>5105136.8382716598</v>
      </c>
      <c r="K38" s="91"/>
      <c r="L38" s="94">
        <f>'3. Data_Input_Sheet'!M62</f>
        <v>9.1200000000000003E-2</v>
      </c>
      <c r="M38" s="94"/>
      <c r="N38" s="176"/>
      <c r="O38" s="208"/>
      <c r="P38" s="49">
        <f>L38*J38</f>
        <v>465588.47965037538</v>
      </c>
      <c r="Q38" s="35"/>
    </row>
    <row r="39" spans="1:17" x14ac:dyDescent="0.2">
      <c r="A39" s="4"/>
      <c r="B39" s="72">
        <v>5</v>
      </c>
      <c r="C39" s="91"/>
      <c r="D39" s="92" t="s">
        <v>17</v>
      </c>
      <c r="E39" s="91"/>
      <c r="F39" s="95">
        <f>'3. Data_Input_Sheet'!M56</f>
        <v>0</v>
      </c>
      <c r="G39" s="94"/>
      <c r="H39" s="176"/>
      <c r="I39" s="208"/>
      <c r="J39" s="57">
        <f>$J$42*F39</f>
        <v>0</v>
      </c>
      <c r="K39" s="91"/>
      <c r="L39" s="95">
        <f>'3. Data_Input_Sheet'!M63</f>
        <v>0</v>
      </c>
      <c r="M39" s="94"/>
      <c r="N39" s="176"/>
      <c r="O39" s="208"/>
      <c r="P39" s="57">
        <f>L39*J39</f>
        <v>0</v>
      </c>
      <c r="Q39" s="35"/>
    </row>
    <row r="40" spans="1:17" ht="13.5" thickBot="1" x14ac:dyDescent="0.25">
      <c r="A40" s="4"/>
      <c r="B40" s="68">
        <v>6</v>
      </c>
      <c r="C40" s="35"/>
      <c r="D40" s="84" t="s">
        <v>18</v>
      </c>
      <c r="E40" s="35"/>
      <c r="F40" s="85">
        <f>SUM(F38:F39)</f>
        <v>0.4</v>
      </c>
      <c r="G40" s="90"/>
      <c r="H40" s="88"/>
      <c r="I40" s="88"/>
      <c r="J40" s="87">
        <f>SUM(J38:J39)</f>
        <v>5105136.8382716598</v>
      </c>
      <c r="K40" s="35"/>
      <c r="L40" s="85">
        <f>IF(F40=0,0,SUMPRODUCT(F38:F39,L38:L39)/F40)</f>
        <v>9.1200000000000003E-2</v>
      </c>
      <c r="M40" s="90"/>
      <c r="N40" s="35"/>
      <c r="O40" s="35"/>
      <c r="P40" s="87">
        <f>SUM(P38:P39)</f>
        <v>465588.47965037538</v>
      </c>
      <c r="Q40" s="35"/>
    </row>
    <row r="41" spans="1:17" ht="13.5" thickTop="1" x14ac:dyDescent="0.2">
      <c r="A41" s="4"/>
      <c r="B41" s="68"/>
      <c r="C41" s="35"/>
      <c r="D41" s="35"/>
      <c r="E41" s="35"/>
      <c r="F41" s="35"/>
      <c r="G41" s="35"/>
      <c r="H41" s="35"/>
      <c r="I41" s="35"/>
      <c r="J41" s="89"/>
      <c r="K41" s="35"/>
      <c r="L41" s="90"/>
      <c r="M41" s="90"/>
      <c r="N41" s="35"/>
      <c r="O41" s="35"/>
      <c r="P41" s="89"/>
      <c r="Q41" s="35"/>
    </row>
    <row r="42" spans="1:17" ht="13.5" thickBot="1" x14ac:dyDescent="0.25">
      <c r="A42" s="4"/>
      <c r="B42" s="68">
        <v>7</v>
      </c>
      <c r="C42" s="35"/>
      <c r="D42" s="81" t="s">
        <v>19</v>
      </c>
      <c r="E42" s="35"/>
      <c r="F42" s="197">
        <f>F35+F40</f>
        <v>1</v>
      </c>
      <c r="G42" s="119"/>
      <c r="H42" s="119"/>
      <c r="I42" s="119"/>
      <c r="J42" s="97">
        <f>'4. Rate_Base'!O17</f>
        <v>12762842.095679149</v>
      </c>
      <c r="K42" s="35"/>
      <c r="L42" s="98">
        <f>(L35*F35)+(L40*F40)</f>
        <v>6.2008000000000008E-2</v>
      </c>
      <c r="M42" s="90"/>
      <c r="N42" s="35"/>
      <c r="O42" s="35"/>
      <c r="P42" s="97">
        <f>P35+P40</f>
        <v>791398.31266887276</v>
      </c>
      <c r="Q42" s="35"/>
    </row>
    <row r="43" spans="1:17" ht="13.5" thickTop="1" x14ac:dyDescent="0.2">
      <c r="A43" s="4"/>
      <c r="B43" s="68"/>
      <c r="C43" s="35"/>
      <c r="D43" s="35"/>
      <c r="E43" s="35"/>
      <c r="F43" s="35"/>
      <c r="G43" s="35"/>
      <c r="H43" s="35"/>
      <c r="I43" s="35"/>
      <c r="J43" s="35"/>
      <c r="K43" s="35"/>
      <c r="L43" s="35"/>
      <c r="M43" s="35"/>
      <c r="N43" s="35"/>
      <c r="O43" s="35"/>
      <c r="P43" s="35"/>
      <c r="Q43" s="35"/>
    </row>
    <row r="44" spans="1:17" x14ac:dyDescent="0.2">
      <c r="A44" s="4"/>
      <c r="B44" s="4"/>
      <c r="C44" s="35"/>
      <c r="D44" s="35"/>
      <c r="E44" s="35"/>
      <c r="F44" s="35"/>
      <c r="G44" s="35"/>
      <c r="H44" s="35"/>
      <c r="I44" s="35"/>
      <c r="J44" s="35"/>
      <c r="K44" s="35"/>
      <c r="L44" s="35"/>
      <c r="M44" s="35"/>
      <c r="N44" s="35"/>
      <c r="O44" s="35"/>
      <c r="P44" s="35"/>
      <c r="Q44" s="35"/>
    </row>
    <row r="45" spans="1:17" x14ac:dyDescent="0.2">
      <c r="A45" s="4"/>
      <c r="B45" s="68"/>
      <c r="C45" s="35"/>
      <c r="D45" s="35"/>
      <c r="E45" s="35"/>
      <c r="F45" s="35"/>
      <c r="G45" s="35"/>
      <c r="H45" s="35"/>
      <c r="I45" s="35"/>
      <c r="J45" s="35"/>
      <c r="K45" s="35"/>
      <c r="L45" s="35"/>
      <c r="M45" s="35"/>
      <c r="N45" s="35"/>
      <c r="O45" s="35"/>
      <c r="P45" s="35"/>
      <c r="Q45" s="35"/>
    </row>
    <row r="46" spans="1:17" x14ac:dyDescent="0.2">
      <c r="A46" s="4"/>
      <c r="B46" s="68"/>
      <c r="C46" s="35"/>
      <c r="D46" s="508"/>
      <c r="E46" s="508"/>
      <c r="F46" s="508"/>
      <c r="G46" s="508"/>
      <c r="H46" s="508"/>
      <c r="I46" s="508"/>
      <c r="J46" s="508"/>
      <c r="K46" s="508"/>
      <c r="L46" s="508"/>
      <c r="M46" s="508"/>
      <c r="N46" s="508"/>
      <c r="O46" s="508"/>
      <c r="P46" s="508"/>
      <c r="Q46" s="35"/>
    </row>
    <row r="47" spans="1:17" x14ac:dyDescent="0.2">
      <c r="A47" s="4"/>
      <c r="B47" s="68"/>
      <c r="C47" s="35"/>
      <c r="D47" s="35"/>
      <c r="E47" s="35"/>
      <c r="F47" s="177" t="s">
        <v>20</v>
      </c>
      <c r="G47" s="177"/>
      <c r="H47" s="177"/>
      <c r="I47" s="177"/>
      <c r="J47" s="177" t="s">
        <v>8</v>
      </c>
      <c r="K47" s="78"/>
      <c r="L47" s="177" t="s">
        <v>20</v>
      </c>
      <c r="M47" s="177"/>
      <c r="N47" s="78"/>
      <c r="O47" s="78"/>
      <c r="P47" s="177" t="s">
        <v>8</v>
      </c>
      <c r="Q47" s="35"/>
    </row>
    <row r="48" spans="1:17" x14ac:dyDescent="0.2">
      <c r="A48" s="4"/>
      <c r="B48" s="68"/>
      <c r="C48" s="35"/>
      <c r="D48" s="81" t="s">
        <v>11</v>
      </c>
      <c r="E48" s="35"/>
      <c r="F48" s="35"/>
      <c r="G48" s="35"/>
      <c r="H48" s="35"/>
      <c r="I48" s="35"/>
      <c r="J48" s="35"/>
      <c r="K48" s="35"/>
      <c r="L48" s="35"/>
      <c r="M48" s="35"/>
      <c r="N48" s="35"/>
      <c r="O48" s="35"/>
      <c r="P48" s="35"/>
      <c r="Q48" s="35"/>
    </row>
    <row r="49" spans="1:17" x14ac:dyDescent="0.2">
      <c r="A49" s="4"/>
      <c r="B49" s="68">
        <v>8</v>
      </c>
      <c r="C49" s="35"/>
      <c r="D49" s="80" t="s">
        <v>12</v>
      </c>
      <c r="E49" s="35"/>
      <c r="F49" s="82">
        <f>IF(ISBLANK('3. Data_Input_Sheet'!U53),F33,'3. Data_Input_Sheet'!U53)</f>
        <v>0.56000000000000005</v>
      </c>
      <c r="G49" s="82"/>
      <c r="H49" s="176"/>
      <c r="I49" s="208"/>
      <c r="J49" s="48">
        <f>$J$58*F49</f>
        <v>7147191.5735803237</v>
      </c>
      <c r="K49" s="35"/>
      <c r="L49" s="82">
        <f>IF(ISBLANK('3. Data_Input_Sheet'!U60),L17,'3. Data_Input_Sheet'!U60)</f>
        <v>4.41E-2</v>
      </c>
      <c r="M49" s="82"/>
      <c r="N49" s="176"/>
      <c r="O49" s="208"/>
      <c r="P49" s="48">
        <f>L49*J49</f>
        <v>315191.14839489228</v>
      </c>
      <c r="Q49" s="35"/>
    </row>
    <row r="50" spans="1:17" x14ac:dyDescent="0.2">
      <c r="A50" s="4"/>
      <c r="B50" s="68">
        <v>9</v>
      </c>
      <c r="C50" s="35"/>
      <c r="D50" s="80" t="s">
        <v>13</v>
      </c>
      <c r="E50" s="35"/>
      <c r="F50" s="83">
        <f>IF(ISBLANK('3. Data_Input_Sheet'!U54),F34,'3. Data_Input_Sheet'!U54)</f>
        <v>0.04</v>
      </c>
      <c r="G50" s="82"/>
      <c r="H50" s="176"/>
      <c r="I50" s="208"/>
      <c r="J50" s="56">
        <f>$J$58*F50</f>
        <v>510513.68382716598</v>
      </c>
      <c r="K50" s="35"/>
      <c r="L50" s="83">
        <f>IF(ISBLANK('3. Data_Input_Sheet'!U61),L18,'3. Data_Input_Sheet'!U61)</f>
        <v>2.0799999999999999E-2</v>
      </c>
      <c r="M50" s="82"/>
      <c r="N50" s="176"/>
      <c r="O50" s="208"/>
      <c r="P50" s="56">
        <f>L50*J50</f>
        <v>10618.684623605051</v>
      </c>
      <c r="Q50" s="35"/>
    </row>
    <row r="51" spans="1:17" ht="13.5" thickBot="1" x14ac:dyDescent="0.25">
      <c r="A51" s="4"/>
      <c r="B51" s="68">
        <v>10</v>
      </c>
      <c r="C51" s="35"/>
      <c r="D51" s="84" t="s">
        <v>14</v>
      </c>
      <c r="E51" s="35"/>
      <c r="F51" s="85">
        <f>SUM(F49:F50)</f>
        <v>0.60000000000000009</v>
      </c>
      <c r="G51" s="90"/>
      <c r="H51" s="88"/>
      <c r="I51" s="179"/>
      <c r="J51" s="87">
        <f>SUM(J49:J50)</f>
        <v>7657705.2574074902</v>
      </c>
      <c r="K51" s="35"/>
      <c r="L51" s="85">
        <f>IF(F51=0,0,SUMPRODUCT(F49:F50,L49:L50)/F51)</f>
        <v>4.2546666666666663E-2</v>
      </c>
      <c r="M51" s="90"/>
      <c r="N51" s="35"/>
      <c r="O51" s="31"/>
      <c r="P51" s="87">
        <f>SUM(P49:P50)</f>
        <v>325809.83301849733</v>
      </c>
      <c r="Q51" s="35"/>
    </row>
    <row r="52" spans="1:17" ht="13.5" thickTop="1" x14ac:dyDescent="0.2">
      <c r="A52" s="4"/>
      <c r="B52" s="68"/>
      <c r="C52" s="35"/>
      <c r="D52" s="35"/>
      <c r="E52" s="35"/>
      <c r="F52" s="88"/>
      <c r="G52" s="88"/>
      <c r="H52" s="88"/>
      <c r="I52" s="179"/>
      <c r="J52" s="89"/>
      <c r="K52" s="35"/>
      <c r="L52" s="90"/>
      <c r="M52" s="90"/>
      <c r="N52" s="35"/>
      <c r="O52" s="31"/>
      <c r="P52" s="89"/>
      <c r="Q52" s="35"/>
    </row>
    <row r="53" spans="1:17" x14ac:dyDescent="0.2">
      <c r="A53" s="4"/>
      <c r="B53" s="68"/>
      <c r="C53" s="35"/>
      <c r="D53" s="81" t="s">
        <v>15</v>
      </c>
      <c r="E53" s="35"/>
      <c r="F53" s="88"/>
      <c r="G53" s="88"/>
      <c r="H53" s="88"/>
      <c r="I53" s="179"/>
      <c r="J53" s="89"/>
      <c r="K53" s="35"/>
      <c r="L53" s="90"/>
      <c r="M53" s="90"/>
      <c r="N53" s="35"/>
      <c r="O53" s="31"/>
      <c r="P53" s="89"/>
      <c r="Q53" s="35"/>
    </row>
    <row r="54" spans="1:17" x14ac:dyDescent="0.2">
      <c r="A54" s="4"/>
      <c r="B54" s="68">
        <v>11</v>
      </c>
      <c r="C54" s="35"/>
      <c r="D54" s="80" t="s">
        <v>16</v>
      </c>
      <c r="E54" s="35"/>
      <c r="F54" s="90">
        <f>IF(ISBLANK('3. Data_Input_Sheet'!U55),F38,'3. Data_Input_Sheet'!U55)</f>
        <v>0.4</v>
      </c>
      <c r="G54" s="88"/>
      <c r="H54" s="176"/>
      <c r="I54" s="208"/>
      <c r="J54" s="48">
        <f>$J$58*F54</f>
        <v>5105136.8382716598</v>
      </c>
      <c r="K54" s="35"/>
      <c r="L54" s="82">
        <f>IF(ISBLANK('3. Data_Input_Sheet'!U62),L22,'3. Data_Input_Sheet'!U62)</f>
        <v>9.1200000000000003E-2</v>
      </c>
      <c r="M54" s="82"/>
      <c r="N54" s="176"/>
      <c r="O54" s="208"/>
      <c r="P54" s="48">
        <f>L54*J54</f>
        <v>465588.47965037538</v>
      </c>
      <c r="Q54" s="35"/>
    </row>
    <row r="55" spans="1:17" x14ac:dyDescent="0.2">
      <c r="A55" s="4"/>
      <c r="B55" s="68">
        <v>12</v>
      </c>
      <c r="C55" s="35"/>
      <c r="D55" s="80" t="s">
        <v>17</v>
      </c>
      <c r="E55" s="35"/>
      <c r="F55" s="83">
        <f>IF(ISBLANK('3. Data_Input_Sheet'!U56),F39,'3. Data_Input_Sheet'!U56)</f>
        <v>0</v>
      </c>
      <c r="G55" s="179"/>
      <c r="H55" s="176"/>
      <c r="I55" s="208"/>
      <c r="J55" s="56">
        <f>$J$58*F55</f>
        <v>0</v>
      </c>
      <c r="K55" s="35"/>
      <c r="L55" s="83">
        <f>IF(ISBLANK('3. Data_Input_Sheet'!U63),L23,'3. Data_Input_Sheet'!U63)</f>
        <v>0</v>
      </c>
      <c r="M55" s="82"/>
      <c r="N55" s="176"/>
      <c r="O55" s="208"/>
      <c r="P55" s="56">
        <f>L55*J55</f>
        <v>0</v>
      </c>
      <c r="Q55" s="35"/>
    </row>
    <row r="56" spans="1:17" ht="13.5" thickBot="1" x14ac:dyDescent="0.25">
      <c r="A56" s="4"/>
      <c r="B56" s="68">
        <v>13</v>
      </c>
      <c r="C56" s="35"/>
      <c r="D56" s="84" t="s">
        <v>18</v>
      </c>
      <c r="E56" s="35"/>
      <c r="F56" s="85">
        <f>SUM(F54:F55)</f>
        <v>0.4</v>
      </c>
      <c r="G56" s="88"/>
      <c r="H56" s="88"/>
      <c r="I56" s="88"/>
      <c r="J56" s="87">
        <f>SUM(J54:J55)</f>
        <v>5105136.8382716598</v>
      </c>
      <c r="K56" s="35"/>
      <c r="L56" s="85">
        <f>IF(F56=0,0,SUMPRODUCT(F54:F55,L54:L55)/F56)</f>
        <v>9.1200000000000003E-2</v>
      </c>
      <c r="M56" s="90"/>
      <c r="N56" s="35"/>
      <c r="O56" s="35"/>
      <c r="P56" s="87">
        <f>SUM(P54:P55)</f>
        <v>465588.47965037538</v>
      </c>
      <c r="Q56" s="35"/>
    </row>
    <row r="57" spans="1:17" ht="13.5" thickTop="1" x14ac:dyDescent="0.2">
      <c r="A57" s="4"/>
      <c r="B57" s="68"/>
      <c r="C57" s="35"/>
      <c r="D57" s="35"/>
      <c r="E57" s="35"/>
      <c r="F57" s="35"/>
      <c r="G57" s="35"/>
      <c r="H57" s="35"/>
      <c r="I57" s="35"/>
      <c r="J57" s="89"/>
      <c r="K57" s="35"/>
      <c r="L57" s="90"/>
      <c r="M57" s="90"/>
      <c r="N57" s="35"/>
      <c r="O57" s="35"/>
      <c r="P57" s="89"/>
      <c r="Q57" s="35"/>
    </row>
    <row r="58" spans="1:17" ht="13.5" thickBot="1" x14ac:dyDescent="0.25">
      <c r="A58" s="4"/>
      <c r="B58" s="68">
        <v>14</v>
      </c>
      <c r="C58" s="35"/>
      <c r="D58" s="84" t="s">
        <v>19</v>
      </c>
      <c r="E58" s="35"/>
      <c r="F58" s="197">
        <f>F51+F56</f>
        <v>1</v>
      </c>
      <c r="G58" s="119"/>
      <c r="H58" s="119"/>
      <c r="I58" s="119"/>
      <c r="J58" s="97">
        <f>'4. Rate_Base'!W17</f>
        <v>12762842.095679149</v>
      </c>
      <c r="K58" s="35"/>
      <c r="L58" s="98">
        <f>(L51*F51)+(L56*F56)</f>
        <v>6.2008000000000008E-2</v>
      </c>
      <c r="M58" s="90"/>
      <c r="N58" s="35"/>
      <c r="O58" s="35"/>
      <c r="P58" s="97">
        <f>P51+P56</f>
        <v>791398.31266887276</v>
      </c>
      <c r="Q58" s="35"/>
    </row>
    <row r="59" spans="1:17" ht="13.5" thickTop="1" x14ac:dyDescent="0.2">
      <c r="B59" s="35"/>
      <c r="C59" s="35"/>
      <c r="D59" s="35"/>
      <c r="E59" s="35"/>
      <c r="F59" s="35"/>
      <c r="G59" s="35"/>
      <c r="H59" s="35"/>
      <c r="I59" s="35"/>
      <c r="J59" s="35"/>
      <c r="K59" s="35"/>
      <c r="L59" s="35"/>
      <c r="M59" s="35"/>
      <c r="N59" s="35"/>
      <c r="O59" s="35"/>
      <c r="P59" s="35"/>
      <c r="Q59" s="35"/>
    </row>
    <row r="61" spans="1:17" x14ac:dyDescent="0.2">
      <c r="B61" s="494" t="s">
        <v>38</v>
      </c>
      <c r="C61" s="494"/>
      <c r="D61" s="494"/>
      <c r="E61" s="494"/>
      <c r="F61" s="494"/>
      <c r="G61" s="494"/>
      <c r="H61" s="494"/>
      <c r="I61" s="494"/>
      <c r="J61" s="494"/>
      <c r="K61" s="494"/>
      <c r="L61" s="494"/>
      <c r="M61" s="494"/>
      <c r="N61" s="494"/>
      <c r="O61" s="494"/>
      <c r="P61" s="494"/>
    </row>
    <row r="62" spans="1:17" x14ac:dyDescent="0.2">
      <c r="B62" s="18" t="s">
        <v>2</v>
      </c>
      <c r="D62" s="468" t="str">
        <f>'3. Data_Input_Sheet'!C68</f>
        <v>4.0% unless an Applicant has proposed or been approved for another amount.</v>
      </c>
      <c r="E62" s="468"/>
      <c r="F62" s="468"/>
      <c r="G62" s="468"/>
      <c r="H62" s="468"/>
      <c r="I62" s="468"/>
      <c r="J62" s="468"/>
      <c r="K62" s="468"/>
      <c r="L62" s="468"/>
      <c r="M62" s="468"/>
      <c r="N62" s="468"/>
      <c r="O62" s="468"/>
      <c r="P62" s="468"/>
    </row>
    <row r="63" spans="1:17" x14ac:dyDescent="0.2">
      <c r="B63" s="150"/>
      <c r="D63" s="479"/>
      <c r="E63" s="479"/>
      <c r="F63" s="479"/>
      <c r="G63" s="479"/>
      <c r="H63" s="479"/>
      <c r="I63" s="479"/>
      <c r="J63" s="479"/>
      <c r="K63" s="479"/>
      <c r="L63" s="479"/>
      <c r="M63" s="479"/>
      <c r="N63" s="479"/>
      <c r="O63" s="479"/>
      <c r="P63" s="479"/>
    </row>
    <row r="64" spans="1:17" x14ac:dyDescent="0.2">
      <c r="B64" s="150"/>
      <c r="D64" s="479"/>
      <c r="E64" s="479"/>
      <c r="F64" s="479"/>
      <c r="G64" s="479"/>
      <c r="H64" s="479"/>
      <c r="I64" s="479"/>
      <c r="J64" s="479"/>
      <c r="K64" s="479"/>
      <c r="L64" s="479"/>
      <c r="M64" s="479"/>
      <c r="N64" s="479"/>
      <c r="O64" s="479"/>
      <c r="P64" s="479"/>
    </row>
    <row r="65" spans="2:16" x14ac:dyDescent="0.2">
      <c r="B65" s="150"/>
      <c r="D65" s="479"/>
      <c r="E65" s="479"/>
      <c r="F65" s="479"/>
      <c r="G65" s="479"/>
      <c r="H65" s="479"/>
      <c r="I65" s="479"/>
      <c r="J65" s="479"/>
      <c r="K65" s="479"/>
      <c r="L65" s="479"/>
      <c r="M65" s="479"/>
      <c r="N65" s="479"/>
      <c r="O65" s="479"/>
      <c r="P65" s="479"/>
    </row>
    <row r="66" spans="2:16" x14ac:dyDescent="0.2">
      <c r="B66" s="150"/>
      <c r="D66" s="479"/>
      <c r="E66" s="479"/>
      <c r="F66" s="479"/>
      <c r="G66" s="479"/>
      <c r="H66" s="479"/>
      <c r="I66" s="479"/>
      <c r="J66" s="479"/>
      <c r="K66" s="479"/>
      <c r="L66" s="479"/>
      <c r="M66" s="479"/>
      <c r="N66" s="479"/>
      <c r="O66" s="479"/>
      <c r="P66" s="479"/>
    </row>
    <row r="67" spans="2:16" x14ac:dyDescent="0.2">
      <c r="B67" s="150"/>
      <c r="D67" s="479"/>
      <c r="E67" s="479"/>
      <c r="F67" s="479"/>
      <c r="G67" s="479"/>
      <c r="H67" s="479"/>
      <c r="I67" s="479"/>
      <c r="J67" s="479"/>
      <c r="K67" s="479"/>
      <c r="L67" s="479"/>
      <c r="M67" s="479"/>
      <c r="N67" s="479"/>
      <c r="O67" s="479"/>
      <c r="P67" s="479"/>
    </row>
    <row r="68" spans="2:16" x14ac:dyDescent="0.2">
      <c r="B68" s="150"/>
      <c r="D68" s="479"/>
      <c r="E68" s="479"/>
      <c r="F68" s="479"/>
      <c r="G68" s="479"/>
      <c r="H68" s="479"/>
      <c r="I68" s="479"/>
      <c r="J68" s="479"/>
      <c r="K68" s="479"/>
      <c r="L68" s="479"/>
      <c r="M68" s="479"/>
      <c r="N68" s="479"/>
      <c r="O68" s="479"/>
      <c r="P68" s="479"/>
    </row>
  </sheetData>
  <sheetProtection password="82A3" sheet="1" objects="1" scenarios="1"/>
  <mergeCells count="17">
    <mergeCell ref="C1:N1"/>
    <mergeCell ref="C3:N3"/>
    <mergeCell ref="C4:J4"/>
    <mergeCell ref="C2:R2"/>
    <mergeCell ref="D67:P67"/>
    <mergeCell ref="D65:P65"/>
    <mergeCell ref="D8:P8"/>
    <mergeCell ref="F11:J11"/>
    <mergeCell ref="B61:P61"/>
    <mergeCell ref="D46:P46"/>
    <mergeCell ref="D14:P14"/>
    <mergeCell ref="D30:P30"/>
    <mergeCell ref="D68:P68"/>
    <mergeCell ref="D66:P66"/>
    <mergeCell ref="D62:P62"/>
    <mergeCell ref="D63:P63"/>
    <mergeCell ref="D64:P64"/>
  </mergeCells>
  <phoneticPr fontId="2" type="noConversion"/>
  <conditionalFormatting sqref="D30:P30">
    <cfRule type="cellIs" dxfId="2" priority="1" stopIfTrue="1" operator="equal">
      <formula>""</formula>
    </cfRule>
  </conditionalFormatting>
  <printOptions horizontalCentered="1"/>
  <pageMargins left="0.74803149606299213" right="0.74803149606299213" top="0.55118110236220474" bottom="0.98425196850393704" header="0.31496062992125984" footer="0.51181102362204722"/>
  <pageSetup scale="65" orientation="portrait" r:id="rId1"/>
  <headerFooter alignWithMargins="0">
    <oddFooter>&amp;C6</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B1:R56"/>
  <sheetViews>
    <sheetView showGridLines="0" topLeftCell="A4" zoomScale="120" zoomScaleNormal="120" workbookViewId="0">
      <selection activeCell="L33" sqref="L33"/>
    </sheetView>
  </sheetViews>
  <sheetFormatPr defaultRowHeight="12.75" x14ac:dyDescent="0.2"/>
  <cols>
    <col min="1" max="1" width="1.28515625" style="5" customWidth="1"/>
    <col min="2" max="2" width="4.7109375" style="5" customWidth="1"/>
    <col min="3" max="3" width="9" style="5" customWidth="1"/>
    <col min="4" max="4" width="27.42578125" style="5" customWidth="1"/>
    <col min="5" max="5" width="1.42578125" style="5" customWidth="1"/>
    <col min="6" max="6" width="15.7109375" style="5" customWidth="1"/>
    <col min="7" max="7" width="1.42578125" style="5" customWidth="1"/>
    <col min="8" max="8" width="15.5703125" style="5" customWidth="1"/>
    <col min="9" max="9" width="1.28515625" style="5" customWidth="1"/>
    <col min="10" max="10" width="15.7109375" style="5" customWidth="1"/>
    <col min="11" max="11" width="1.28515625" style="5" customWidth="1"/>
    <col min="12" max="12" width="15.7109375" style="5" customWidth="1"/>
    <col min="13" max="13" width="1.28515625" style="5" customWidth="1"/>
    <col min="14" max="14" width="15.7109375" style="5" customWidth="1"/>
    <col min="15" max="15" width="1.28515625" style="5" customWidth="1"/>
    <col min="16" max="16" width="15.7109375" style="5" customWidth="1"/>
    <col min="17" max="17" width="3.5703125" style="5" customWidth="1"/>
    <col min="18" max="16384" width="9.140625" style="5"/>
  </cols>
  <sheetData>
    <row r="1" spans="2:17" s="2" customFormat="1" ht="36.75" customHeight="1" x14ac:dyDescent="0.2">
      <c r="C1" s="510"/>
      <c r="D1" s="510"/>
      <c r="E1" s="510"/>
      <c r="F1" s="510"/>
      <c r="G1" s="510"/>
      <c r="H1" s="510"/>
      <c r="I1" s="510"/>
      <c r="J1" s="510"/>
      <c r="K1" s="510"/>
      <c r="L1" s="510"/>
      <c r="M1" s="510"/>
      <c r="N1" s="510"/>
      <c r="O1" s="510"/>
      <c r="P1" s="152" t="str">
        <f>CONCATENATE('2. Table of Contents'!$F$6," ",'2. Table of Contents'!$G$6)</f>
        <v xml:space="preserve"> </v>
      </c>
    </row>
    <row r="2" spans="2:17" s="2" customFormat="1" ht="36.75" customHeight="1" x14ac:dyDescent="0.25">
      <c r="C2" s="511"/>
      <c r="D2" s="511"/>
      <c r="E2" s="511"/>
      <c r="F2" s="511"/>
      <c r="G2" s="511"/>
      <c r="H2" s="511"/>
      <c r="I2" s="511"/>
      <c r="J2" s="511"/>
      <c r="K2" s="511"/>
      <c r="L2" s="511"/>
      <c r="M2" s="511"/>
      <c r="N2" s="511"/>
      <c r="O2" s="511"/>
    </row>
    <row r="3" spans="2:17" s="2" customFormat="1" ht="36.75" customHeight="1" x14ac:dyDescent="0.25">
      <c r="C3" s="511"/>
      <c r="D3" s="511"/>
      <c r="E3" s="511"/>
      <c r="F3" s="511"/>
      <c r="G3" s="511"/>
      <c r="H3" s="511"/>
      <c r="I3" s="511"/>
      <c r="J3" s="511"/>
      <c r="K3" s="511"/>
      <c r="L3" s="511"/>
      <c r="M3" s="511"/>
      <c r="N3" s="511"/>
      <c r="O3" s="511"/>
    </row>
    <row r="4" spans="2:17" s="2" customFormat="1" ht="36.75" customHeight="1" x14ac:dyDescent="0.25">
      <c r="C4" s="511"/>
      <c r="D4" s="511"/>
      <c r="E4" s="511"/>
      <c r="F4" s="511"/>
      <c r="G4" s="511"/>
      <c r="H4" s="511"/>
    </row>
    <row r="5" spans="2:17" s="2" customFormat="1" ht="36.75" customHeight="1" x14ac:dyDescent="0.25">
      <c r="E5" s="3"/>
      <c r="F5" s="3"/>
    </row>
    <row r="6" spans="2:17" s="2" customFormat="1" ht="36.75" customHeight="1" x14ac:dyDescent="0.2"/>
    <row r="7" spans="2:17" ht="4.5" customHeight="1" x14ac:dyDescent="0.2"/>
    <row r="8" spans="2:17" ht="15.75" x14ac:dyDescent="0.25">
      <c r="E8" s="60"/>
      <c r="F8" s="482"/>
      <c r="G8" s="482"/>
      <c r="H8" s="482"/>
      <c r="I8" s="482"/>
      <c r="J8" s="482"/>
      <c r="K8" s="482"/>
      <c r="L8" s="482"/>
      <c r="M8" s="482"/>
      <c r="N8" s="482"/>
      <c r="O8" s="482"/>
      <c r="P8" s="482"/>
    </row>
    <row r="9" spans="2:17" ht="15.75" x14ac:dyDescent="0.25">
      <c r="E9" s="60"/>
      <c r="F9" s="61"/>
      <c r="G9" s="61"/>
      <c r="H9" s="61"/>
      <c r="I9" s="61"/>
      <c r="J9" s="61"/>
      <c r="K9" s="61"/>
      <c r="L9" s="61"/>
      <c r="M9" s="61"/>
      <c r="N9" s="61"/>
      <c r="O9" s="61"/>
      <c r="P9" s="61"/>
    </row>
    <row r="10" spans="2:17" ht="15.75" x14ac:dyDescent="0.25">
      <c r="E10" s="60"/>
      <c r="F10" s="516" t="s">
        <v>158</v>
      </c>
      <c r="G10" s="516"/>
      <c r="H10" s="516"/>
      <c r="I10" s="404"/>
      <c r="J10" s="516" t="str">
        <f>IF(ISBLANK('3. Data_Input_Sheet'!M10:M11),"",'3. Data_Input_Sheet'!M10:M11)</f>
        <v>Settlement Agreement</v>
      </c>
      <c r="K10" s="516"/>
      <c r="L10" s="516"/>
      <c r="M10" s="404"/>
      <c r="N10" s="516" t="str">
        <f>'3. Data_Input_Sheet'!U10</f>
        <v>Per Board Decision</v>
      </c>
      <c r="O10" s="516"/>
      <c r="P10" s="516"/>
    </row>
    <row r="11" spans="2:17" ht="6" customHeight="1" x14ac:dyDescent="0.25">
      <c r="D11" s="61"/>
      <c r="E11" s="61"/>
      <c r="F11" s="404"/>
      <c r="G11" s="404"/>
      <c r="H11" s="404"/>
      <c r="I11" s="404"/>
      <c r="J11" s="404"/>
      <c r="K11" s="404"/>
      <c r="L11" s="404"/>
      <c r="M11" s="404"/>
      <c r="N11" s="404"/>
      <c r="O11" s="404"/>
      <c r="P11" s="405"/>
    </row>
    <row r="12" spans="2:17" x14ac:dyDescent="0.2">
      <c r="B12" s="514" t="s">
        <v>37</v>
      </c>
      <c r="D12" s="513" t="s">
        <v>36</v>
      </c>
      <c r="F12" s="517" t="s">
        <v>127</v>
      </c>
      <c r="G12" s="406"/>
      <c r="H12" s="519" t="s">
        <v>128</v>
      </c>
      <c r="I12" s="407"/>
      <c r="J12" s="517" t="s">
        <v>127</v>
      </c>
      <c r="K12" s="406"/>
      <c r="L12" s="519" t="s">
        <v>128</v>
      </c>
      <c r="M12" s="407"/>
      <c r="N12" s="517" t="s">
        <v>127</v>
      </c>
      <c r="O12" s="406"/>
      <c r="P12" s="519" t="s">
        <v>128</v>
      </c>
    </row>
    <row r="13" spans="2:17" ht="24.75" customHeight="1" x14ac:dyDescent="0.2">
      <c r="B13" s="515"/>
      <c r="C13" s="63"/>
      <c r="D13" s="507"/>
      <c r="E13" s="45"/>
      <c r="F13" s="518"/>
      <c r="G13" s="402"/>
      <c r="H13" s="520"/>
      <c r="I13" s="407"/>
      <c r="J13" s="518"/>
      <c r="K13" s="2"/>
      <c r="L13" s="520"/>
      <c r="M13" s="407"/>
      <c r="N13" s="518"/>
      <c r="O13" s="2"/>
      <c r="P13" s="520"/>
    </row>
    <row r="14" spans="2:17" x14ac:dyDescent="0.2">
      <c r="B14" s="64"/>
      <c r="C14" s="63"/>
      <c r="D14" s="45"/>
      <c r="E14" s="45"/>
      <c r="F14" s="65"/>
      <c r="G14" s="45"/>
      <c r="H14" s="66"/>
      <c r="J14" s="67"/>
      <c r="K14" s="68"/>
      <c r="L14" s="69"/>
      <c r="N14" s="67"/>
      <c r="O14" s="68"/>
      <c r="P14" s="69"/>
      <c r="Q14" s="142"/>
    </row>
    <row r="15" spans="2:17" x14ac:dyDescent="0.2">
      <c r="B15" s="4"/>
      <c r="D15" s="4"/>
      <c r="F15" s="67"/>
      <c r="G15" s="68"/>
      <c r="H15" s="36"/>
      <c r="J15" s="67"/>
      <c r="K15" s="68"/>
      <c r="L15" s="36"/>
      <c r="N15" s="67"/>
      <c r="O15" s="68"/>
      <c r="P15" s="36"/>
      <c r="Q15" s="142"/>
    </row>
    <row r="16" spans="2:17" x14ac:dyDescent="0.2">
      <c r="B16" s="178">
        <v>1</v>
      </c>
      <c r="D16" s="5" t="s">
        <v>152</v>
      </c>
      <c r="F16" s="265"/>
      <c r="G16" s="266"/>
      <c r="H16" s="267">
        <f>F49</f>
        <v>176110.46648149891</v>
      </c>
      <c r="I16" s="221"/>
      <c r="J16" s="265"/>
      <c r="K16" s="266"/>
      <c r="L16" s="267">
        <f>J49</f>
        <v>0.44427745584288292</v>
      </c>
      <c r="M16" s="221"/>
      <c r="N16" s="265"/>
      <c r="O16" s="266"/>
      <c r="P16" s="267">
        <f>N49</f>
        <v>0.44427745584288292</v>
      </c>
      <c r="Q16" s="142"/>
    </row>
    <row r="17" spans="2:18" x14ac:dyDescent="0.2">
      <c r="B17" s="178">
        <v>2</v>
      </c>
      <c r="D17" s="5" t="s">
        <v>153</v>
      </c>
      <c r="F17" s="268">
        <f>'3. Data_Input_Sheet'!E23</f>
        <v>3533925.1902229167</v>
      </c>
      <c r="G17" s="266"/>
      <c r="H17" s="267">
        <f>'3. Data_Input_Sheet'!E24-H16</f>
        <v>3533925.1902229171</v>
      </c>
      <c r="I17" s="221"/>
      <c r="J17" s="268">
        <f>IF(ISBLANK('3. Data_Input_Sheet'!M23),'3. Data_Input_Sheet'!E23,'3. Data_Input_Sheet'!M23)</f>
        <v>3385037</v>
      </c>
      <c r="K17" s="266"/>
      <c r="L17" s="267">
        <f>IF(ISBLANK('3. Data_Input_Sheet'!M24),'3. Data_Input_Sheet'!E24-L16,'3. Data_Input_Sheet'!M24-L16)</f>
        <v>3385036.555722544</v>
      </c>
      <c r="M17" s="221"/>
      <c r="N17" s="268">
        <f>IF(ISBLANK('3. Data_Input_Sheet'!U23),'3. Data_Input_Sheet'!M23,'3. Data_Input_Sheet'!U23)</f>
        <v>3385037</v>
      </c>
      <c r="O17" s="266"/>
      <c r="P17" s="267">
        <f>IF(ISBLANK('3. Data_Input_Sheet'!U24),'3. Data_Input_Sheet'!M24-P16,'3. Data_Input_Sheet'!U24-P16)</f>
        <v>3385036.555722544</v>
      </c>
      <c r="Q17" s="142"/>
    </row>
    <row r="18" spans="2:18" ht="25.5" x14ac:dyDescent="0.2">
      <c r="B18" s="178">
        <v>3</v>
      </c>
      <c r="D18" s="29" t="s">
        <v>154</v>
      </c>
      <c r="F18" s="269">
        <f>'5. Utility Income'!F45</f>
        <v>554001.32999999996</v>
      </c>
      <c r="G18" s="266"/>
      <c r="H18" s="270">
        <f>'5. Utility Income'!F45</f>
        <v>554001.32999999996</v>
      </c>
      <c r="I18" s="221"/>
      <c r="J18" s="269">
        <f>'5. Utility Income'!N45</f>
        <v>582898</v>
      </c>
      <c r="K18" s="266"/>
      <c r="L18" s="267">
        <f>J18</f>
        <v>582898</v>
      </c>
      <c r="M18" s="221"/>
      <c r="N18" s="269">
        <f>'5. Utility Income'!V45</f>
        <v>582898</v>
      </c>
      <c r="O18" s="266"/>
      <c r="P18" s="267">
        <f>'5. Utility Income'!V45</f>
        <v>582898</v>
      </c>
      <c r="Q18" s="142"/>
    </row>
    <row r="19" spans="2:18" ht="13.5" thickBot="1" x14ac:dyDescent="0.25">
      <c r="B19" s="178">
        <v>4</v>
      </c>
      <c r="D19" s="16" t="s">
        <v>110</v>
      </c>
      <c r="F19" s="271">
        <f>SUM(F17:F18)</f>
        <v>4087926.5202229167</v>
      </c>
      <c r="G19" s="266"/>
      <c r="H19" s="272">
        <f>SUM(H16:H18)</f>
        <v>4264036.9867044156</v>
      </c>
      <c r="I19" s="221"/>
      <c r="J19" s="273">
        <f>SUM(J17:J18)</f>
        <v>3967935</v>
      </c>
      <c r="K19" s="266"/>
      <c r="L19" s="272">
        <f>SUM(L16:L18)</f>
        <v>3967935</v>
      </c>
      <c r="M19" s="221"/>
      <c r="N19" s="273">
        <f>SUM(N17:N18)</f>
        <v>3967935</v>
      </c>
      <c r="O19" s="266"/>
      <c r="P19" s="272">
        <f>SUM(P16:P18)</f>
        <v>3967935</v>
      </c>
      <c r="Q19" s="142"/>
    </row>
    <row r="20" spans="2:18" ht="13.5" thickTop="1" x14ac:dyDescent="0.2">
      <c r="B20" s="178"/>
      <c r="F20" s="274"/>
      <c r="G20" s="266"/>
      <c r="H20" s="275"/>
      <c r="I20" s="221"/>
      <c r="J20" s="274"/>
      <c r="K20" s="266"/>
      <c r="L20" s="267"/>
      <c r="M20" s="221"/>
      <c r="N20" s="274"/>
      <c r="O20" s="266"/>
      <c r="P20" s="267"/>
      <c r="Q20" s="142"/>
    </row>
    <row r="21" spans="2:18" x14ac:dyDescent="0.2">
      <c r="B21" s="178">
        <v>5</v>
      </c>
      <c r="C21" s="15"/>
      <c r="D21" s="25" t="s">
        <v>117</v>
      </c>
      <c r="E21" s="15"/>
      <c r="F21" s="268">
        <f>'5. Utility Income'!F24</f>
        <v>3388376.6057555554</v>
      </c>
      <c r="G21" s="266"/>
      <c r="H21" s="267">
        <f>'5. Utility Income'!F24</f>
        <v>3388376.6057555554</v>
      </c>
      <c r="I21" s="221"/>
      <c r="J21" s="268">
        <f>'5. Utility Income'!N24</f>
        <v>3135799.6057555554</v>
      </c>
      <c r="K21" s="266"/>
      <c r="L21" s="267">
        <f>'5. Utility Income'!N24</f>
        <v>3135799.6057555554</v>
      </c>
      <c r="M21" s="221"/>
      <c r="N21" s="268">
        <f>'5. Utility Income'!V24</f>
        <v>3135799.6057555554</v>
      </c>
      <c r="O21" s="266"/>
      <c r="P21" s="267">
        <f>'5. Utility Income'!V24</f>
        <v>3135799.6057555554</v>
      </c>
      <c r="Q21" s="144"/>
      <c r="R21" s="15"/>
    </row>
    <row r="22" spans="2:18" x14ac:dyDescent="0.2">
      <c r="B22" s="178">
        <v>6</v>
      </c>
      <c r="C22" s="15"/>
      <c r="D22" s="25" t="s">
        <v>95</v>
      </c>
      <c r="E22" s="15"/>
      <c r="F22" s="269">
        <f>'5. Utility Income'!F27</f>
        <v>330868.8557667089</v>
      </c>
      <c r="G22" s="266"/>
      <c r="H22" s="270">
        <f>'5. Utility Income'!F27</f>
        <v>330868.8557667089</v>
      </c>
      <c r="I22" s="221"/>
      <c r="J22" s="268">
        <f>'5. Utility Income'!N27</f>
        <v>325809.83301849733</v>
      </c>
      <c r="K22" s="266"/>
      <c r="L22" s="267">
        <f>'5. Utility Income'!N27</f>
        <v>325809.83301849733</v>
      </c>
      <c r="M22" s="221"/>
      <c r="N22" s="268">
        <f>'5. Utility Income'!V27</f>
        <v>325809.83301849733</v>
      </c>
      <c r="O22" s="266"/>
      <c r="P22" s="267">
        <f>'5. Utility Income'!V27</f>
        <v>325809.83301849733</v>
      </c>
      <c r="Q22" s="144"/>
      <c r="R22" s="15"/>
    </row>
    <row r="23" spans="2:18" ht="13.5" thickBot="1" x14ac:dyDescent="0.25">
      <c r="B23" s="178"/>
      <c r="D23" s="16" t="s">
        <v>118</v>
      </c>
      <c r="F23" s="271">
        <f>SUM(F21:F22)</f>
        <v>3719245.4615222644</v>
      </c>
      <c r="G23" s="266"/>
      <c r="H23" s="272">
        <f>SUM(H21:H22)</f>
        <v>3719245.4615222644</v>
      </c>
      <c r="I23" s="221"/>
      <c r="J23" s="273">
        <f>SUM(J21:J22)</f>
        <v>3461609.438774053</v>
      </c>
      <c r="K23" s="266"/>
      <c r="L23" s="272">
        <f>SUM(L21:L22)</f>
        <v>3461609.438774053</v>
      </c>
      <c r="M23" s="221"/>
      <c r="N23" s="273">
        <f>SUM(N21:N22)</f>
        <v>3461609.438774053</v>
      </c>
      <c r="O23" s="266"/>
      <c r="P23" s="272">
        <f>SUM(P21:P22)</f>
        <v>3461609.438774053</v>
      </c>
      <c r="Q23" s="142"/>
    </row>
    <row r="24" spans="2:18" ht="13.5" thickTop="1" x14ac:dyDescent="0.2">
      <c r="B24" s="178"/>
      <c r="D24" s="4"/>
      <c r="F24" s="268"/>
      <c r="G24" s="266"/>
      <c r="H24" s="267"/>
      <c r="I24" s="221"/>
      <c r="J24" s="274"/>
      <c r="K24" s="266"/>
      <c r="L24" s="267"/>
      <c r="M24" s="221"/>
      <c r="N24" s="274"/>
      <c r="O24" s="266"/>
      <c r="P24" s="267"/>
      <c r="Q24" s="142"/>
    </row>
    <row r="25" spans="2:18" ht="25.5" x14ac:dyDescent="0.2">
      <c r="B25" s="178">
        <v>7</v>
      </c>
      <c r="D25" s="58" t="s">
        <v>111</v>
      </c>
      <c r="F25" s="268">
        <f>F19-F23</f>
        <v>368681.05870065233</v>
      </c>
      <c r="G25" s="266"/>
      <c r="H25" s="267">
        <f>H19-H23</f>
        <v>544791.52518215124</v>
      </c>
      <c r="I25" s="221"/>
      <c r="J25" s="274">
        <f>J19-J23</f>
        <v>506325.56122594699</v>
      </c>
      <c r="K25" s="266"/>
      <c r="L25" s="267">
        <f>L19-L23</f>
        <v>506325.56122594699</v>
      </c>
      <c r="M25" s="221"/>
      <c r="N25" s="274">
        <f>N19-N23</f>
        <v>506325.56122594699</v>
      </c>
      <c r="O25" s="266"/>
      <c r="P25" s="267">
        <f>P19-P23</f>
        <v>506325.56122594699</v>
      </c>
      <c r="Q25" s="142"/>
    </row>
    <row r="26" spans="2:18" x14ac:dyDescent="0.2">
      <c r="B26" s="178"/>
      <c r="D26" s="5" t="s">
        <v>60</v>
      </c>
      <c r="F26" s="274"/>
      <c r="G26" s="266"/>
      <c r="H26" s="275"/>
      <c r="I26" s="221"/>
      <c r="J26" s="274"/>
      <c r="K26" s="266"/>
      <c r="L26" s="267"/>
      <c r="M26" s="221"/>
      <c r="N26" s="274"/>
      <c r="O26" s="266"/>
      <c r="P26" s="267"/>
      <c r="Q26" s="142"/>
    </row>
    <row r="27" spans="2:18" ht="38.25" x14ac:dyDescent="0.2">
      <c r="B27" s="178">
        <v>8</v>
      </c>
      <c r="D27" s="73" t="s">
        <v>137</v>
      </c>
      <c r="F27" s="269">
        <f>'3. Data_Input_Sheet'!E42</f>
        <v>-80445.684440444456</v>
      </c>
      <c r="G27" s="266"/>
      <c r="H27" s="270">
        <f>'3. Data_Input_Sheet'!E42</f>
        <v>-80445.684440444456</v>
      </c>
      <c r="I27" s="221"/>
      <c r="J27" s="269">
        <f>IF(ISBLANK('3. Data_Input_Sheet'!M42),'3. Data_Input_Sheet'!E42,'3. Data_Input_Sheet'!M42)</f>
        <v>-114471</v>
      </c>
      <c r="K27" s="266"/>
      <c r="L27" s="270">
        <f>IF(ISBLANK('3. Data_Input_Sheet'!M42),'3. Data_Input_Sheet'!E42,'3. Data_Input_Sheet'!M42)</f>
        <v>-114471</v>
      </c>
      <c r="M27" s="221"/>
      <c r="N27" s="269">
        <f>IF(ISBLANK('3. Data_Input_Sheet'!U42),'3. Data_Input_Sheet'!M42,'3. Data_Input_Sheet'!U42)</f>
        <v>-114471</v>
      </c>
      <c r="O27" s="266"/>
      <c r="P27" s="270">
        <f>IF(ISBLANK('3. Data_Input_Sheet'!U42),'3. Data_Input_Sheet'!M42,'3. Data_Input_Sheet'!U42)</f>
        <v>-114471</v>
      </c>
      <c r="Q27" s="142"/>
    </row>
    <row r="28" spans="2:18" x14ac:dyDescent="0.2">
      <c r="B28" s="178">
        <v>9</v>
      </c>
      <c r="D28" s="16" t="s">
        <v>115</v>
      </c>
      <c r="F28" s="274">
        <f>SUM(F25:F27)</f>
        <v>288235.37426020787</v>
      </c>
      <c r="G28" s="266"/>
      <c r="H28" s="275">
        <f>SUM(H25:H27)</f>
        <v>464345.84074170678</v>
      </c>
      <c r="I28" s="221"/>
      <c r="J28" s="274">
        <f>SUM(J25+J27)</f>
        <v>391854.56122594699</v>
      </c>
      <c r="K28" s="266"/>
      <c r="L28" s="267">
        <f>L25+L27</f>
        <v>391854.56122594699</v>
      </c>
      <c r="M28" s="221"/>
      <c r="N28" s="274">
        <f>SUM(N25+N27)</f>
        <v>391854.56122594699</v>
      </c>
      <c r="O28" s="266"/>
      <c r="P28" s="267">
        <f>P25+P27</f>
        <v>391854.56122594699</v>
      </c>
      <c r="Q28" s="142"/>
    </row>
    <row r="29" spans="2:18" x14ac:dyDescent="0.2">
      <c r="B29" s="178"/>
      <c r="D29" s="4"/>
      <c r="F29" s="274"/>
      <c r="G29" s="266"/>
      <c r="H29" s="275"/>
      <c r="I29" s="221"/>
      <c r="J29" s="274"/>
      <c r="K29" s="266"/>
      <c r="L29" s="275"/>
      <c r="M29" s="221"/>
      <c r="N29" s="274"/>
      <c r="O29" s="266"/>
      <c r="P29" s="275"/>
      <c r="Q29" s="142"/>
    </row>
    <row r="30" spans="2:18" x14ac:dyDescent="0.2">
      <c r="B30" s="178">
        <v>10</v>
      </c>
      <c r="D30" s="26" t="s">
        <v>155</v>
      </c>
      <c r="F30" s="276">
        <f>'6. Taxes_PILs'!G39</f>
        <v>0.155</v>
      </c>
      <c r="G30" s="277"/>
      <c r="H30" s="257">
        <f>'6. Taxes_PILs'!G39</f>
        <v>0.155</v>
      </c>
      <c r="I30" s="278"/>
      <c r="J30" s="276">
        <f>'6. Taxes_PILs'!K39</f>
        <v>0.155</v>
      </c>
      <c r="K30" s="277"/>
      <c r="L30" s="257">
        <f>'6. Taxes_PILs'!K39</f>
        <v>0.155</v>
      </c>
      <c r="M30" s="278"/>
      <c r="N30" s="276">
        <f>'6. Taxes_PILs'!O39</f>
        <v>0.155</v>
      </c>
      <c r="O30" s="277"/>
      <c r="P30" s="257">
        <f>'6. Taxes_PILs'!O39</f>
        <v>0.155</v>
      </c>
      <c r="Q30" s="142"/>
    </row>
    <row r="31" spans="2:18" ht="25.5" x14ac:dyDescent="0.2">
      <c r="B31" s="178">
        <v>11</v>
      </c>
      <c r="D31" s="172" t="s">
        <v>156</v>
      </c>
      <c r="F31" s="268">
        <f>F28*F30</f>
        <v>44676.483010332217</v>
      </c>
      <c r="G31" s="266"/>
      <c r="H31" s="267">
        <f>H28*H30</f>
        <v>71973.605314964545</v>
      </c>
      <c r="I31" s="221"/>
      <c r="J31" s="274">
        <f>J28*J30</f>
        <v>60737.456990021783</v>
      </c>
      <c r="K31" s="266"/>
      <c r="L31" s="267">
        <f>L28*L30</f>
        <v>60737.456990021783</v>
      </c>
      <c r="M31" s="221"/>
      <c r="N31" s="274">
        <f>N28*N30</f>
        <v>60737.456990021783</v>
      </c>
      <c r="O31" s="266"/>
      <c r="P31" s="267">
        <f>P28*P30</f>
        <v>60737.456990021783</v>
      </c>
      <c r="Q31" s="142"/>
    </row>
    <row r="32" spans="2:18" x14ac:dyDescent="0.2">
      <c r="B32" s="178">
        <v>12</v>
      </c>
      <c r="D32" s="4" t="s">
        <v>116</v>
      </c>
      <c r="F32" s="268">
        <f>'3. Data_Input_Sheet'!E49</f>
        <v>0</v>
      </c>
      <c r="G32" s="266"/>
      <c r="H32" s="267">
        <f>'3. Data_Input_Sheet'!E49</f>
        <v>0</v>
      </c>
      <c r="I32" s="221"/>
      <c r="J32" s="268">
        <f>IF(ISBLANK('3. Data_Input_Sheet'!M49),'3. Data_Input_Sheet'!E49,'3. Data_Input_Sheet'!M49)</f>
        <v>-20000</v>
      </c>
      <c r="K32" s="266"/>
      <c r="L32" s="267">
        <f>IF(ISBLANK('3. Data_Input_Sheet'!M49),'3. Data_Input_Sheet'!E49,'3. Data_Input_Sheet'!M49)</f>
        <v>-20000</v>
      </c>
      <c r="M32" s="221"/>
      <c r="N32" s="268">
        <f>IF(ISBLANK('3. Data_Input_Sheet'!U49),'3. Data_Input_Sheet'!M49,'3. Data_Input_Sheet'!U49)</f>
        <v>-20000</v>
      </c>
      <c r="O32" s="266"/>
      <c r="P32" s="267">
        <f>IF(ISBLANK('3. Data_Input_Sheet'!U49),'3. Data_Input_Sheet'!M49,'3. Data_Input_Sheet'!U49)</f>
        <v>-20000</v>
      </c>
      <c r="Q32" s="142"/>
    </row>
    <row r="33" spans="2:17" ht="13.5" thickBot="1" x14ac:dyDescent="0.25">
      <c r="B33" s="178">
        <v>13</v>
      </c>
      <c r="D33" s="16" t="s">
        <v>112</v>
      </c>
      <c r="F33" s="271">
        <f>F25-SUM(F31:F32)</f>
        <v>324004.57569032011</v>
      </c>
      <c r="G33" s="266"/>
      <c r="H33" s="272">
        <f>'5. Utility Income'!F34</f>
        <v>472817.91986718657</v>
      </c>
      <c r="I33" s="221"/>
      <c r="J33" s="273">
        <f>J25-SUM(J31:J32)</f>
        <v>465588.10423592519</v>
      </c>
      <c r="K33" s="266"/>
      <c r="L33" s="272">
        <f>'5. Utility Income'!N34</f>
        <v>465588.2831194381</v>
      </c>
      <c r="M33" s="221"/>
      <c r="N33" s="273">
        <f>N25-SUM(N31:N32)</f>
        <v>465588.10423592519</v>
      </c>
      <c r="O33" s="266"/>
      <c r="P33" s="272">
        <f>'5. Utility Income'!V34</f>
        <v>465588.2831194381</v>
      </c>
      <c r="Q33" s="142"/>
    </row>
    <row r="34" spans="2:17" ht="13.5" thickTop="1" x14ac:dyDescent="0.2">
      <c r="B34" s="178"/>
      <c r="F34" s="274"/>
      <c r="G34" s="266"/>
      <c r="H34" s="275"/>
      <c r="I34" s="221"/>
      <c r="J34" s="274"/>
      <c r="K34" s="266"/>
      <c r="L34" s="275"/>
      <c r="M34" s="221"/>
      <c r="N34" s="274"/>
      <c r="O34" s="266"/>
      <c r="P34" s="275"/>
      <c r="Q34" s="142"/>
    </row>
    <row r="35" spans="2:17" x14ac:dyDescent="0.2">
      <c r="B35" s="178">
        <v>14</v>
      </c>
      <c r="D35" s="16" t="s">
        <v>48</v>
      </c>
      <c r="F35" s="268">
        <f>'4. Rate_Base'!G17</f>
        <v>12961017.540218931</v>
      </c>
      <c r="G35" s="266"/>
      <c r="H35" s="267">
        <f>'4. Rate_Base'!G17</f>
        <v>12961017.540218931</v>
      </c>
      <c r="I35" s="221"/>
      <c r="J35" s="268">
        <f>'4. Rate_Base'!O17</f>
        <v>12762842.095679149</v>
      </c>
      <c r="K35" s="266"/>
      <c r="L35" s="267">
        <f>'4. Rate_Base'!O17</f>
        <v>12762842.095679149</v>
      </c>
      <c r="M35" s="221"/>
      <c r="N35" s="268">
        <f>'4. Rate_Base'!W17</f>
        <v>12762842.095679149</v>
      </c>
      <c r="O35" s="266"/>
      <c r="P35" s="267">
        <f>'4. Rate_Base'!W17</f>
        <v>12762842.095679149</v>
      </c>
      <c r="Q35" s="142"/>
    </row>
    <row r="36" spans="2:17" x14ac:dyDescent="0.2">
      <c r="B36" s="178"/>
      <c r="D36" s="4"/>
      <c r="F36" s="268"/>
      <c r="G36" s="266"/>
      <c r="H36" s="267"/>
      <c r="I36" s="221"/>
      <c r="J36" s="274"/>
      <c r="K36" s="266"/>
      <c r="L36" s="267"/>
      <c r="M36" s="221"/>
      <c r="N36" s="274"/>
      <c r="O36" s="266"/>
      <c r="P36" s="267"/>
      <c r="Q36" s="142"/>
    </row>
    <row r="37" spans="2:17" ht="25.5" x14ac:dyDescent="0.2">
      <c r="B37" s="178"/>
      <c r="D37" s="173" t="s">
        <v>134</v>
      </c>
      <c r="E37" s="74"/>
      <c r="F37" s="279">
        <f>'7. Cost_of_Capital'!J24</f>
        <v>5184407.016087573</v>
      </c>
      <c r="G37" s="280"/>
      <c r="H37" s="281">
        <f>F37</f>
        <v>5184407.016087573</v>
      </c>
      <c r="I37" s="221"/>
      <c r="J37" s="268">
        <f>'7. Cost_of_Capital'!J40</f>
        <v>5105136.8382716598</v>
      </c>
      <c r="K37" s="266"/>
      <c r="L37" s="275">
        <f>J37</f>
        <v>5105136.8382716598</v>
      </c>
      <c r="M37" s="221"/>
      <c r="N37" s="268">
        <f>'7. Cost_of_Capital'!J56</f>
        <v>5105136.8382716598</v>
      </c>
      <c r="O37" s="266"/>
      <c r="P37" s="275">
        <f>N37</f>
        <v>5105136.8382716598</v>
      </c>
      <c r="Q37" s="142"/>
    </row>
    <row r="38" spans="2:17" x14ac:dyDescent="0.2">
      <c r="B38" s="178"/>
      <c r="D38" s="74"/>
      <c r="E38" s="74"/>
      <c r="F38" s="282"/>
      <c r="G38" s="280"/>
      <c r="H38" s="283"/>
      <c r="I38" s="221"/>
      <c r="J38" s="265"/>
      <c r="K38" s="266"/>
      <c r="L38" s="229"/>
      <c r="M38" s="221"/>
      <c r="N38" s="265"/>
      <c r="O38" s="266"/>
      <c r="P38" s="229"/>
      <c r="Q38" s="142"/>
    </row>
    <row r="39" spans="2:17" ht="25.5" x14ac:dyDescent="0.2">
      <c r="B39" s="178">
        <v>15</v>
      </c>
      <c r="D39" s="29" t="s">
        <v>316</v>
      </c>
      <c r="F39" s="276">
        <f>IF(F37=0,0,F33/F37)</f>
        <v>6.2495975853151871E-2</v>
      </c>
      <c r="G39" s="266"/>
      <c r="H39" s="257">
        <f>IF(H37=0,0,H33/H37)</f>
        <v>9.1199999999999989E-2</v>
      </c>
      <c r="I39" s="221"/>
      <c r="J39" s="276">
        <f>IF(J37=0,0,J33/J37)</f>
        <v>9.119992646339127E-2</v>
      </c>
      <c r="K39" s="266"/>
      <c r="L39" s="257">
        <f>IF(L37=0,0,L33/L37)</f>
        <v>9.1199961503296872E-2</v>
      </c>
      <c r="M39" s="221"/>
      <c r="N39" s="276">
        <f>IF(N37=0,0,N33/N37)</f>
        <v>9.119992646339127E-2</v>
      </c>
      <c r="O39" s="266"/>
      <c r="P39" s="257">
        <f>IF(P37=0,0,P33/P37)</f>
        <v>9.1199961503296872E-2</v>
      </c>
      <c r="Q39" s="142"/>
    </row>
    <row r="40" spans="2:17" ht="25.5" x14ac:dyDescent="0.2">
      <c r="B40" s="178">
        <v>16</v>
      </c>
      <c r="D40" s="29" t="s">
        <v>119</v>
      </c>
      <c r="F40" s="284">
        <f>'7. Cost_of_Capital'!L24</f>
        <v>9.1200000000000003E-2</v>
      </c>
      <c r="G40" s="266"/>
      <c r="H40" s="285">
        <f>'7. Cost_of_Capital'!L24</f>
        <v>9.1200000000000003E-2</v>
      </c>
      <c r="I40" s="221"/>
      <c r="J40" s="286">
        <f>'7. Cost_of_Capital'!L40</f>
        <v>9.1200000000000003E-2</v>
      </c>
      <c r="K40" s="266"/>
      <c r="L40" s="285">
        <f>'7. Cost_of_Capital'!L40</f>
        <v>9.1200000000000003E-2</v>
      </c>
      <c r="M40" s="221"/>
      <c r="N40" s="286">
        <f>'7. Cost_of_Capital'!L56</f>
        <v>9.1200000000000003E-2</v>
      </c>
      <c r="O40" s="266"/>
      <c r="P40" s="285">
        <f>'7. Cost_of_Capital'!L56</f>
        <v>9.1200000000000003E-2</v>
      </c>
      <c r="Q40" s="142"/>
    </row>
    <row r="41" spans="2:17" ht="25.5" x14ac:dyDescent="0.2">
      <c r="B41" s="178">
        <v>17</v>
      </c>
      <c r="D41" s="29" t="s">
        <v>311</v>
      </c>
      <c r="F41" s="276">
        <f>F39-F40</f>
        <v>-2.8704024146848132E-2</v>
      </c>
      <c r="G41" s="266"/>
      <c r="H41" s="257">
        <f>H39-H40</f>
        <v>0</v>
      </c>
      <c r="I41" s="221"/>
      <c r="J41" s="287">
        <f>J39-J40</f>
        <v>-7.3536608732882591E-8</v>
      </c>
      <c r="K41" s="266"/>
      <c r="L41" s="257">
        <f>L39-L40</f>
        <v>-3.8496703130830312E-8</v>
      </c>
      <c r="M41" s="221"/>
      <c r="N41" s="287">
        <f>N39-N40</f>
        <v>-7.3536608732882591E-8</v>
      </c>
      <c r="O41" s="266"/>
      <c r="P41" s="257">
        <f>P39-P40</f>
        <v>-3.8496703130830312E-8</v>
      </c>
      <c r="Q41" s="142"/>
    </row>
    <row r="42" spans="2:17" x14ac:dyDescent="0.2">
      <c r="B42" s="178"/>
      <c r="F42" s="276"/>
      <c r="G42" s="266"/>
      <c r="H42" s="257"/>
      <c r="I42" s="221"/>
      <c r="J42" s="265"/>
      <c r="K42" s="266"/>
      <c r="L42" s="229"/>
      <c r="M42" s="221"/>
      <c r="N42" s="265"/>
      <c r="O42" s="266"/>
      <c r="P42" s="229"/>
      <c r="Q42" s="142"/>
    </row>
    <row r="43" spans="2:17" x14ac:dyDescent="0.2">
      <c r="B43" s="178">
        <v>18</v>
      </c>
      <c r="D43" s="5" t="s">
        <v>49</v>
      </c>
      <c r="F43" s="276">
        <f>IF(F35=0,0,(F33+F22)/F35)</f>
        <v>5.0526390341260753E-2</v>
      </c>
      <c r="G43" s="266"/>
      <c r="H43" s="257">
        <f>IF(H35=0,0,(H33+H22)/H35)</f>
        <v>6.2008000000000008E-2</v>
      </c>
      <c r="I43" s="221"/>
      <c r="J43" s="276">
        <f>IF(J35=0,0,(J33+J22)/J35)</f>
        <v>6.2007970585356516E-2</v>
      </c>
      <c r="K43" s="266"/>
      <c r="L43" s="257">
        <f>IF(L37=0,0,(L33+L22)/L35)</f>
        <v>6.2007984601318754E-2</v>
      </c>
      <c r="M43" s="221"/>
      <c r="N43" s="276">
        <f>IF(N35=0,0,(N33+N22)/N35)</f>
        <v>6.2007970585356516E-2</v>
      </c>
      <c r="O43" s="266"/>
      <c r="P43" s="257">
        <f>IF(P37=0,0,(P33+P22)/P35)</f>
        <v>6.2007984601318754E-2</v>
      </c>
      <c r="Q43" s="142"/>
    </row>
    <row r="44" spans="2:17" ht="25.5" x14ac:dyDescent="0.2">
      <c r="B44" s="178">
        <v>19</v>
      </c>
      <c r="D44" s="29" t="s">
        <v>120</v>
      </c>
      <c r="F44" s="286">
        <f>'7. Cost_of_Capital'!L26</f>
        <v>6.2008000000000008E-2</v>
      </c>
      <c r="G44" s="266"/>
      <c r="H44" s="288">
        <f>'7. Cost_of_Capital'!L26</f>
        <v>6.2008000000000008E-2</v>
      </c>
      <c r="I44" s="221"/>
      <c r="J44" s="286">
        <f>'7. Cost_of_Capital'!L42</f>
        <v>6.2008000000000008E-2</v>
      </c>
      <c r="K44" s="266"/>
      <c r="L44" s="285">
        <f>'7. Cost_of_Capital'!L42</f>
        <v>6.2008000000000008E-2</v>
      </c>
      <c r="M44" s="221"/>
      <c r="N44" s="286">
        <f>'7. Cost_of_Capital'!L58</f>
        <v>6.2008000000000008E-2</v>
      </c>
      <c r="O44" s="266"/>
      <c r="P44" s="285">
        <f>'7. Cost_of_Capital'!L58</f>
        <v>6.2008000000000008E-2</v>
      </c>
      <c r="Q44" s="142"/>
    </row>
    <row r="45" spans="2:17" ht="25.5" x14ac:dyDescent="0.2">
      <c r="B45" s="178">
        <v>20</v>
      </c>
      <c r="D45" s="29" t="s">
        <v>312</v>
      </c>
      <c r="F45" s="287">
        <f>F43-F44</f>
        <v>-1.1481609658739254E-2</v>
      </c>
      <c r="G45" s="266"/>
      <c r="H45" s="289">
        <f>H43-H44</f>
        <v>0</v>
      </c>
      <c r="I45" s="221"/>
      <c r="J45" s="287">
        <f>J43-J44</f>
        <v>-2.9414643491765258E-8</v>
      </c>
      <c r="K45" s="266"/>
      <c r="L45" s="289">
        <f>L43-L44</f>
        <v>-1.5398681253719904E-8</v>
      </c>
      <c r="M45" s="221"/>
      <c r="N45" s="287">
        <f>N43-N44</f>
        <v>-2.9414643491765258E-8</v>
      </c>
      <c r="O45" s="266"/>
      <c r="P45" s="289">
        <f>P43-P44</f>
        <v>-1.5398681253719904E-8</v>
      </c>
      <c r="Q45" s="142"/>
    </row>
    <row r="46" spans="2:17" x14ac:dyDescent="0.2">
      <c r="B46" s="178"/>
      <c r="F46" s="265"/>
      <c r="G46" s="266"/>
      <c r="H46" s="229"/>
      <c r="I46" s="221"/>
      <c r="J46" s="265"/>
      <c r="K46" s="266"/>
      <c r="L46" s="229"/>
      <c r="M46" s="221"/>
      <c r="N46" s="265"/>
      <c r="O46" s="266"/>
      <c r="P46" s="229"/>
      <c r="Q46" s="142"/>
    </row>
    <row r="47" spans="2:17" x14ac:dyDescent="0.2">
      <c r="B47" s="178">
        <v>21</v>
      </c>
      <c r="D47" s="5" t="s">
        <v>130</v>
      </c>
      <c r="F47" s="268">
        <f>H47</f>
        <v>472817.91986718669</v>
      </c>
      <c r="G47" s="290"/>
      <c r="H47" s="267">
        <f>'7. Cost_of_Capital'!P24</f>
        <v>472817.91986718669</v>
      </c>
      <c r="I47" s="291"/>
      <c r="J47" s="268">
        <f>L47</f>
        <v>465588.47965037538</v>
      </c>
      <c r="K47" s="290"/>
      <c r="L47" s="267">
        <f>'7. Cost_of_Capital'!P40</f>
        <v>465588.47965037538</v>
      </c>
      <c r="M47" s="291"/>
      <c r="N47" s="268">
        <f>P47</f>
        <v>465588.47965037538</v>
      </c>
      <c r="O47" s="290"/>
      <c r="P47" s="267">
        <f>'7. Cost_of_Capital'!P56</f>
        <v>465588.47965037538</v>
      </c>
      <c r="Q47" s="142"/>
    </row>
    <row r="48" spans="2:17" x14ac:dyDescent="0.2">
      <c r="B48" s="178">
        <v>22</v>
      </c>
      <c r="D48" s="5" t="s">
        <v>205</v>
      </c>
      <c r="F48" s="268">
        <f>F47-F33</f>
        <v>148813.34417686658</v>
      </c>
      <c r="G48" s="290" t="s">
        <v>121</v>
      </c>
      <c r="H48" s="275">
        <f>H35*H45</f>
        <v>0</v>
      </c>
      <c r="I48" s="291"/>
      <c r="J48" s="268">
        <f>J47-J33</f>
        <v>0.37541445018723607</v>
      </c>
      <c r="K48" s="290"/>
      <c r="L48" s="275">
        <f>L35*L45</f>
        <v>-0.19653093732292176</v>
      </c>
      <c r="M48" s="291"/>
      <c r="N48" s="268">
        <f>N47-N33</f>
        <v>0.37541445018723607</v>
      </c>
      <c r="O48" s="290"/>
      <c r="P48" s="275">
        <f>P35*P45</f>
        <v>-0.19653093732292176</v>
      </c>
      <c r="Q48" s="142"/>
    </row>
    <row r="49" spans="2:16" ht="25.5" x14ac:dyDescent="0.2">
      <c r="B49" s="178">
        <v>23</v>
      </c>
      <c r="D49" s="58" t="s">
        <v>204</v>
      </c>
      <c r="F49" s="269">
        <f>F48/(1-F30)</f>
        <v>176110.46648149891</v>
      </c>
      <c r="G49" s="292" t="s">
        <v>2</v>
      </c>
      <c r="H49" s="293"/>
      <c r="I49" s="291"/>
      <c r="J49" s="269">
        <f>J48/(1-J30)</f>
        <v>0.44427745584288292</v>
      </c>
      <c r="K49" s="292" t="s">
        <v>2</v>
      </c>
      <c r="L49" s="293"/>
      <c r="M49" s="291"/>
      <c r="N49" s="269">
        <f>N48/(1-N30)</f>
        <v>0.44427745584288292</v>
      </c>
      <c r="O49" s="292" t="s">
        <v>2</v>
      </c>
      <c r="P49" s="293"/>
    </row>
    <row r="52" spans="2:16" x14ac:dyDescent="0.2">
      <c r="B52" s="512" t="s">
        <v>42</v>
      </c>
      <c r="C52" s="512"/>
      <c r="D52" s="512"/>
      <c r="E52" s="512"/>
      <c r="F52" s="512"/>
      <c r="G52" s="512"/>
      <c r="H52" s="512"/>
      <c r="I52" s="512"/>
      <c r="J52" s="76"/>
      <c r="K52" s="76"/>
      <c r="L52" s="76"/>
      <c r="M52" s="76"/>
      <c r="N52" s="76"/>
      <c r="O52" s="76"/>
    </row>
    <row r="53" spans="2:16" x14ac:dyDescent="0.2">
      <c r="B53" s="18" t="s">
        <v>2</v>
      </c>
      <c r="D53" s="473" t="s">
        <v>315</v>
      </c>
      <c r="E53" s="473"/>
      <c r="F53" s="473"/>
      <c r="G53" s="473"/>
      <c r="H53" s="473"/>
      <c r="I53" s="473"/>
      <c r="J53" s="473"/>
      <c r="K53" s="473"/>
      <c r="L53" s="473"/>
      <c r="M53" s="473"/>
      <c r="N53" s="473"/>
      <c r="O53" s="473"/>
      <c r="P53" s="473"/>
    </row>
    <row r="54" spans="2:16" x14ac:dyDescent="0.2">
      <c r="B54" s="150"/>
      <c r="D54" s="479"/>
      <c r="E54" s="479"/>
      <c r="F54" s="479"/>
      <c r="G54" s="479"/>
      <c r="H54" s="479"/>
      <c r="I54" s="479"/>
      <c r="J54" s="479"/>
      <c r="K54" s="479"/>
      <c r="L54" s="479"/>
      <c r="M54" s="479"/>
      <c r="N54" s="479"/>
      <c r="O54" s="479"/>
      <c r="P54" s="479"/>
    </row>
    <row r="55" spans="2:16" x14ac:dyDescent="0.2">
      <c r="B55" s="150"/>
      <c r="D55" s="479"/>
      <c r="E55" s="479"/>
      <c r="F55" s="479"/>
      <c r="G55" s="479"/>
      <c r="H55" s="479"/>
      <c r="I55" s="479"/>
      <c r="J55" s="479"/>
      <c r="K55" s="479"/>
      <c r="L55" s="479"/>
      <c r="M55" s="479"/>
      <c r="N55" s="479"/>
      <c r="O55" s="479"/>
      <c r="P55" s="479"/>
    </row>
    <row r="56" spans="2:16" x14ac:dyDescent="0.2">
      <c r="B56" s="150"/>
      <c r="D56" s="479"/>
      <c r="E56" s="479"/>
      <c r="F56" s="479"/>
      <c r="G56" s="479"/>
      <c r="H56" s="479"/>
      <c r="I56" s="479"/>
      <c r="J56" s="479"/>
      <c r="K56" s="479"/>
      <c r="L56" s="479"/>
      <c r="M56" s="479"/>
      <c r="N56" s="479"/>
      <c r="O56" s="479"/>
      <c r="P56" s="479"/>
    </row>
  </sheetData>
  <sheetProtection password="82A3" sheet="1" objects="1" scenarios="1"/>
  <mergeCells count="21">
    <mergeCell ref="L12:L13"/>
    <mergeCell ref="D56:P56"/>
    <mergeCell ref="D53:P53"/>
    <mergeCell ref="D54:P54"/>
    <mergeCell ref="D55:P55"/>
    <mergeCell ref="C1:O1"/>
    <mergeCell ref="C2:O2"/>
    <mergeCell ref="C3:O3"/>
    <mergeCell ref="C4:H4"/>
    <mergeCell ref="B52:I52"/>
    <mergeCell ref="D12:D13"/>
    <mergeCell ref="B12:B13"/>
    <mergeCell ref="F10:H10"/>
    <mergeCell ref="J10:L10"/>
    <mergeCell ref="J12:J13"/>
    <mergeCell ref="F8:P8"/>
    <mergeCell ref="H12:H13"/>
    <mergeCell ref="P12:P13"/>
    <mergeCell ref="F12:F13"/>
    <mergeCell ref="N10:P10"/>
    <mergeCell ref="N12:N13"/>
  </mergeCells>
  <phoneticPr fontId="2" type="noConversion"/>
  <conditionalFormatting sqref="J10:L10">
    <cfRule type="cellIs" dxfId="1" priority="1" stopIfTrue="1" operator="equal">
      <formula>""</formula>
    </cfRule>
  </conditionalFormatting>
  <pageMargins left="0.75" right="0.75" top="0.65" bottom="1" header="0.4" footer="0.5"/>
  <pageSetup scale="63" orientation="portrait" r:id="rId1"/>
  <headerFooter alignWithMargins="0">
    <oddFooter>&amp;C7</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B1:U41"/>
  <sheetViews>
    <sheetView showGridLines="0" zoomScaleNormal="100" workbookViewId="0">
      <selection activeCell="N47" sqref="N47"/>
    </sheetView>
  </sheetViews>
  <sheetFormatPr defaultRowHeight="12.75" x14ac:dyDescent="0.2"/>
  <cols>
    <col min="1" max="1" width="1.85546875" style="5" customWidth="1"/>
    <col min="2" max="2" width="4.7109375" style="5" customWidth="1"/>
    <col min="3" max="3" width="8.85546875" style="5" customWidth="1"/>
    <col min="4" max="4" width="30.28515625" style="5" customWidth="1"/>
    <col min="5" max="5" width="6.28515625" style="5" customWidth="1"/>
    <col min="6" max="6" width="19.42578125" style="5" customWidth="1"/>
    <col min="7" max="7" width="1.140625" style="5" customWidth="1"/>
    <col min="8" max="8" width="3.28515625" style="5" customWidth="1"/>
    <col min="9" max="9" width="1.140625" style="5" customWidth="1"/>
    <col min="10" max="10" width="19.42578125" style="5" customWidth="1"/>
    <col min="11" max="11" width="1.140625" style="5" customWidth="1"/>
    <col min="12" max="12" width="3.7109375" style="5" customWidth="1"/>
    <col min="13" max="13" width="1.140625" style="5" customWidth="1"/>
    <col min="14" max="14" width="12.85546875" style="5" customWidth="1"/>
    <col min="15" max="15" width="11.5703125" style="5" customWidth="1"/>
    <col min="16" max="16" width="1.140625" style="5" customWidth="1"/>
    <col min="17" max="17" width="3.42578125" style="5" customWidth="1"/>
    <col min="18" max="18" width="2.140625" style="5" customWidth="1"/>
    <col min="19" max="16384" width="9.140625" style="5"/>
  </cols>
  <sheetData>
    <row r="1" spans="2:18" s="2" customFormat="1" ht="36.75" customHeight="1" x14ac:dyDescent="0.2">
      <c r="C1" s="463"/>
      <c r="D1" s="463"/>
      <c r="E1" s="463"/>
      <c r="F1" s="463"/>
      <c r="G1" s="463"/>
      <c r="H1" s="463"/>
      <c r="I1" s="463"/>
      <c r="J1" s="463"/>
      <c r="K1" s="463"/>
      <c r="L1" s="463"/>
      <c r="M1" s="463"/>
      <c r="N1" s="463"/>
      <c r="O1" s="524"/>
      <c r="P1" s="524"/>
      <c r="Q1" s="524"/>
      <c r="R1" s="1"/>
    </row>
    <row r="2" spans="2:18" s="2" customFormat="1" ht="36.75" customHeight="1" x14ac:dyDescent="0.25">
      <c r="C2" s="505"/>
      <c r="D2" s="505"/>
      <c r="E2" s="505"/>
      <c r="F2" s="505"/>
      <c r="G2" s="505"/>
      <c r="H2" s="505"/>
      <c r="I2" s="505"/>
      <c r="J2" s="505"/>
      <c r="K2" s="505"/>
      <c r="L2" s="505"/>
      <c r="M2" s="505"/>
      <c r="N2" s="505"/>
      <c r="O2" s="505"/>
      <c r="P2" s="505"/>
      <c r="Q2" s="505"/>
      <c r="R2" s="505"/>
    </row>
    <row r="3" spans="2:18" s="2" customFormat="1" ht="36.75" customHeight="1" x14ac:dyDescent="0.25">
      <c r="C3" s="505"/>
      <c r="D3" s="505"/>
      <c r="E3" s="505"/>
      <c r="F3" s="505"/>
      <c r="G3" s="505"/>
      <c r="H3" s="505"/>
      <c r="I3" s="505"/>
      <c r="J3" s="505"/>
      <c r="K3" s="505"/>
      <c r="L3" s="505"/>
      <c r="M3" s="505"/>
      <c r="N3" s="505"/>
      <c r="O3" s="505"/>
      <c r="P3" s="505"/>
      <c r="Q3" s="505"/>
      <c r="R3" s="505"/>
    </row>
    <row r="4" spans="2:18" s="2" customFormat="1" ht="36.75" customHeight="1" x14ac:dyDescent="0.25">
      <c r="C4" s="505"/>
      <c r="D4" s="505"/>
      <c r="E4" s="505"/>
      <c r="F4" s="505"/>
      <c r="G4" s="505"/>
      <c r="H4" s="505"/>
      <c r="I4" s="505"/>
      <c r="J4" s="505"/>
      <c r="K4" s="505"/>
      <c r="L4" s="505"/>
      <c r="M4" s="505"/>
      <c r="N4" s="505"/>
      <c r="O4" s="39"/>
      <c r="P4" s="39"/>
      <c r="Q4" s="39"/>
      <c r="R4" s="39"/>
    </row>
    <row r="5" spans="2:18" s="2" customFormat="1" ht="36.75" customHeight="1" x14ac:dyDescent="0.25">
      <c r="E5" s="3"/>
      <c r="F5" s="3"/>
      <c r="G5" s="3"/>
    </row>
    <row r="6" spans="2:18" s="2" customFormat="1" ht="36.75" customHeight="1" x14ac:dyDescent="0.2"/>
    <row r="7" spans="2:18" ht="4.5" customHeight="1" x14ac:dyDescent="0.2"/>
    <row r="8" spans="2:18" ht="21" customHeight="1" x14ac:dyDescent="0.2">
      <c r="F8" s="506"/>
      <c r="G8" s="506"/>
      <c r="H8" s="506"/>
      <c r="I8" s="506"/>
      <c r="J8" s="506"/>
      <c r="K8" s="506"/>
      <c r="L8" s="506"/>
      <c r="M8" s="506"/>
      <c r="N8" s="506"/>
      <c r="O8" s="506"/>
      <c r="P8" s="41"/>
      <c r="Q8" s="40"/>
    </row>
    <row r="9" spans="2:18" ht="13.5" customHeight="1" x14ac:dyDescent="0.2">
      <c r="F9" s="41"/>
      <c r="G9" s="41"/>
      <c r="H9" s="41"/>
      <c r="I9" s="41"/>
      <c r="J9" s="41"/>
      <c r="K9" s="41"/>
      <c r="L9" s="41"/>
      <c r="M9" s="41"/>
      <c r="N9" s="41"/>
      <c r="O9" s="41"/>
      <c r="P9" s="41"/>
      <c r="Q9" s="40"/>
    </row>
    <row r="10" spans="2:18" ht="39" customHeight="1" x14ac:dyDescent="0.2">
      <c r="B10" s="42" t="s">
        <v>37</v>
      </c>
      <c r="D10" s="43" t="s">
        <v>36</v>
      </c>
      <c r="F10" s="401" t="s">
        <v>23</v>
      </c>
      <c r="G10" s="402"/>
      <c r="H10" s="402"/>
      <c r="I10" s="402"/>
      <c r="J10" s="403" t="str">
        <f>IF(ISBLANK('3. Data_Input_Sheet'!M10:M11),"",'3. Data_Input_Sheet'!M10:M11)</f>
        <v>Settlement Agreement</v>
      </c>
      <c r="K10" s="402"/>
      <c r="L10" s="402"/>
      <c r="M10" s="402"/>
      <c r="N10" s="523" t="str">
        <f>'3. Data_Input_Sheet'!U10</f>
        <v>Per Board Decision</v>
      </c>
      <c r="O10" s="523"/>
      <c r="P10" s="149"/>
    </row>
    <row r="11" spans="2:18" ht="14.25" customHeight="1" x14ac:dyDescent="0.2">
      <c r="B11" s="4"/>
      <c r="D11" s="45"/>
      <c r="F11" s="45"/>
      <c r="G11" s="45"/>
      <c r="H11" s="45"/>
      <c r="I11" s="45"/>
      <c r="J11" s="45"/>
      <c r="K11" s="45"/>
      <c r="L11" s="45"/>
      <c r="M11" s="45"/>
      <c r="N11" s="513"/>
      <c r="O11" s="513"/>
      <c r="P11" s="45"/>
    </row>
    <row r="12" spans="2:18" x14ac:dyDescent="0.2">
      <c r="B12" s="178">
        <v>1</v>
      </c>
      <c r="D12" s="5" t="s">
        <v>143</v>
      </c>
      <c r="F12" s="46">
        <f>'5. Utility Income'!F19</f>
        <v>2826830.94</v>
      </c>
      <c r="G12" s="46"/>
      <c r="H12" s="176"/>
      <c r="I12" s="209"/>
      <c r="J12" s="46">
        <f>'5. Utility Income'!N19</f>
        <v>2574253.94</v>
      </c>
      <c r="K12" s="209"/>
      <c r="L12" s="176"/>
      <c r="M12" s="209"/>
      <c r="N12" s="521">
        <f>'5. Utility Income'!V19</f>
        <v>2574253.94</v>
      </c>
      <c r="O12" s="522"/>
      <c r="P12" s="159"/>
      <c r="Q12" s="176"/>
    </row>
    <row r="13" spans="2:18" x14ac:dyDescent="0.2">
      <c r="B13" s="178">
        <v>2</v>
      </c>
      <c r="D13" s="5" t="s">
        <v>34</v>
      </c>
      <c r="F13" s="47">
        <f>'5. Utility Income'!F20</f>
        <v>561545.6657555555</v>
      </c>
      <c r="G13" s="47"/>
      <c r="H13" s="176"/>
      <c r="I13" s="210"/>
      <c r="J13" s="193">
        <f>'5. Utility Income'!N20</f>
        <v>561545.6657555555</v>
      </c>
      <c r="K13" s="210"/>
      <c r="L13" s="176"/>
      <c r="M13" s="210"/>
      <c r="N13" s="526">
        <f>'5. Utility Income'!V20</f>
        <v>561545.6657555555</v>
      </c>
      <c r="O13" s="527"/>
      <c r="P13" s="156"/>
      <c r="Q13" s="176"/>
    </row>
    <row r="14" spans="2:18" ht="12.75" customHeight="1" x14ac:dyDescent="0.2">
      <c r="B14" s="178">
        <v>3</v>
      </c>
      <c r="D14" s="5" t="s">
        <v>45</v>
      </c>
      <c r="F14" s="47">
        <f>'5. Utility Income'!F21</f>
        <v>0</v>
      </c>
      <c r="G14" s="47"/>
      <c r="H14" s="176"/>
      <c r="I14" s="210"/>
      <c r="J14" s="193" t="str">
        <f>'5. Utility Income'!N21</f>
        <v/>
      </c>
      <c r="K14" s="210"/>
      <c r="L14" s="176"/>
      <c r="M14" s="210"/>
      <c r="N14" s="526" t="str">
        <f>'5. Utility Income'!V21</f>
        <v/>
      </c>
      <c r="O14" s="527"/>
      <c r="P14" s="156"/>
      <c r="Q14" s="176"/>
    </row>
    <row r="15" spans="2:18" s="181" customFormat="1" ht="0.75" customHeight="1" x14ac:dyDescent="0.2">
      <c r="B15" s="423">
        <v>4</v>
      </c>
      <c r="D15" s="181" t="s">
        <v>142</v>
      </c>
      <c r="F15" s="424">
        <f>'6. Taxes_PILs'!G23</f>
        <v>0</v>
      </c>
      <c r="G15" s="424"/>
      <c r="H15" s="425"/>
      <c r="I15" s="426"/>
      <c r="J15" s="427">
        <f>'6. Taxes_PILs'!K23</f>
        <v>0</v>
      </c>
      <c r="K15" s="426"/>
      <c r="L15" s="425"/>
      <c r="M15" s="426"/>
      <c r="N15" s="530">
        <f>'6. Taxes_PILs'!O23</f>
        <v>0</v>
      </c>
      <c r="O15" s="531"/>
      <c r="P15" s="428"/>
      <c r="Q15" s="425"/>
    </row>
    <row r="16" spans="2:18" x14ac:dyDescent="0.2">
      <c r="B16" s="178">
        <v>5</v>
      </c>
      <c r="D16" s="5" t="s">
        <v>91</v>
      </c>
      <c r="F16" s="47">
        <f>'6. Taxes_PILs'!G31-F15</f>
        <v>71973.605314964632</v>
      </c>
      <c r="G16" s="47"/>
      <c r="H16" s="176"/>
      <c r="I16" s="210"/>
      <c r="J16" s="193">
        <f>'6. Taxes_PILs'!K31-J15</f>
        <v>40737.278106508878</v>
      </c>
      <c r="K16" s="210"/>
      <c r="L16" s="176"/>
      <c r="M16" s="210"/>
      <c r="N16" s="526">
        <f>'6. Taxes_PILs'!O31-N15</f>
        <v>40737.278106508878</v>
      </c>
      <c r="O16" s="527"/>
      <c r="P16" s="156"/>
      <c r="Q16" s="176"/>
    </row>
    <row r="17" spans="2:21" x14ac:dyDescent="0.2">
      <c r="B17" s="178">
        <v>6</v>
      </c>
      <c r="D17" s="5" t="s">
        <v>136</v>
      </c>
      <c r="F17" s="47">
        <f>'5. Utility Income'!F23</f>
        <v>0</v>
      </c>
      <c r="G17" s="47"/>
      <c r="H17" s="176"/>
      <c r="I17" s="210"/>
      <c r="J17" s="158" t="str">
        <f>'5. Utility Income'!N23</f>
        <v/>
      </c>
      <c r="K17" s="210"/>
      <c r="L17" s="176"/>
      <c r="M17" s="210"/>
      <c r="N17" s="525" t="str">
        <f>'5. Utility Income'!V23</f>
        <v/>
      </c>
      <c r="O17" s="525"/>
      <c r="P17" s="158"/>
      <c r="Q17" s="176"/>
    </row>
    <row r="18" spans="2:21" x14ac:dyDescent="0.2">
      <c r="B18" s="178">
        <v>7</v>
      </c>
      <c r="D18" s="5" t="s">
        <v>22</v>
      </c>
      <c r="F18" s="48"/>
      <c r="G18" s="48"/>
      <c r="H18" s="211"/>
      <c r="I18" s="211"/>
      <c r="J18" s="48"/>
      <c r="K18" s="211"/>
      <c r="L18" s="212"/>
      <c r="M18" s="211"/>
      <c r="N18" s="528"/>
      <c r="O18" s="529"/>
      <c r="P18" s="157"/>
      <c r="Q18" s="212"/>
    </row>
    <row r="19" spans="2:21" x14ac:dyDescent="0.2">
      <c r="B19" s="178"/>
      <c r="D19" s="5" t="s">
        <v>131</v>
      </c>
      <c r="F19" s="50">
        <f>'8. Rev_Def_Suff'!F22</f>
        <v>330868.8557667089</v>
      </c>
      <c r="G19" s="50"/>
      <c r="H19" s="176"/>
      <c r="I19" s="213"/>
      <c r="J19" s="50">
        <f>'8. Rev_Def_Suff'!L22</f>
        <v>325809.83301849733</v>
      </c>
      <c r="K19" s="213"/>
      <c r="L19" s="176"/>
      <c r="M19" s="213"/>
      <c r="N19" s="532">
        <f>'8. Rev_Def_Suff'!P22</f>
        <v>325809.83301849733</v>
      </c>
      <c r="O19" s="532"/>
      <c r="P19" s="155"/>
      <c r="Q19" s="176"/>
    </row>
    <row r="20" spans="2:21" x14ac:dyDescent="0.2">
      <c r="B20" s="178"/>
      <c r="D20" s="5" t="s">
        <v>132</v>
      </c>
      <c r="F20" s="50">
        <f>'8. Rev_Def_Suff'!F47</f>
        <v>472817.91986718669</v>
      </c>
      <c r="G20" s="50"/>
      <c r="H20" s="176"/>
      <c r="I20" s="213"/>
      <c r="J20" s="50">
        <f>'8. Rev_Def_Suff'!L47</f>
        <v>465588.47965037538</v>
      </c>
      <c r="K20" s="213"/>
      <c r="L20" s="176"/>
      <c r="M20" s="213"/>
      <c r="N20" s="533">
        <f>'8. Rev_Def_Suff'!P47</f>
        <v>465588.47965037538</v>
      </c>
      <c r="O20" s="533"/>
      <c r="P20" s="155"/>
      <c r="Q20" s="176"/>
    </row>
    <row r="21" spans="2:21" x14ac:dyDescent="0.2">
      <c r="B21" s="178"/>
      <c r="C21" s="15"/>
      <c r="D21" s="15"/>
      <c r="E21" s="15"/>
      <c r="F21" s="52"/>
      <c r="G21" s="49"/>
      <c r="H21" s="214"/>
      <c r="I21" s="214"/>
      <c r="J21" s="52"/>
      <c r="K21" s="214"/>
      <c r="L21" s="214"/>
      <c r="M21" s="214"/>
      <c r="N21" s="52"/>
      <c r="O21" s="53"/>
      <c r="P21" s="157"/>
      <c r="Q21" s="214"/>
      <c r="R21" s="15"/>
      <c r="S21" s="15"/>
      <c r="T21" s="15"/>
      <c r="U21" s="15"/>
    </row>
    <row r="22" spans="2:21" ht="26.25" thickBot="1" x14ac:dyDescent="0.25">
      <c r="B22" s="178">
        <v>8</v>
      </c>
      <c r="C22" s="15"/>
      <c r="D22" s="58" t="s">
        <v>323</v>
      </c>
      <c r="E22" s="15"/>
      <c r="F22" s="54">
        <f>SUM(F12:F20)</f>
        <v>4264036.9867044156</v>
      </c>
      <c r="G22" s="49"/>
      <c r="H22" s="176"/>
      <c r="I22" s="214"/>
      <c r="J22" s="54">
        <f>SUM(J12:J20)</f>
        <v>3967935.1965309372</v>
      </c>
      <c r="K22" s="214"/>
      <c r="L22" s="176"/>
      <c r="M22" s="214"/>
      <c r="N22" s="484">
        <f>SUM(N12:O20)</f>
        <v>3967935.1965309372</v>
      </c>
      <c r="O22" s="484"/>
      <c r="P22" s="50"/>
      <c r="Q22" s="176"/>
      <c r="R22" s="15"/>
      <c r="S22" s="15"/>
      <c r="T22" s="15"/>
      <c r="U22" s="15"/>
    </row>
    <row r="23" spans="2:21" ht="13.5" thickTop="1" x14ac:dyDescent="0.2">
      <c r="B23" s="178"/>
      <c r="C23" s="15"/>
      <c r="D23" s="29"/>
      <c r="E23" s="15"/>
      <c r="F23" s="49"/>
      <c r="G23" s="49"/>
      <c r="H23" s="208"/>
      <c r="I23" s="449"/>
      <c r="J23" s="109"/>
      <c r="K23" s="449"/>
      <c r="L23" s="208"/>
      <c r="M23" s="449"/>
      <c r="N23" s="155"/>
      <c r="O23" s="155"/>
      <c r="P23" s="155"/>
      <c r="Q23" s="208"/>
      <c r="R23" s="15"/>
      <c r="S23" s="15"/>
      <c r="T23" s="15"/>
      <c r="U23" s="15"/>
    </row>
    <row r="24" spans="2:21" x14ac:dyDescent="0.2">
      <c r="B24" s="178">
        <v>9</v>
      </c>
      <c r="C24" s="15"/>
      <c r="D24" s="29" t="s">
        <v>324</v>
      </c>
      <c r="E24" s="15"/>
      <c r="F24" s="57">
        <f>'3. Data_Input_Sheet'!E31</f>
        <v>554001.32999999996</v>
      </c>
      <c r="G24" s="49"/>
      <c r="H24" s="176"/>
      <c r="I24" s="214"/>
      <c r="J24" s="57">
        <f>'3. Data_Input_Sheet'!M31</f>
        <v>582898</v>
      </c>
      <c r="K24" s="214"/>
      <c r="L24" s="176"/>
      <c r="M24" s="214"/>
      <c r="N24" s="500">
        <f>'3. Data_Input_Sheet'!U31</f>
        <v>0</v>
      </c>
      <c r="O24" s="500"/>
      <c r="P24" s="50"/>
      <c r="Q24" s="176"/>
      <c r="R24" s="15"/>
      <c r="S24" s="15"/>
      <c r="T24" s="15"/>
      <c r="U24" s="15"/>
    </row>
    <row r="25" spans="2:21" ht="13.5" thickBot="1" x14ac:dyDescent="0.25">
      <c r="B25" s="178">
        <v>10</v>
      </c>
      <c r="C25" s="15"/>
      <c r="D25" s="58" t="s">
        <v>325</v>
      </c>
      <c r="E25" s="15"/>
      <c r="F25" s="448">
        <f>F22-F24</f>
        <v>3710035.6567044156</v>
      </c>
      <c r="G25" s="49"/>
      <c r="H25" s="176"/>
      <c r="I25" s="214"/>
      <c r="J25" s="448">
        <f>J22-J24</f>
        <v>3385037.1965309372</v>
      </c>
      <c r="K25" s="214"/>
      <c r="L25" s="176"/>
      <c r="M25" s="214"/>
      <c r="N25" s="535">
        <f>N22-N24</f>
        <v>3967935.1965309372</v>
      </c>
      <c r="O25" s="535"/>
      <c r="P25" s="50"/>
      <c r="Q25" s="176"/>
      <c r="R25" s="15"/>
      <c r="S25" s="15"/>
      <c r="T25" s="15"/>
      <c r="U25" s="15"/>
    </row>
    <row r="26" spans="2:21" ht="13.5" thickTop="1" x14ac:dyDescent="0.2">
      <c r="B26" s="178"/>
      <c r="F26" s="55"/>
      <c r="G26" s="55"/>
      <c r="H26" s="210"/>
      <c r="I26" s="210"/>
      <c r="J26" s="55"/>
      <c r="K26" s="210"/>
      <c r="L26" s="210"/>
      <c r="M26" s="210"/>
      <c r="N26" s="534"/>
      <c r="O26" s="534"/>
      <c r="P26" s="164"/>
      <c r="Q26" s="210"/>
    </row>
    <row r="27" spans="2:21" x14ac:dyDescent="0.2">
      <c r="B27" s="178">
        <v>11</v>
      </c>
      <c r="D27" s="5" t="s">
        <v>52</v>
      </c>
      <c r="F27" s="47">
        <f>'5. Utility Income'!F13</f>
        <v>3710035.656704416</v>
      </c>
      <c r="G27" s="47"/>
      <c r="H27" s="176"/>
      <c r="I27" s="210"/>
      <c r="J27" s="47">
        <f>'5. Utility Income'!N13</f>
        <v>3385037</v>
      </c>
      <c r="K27" s="210"/>
      <c r="L27" s="176"/>
      <c r="M27" s="210"/>
      <c r="N27" s="526">
        <f>'5. Utility Income'!V13</f>
        <v>3385037</v>
      </c>
      <c r="O27" s="527"/>
      <c r="P27" s="156"/>
      <c r="Q27" s="176"/>
    </row>
    <row r="28" spans="2:21" x14ac:dyDescent="0.2">
      <c r="B28" s="178">
        <v>12</v>
      </c>
      <c r="D28" s="5" t="s">
        <v>35</v>
      </c>
      <c r="F28" s="56">
        <f>'5. Utility Income'!F14</f>
        <v>554001.32999999996</v>
      </c>
      <c r="G28" s="48"/>
      <c r="H28" s="176"/>
      <c r="I28" s="215"/>
      <c r="J28" s="56">
        <f>'5. Utility Income'!N14</f>
        <v>582898</v>
      </c>
      <c r="K28" s="215"/>
      <c r="L28" s="176"/>
      <c r="M28" s="215"/>
      <c r="N28" s="498">
        <f>'5. Utility Income'!V14</f>
        <v>582898</v>
      </c>
      <c r="O28" s="536"/>
      <c r="P28" s="157"/>
      <c r="Q28" s="176"/>
    </row>
    <row r="29" spans="2:21" x14ac:dyDescent="0.2">
      <c r="B29" s="178"/>
      <c r="F29" s="483">
        <f>SUM(F27:F28)</f>
        <v>4264036.9867044156</v>
      </c>
      <c r="G29" s="50"/>
      <c r="H29" s="213"/>
      <c r="I29" s="213"/>
      <c r="J29" s="483">
        <f>SUM(J27:J28)</f>
        <v>3967935</v>
      </c>
      <c r="K29" s="213"/>
      <c r="L29" s="213"/>
      <c r="M29" s="213"/>
      <c r="N29" s="483">
        <f>SUM(N27:N28)</f>
        <v>3967935</v>
      </c>
      <c r="O29" s="492"/>
      <c r="P29" s="165"/>
      <c r="Q29" s="213"/>
    </row>
    <row r="30" spans="2:21" x14ac:dyDescent="0.2">
      <c r="B30" s="178">
        <v>13</v>
      </c>
      <c r="D30" s="16" t="s">
        <v>40</v>
      </c>
      <c r="F30" s="500"/>
      <c r="G30" s="50"/>
      <c r="H30" s="176"/>
      <c r="I30" s="213"/>
      <c r="J30" s="500"/>
      <c r="K30" s="213"/>
      <c r="L30" s="176"/>
      <c r="M30" s="213"/>
      <c r="N30" s="500"/>
      <c r="O30" s="537"/>
      <c r="P30" s="165"/>
      <c r="Q30" s="176"/>
    </row>
    <row r="31" spans="2:21" x14ac:dyDescent="0.2">
      <c r="B31" s="178"/>
      <c r="F31" s="532">
        <f>F29-F22</f>
        <v>0</v>
      </c>
      <c r="G31" s="155"/>
      <c r="H31" s="216"/>
      <c r="I31" s="216"/>
      <c r="J31" s="532">
        <f>J29-J22</f>
        <v>-0.19653093721717596</v>
      </c>
      <c r="K31" s="216"/>
      <c r="L31" s="216"/>
      <c r="M31" s="216"/>
      <c r="N31" s="495">
        <f>N29-N22</f>
        <v>-0.19653093721717596</v>
      </c>
      <c r="O31" s="538"/>
      <c r="P31" s="166"/>
      <c r="Q31" s="4"/>
    </row>
    <row r="32" spans="2:21" ht="39" thickBot="1" x14ac:dyDescent="0.25">
      <c r="B32" s="178">
        <v>14</v>
      </c>
      <c r="D32" s="58" t="s">
        <v>147</v>
      </c>
      <c r="F32" s="496"/>
      <c r="G32" s="155"/>
      <c r="H32" s="217" t="s">
        <v>2</v>
      </c>
      <c r="I32" s="217"/>
      <c r="J32" s="496"/>
      <c r="K32" s="217"/>
      <c r="L32" s="217" t="s">
        <v>2</v>
      </c>
      <c r="M32" s="217"/>
      <c r="N32" s="496"/>
      <c r="O32" s="539"/>
      <c r="P32" s="166"/>
      <c r="Q32" s="218" t="s">
        <v>2</v>
      </c>
    </row>
    <row r="33" spans="2:17" ht="13.5" thickTop="1" x14ac:dyDescent="0.2">
      <c r="F33" s="59"/>
      <c r="G33" s="59"/>
      <c r="H33" s="59"/>
      <c r="I33" s="59"/>
      <c r="J33" s="59"/>
      <c r="K33" s="59"/>
      <c r="L33" s="59"/>
      <c r="M33" s="59"/>
      <c r="N33" s="59"/>
      <c r="O33" s="59"/>
      <c r="P33" s="59"/>
    </row>
    <row r="34" spans="2:17" x14ac:dyDescent="0.2">
      <c r="B34" s="494" t="s">
        <v>38</v>
      </c>
      <c r="C34" s="494"/>
      <c r="D34" s="494"/>
      <c r="E34" s="494"/>
      <c r="F34" s="494"/>
      <c r="G34" s="494"/>
      <c r="H34" s="494"/>
      <c r="I34" s="494"/>
      <c r="J34" s="494"/>
      <c r="K34" s="494"/>
      <c r="L34" s="494"/>
      <c r="M34" s="494"/>
      <c r="N34" s="494"/>
      <c r="O34" s="494"/>
      <c r="P34" s="154"/>
    </row>
    <row r="35" spans="2:17" x14ac:dyDescent="0.2">
      <c r="B35" s="18" t="s">
        <v>2</v>
      </c>
      <c r="D35" s="5" t="s">
        <v>145</v>
      </c>
    </row>
    <row r="36" spans="2:17" x14ac:dyDescent="0.2">
      <c r="B36" s="150"/>
      <c r="D36" s="479"/>
      <c r="E36" s="479"/>
      <c r="F36" s="479"/>
      <c r="G36" s="479"/>
      <c r="H36" s="479"/>
      <c r="I36" s="479"/>
      <c r="J36" s="479"/>
      <c r="K36" s="479"/>
      <c r="L36" s="479"/>
      <c r="M36" s="479"/>
      <c r="N36" s="479"/>
      <c r="O36" s="479"/>
      <c r="P36" s="219"/>
      <c r="Q36" s="408"/>
    </row>
    <row r="37" spans="2:17" x14ac:dyDescent="0.2">
      <c r="B37" s="150"/>
      <c r="D37" s="479"/>
      <c r="E37" s="479"/>
      <c r="F37" s="479"/>
      <c r="G37" s="479"/>
      <c r="H37" s="479"/>
      <c r="I37" s="479"/>
      <c r="J37" s="479"/>
      <c r="K37" s="479"/>
      <c r="L37" s="479"/>
      <c r="M37" s="479"/>
      <c r="N37" s="479"/>
      <c r="O37" s="479"/>
      <c r="P37" s="219"/>
      <c r="Q37" s="408"/>
    </row>
    <row r="38" spans="2:17" x14ac:dyDescent="0.2">
      <c r="B38" s="150"/>
      <c r="D38" s="479"/>
      <c r="E38" s="479"/>
      <c r="F38" s="479"/>
      <c r="G38" s="479"/>
      <c r="H38" s="479"/>
      <c r="I38" s="479"/>
      <c r="J38" s="479"/>
      <c r="K38" s="479"/>
      <c r="L38" s="479"/>
      <c r="M38" s="479"/>
      <c r="N38" s="479"/>
      <c r="O38" s="479"/>
      <c r="P38" s="219"/>
      <c r="Q38" s="408"/>
    </row>
    <row r="39" spans="2:17" x14ac:dyDescent="0.2">
      <c r="B39" s="150"/>
      <c r="D39" s="479"/>
      <c r="E39" s="479"/>
      <c r="F39" s="479"/>
      <c r="G39" s="479"/>
      <c r="H39" s="479"/>
      <c r="I39" s="479"/>
      <c r="J39" s="479"/>
      <c r="K39" s="479"/>
      <c r="L39" s="479"/>
      <c r="M39" s="479"/>
      <c r="N39" s="479"/>
      <c r="O39" s="479"/>
      <c r="P39" s="219"/>
      <c r="Q39" s="408"/>
    </row>
    <row r="40" spans="2:17" x14ac:dyDescent="0.2">
      <c r="B40" s="150"/>
      <c r="D40" s="479"/>
      <c r="E40" s="479"/>
      <c r="F40" s="479"/>
      <c r="G40" s="479"/>
      <c r="H40" s="479"/>
      <c r="I40" s="479"/>
      <c r="J40" s="479"/>
      <c r="K40" s="479"/>
      <c r="L40" s="479"/>
      <c r="M40" s="479"/>
      <c r="N40" s="479"/>
      <c r="O40" s="479"/>
      <c r="P40" s="219"/>
      <c r="Q40" s="408"/>
    </row>
    <row r="41" spans="2:17" x14ac:dyDescent="0.2">
      <c r="B41" s="150"/>
      <c r="D41" s="479"/>
      <c r="E41" s="479"/>
      <c r="F41" s="479"/>
      <c r="G41" s="479"/>
      <c r="H41" s="479"/>
      <c r="I41" s="479"/>
      <c r="J41" s="479"/>
      <c r="K41" s="479"/>
      <c r="L41" s="479"/>
      <c r="M41" s="479"/>
      <c r="N41" s="479"/>
      <c r="O41" s="479"/>
      <c r="P41" s="219"/>
      <c r="Q41" s="408"/>
    </row>
  </sheetData>
  <sheetProtection password="82A3" sheet="1" objects="1" scenarios="1"/>
  <mergeCells count="36">
    <mergeCell ref="N28:O28"/>
    <mergeCell ref="J29:J30"/>
    <mergeCell ref="J31:J32"/>
    <mergeCell ref="F31:F32"/>
    <mergeCell ref="F29:F30"/>
    <mergeCell ref="N29:O30"/>
    <mergeCell ref="N31:O32"/>
    <mergeCell ref="N27:O27"/>
    <mergeCell ref="N15:O15"/>
    <mergeCell ref="N16:O16"/>
    <mergeCell ref="N19:O19"/>
    <mergeCell ref="N20:O20"/>
    <mergeCell ref="N26:O26"/>
    <mergeCell ref="N24:O24"/>
    <mergeCell ref="N25:O25"/>
    <mergeCell ref="B34:O34"/>
    <mergeCell ref="C1:N1"/>
    <mergeCell ref="O1:Q1"/>
    <mergeCell ref="D41:O41"/>
    <mergeCell ref="D36:O36"/>
    <mergeCell ref="D37:O37"/>
    <mergeCell ref="D38:O38"/>
    <mergeCell ref="D39:O39"/>
    <mergeCell ref="N17:O17"/>
    <mergeCell ref="N13:O13"/>
    <mergeCell ref="N14:O14"/>
    <mergeCell ref="N18:O18"/>
    <mergeCell ref="N22:O22"/>
    <mergeCell ref="C2:R2"/>
    <mergeCell ref="C3:R3"/>
    <mergeCell ref="D40:O40"/>
    <mergeCell ref="C4:N4"/>
    <mergeCell ref="N12:O12"/>
    <mergeCell ref="N11:O11"/>
    <mergeCell ref="N10:O10"/>
    <mergeCell ref="F8:O8"/>
  </mergeCells>
  <phoneticPr fontId="2" type="noConversion"/>
  <conditionalFormatting sqref="J10">
    <cfRule type="cellIs" dxfId="0" priority="1" stopIfTrue="1" operator="equal">
      <formula>""</formula>
    </cfRule>
  </conditionalFormatting>
  <pageMargins left="0.75" right="0.75" top="0.64" bottom="1" header="0.5" footer="0.5"/>
  <pageSetup scale="63" orientation="portrait" r:id="rId1"/>
  <headerFooter alignWithMargins="0">
    <oddFooter>&amp;C8</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11</vt:i4>
      </vt:variant>
    </vt:vector>
  </HeadingPairs>
  <TitlesOfParts>
    <vt:vector size="22" baseType="lpstr">
      <vt:lpstr>1. Info</vt:lpstr>
      <vt:lpstr>2. Table of Contents</vt:lpstr>
      <vt:lpstr>3. Data_Input_Sheet</vt:lpstr>
      <vt:lpstr>4. Rate_Base</vt:lpstr>
      <vt:lpstr>5. Utility Income</vt:lpstr>
      <vt:lpstr>6. Taxes_PILs</vt:lpstr>
      <vt:lpstr>7. Cost_of_Capital</vt:lpstr>
      <vt:lpstr>8. Rev_Def_Suff</vt:lpstr>
      <vt:lpstr>9. Rev_Reqt</vt:lpstr>
      <vt:lpstr>10A. Bill Impacts - Residential</vt:lpstr>
      <vt:lpstr>10B. Bill Impacts - GS_LT_50kW</vt:lpstr>
      <vt:lpstr>'1. Info'!Print_Area</vt:lpstr>
      <vt:lpstr>'10A. Bill Impacts - Residential'!Print_Area</vt:lpstr>
      <vt:lpstr>'10B. Bill Impacts - GS_LT_50kW'!Print_Area</vt:lpstr>
      <vt:lpstr>'2. Table of Contents'!Print_Area</vt:lpstr>
      <vt:lpstr>'3. Data_Input_Sheet'!Print_Area</vt:lpstr>
      <vt:lpstr>'4. Rate_Base'!Print_Area</vt:lpstr>
      <vt:lpstr>'5. Utility Income'!Print_Area</vt:lpstr>
      <vt:lpstr>'6. Taxes_PILs'!Print_Area</vt:lpstr>
      <vt:lpstr>'7. Cost_of_Capital'!Print_Area</vt:lpstr>
      <vt:lpstr>'8. Rev_Def_Suff'!Print_Area</vt:lpstr>
      <vt:lpstr>'9. Rev_Reqt'!Print_Area</vt:lpstr>
    </vt:vector>
  </TitlesOfParts>
  <Company>Ontario Energy Board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Keith C. Ritchie</dc:creator>
  <cp:lastModifiedBy>Brandon Weiss</cp:lastModifiedBy>
  <cp:lastPrinted>2011-06-16T20:38:42Z</cp:lastPrinted>
  <dcterms:created xsi:type="dcterms:W3CDTF">2008-10-20T17:39:17Z</dcterms:created>
  <dcterms:modified xsi:type="dcterms:W3CDTF">2012-11-06T16:33:59Z</dcterms:modified>
</cp:coreProperties>
</file>