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85" windowHeight="12405" firstSheet="5" activeTab="5"/>
  </bookViews>
  <sheets>
    <sheet name="Residential" sheetId="1" r:id="rId1"/>
    <sheet name="General Service Less Than 50 kW" sheetId="2" r:id="rId2"/>
    <sheet name="General Service 50 to 4999 kW" sheetId="3" r:id="rId3"/>
    <sheet name="GS 50 to 4999 with GA" sheetId="4" r:id="rId4"/>
    <sheet name="Gen.Service 50 to 4999 Interval" sheetId="5" r:id="rId5"/>
    <sheet name="GS 50 to 4999 Interval with GA" sheetId="6" r:id="rId6"/>
    <sheet name="Unmetered Scattered Load" sheetId="7" r:id="rId7"/>
    <sheet name="Sentinel Lighting" sheetId="8" r:id="rId8"/>
    <sheet name="Street Lighting" sheetId="9" r:id="rId9"/>
    <sheet name="Street Lighting with GA" sheetId="10" r:id="rId10"/>
    <sheet name="Embedded Distributor - HONI" sheetId="11" r:id="rId11"/>
    <sheet name="Embedded Dist. - HONI with GA" sheetId="12" r:id="rId12"/>
  </sheets>
  <definedNames>
    <definedName name="_xlnm.Print_Area" localSheetId="11">'Embedded Dist. - HONI with GA'!$A$1:$M$62</definedName>
    <definedName name="_xlnm.Print_Area" localSheetId="10">'Embedded Distributor - HONI'!$A$1:$M$62</definedName>
    <definedName name="_xlnm.Print_Area" localSheetId="4">'Gen.Service 50 to 4999 Interval'!$A$1:$M$62</definedName>
    <definedName name="_xlnm.Print_Area" localSheetId="2">'General Service 50 to 4999 kW'!$A$1:$M$62</definedName>
    <definedName name="_xlnm.Print_Area" localSheetId="1">'General Service Less Than 50 kW'!$A$1:$M$62</definedName>
    <definedName name="_xlnm.Print_Area" localSheetId="5">'GS 50 to 4999 Interval with GA'!$A$1:$M$62</definedName>
    <definedName name="_xlnm.Print_Area" localSheetId="3">'GS 50 to 4999 with GA'!$A$1:$M$62</definedName>
    <definedName name="_xlnm.Print_Area" localSheetId="0">'Residential'!$A$1:$M$62</definedName>
    <definedName name="_xlnm.Print_Area" localSheetId="7">'Sentinel Lighting'!$A$1:$M$62</definedName>
    <definedName name="_xlnm.Print_Area" localSheetId="8">'Street Lighting'!$A$1:$M$62</definedName>
    <definedName name="_xlnm.Print_Area" localSheetId="9">'Street Lighting with GA'!$A$1:$M$62</definedName>
    <definedName name="_xlnm.Print_Area" localSheetId="6">'Unmetered Scattered Load'!$A$1:$M$62</definedName>
    <definedName name="_xlnm.Print_Titles" localSheetId="11">'Embedded Dist. - HONI with GA'!$1:$6</definedName>
    <definedName name="_xlnm.Print_Titles" localSheetId="10">'Embedded Distributor - HONI'!$1:$6</definedName>
    <definedName name="_xlnm.Print_Titles" localSheetId="4">'Gen.Service 50 to 4999 Interval'!$1:$6</definedName>
    <definedName name="_xlnm.Print_Titles" localSheetId="2">'General Service 50 to 4999 kW'!$1:$6</definedName>
    <definedName name="_xlnm.Print_Titles" localSheetId="1">'General Service Less Than 50 kW'!$1:$6</definedName>
    <definedName name="_xlnm.Print_Titles" localSheetId="5">'GS 50 to 4999 Interval with GA'!$1:$6</definedName>
    <definedName name="_xlnm.Print_Titles" localSheetId="3">'GS 50 to 4999 with GA'!$1:$6</definedName>
    <definedName name="_xlnm.Print_Titles" localSheetId="0">'Residential'!$1:$6</definedName>
    <definedName name="_xlnm.Print_Titles" localSheetId="7">'Sentinel Lighting'!$1:$6</definedName>
    <definedName name="_xlnm.Print_Titles" localSheetId="8">'Street Lighting'!$1:$6</definedName>
    <definedName name="_xlnm.Print_Titles" localSheetId="9">'Street Lighting with GA'!$1:$6</definedName>
    <definedName name="_xlnm.Print_Titles" localSheetId="6">'Unmetered Scattered Load'!$1:$6</definedName>
  </definedNames>
  <calcPr fullCalcOnLoad="1"/>
</workbook>
</file>

<file path=xl/sharedStrings.xml><?xml version="1.0" encoding="utf-8"?>
<sst xmlns="http://schemas.openxmlformats.org/spreadsheetml/2006/main" count="1044" uniqueCount="67">
  <si>
    <t>Residential</t>
  </si>
  <si>
    <t>Monthly Rates and Charges</t>
  </si>
  <si>
    <t>Metric</t>
  </si>
  <si>
    <t>Current Rate</t>
  </si>
  <si>
    <t>Applied For Rate</t>
  </si>
  <si>
    <t>Service Charge</t>
  </si>
  <si>
    <t>$</t>
  </si>
  <si>
    <t>Service Charge Rate Adder(s)</t>
  </si>
  <si>
    <t>Service Charge Rate Rider(s)</t>
  </si>
  <si>
    <t>Distribution Volumetric Rate</t>
  </si>
  <si>
    <t>Distribution Volumetric Rate Adder(s)</t>
  </si>
  <si>
    <t>Low Voltage Volumetric Rate</t>
  </si>
  <si>
    <t>Distribution Volumetric Rate Rider(s)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</si>
  <si>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</si>
  <si>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</si>
  <si>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</si>
  <si>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$/kWh</t>
  </si>
  <si>
    <t>Rural Rate Protection Charge</t>
  </si>
  <si>
    <t>Standard Supply Service – Administration Charge (if applicable)</t>
  </si>
  <si>
    <t>Consumption</t>
  </si>
  <si>
    <t>kWh</t>
  </si>
  <si>
    <t>kW</t>
  </si>
  <si>
    <t>Loss Factor</t>
  </si>
  <si>
    <t>RPP Tier One</t>
  </si>
  <si>
    <t>Load Factor</t>
  </si>
  <si>
    <t>Volume</t>
  </si>
  <si>
    <t>RATE                             $</t>
  </si>
  <si>
    <t>CHARGE
$</t>
  </si>
  <si>
    <t>%</t>
  </si>
  <si>
    <t>Energy First Tier (kWh)</t>
  </si>
  <si>
    <t>Energy Second Tier (kWh)</t>
  </si>
  <si>
    <t>Total:  Distribution</t>
  </si>
  <si>
    <t>Total:    Retail Transmission</t>
  </si>
  <si>
    <t>Sub-Total:  Delivery (Distribution and Retail Transmission)</t>
  </si>
  <si>
    <t>Sub-Total:  Regulatory</t>
  </si>
  <si>
    <t>Debt Retirement Charge (DRC)</t>
  </si>
  <si>
    <t>HST</t>
  </si>
  <si>
    <t>Name of LDC:       Haldimand County Hydro Inc.</t>
  </si>
  <si>
    <t/>
  </si>
  <si>
    <t>General Service Less Than 50 kW</t>
  </si>
  <si>
    <t>General Service 50 to 4,999 kW</t>
  </si>
  <si>
    <t>Unmetered Scattered Load</t>
  </si>
  <si>
    <t>Sentinel Lighting</t>
  </si>
  <si>
    <t>Street Lighting</t>
  </si>
  <si>
    <t>Ontario Clean Energy Benefit (OCEB)</t>
  </si>
  <si>
    <t xml:space="preserve"> ** Excludes Global Adjustment Rate Rider specific for Non-RPP Customers</t>
  </si>
  <si>
    <t>General Service 50  to 4,999 kW</t>
  </si>
  <si>
    <t>Embedded Distributor
  - Hydro One Networks Inc.</t>
  </si>
  <si>
    <t>Embedded Distributor - Hydro One Networks Inc.</t>
  </si>
  <si>
    <t>Energy TOU - Off Peak (kWh)</t>
  </si>
  <si>
    <t>Energy TOU - Mid Peak (kWh)</t>
  </si>
  <si>
    <t>Energy TOU - On Peak (kWh)</t>
  </si>
  <si>
    <t>Total Bill (including HST)</t>
  </si>
  <si>
    <t>Total Bill on RPP TOU before Taxes</t>
  </si>
  <si>
    <t>Total Bill on RPP Tiers (including OCEB)</t>
  </si>
  <si>
    <t>Total Bill on RPP Tiers before Taxes</t>
  </si>
  <si>
    <t>Sub-Total:  Energy (RPP Tiers)</t>
  </si>
  <si>
    <t>Sub-Total:  Energy (RPP TOU)</t>
  </si>
  <si>
    <t>Total Bill on RPP TOU (including OCEB)</t>
  </si>
  <si>
    <t>% of Total TOU Bill</t>
  </si>
  <si>
    <t>% of Total Tier Bill</t>
  </si>
  <si>
    <t>Effective Date:       May 1, 2013</t>
  </si>
  <si>
    <t>File Number:          EB-2012-0129</t>
  </si>
  <si>
    <t>Version : 2.3</t>
  </si>
  <si>
    <t>General Service 50  to 4,999 kW - Interval Metered</t>
  </si>
  <si>
    <t>General Service 50 to 4,999 kW
- Interval Metered</t>
  </si>
  <si>
    <t xml:space="preserve"> ** Includes Global Adjustment Rate Rider specific for Non-RPP Customers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</si>
</sst>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_-* #,##0.0000_-;\-* #,##0.0000_-;_-* &quot;-&quot;??_-;_-@_-"/>
    <numFmt numFmtId="174" formatCode="0.0000"/>
    <numFmt numFmtId="175" formatCode="0.0%"/>
    <numFmt numFmtId="176" formatCode="0.0%;\(0.0\)%"/>
    <numFmt numFmtId="177" formatCode="#,##0.00_ ;\-#,##0.00\ "/>
    <numFmt numFmtId="178" formatCode="#,##0.00000"/>
    <numFmt numFmtId="179" formatCode="_-* #,##0_-;\-* #,##0_-;_-* &quot;-&quot;??_-;_-@_-"/>
    <numFmt numFmtId="180" formatCode="#,##0.00\ ;\(##,#00.00\)"/>
    <numFmt numFmtId="181" formatCode="_-* #,##0_-"/>
    <numFmt numFmtId="182" formatCode="0.00%;_(0.00%\)"/>
    <numFmt numFmtId="183" formatCode="0.00%;\(0.00%\)"/>
    <numFmt numFmtId="184" formatCode="0.0%;\(0.0%\)"/>
    <numFmt numFmtId="185" formatCode="0%;\(0%\)"/>
    <numFmt numFmtId="186" formatCode="_(* #,##0.0000_);_(* \(#,##0.0000\);_(* &quot;-&quot;????_);_(@_)"/>
    <numFmt numFmtId="187" formatCode="#,##0.0"/>
    <numFmt numFmtId="188" formatCode="_-* #,##0.00000_-;\-* #,##0.00000_-;_-* &quot;-&quot;??_-;_-@_-"/>
    <numFmt numFmtId="189" formatCode="[$-1009]mmmm\ d\,\ yyyy"/>
    <numFmt numFmtId="190" formatCode="[$-409]h:mm:ss\ AM/PM"/>
    <numFmt numFmtId="191" formatCode="0.0000_);\(0.0000\)"/>
    <numFmt numFmtId="192" formatCode="0.000_);\(0.000\)"/>
    <numFmt numFmtId="193" formatCode="0.00_);\(0.00\)"/>
    <numFmt numFmtId="194" formatCode="#,##0.0000_);\(#,##0.0000\)"/>
    <numFmt numFmtId="195" formatCode="#,##0.000_);\(#,##0.000\)"/>
    <numFmt numFmtId="196" formatCode="0.00%;\(0.00\)%"/>
    <numFmt numFmtId="197" formatCode="0.000%;\(0.000\)%"/>
    <numFmt numFmtId="198" formatCode="_-* #,##0.0000_-;\-* #,##0.0000_-;_-* &quot;-&quot;????_-;_-@_-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AD4E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3" fontId="7" fillId="34" borderId="13" xfId="0" applyNumberFormat="1" applyFont="1" applyFill="1" applyBorder="1" applyAlignment="1" applyProtection="1">
      <alignment horizontal="center" vertical="center"/>
      <protection locked="0"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43" fontId="7" fillId="0" borderId="15" xfId="42" applyNumberFormat="1" applyFont="1" applyFill="1" applyBorder="1" applyAlignment="1" applyProtection="1">
      <alignment vertical="center"/>
      <protection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right" vertical="center"/>
      <protection/>
    </xf>
    <xf numFmtId="174" fontId="6" fillId="35" borderId="14" xfId="0" applyNumberFormat="1" applyFont="1" applyFill="1" applyBorder="1" applyAlignment="1" applyProtection="1">
      <alignment vertical="center"/>
      <protection/>
    </xf>
    <xf numFmtId="3" fontId="7" fillId="35" borderId="13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right" vertical="center"/>
      <protection/>
    </xf>
    <xf numFmtId="175" fontId="6" fillId="0" borderId="14" xfId="58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2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176" fontId="4" fillId="33" borderId="22" xfId="58" applyNumberFormat="1" applyFont="1" applyFill="1" applyBorder="1" applyAlignment="1" applyProtection="1">
      <alignment horizontal="center" vertical="center" wrapText="1"/>
      <protection/>
    </xf>
    <xf numFmtId="2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 inden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3" xfId="58" applyNumberFormat="1" applyFont="1" applyFill="1" applyBorder="1" applyAlignment="1" applyProtection="1">
      <alignment horizontal="center" vertical="center"/>
      <protection/>
    </xf>
    <xf numFmtId="10" fontId="5" fillId="33" borderId="23" xfId="58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left" vertical="center" wrapText="1" indent="1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24" xfId="58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44" applyNumberFormat="1" applyFont="1" applyFill="1" applyBorder="1" applyAlignment="1" applyProtection="1">
      <alignment horizontal="center" vertical="center"/>
      <protection/>
    </xf>
    <xf numFmtId="3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indent="1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27" xfId="0" applyNumberFormat="1" applyFont="1" applyFill="1" applyBorder="1" applyAlignment="1" applyProtection="1">
      <alignment horizontal="center" vertical="center"/>
      <protection/>
    </xf>
    <xf numFmtId="3" fontId="5" fillId="33" borderId="28" xfId="0" applyNumberFormat="1" applyFont="1" applyFill="1" applyBorder="1" applyAlignment="1" applyProtection="1">
      <alignment horizontal="center" vertical="center"/>
      <protection/>
    </xf>
    <xf numFmtId="3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10" fontId="5" fillId="33" borderId="25" xfId="58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/>
      <protection locked="0"/>
    </xf>
    <xf numFmtId="172" fontId="4" fillId="36" borderId="18" xfId="0" applyNumberFormat="1" applyFont="1" applyFill="1" applyBorder="1" applyAlignment="1" applyProtection="1">
      <alignment horizontal="left" vertical="center"/>
      <protection/>
    </xf>
    <xf numFmtId="176" fontId="4" fillId="36" borderId="14" xfId="58" applyNumberFormat="1" applyFont="1" applyFill="1" applyBorder="1" applyAlignment="1" applyProtection="1">
      <alignment horizontal="center" vertical="center"/>
      <protection/>
    </xf>
    <xf numFmtId="10" fontId="4" fillId="36" borderId="14" xfId="58" applyNumberFormat="1" applyFont="1" applyFill="1" applyBorder="1" applyAlignment="1" applyProtection="1">
      <alignment horizontal="center" vertical="center"/>
      <protection/>
    </xf>
    <xf numFmtId="172" fontId="4" fillId="32" borderId="30" xfId="0" applyNumberFormat="1" applyFont="1" applyFill="1" applyBorder="1" applyAlignment="1" applyProtection="1">
      <alignment horizontal="center" vertical="center"/>
      <protection/>
    </xf>
    <xf numFmtId="172" fontId="4" fillId="32" borderId="18" xfId="0" applyNumberFormat="1" applyFont="1" applyFill="1" applyBorder="1" applyAlignment="1" applyProtection="1">
      <alignment horizontal="center" vertical="center"/>
      <protection/>
    </xf>
    <xf numFmtId="172" fontId="4" fillId="32" borderId="18" xfId="0" applyNumberFormat="1" applyFont="1" applyFill="1" applyBorder="1" applyAlignment="1" applyProtection="1">
      <alignment horizontal="left" vertical="center"/>
      <protection/>
    </xf>
    <xf numFmtId="3" fontId="4" fillId="32" borderId="18" xfId="0" applyNumberFormat="1" applyFont="1" applyFill="1" applyBorder="1" applyAlignment="1" applyProtection="1">
      <alignment horizontal="left" vertical="center"/>
      <protection/>
    </xf>
    <xf numFmtId="176" fontId="4" fillId="32" borderId="14" xfId="58" applyNumberFormat="1" applyFont="1" applyFill="1" applyBorder="1" applyAlignment="1" applyProtection="1">
      <alignment horizontal="center" vertical="center"/>
      <protection/>
    </xf>
    <xf numFmtId="10" fontId="4" fillId="32" borderId="14" xfId="58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wrapText="1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/>
    </xf>
    <xf numFmtId="4" fontId="5" fillId="33" borderId="28" xfId="0" applyNumberFormat="1" applyFont="1" applyFill="1" applyBorder="1" applyAlignment="1" applyProtection="1">
      <alignment horizontal="center" vertical="center"/>
      <protection/>
    </xf>
    <xf numFmtId="4" fontId="5" fillId="33" borderId="27" xfId="0" applyNumberFormat="1" applyFont="1" applyFill="1" applyBorder="1" applyAlignment="1" applyProtection="1">
      <alignment horizontal="center" vertical="center"/>
      <protection/>
    </xf>
    <xf numFmtId="4" fontId="5" fillId="33" borderId="29" xfId="0" applyNumberFormat="1" applyFont="1" applyFill="1" applyBorder="1" applyAlignment="1" applyProtection="1">
      <alignment horizontal="center" vertical="center"/>
      <protection/>
    </xf>
    <xf numFmtId="4" fontId="5" fillId="33" borderId="26" xfId="0" applyNumberFormat="1" applyFont="1" applyFill="1" applyBorder="1" applyAlignment="1" applyProtection="1">
      <alignment horizontal="center" vertical="center"/>
      <protection/>
    </xf>
    <xf numFmtId="191" fontId="5" fillId="35" borderId="11" xfId="42" applyNumberFormat="1" applyFont="1" applyFill="1" applyBorder="1" applyAlignment="1" applyProtection="1">
      <alignment horizontal="right"/>
      <protection/>
    </xf>
    <xf numFmtId="193" fontId="5" fillId="35" borderId="12" xfId="42" applyNumberFormat="1" applyFont="1" applyFill="1" applyBorder="1" applyAlignment="1" applyProtection="1">
      <alignment horizontal="right"/>
      <protection/>
    </xf>
    <xf numFmtId="193" fontId="5" fillId="35" borderId="10" xfId="42" applyNumberFormat="1" applyFont="1" applyFill="1" applyBorder="1" applyAlignment="1" applyProtection="1">
      <alignment horizontal="right"/>
      <protection/>
    </xf>
    <xf numFmtId="193" fontId="5" fillId="35" borderId="26" xfId="42" applyNumberFormat="1" applyFont="1" applyFill="1" applyBorder="1" applyAlignment="1" applyProtection="1">
      <alignment horizontal="right"/>
      <protection/>
    </xf>
    <xf numFmtId="39" fontId="5" fillId="33" borderId="10" xfId="0" applyNumberFormat="1" applyFont="1" applyFill="1" applyBorder="1" applyAlignment="1" applyProtection="1">
      <alignment horizontal="center" vertical="center"/>
      <protection/>
    </xf>
    <xf numFmtId="39" fontId="5" fillId="33" borderId="12" xfId="0" applyNumberFormat="1" applyFont="1" applyFill="1" applyBorder="1" applyAlignment="1" applyProtection="1">
      <alignment horizontal="center" vertical="center"/>
      <protection/>
    </xf>
    <xf numFmtId="39" fontId="5" fillId="0" borderId="10" xfId="44" applyNumberFormat="1" applyFont="1" applyFill="1" applyBorder="1" applyAlignment="1" applyProtection="1">
      <alignment horizontal="center" vertical="center"/>
      <protection/>
    </xf>
    <xf numFmtId="39" fontId="5" fillId="0" borderId="26" xfId="44" applyNumberFormat="1" applyFont="1" applyFill="1" applyBorder="1" applyAlignment="1" applyProtection="1">
      <alignment horizontal="center" vertical="center"/>
      <protection/>
    </xf>
    <xf numFmtId="39" fontId="5" fillId="0" borderId="11" xfId="44" applyNumberFormat="1" applyFont="1" applyFill="1" applyBorder="1" applyAlignment="1" applyProtection="1">
      <alignment horizontal="center" vertical="center"/>
      <protection/>
    </xf>
    <xf numFmtId="39" fontId="5" fillId="0" borderId="12" xfId="42" applyNumberFormat="1" applyFont="1" applyFill="1" applyBorder="1" applyAlignment="1" applyProtection="1">
      <alignment horizontal="center" vertical="center"/>
      <protection/>
    </xf>
    <xf numFmtId="39" fontId="5" fillId="33" borderId="10" xfId="46" applyNumberFormat="1" applyFont="1" applyFill="1" applyBorder="1" applyAlignment="1" applyProtection="1">
      <alignment horizontal="center" vertical="center"/>
      <protection/>
    </xf>
    <xf numFmtId="39" fontId="5" fillId="33" borderId="11" xfId="46" applyNumberFormat="1" applyFont="1" applyFill="1" applyBorder="1" applyAlignment="1" applyProtection="1">
      <alignment horizontal="center" vertical="center"/>
      <protection/>
    </xf>
    <xf numFmtId="39" fontId="5" fillId="33" borderId="12" xfId="46" applyNumberFormat="1" applyFont="1" applyFill="1" applyBorder="1" applyAlignment="1" applyProtection="1">
      <alignment horizontal="center" vertical="center"/>
      <protection/>
    </xf>
    <xf numFmtId="39" fontId="5" fillId="33" borderId="26" xfId="46" applyNumberFormat="1" applyFont="1" applyFill="1" applyBorder="1" applyAlignment="1" applyProtection="1">
      <alignment horizontal="center" vertical="center"/>
      <protection/>
    </xf>
    <xf numFmtId="39" fontId="5" fillId="33" borderId="28" xfId="46" applyNumberFormat="1" applyFont="1" applyFill="1" applyBorder="1" applyAlignment="1" applyProtection="1">
      <alignment horizontal="center" vertical="center"/>
      <protection/>
    </xf>
    <xf numFmtId="39" fontId="5" fillId="33" borderId="11" xfId="0" applyNumberFormat="1" applyFont="1" applyFill="1" applyBorder="1" applyAlignment="1" applyProtection="1">
      <alignment horizontal="center" vertical="center"/>
      <protection/>
    </xf>
    <xf numFmtId="39" fontId="4" fillId="36" borderId="18" xfId="46" applyNumberFormat="1" applyFont="1" applyFill="1" applyBorder="1" applyAlignment="1" applyProtection="1">
      <alignment horizontal="center" vertical="center"/>
      <protection/>
    </xf>
    <xf numFmtId="39" fontId="4" fillId="32" borderId="18" xfId="46" applyNumberFormat="1" applyFont="1" applyFill="1" applyBorder="1" applyAlignment="1" applyProtection="1">
      <alignment horizontal="center" vertical="center"/>
      <protection/>
    </xf>
    <xf numFmtId="191" fontId="5" fillId="35" borderId="31" xfId="44" applyNumberFormat="1" applyFont="1" applyFill="1" applyBorder="1" applyAlignment="1" applyProtection="1">
      <alignment horizontal="center" vertical="center"/>
      <protection/>
    </xf>
    <xf numFmtId="191" fontId="5" fillId="35" borderId="12" xfId="44" applyNumberFormat="1" applyFont="1" applyFill="1" applyBorder="1" applyAlignment="1" applyProtection="1">
      <alignment horizontal="center" vertical="center"/>
      <protection/>
    </xf>
    <xf numFmtId="191" fontId="5" fillId="0" borderId="11" xfId="44" applyNumberFormat="1" applyFont="1" applyFill="1" applyBorder="1" applyAlignment="1" applyProtection="1">
      <alignment horizontal="center" vertical="center"/>
      <protection/>
    </xf>
    <xf numFmtId="191" fontId="5" fillId="0" borderId="28" xfId="44" applyNumberFormat="1" applyFont="1" applyFill="1" applyBorder="1" applyAlignment="1" applyProtection="1">
      <alignment horizontal="center" vertical="center"/>
      <protection/>
    </xf>
    <xf numFmtId="191" fontId="5" fillId="0" borderId="12" xfId="44" applyNumberFormat="1" applyFont="1" applyFill="1" applyBorder="1" applyAlignment="1" applyProtection="1">
      <alignment horizontal="center" vertical="center"/>
      <protection/>
    </xf>
    <xf numFmtId="191" fontId="5" fillId="0" borderId="26" xfId="44" applyNumberFormat="1" applyFont="1" applyFill="1" applyBorder="1" applyAlignment="1" applyProtection="1">
      <alignment horizontal="center" vertical="center"/>
      <protection/>
    </xf>
    <xf numFmtId="191" fontId="5" fillId="0" borderId="31" xfId="44" applyNumberFormat="1" applyFont="1" applyFill="1" applyBorder="1" applyAlignment="1" applyProtection="1">
      <alignment horizontal="center" vertical="center"/>
      <protection/>
    </xf>
    <xf numFmtId="194" fontId="5" fillId="35" borderId="11" xfId="42" applyNumberFormat="1" applyFont="1" applyFill="1" applyBorder="1" applyAlignment="1" applyProtection="1">
      <alignment horizontal="right"/>
      <protection/>
    </xf>
    <xf numFmtId="39" fontId="5" fillId="35" borderId="10" xfId="42" applyNumberFormat="1" applyFont="1" applyFill="1" applyBorder="1" applyAlignment="1" applyProtection="1">
      <alignment horizontal="right"/>
      <protection/>
    </xf>
    <xf numFmtId="39" fontId="5" fillId="35" borderId="26" xfId="42" applyNumberFormat="1" applyFont="1" applyFill="1" applyBorder="1" applyAlignment="1" applyProtection="1">
      <alignment horizontal="right"/>
      <protection/>
    </xf>
    <xf numFmtId="39" fontId="5" fillId="35" borderId="12" xfId="42" applyNumberFormat="1" applyFont="1" applyFill="1" applyBorder="1" applyAlignment="1" applyProtection="1">
      <alignment horizontal="right"/>
      <protection/>
    </xf>
    <xf numFmtId="172" fontId="4" fillId="36" borderId="31" xfId="0" applyNumberFormat="1" applyFont="1" applyFill="1" applyBorder="1" applyAlignment="1" applyProtection="1">
      <alignment horizontal="left" vertical="center"/>
      <protection/>
    </xf>
    <xf numFmtId="39" fontId="4" fillId="36" borderId="31" xfId="46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 wrapText="1" indent="1"/>
      <protection/>
    </xf>
    <xf numFmtId="0" fontId="5" fillId="33" borderId="32" xfId="0" applyFont="1" applyFill="1" applyBorder="1" applyAlignment="1" applyProtection="1">
      <alignment horizontal="left" vertical="center" wrapText="1" indent="1"/>
      <protection/>
    </xf>
    <xf numFmtId="10" fontId="5" fillId="33" borderId="24" xfId="58" applyNumberFormat="1" applyFont="1" applyFill="1" applyBorder="1" applyAlignment="1" applyProtection="1">
      <alignment horizontal="center" vertical="center"/>
      <protection/>
    </xf>
    <xf numFmtId="191" fontId="5" fillId="35" borderId="28" xfId="44" applyNumberFormat="1" applyFont="1" applyFill="1" applyBorder="1" applyAlignment="1" applyProtection="1">
      <alignment horizontal="center" vertical="center"/>
      <protection/>
    </xf>
    <xf numFmtId="39" fontId="5" fillId="33" borderId="28" xfId="0" applyNumberFormat="1" applyFont="1" applyFill="1" applyBorder="1" applyAlignment="1" applyProtection="1">
      <alignment horizontal="center" vertical="center"/>
      <protection/>
    </xf>
    <xf numFmtId="176" fontId="5" fillId="33" borderId="33" xfId="58" applyNumberFormat="1" applyFont="1" applyFill="1" applyBorder="1" applyAlignment="1" applyProtection="1">
      <alignment horizontal="center" vertical="center"/>
      <protection/>
    </xf>
    <xf numFmtId="10" fontId="5" fillId="33" borderId="33" xfId="58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left" vertical="center" wrapText="1" indent="1"/>
      <protection/>
    </xf>
    <xf numFmtId="176" fontId="4" fillId="36" borderId="16" xfId="58" applyNumberFormat="1" applyFont="1" applyFill="1" applyBorder="1" applyAlignment="1" applyProtection="1">
      <alignment horizontal="center" vertical="center"/>
      <protection/>
    </xf>
    <xf numFmtId="10" fontId="4" fillId="36" borderId="16" xfId="58" applyNumberFormat="1" applyFont="1" applyFill="1" applyBorder="1" applyAlignment="1" applyProtection="1">
      <alignment horizontal="center" vertical="center"/>
      <protection/>
    </xf>
    <xf numFmtId="172" fontId="4" fillId="0" borderId="28" xfId="0" applyNumberFormat="1" applyFont="1" applyFill="1" applyBorder="1" applyAlignment="1" applyProtection="1">
      <alignment horizontal="left" vertical="center" indent="1"/>
      <protection/>
    </xf>
    <xf numFmtId="3" fontId="5" fillId="0" borderId="28" xfId="0" applyNumberFormat="1" applyFont="1" applyFill="1" applyBorder="1" applyAlignment="1" applyProtection="1">
      <alignment horizontal="center" vertical="center"/>
      <protection/>
    </xf>
    <xf numFmtId="39" fontId="4" fillId="0" borderId="34" xfId="46" applyNumberFormat="1" applyFont="1" applyFill="1" applyBorder="1" applyAlignment="1" applyProtection="1">
      <alignment horizontal="center" vertical="center"/>
      <protection/>
    </xf>
    <xf numFmtId="39" fontId="4" fillId="0" borderId="28" xfId="46" applyNumberFormat="1" applyFont="1" applyFill="1" applyBorder="1" applyAlignment="1" applyProtection="1">
      <alignment horizontal="center" vertical="center"/>
      <protection/>
    </xf>
    <xf numFmtId="176" fontId="4" fillId="0" borderId="29" xfId="58" applyNumberFormat="1" applyFont="1" applyFill="1" applyBorder="1" applyAlignment="1" applyProtection="1">
      <alignment horizontal="center" vertical="center"/>
      <protection/>
    </xf>
    <xf numFmtId="10" fontId="4" fillId="0" borderId="29" xfId="58" applyNumberFormat="1" applyFont="1" applyFill="1" applyBorder="1" applyAlignment="1" applyProtection="1">
      <alignment horizontal="center" vertical="center"/>
      <protection/>
    </xf>
    <xf numFmtId="172" fontId="5" fillId="0" borderId="26" xfId="0" applyNumberFormat="1" applyFont="1" applyFill="1" applyBorder="1" applyAlignment="1" applyProtection="1">
      <alignment horizontal="left" vertical="center"/>
      <protection/>
    </xf>
    <xf numFmtId="39" fontId="5" fillId="0" borderId="26" xfId="46" applyNumberFormat="1" applyFont="1" applyFill="1" applyBorder="1" applyAlignment="1" applyProtection="1">
      <alignment horizontal="center" vertical="center"/>
      <protection/>
    </xf>
    <xf numFmtId="176" fontId="5" fillId="0" borderId="23" xfId="58" applyNumberFormat="1" applyFont="1" applyFill="1" applyBorder="1" applyAlignment="1" applyProtection="1">
      <alignment horizontal="center" vertical="center"/>
      <protection/>
    </xf>
    <xf numFmtId="10" fontId="5" fillId="0" borderId="23" xfId="58" applyNumberFormat="1" applyFont="1" applyFill="1" applyBorder="1" applyAlignment="1" applyProtection="1">
      <alignment horizontal="center" vertical="center"/>
      <protection/>
    </xf>
    <xf numFmtId="172" fontId="4" fillId="37" borderId="11" xfId="0" applyNumberFormat="1" applyFont="1" applyFill="1" applyBorder="1" applyAlignment="1" applyProtection="1">
      <alignment horizontal="left" vertical="center" indent="1"/>
      <protection/>
    </xf>
    <xf numFmtId="3" fontId="5" fillId="37" borderId="11" xfId="0" applyNumberFormat="1" applyFont="1" applyFill="1" applyBorder="1" applyAlignment="1" applyProtection="1">
      <alignment horizontal="center" vertical="center"/>
      <protection/>
    </xf>
    <xf numFmtId="191" fontId="5" fillId="37" borderId="11" xfId="44" applyNumberFormat="1" applyFont="1" applyFill="1" applyBorder="1" applyAlignment="1" applyProtection="1">
      <alignment horizontal="center" vertical="center"/>
      <protection/>
    </xf>
    <xf numFmtId="39" fontId="4" fillId="37" borderId="35" xfId="46" applyNumberFormat="1" applyFont="1" applyFill="1" applyBorder="1" applyAlignment="1" applyProtection="1">
      <alignment horizontal="center" vertical="center"/>
      <protection/>
    </xf>
    <xf numFmtId="39" fontId="4" fillId="37" borderId="11" xfId="46" applyNumberFormat="1" applyFont="1" applyFill="1" applyBorder="1" applyAlignment="1" applyProtection="1">
      <alignment horizontal="center" vertical="center"/>
      <protection/>
    </xf>
    <xf numFmtId="176" fontId="4" fillId="37" borderId="27" xfId="58" applyNumberFormat="1" applyFont="1" applyFill="1" applyBorder="1" applyAlignment="1" applyProtection="1">
      <alignment horizontal="center" vertical="center"/>
      <protection/>
    </xf>
    <xf numFmtId="10" fontId="4" fillId="37" borderId="27" xfId="58" applyNumberFormat="1" applyFont="1" applyFill="1" applyBorder="1" applyAlignment="1" applyProtection="1">
      <alignment horizontal="center" vertical="center"/>
      <protection/>
    </xf>
    <xf numFmtId="172" fontId="8" fillId="38" borderId="36" xfId="0" applyNumberFormat="1" applyFont="1" applyFill="1" applyBorder="1" applyAlignment="1" applyProtection="1">
      <alignment horizontal="left" vertical="center"/>
      <protection/>
    </xf>
    <xf numFmtId="172" fontId="4" fillId="38" borderId="36" xfId="0" applyNumberFormat="1" applyFont="1" applyFill="1" applyBorder="1" applyAlignment="1" applyProtection="1">
      <alignment horizontal="left" vertical="center"/>
      <protection/>
    </xf>
    <xf numFmtId="39" fontId="4" fillId="38" borderId="36" xfId="46" applyNumberFormat="1" applyFont="1" applyFill="1" applyBorder="1" applyAlignment="1" applyProtection="1">
      <alignment horizontal="center" vertical="center"/>
      <protection/>
    </xf>
    <xf numFmtId="176" fontId="4" fillId="38" borderId="37" xfId="58" applyNumberFormat="1" applyFont="1" applyFill="1" applyBorder="1" applyAlignment="1" applyProtection="1">
      <alignment horizontal="center" vertical="center"/>
      <protection/>
    </xf>
    <xf numFmtId="10" fontId="4" fillId="38" borderId="37" xfId="58" applyNumberFormat="1" applyFont="1" applyFill="1" applyBorder="1" applyAlignment="1" applyProtection="1">
      <alignment horizontal="center" vertical="center"/>
      <protection/>
    </xf>
    <xf numFmtId="172" fontId="5" fillId="0" borderId="11" xfId="0" applyNumberFormat="1" applyFont="1" applyFill="1" applyBorder="1" applyAlignment="1" applyProtection="1">
      <alignment horizontal="left" vertical="center" indent="1"/>
      <protection/>
    </xf>
    <xf numFmtId="177" fontId="5" fillId="33" borderId="11" xfId="44" applyNumberFormat="1" applyFont="1" applyFill="1" applyBorder="1" applyAlignment="1" applyProtection="1">
      <alignment horizontal="center" vertical="center"/>
      <protection/>
    </xf>
    <xf numFmtId="9" fontId="5" fillId="35" borderId="11" xfId="58" applyFont="1" applyFill="1" applyBorder="1" applyAlignment="1" applyProtection="1">
      <alignment horizontal="center" vertical="center"/>
      <protection/>
    </xf>
    <xf numFmtId="9" fontId="5" fillId="0" borderId="11" xfId="58" applyFont="1" applyFill="1" applyBorder="1" applyAlignment="1" applyProtection="1">
      <alignment horizontal="center" vertical="center"/>
      <protection/>
    </xf>
    <xf numFmtId="172" fontId="5" fillId="0" borderId="11" xfId="0" applyNumberFormat="1" applyFont="1" applyFill="1" applyBorder="1" applyAlignment="1" applyProtection="1">
      <alignment horizontal="left" vertical="center"/>
      <protection/>
    </xf>
    <xf numFmtId="39" fontId="5" fillId="0" borderId="11" xfId="46" applyNumberFormat="1" applyFont="1" applyFill="1" applyBorder="1" applyAlignment="1" applyProtection="1">
      <alignment horizontal="center" vertical="center"/>
      <protection/>
    </xf>
    <xf numFmtId="176" fontId="5" fillId="0" borderId="27" xfId="58" applyNumberFormat="1" applyFont="1" applyFill="1" applyBorder="1" applyAlignment="1" applyProtection="1">
      <alignment horizontal="center" vertical="center"/>
      <protection/>
    </xf>
    <xf numFmtId="10" fontId="5" fillId="0" borderId="27" xfId="58" applyNumberFormat="1" applyFont="1" applyFill="1" applyBorder="1" applyAlignment="1" applyProtection="1">
      <alignment horizontal="center" vertical="center"/>
      <protection/>
    </xf>
    <xf numFmtId="185" fontId="5" fillId="35" borderId="11" xfId="58" applyNumberFormat="1" applyFont="1" applyFill="1" applyBorder="1" applyAlignment="1" applyProtection="1">
      <alignment horizontal="center" vertical="center"/>
      <protection/>
    </xf>
    <xf numFmtId="185" fontId="5" fillId="0" borderId="11" xfId="58" applyNumberFormat="1" applyFont="1" applyFill="1" applyBorder="1" applyAlignment="1" applyProtection="1">
      <alignment horizontal="center" vertical="center"/>
      <protection/>
    </xf>
    <xf numFmtId="39" fontId="5" fillId="0" borderId="35" xfId="46" applyNumberFormat="1" applyFont="1" applyFill="1" applyBorder="1" applyAlignment="1" applyProtection="1">
      <alignment horizontal="center" vertical="center"/>
      <protection/>
    </xf>
    <xf numFmtId="196" fontId="4" fillId="32" borderId="14" xfId="5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Final - 2004 RAM for rate schedule - milton_2008_IRM_Model_Final Model_Version2.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D25">
      <selection activeCell="M48" sqref="M48"/>
    </sheetView>
  </sheetViews>
  <sheetFormatPr defaultColWidth="9.00390625" defaultRowHeight="14.25"/>
  <cols>
    <col min="3" max="3" width="59.375" style="0" bestFit="1" customWidth="1"/>
    <col min="4" max="4" width="7.75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70">
        <v>16.16</v>
      </c>
      <c r="F10" s="70">
        <v>18.27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71">
        <f>2.42+3.47</f>
        <v>5.890000000000001</v>
      </c>
      <c r="F11" s="71">
        <f>2.42+3.47</f>
        <v>5.890000000000001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68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68">
        <v>0.0289</v>
      </c>
      <c r="F13" s="68">
        <v>0.0267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68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68">
        <v>0.0004</v>
      </c>
      <c r="F15" s="68">
        <v>0.0004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68">
        <f>-0.0004+0.0006-0.0022-0.0018</f>
        <v>-0.0038</v>
      </c>
      <c r="F16" s="68">
        <f>-0.0023-0.0003-0.0018</f>
        <v>-0.004399999999999999</v>
      </c>
      <c r="G16" s="61" t="s">
        <v>45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68">
        <v>0.0067</v>
      </c>
      <c r="F17" s="68">
        <v>0.0063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68">
        <v>0.0052</v>
      </c>
      <c r="F18" s="68">
        <v>0.0049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68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68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69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800</v>
      </c>
      <c r="E23" s="12" t="s">
        <v>20</v>
      </c>
      <c r="F23" s="13">
        <v>0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>
        <v>600</v>
      </c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" thickBot="1">
      <c r="A26" s="1"/>
      <c r="B26" s="1"/>
      <c r="C26" s="20" t="s">
        <v>0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D24</f>
        <v>600</v>
      </c>
      <c r="E27" s="86">
        <v>0.075</v>
      </c>
      <c r="F27" s="72">
        <f>E27*D27</f>
        <v>45</v>
      </c>
      <c r="G27" s="28">
        <f>D24</f>
        <v>600</v>
      </c>
      <c r="H27" s="92">
        <v>0.075</v>
      </c>
      <c r="I27" s="72">
        <f>H27*G27</f>
        <v>45</v>
      </c>
      <c r="J27" s="72">
        <f>I27-F27</f>
        <v>0</v>
      </c>
      <c r="K27" s="29">
        <f>J27/F27</f>
        <v>0</v>
      </c>
      <c r="L27" s="30">
        <f>I27/I56</f>
        <v>0.3390396049521373</v>
      </c>
      <c r="M27" s="30"/>
    </row>
    <row r="28" spans="1:13" ht="15" thickBot="1">
      <c r="A28" s="1"/>
      <c r="B28" s="1"/>
      <c r="C28" s="31" t="s">
        <v>30</v>
      </c>
      <c r="D28" s="32">
        <f>$D$23*$J$23-D27</f>
        <v>254.4000000000001</v>
      </c>
      <c r="E28" s="87">
        <v>0.088</v>
      </c>
      <c r="F28" s="73">
        <f>E28*D28</f>
        <v>22.387200000000007</v>
      </c>
      <c r="G28" s="32">
        <f>$D$23*$J$23-G27</f>
        <v>254.4000000000001</v>
      </c>
      <c r="H28" s="90">
        <v>0.088</v>
      </c>
      <c r="I28" s="73">
        <f>H28*G28</f>
        <v>22.387200000000007</v>
      </c>
      <c r="J28" s="73">
        <f>I28-F28</f>
        <v>0</v>
      </c>
      <c r="K28" s="33">
        <f>J28/F28</f>
        <v>0</v>
      </c>
      <c r="L28" s="30">
        <f>I28/I56</f>
        <v>0.16866994319965534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67.3872</v>
      </c>
      <c r="G29" s="52"/>
      <c r="H29" s="52"/>
      <c r="I29" s="84">
        <f>SUM(I27:I28)</f>
        <v>67.3872</v>
      </c>
      <c r="J29" s="84">
        <f>SUM(J27:J28)</f>
        <v>0</v>
      </c>
      <c r="K29" s="53">
        <v>0</v>
      </c>
      <c r="L29" s="54">
        <f>I29/I56</f>
        <v>0.5077095481517926</v>
      </c>
      <c r="M29" s="54"/>
    </row>
    <row r="30" spans="1:13" ht="14.25">
      <c r="A30" s="1"/>
      <c r="B30" s="1"/>
      <c r="C30" s="99" t="s">
        <v>49</v>
      </c>
      <c r="D30" s="28">
        <f>0.64*$D$23*$J$23</f>
        <v>546.816</v>
      </c>
      <c r="E30" s="86">
        <v>0.065</v>
      </c>
      <c r="F30" s="72">
        <f>E30*D30</f>
        <v>35.543040000000005</v>
      </c>
      <c r="G30" s="28">
        <f>D30</f>
        <v>546.816</v>
      </c>
      <c r="H30" s="92">
        <v>0.065</v>
      </c>
      <c r="I30" s="72">
        <f>H30*G30</f>
        <v>35.543040000000005</v>
      </c>
      <c r="J30" s="72">
        <f>I30-F30</f>
        <v>0</v>
      </c>
      <c r="K30" s="29">
        <f>J30/F30</f>
        <v>0</v>
      </c>
      <c r="L30" s="30"/>
      <c r="M30" s="30">
        <f>I30/I61</f>
        <v>0.2646884530564214</v>
      </c>
    </row>
    <row r="31" spans="1:13" ht="14.25">
      <c r="A31" s="1"/>
      <c r="B31" s="1"/>
      <c r="C31" s="100" t="s">
        <v>50</v>
      </c>
      <c r="D31" s="45">
        <f>0.18*$D$23*$J$23</f>
        <v>153.792</v>
      </c>
      <c r="E31" s="102">
        <v>0.1</v>
      </c>
      <c r="F31" s="103">
        <f>E31*D31</f>
        <v>15.3792</v>
      </c>
      <c r="G31" s="45">
        <f>D31</f>
        <v>153.792</v>
      </c>
      <c r="H31" s="89">
        <v>0.1</v>
      </c>
      <c r="I31" s="103">
        <f>H31*G31</f>
        <v>15.3792</v>
      </c>
      <c r="J31" s="103">
        <f>I31-F31</f>
        <v>0</v>
      </c>
      <c r="K31" s="33">
        <f>J31/F31</f>
        <v>0</v>
      </c>
      <c r="L31" s="101"/>
      <c r="M31" s="101">
        <f>I31/I61</f>
        <v>0.11452865757249003</v>
      </c>
    </row>
    <row r="32" spans="1:13" ht="15" thickBot="1">
      <c r="A32" s="1"/>
      <c r="B32" s="1"/>
      <c r="C32" s="106" t="s">
        <v>51</v>
      </c>
      <c r="D32" s="32">
        <f>0.18*$D$23*$J$23</f>
        <v>153.792</v>
      </c>
      <c r="E32" s="87">
        <v>0.117</v>
      </c>
      <c r="F32" s="73">
        <f>E32*D32</f>
        <v>17.993664000000003</v>
      </c>
      <c r="G32" s="32">
        <f>D32</f>
        <v>153.792</v>
      </c>
      <c r="H32" s="90">
        <v>0.117</v>
      </c>
      <c r="I32" s="73">
        <f>H32*G32</f>
        <v>17.993664000000003</v>
      </c>
      <c r="J32" s="73">
        <f>I32-F32</f>
        <v>0</v>
      </c>
      <c r="K32" s="104">
        <f>J32/F32</f>
        <v>0</v>
      </c>
      <c r="L32" s="105"/>
      <c r="M32" s="105">
        <f>I32/I61</f>
        <v>0.13399852935981335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68.91590400000001</v>
      </c>
      <c r="G33" s="52"/>
      <c r="H33" s="52"/>
      <c r="I33" s="84">
        <f>SUM(I30:I32)</f>
        <v>68.91590400000001</v>
      </c>
      <c r="J33" s="84">
        <f>SUM(J30:J31)</f>
        <v>0</v>
      </c>
      <c r="K33" s="53">
        <v>0</v>
      </c>
      <c r="L33" s="54"/>
      <c r="M33" s="54">
        <f>I33/I61</f>
        <v>0.5132156399887248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16.16</v>
      </c>
      <c r="F34" s="78">
        <f>D34*E34</f>
        <v>16.16</v>
      </c>
      <c r="G34" s="36">
        <v>1</v>
      </c>
      <c r="H34" s="74">
        <f aca="true" t="shared" si="1" ref="H34:H40">F10</f>
        <v>18.27</v>
      </c>
      <c r="I34" s="78">
        <f>H34*G34</f>
        <v>18.27</v>
      </c>
      <c r="J34" s="78">
        <f aca="true" t="shared" si="2" ref="J34:J40">I34-F34</f>
        <v>2.1099999999999994</v>
      </c>
      <c r="K34" s="29">
        <f aca="true" t="shared" si="3" ref="K34:K40">J34/F34</f>
        <v>0.13056930693069305</v>
      </c>
      <c r="L34" s="30">
        <f>I34/$I$56</f>
        <v>0.13765007961056774</v>
      </c>
      <c r="M34" s="30">
        <f>I34/$I$61</f>
        <v>0.13605639915271228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5.890000000000001</v>
      </c>
      <c r="F35" s="79">
        <f aca="true" t="shared" si="4" ref="F35:F43">D35*E35</f>
        <v>5.890000000000001</v>
      </c>
      <c r="G35" s="38">
        <v>1</v>
      </c>
      <c r="H35" s="75">
        <f t="shared" si="1"/>
        <v>5.890000000000001</v>
      </c>
      <c r="I35" s="81">
        <f aca="true" t="shared" si="5" ref="I35:I43">H35*G35</f>
        <v>5.890000000000001</v>
      </c>
      <c r="J35" s="81">
        <f t="shared" si="2"/>
        <v>0</v>
      </c>
      <c r="K35" s="29">
        <f t="shared" si="3"/>
        <v>0</v>
      </c>
      <c r="L35" s="30">
        <f aca="true" t="shared" si="6" ref="L35:L40">I35/$I$56</f>
        <v>0.04437651718151309</v>
      </c>
      <c r="M35" s="30">
        <f aca="true" t="shared" si="7" ref="M35:M40">I35/$I$61</f>
        <v>0.04386273623478245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43">
        <f>D23</f>
        <v>800</v>
      </c>
      <c r="E37" s="88">
        <f t="shared" si="0"/>
        <v>0.0289</v>
      </c>
      <c r="F37" s="79">
        <f t="shared" si="4"/>
        <v>23.119999999999997</v>
      </c>
      <c r="G37" s="44">
        <f>D23</f>
        <v>800</v>
      </c>
      <c r="H37" s="88">
        <f t="shared" si="1"/>
        <v>0.0267</v>
      </c>
      <c r="I37" s="79">
        <f t="shared" si="5"/>
        <v>21.36</v>
      </c>
      <c r="J37" s="79">
        <f t="shared" si="2"/>
        <v>-1.759999999999998</v>
      </c>
      <c r="K37" s="29">
        <f t="shared" si="3"/>
        <v>-0.07612456747404836</v>
      </c>
      <c r="L37" s="30">
        <f t="shared" si="6"/>
        <v>0.1609307991506145</v>
      </c>
      <c r="M37" s="30">
        <f t="shared" si="7"/>
        <v>0.1590675799617917</v>
      </c>
    </row>
    <row r="38" spans="1:13" ht="14.25" hidden="1">
      <c r="A38" s="1"/>
      <c r="B38" s="1"/>
      <c r="C38" s="31" t="s">
        <v>10</v>
      </c>
      <c r="D38" s="45">
        <f>D37</f>
        <v>800</v>
      </c>
      <c r="E38" s="89">
        <f t="shared" si="0"/>
        <v>0</v>
      </c>
      <c r="F38" s="79">
        <f t="shared" si="4"/>
        <v>0</v>
      </c>
      <c r="G38" s="46">
        <f>G37</f>
        <v>800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45">
        <f>D37</f>
        <v>800</v>
      </c>
      <c r="E39" s="89">
        <f t="shared" si="0"/>
        <v>0.0004</v>
      </c>
      <c r="F39" s="79">
        <f t="shared" si="4"/>
        <v>0.32</v>
      </c>
      <c r="G39" s="46">
        <f>G37</f>
        <v>800</v>
      </c>
      <c r="H39" s="89">
        <f t="shared" si="1"/>
        <v>0.0004</v>
      </c>
      <c r="I39" s="79">
        <f t="shared" si="5"/>
        <v>0.32</v>
      </c>
      <c r="J39" s="79">
        <f t="shared" si="2"/>
        <v>0</v>
      </c>
      <c r="K39" s="29">
        <f t="shared" si="3"/>
        <v>0</v>
      </c>
      <c r="L39" s="30">
        <f t="shared" si="6"/>
        <v>0.0024109483018818654</v>
      </c>
      <c r="M39" s="30">
        <f t="shared" si="7"/>
        <v>0.002383034905794632</v>
      </c>
    </row>
    <row r="40" spans="1:13" ht="15" thickBot="1">
      <c r="A40" s="1"/>
      <c r="B40" s="1"/>
      <c r="C40" s="31" t="s">
        <v>12</v>
      </c>
      <c r="D40" s="45">
        <f>D39</f>
        <v>800</v>
      </c>
      <c r="E40" s="90">
        <f t="shared" si="0"/>
        <v>-0.0038</v>
      </c>
      <c r="F40" s="80">
        <f>D40*E40-0.02</f>
        <v>-3.06</v>
      </c>
      <c r="G40" s="46">
        <f>G39</f>
        <v>800</v>
      </c>
      <c r="H40" s="89">
        <f t="shared" si="1"/>
        <v>-0.004399999999999999</v>
      </c>
      <c r="I40" s="79">
        <f t="shared" si="5"/>
        <v>-3.5199999999999996</v>
      </c>
      <c r="J40" s="79">
        <f t="shared" si="2"/>
        <v>-0.4599999999999995</v>
      </c>
      <c r="K40" s="29">
        <f t="shared" si="3"/>
        <v>0.15032679738562077</v>
      </c>
      <c r="L40" s="30">
        <f t="shared" si="6"/>
        <v>-0.026520431320700515</v>
      </c>
      <c r="M40" s="30">
        <f t="shared" si="7"/>
        <v>-0.02621338396374095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42.43</v>
      </c>
      <c r="G41" s="58"/>
      <c r="H41" s="57"/>
      <c r="I41" s="85">
        <f>SUM(I34:I40)</f>
        <v>42.31999999999999</v>
      </c>
      <c r="J41" s="85">
        <f aca="true" t="shared" si="8" ref="J41:J55">I41-F41</f>
        <v>-0.11000000000000654</v>
      </c>
      <c r="K41" s="59">
        <f aca="true" t="shared" si="9" ref="K41:K55">J41/F41</f>
        <v>-0.00259250530285191</v>
      </c>
      <c r="L41" s="60">
        <f>I41/I56</f>
        <v>0.3188479129238766</v>
      </c>
      <c r="M41" s="60">
        <f>I41/I61</f>
        <v>0.31515636629134003</v>
      </c>
    </row>
    <row r="42" spans="1:13" ht="14.25">
      <c r="A42" s="1"/>
      <c r="B42" s="1"/>
      <c r="C42" s="42" t="s">
        <v>13</v>
      </c>
      <c r="D42" s="48">
        <f>$D$23*$J$23</f>
        <v>854.4000000000001</v>
      </c>
      <c r="E42" s="91">
        <f>E17</f>
        <v>0.0067</v>
      </c>
      <c r="F42" s="79">
        <f t="shared" si="4"/>
        <v>5.724480000000001</v>
      </c>
      <c r="G42" s="48">
        <f>$D$23*$J$23</f>
        <v>854.4000000000001</v>
      </c>
      <c r="H42" s="91">
        <f>F17</f>
        <v>0.0063</v>
      </c>
      <c r="I42" s="79">
        <f t="shared" si="5"/>
        <v>5.382720000000001</v>
      </c>
      <c r="J42" s="79">
        <f t="shared" si="8"/>
        <v>-0.34175999999999984</v>
      </c>
      <c r="K42" s="29">
        <f t="shared" si="9"/>
        <v>-0.0597014925373134</v>
      </c>
      <c r="L42" s="30">
        <f>I42/$I$56</f>
        <v>0.04055456138595486</v>
      </c>
      <c r="M42" s="30">
        <f>I42/$I$61</f>
        <v>0.040085030150371515</v>
      </c>
    </row>
    <row r="43" spans="1:13" ht="15" thickBot="1">
      <c r="A43" s="1"/>
      <c r="B43" s="1"/>
      <c r="C43" s="42" t="s">
        <v>14</v>
      </c>
      <c r="D43" s="48">
        <f>$D$23*$J$23</f>
        <v>854.4000000000001</v>
      </c>
      <c r="E43" s="88">
        <f>E18</f>
        <v>0.0052</v>
      </c>
      <c r="F43" s="82">
        <f t="shared" si="4"/>
        <v>4.442880000000001</v>
      </c>
      <c r="G43" s="48">
        <f>$D$23*$J$23</f>
        <v>854.4000000000001</v>
      </c>
      <c r="H43" s="88">
        <f>F18</f>
        <v>0.0049</v>
      </c>
      <c r="I43" s="82">
        <f t="shared" si="5"/>
        <v>4.18656</v>
      </c>
      <c r="J43" s="82">
        <f t="shared" si="8"/>
        <v>-0.25632000000000055</v>
      </c>
      <c r="K43" s="29">
        <f t="shared" si="9"/>
        <v>-0.05769230769230781</v>
      </c>
      <c r="L43" s="30">
        <f>I43/$I$56</f>
        <v>0.031542436633520445</v>
      </c>
      <c r="M43" s="30">
        <f>I43/$I$61</f>
        <v>0.031177245672511174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10.167360000000002</v>
      </c>
      <c r="G44" s="57"/>
      <c r="H44" s="57"/>
      <c r="I44" s="85">
        <f>SUM(I42:I43)</f>
        <v>9.569280000000001</v>
      </c>
      <c r="J44" s="85">
        <f t="shared" si="8"/>
        <v>-0.5980800000000013</v>
      </c>
      <c r="K44" s="59">
        <f t="shared" si="9"/>
        <v>-0.058823529411764816</v>
      </c>
      <c r="L44" s="60">
        <f>I44/I56</f>
        <v>0.0720969980194753</v>
      </c>
      <c r="M44" s="60">
        <f>I44/I61</f>
        <v>0.07126227582288269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52.59736</v>
      </c>
      <c r="G45" s="52"/>
      <c r="H45" s="52"/>
      <c r="I45" s="84">
        <f>I44+I41</f>
        <v>51.88927999999999</v>
      </c>
      <c r="J45" s="84">
        <f t="shared" si="8"/>
        <v>-0.7080800000000096</v>
      </c>
      <c r="K45" s="53">
        <f t="shared" si="9"/>
        <v>-0.013462272631174065</v>
      </c>
      <c r="L45" s="54">
        <f>I45/I56</f>
        <v>0.39094491094335193</v>
      </c>
      <c r="M45" s="54">
        <f>I45/I61</f>
        <v>0.3864186421142227</v>
      </c>
    </row>
    <row r="46" spans="1:13" ht="14.25">
      <c r="A46" s="1"/>
      <c r="B46" s="1"/>
      <c r="C46" s="31" t="s">
        <v>15</v>
      </c>
      <c r="D46" s="48">
        <f>$D$23*$J$23</f>
        <v>854.4000000000001</v>
      </c>
      <c r="E46" s="91">
        <f>E19</f>
        <v>0.0052</v>
      </c>
      <c r="F46" s="72">
        <f>D46*E46</f>
        <v>4.442880000000001</v>
      </c>
      <c r="G46" s="48">
        <f>$D$23*$J$23</f>
        <v>854.4000000000001</v>
      </c>
      <c r="H46" s="91">
        <f>F19</f>
        <v>0.0052</v>
      </c>
      <c r="I46" s="72">
        <f>H46*G46</f>
        <v>4.442880000000001</v>
      </c>
      <c r="J46" s="72">
        <f t="shared" si="8"/>
        <v>0</v>
      </c>
      <c r="K46" s="29">
        <f t="shared" si="9"/>
        <v>0</v>
      </c>
      <c r="L46" s="49">
        <f>I46/$I$56</f>
        <v>0.03347360622332782</v>
      </c>
      <c r="M46" s="49">
        <f>I46/$I$61</f>
        <v>0.03308605663205268</v>
      </c>
    </row>
    <row r="47" spans="1:13" ht="14.25">
      <c r="A47" s="1"/>
      <c r="B47" s="1"/>
      <c r="C47" s="31" t="s">
        <v>17</v>
      </c>
      <c r="D47" s="48">
        <f>$D$23*$J$23</f>
        <v>854.4000000000001</v>
      </c>
      <c r="E47" s="88">
        <f>E20</f>
        <v>0.0011</v>
      </c>
      <c r="F47" s="83">
        <f>D47*E47</f>
        <v>0.9398400000000001</v>
      </c>
      <c r="G47" s="48">
        <f>$D$23*$J$23</f>
        <v>854.4000000000001</v>
      </c>
      <c r="H47" s="88">
        <f>F20</f>
        <v>0.0011</v>
      </c>
      <c r="I47" s="83">
        <f>H47*G47</f>
        <v>0.9398400000000001</v>
      </c>
      <c r="J47" s="83">
        <f t="shared" si="8"/>
        <v>0</v>
      </c>
      <c r="K47" s="29">
        <f t="shared" si="9"/>
        <v>0</v>
      </c>
      <c r="L47" s="30">
        <f>I47/$I$56</f>
        <v>0.007080955162627039</v>
      </c>
      <c r="M47" s="30">
        <f>I47/$I$61</f>
        <v>0.006998973518318835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8"/>
        <v>0</v>
      </c>
      <c r="K48" s="29">
        <f t="shared" si="9"/>
        <v>0</v>
      </c>
      <c r="L48" s="30">
        <f>I48/$I$56</f>
        <v>0.001883553360845207</v>
      </c>
      <c r="M48" s="30">
        <f>I48/$I$61</f>
        <v>0.0018617460201520563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5.632720000000001</v>
      </c>
      <c r="G49" s="97"/>
      <c r="H49" s="97"/>
      <c r="I49" s="98">
        <f>SUM(I46:I48)</f>
        <v>5.632720000000001</v>
      </c>
      <c r="J49" s="98">
        <f t="shared" si="8"/>
        <v>0</v>
      </c>
      <c r="K49" s="107">
        <f t="shared" si="9"/>
        <v>0</v>
      </c>
      <c r="L49" s="108">
        <f>I49/I56</f>
        <v>0.042438114746800065</v>
      </c>
      <c r="M49" s="108">
        <f>I49/I61</f>
        <v>0.04194677617052357</v>
      </c>
    </row>
    <row r="50" spans="1:13" ht="14.25">
      <c r="A50" s="1"/>
      <c r="B50" s="1"/>
      <c r="C50" s="109" t="s">
        <v>35</v>
      </c>
      <c r="D50" s="110">
        <f>D23</f>
        <v>800</v>
      </c>
      <c r="E50" s="102">
        <v>0.007</v>
      </c>
      <c r="F50" s="111">
        <f>D50*E50</f>
        <v>5.6000000000000005</v>
      </c>
      <c r="G50" s="110">
        <f>D50</f>
        <v>800</v>
      </c>
      <c r="H50" s="89">
        <v>0.007</v>
      </c>
      <c r="I50" s="111">
        <f>H50*G50</f>
        <v>5.6000000000000005</v>
      </c>
      <c r="J50" s="112">
        <f t="shared" si="8"/>
        <v>0</v>
      </c>
      <c r="K50" s="113">
        <f t="shared" si="9"/>
        <v>0</v>
      </c>
      <c r="L50" s="114">
        <f>I50/I56</f>
        <v>0.04219159528293265</v>
      </c>
      <c r="M50" s="114">
        <f>I50/I61</f>
        <v>0.041703110851406065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131.21728000000002</v>
      </c>
      <c r="G52" s="115"/>
      <c r="H52" s="115"/>
      <c r="I52" s="116">
        <f>I50+I49+I45+I29</f>
        <v>130.5092</v>
      </c>
      <c r="J52" s="116">
        <f t="shared" si="8"/>
        <v>-0.7080800000000238</v>
      </c>
      <c r="K52" s="117">
        <f t="shared" si="9"/>
        <v>-0.005396240495154477</v>
      </c>
      <c r="L52" s="118">
        <f>I52/I56</f>
        <v>0.9832841691248771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17.0582464</v>
      </c>
      <c r="G53" s="132"/>
      <c r="H53" s="134">
        <v>0.13</v>
      </c>
      <c r="I53" s="141">
        <f>I52*H53</f>
        <v>16.966196</v>
      </c>
      <c r="J53" s="136">
        <f t="shared" si="8"/>
        <v>-0.09205040000000153</v>
      </c>
      <c r="K53" s="137">
        <f t="shared" si="9"/>
        <v>-0.005396240495154386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148.27552640000002</v>
      </c>
      <c r="G54" s="135"/>
      <c r="H54" s="135"/>
      <c r="I54" s="136">
        <f>I52+I53</f>
        <v>147.475396</v>
      </c>
      <c r="J54" s="136">
        <f t="shared" si="8"/>
        <v>-0.8001304000000289</v>
      </c>
      <c r="K54" s="137">
        <f t="shared" si="9"/>
        <v>-0.005396240495154491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-14.827552640000002</v>
      </c>
      <c r="G55" s="132"/>
      <c r="H55" s="140">
        <v>-0.1</v>
      </c>
      <c r="I55" s="141">
        <f>H55*I54</f>
        <v>-14.7475396</v>
      </c>
      <c r="J55" s="136">
        <f t="shared" si="8"/>
        <v>0.08001304000000253</v>
      </c>
      <c r="K55" s="137">
        <f t="shared" si="9"/>
        <v>-0.005396240495154467</v>
      </c>
      <c r="L55" s="138">
        <f>I55/$I$56</f>
        <v>-0.11111111111111113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133.44797376000002</v>
      </c>
      <c r="G56" s="127"/>
      <c r="H56" s="127"/>
      <c r="I56" s="128">
        <f>I54+I55</f>
        <v>132.72785639999998</v>
      </c>
      <c r="J56" s="128">
        <f aca="true" t="shared" si="10" ref="J56:J61">I56-F56</f>
        <v>-0.7201173600000459</v>
      </c>
      <c r="K56" s="129">
        <f aca="true" t="shared" si="11" ref="K56:K61">J56/F56</f>
        <v>-0.00539624049515464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132.74598400000002</v>
      </c>
      <c r="G57" s="115"/>
      <c r="H57" s="115"/>
      <c r="I57" s="116">
        <f>I50+I45+I49+I33</f>
        <v>132.037904</v>
      </c>
      <c r="J57" s="116">
        <f t="shared" si="10"/>
        <v>-0.7080800000000238</v>
      </c>
      <c r="K57" s="117">
        <f t="shared" si="11"/>
        <v>-0.0053340973388695785</v>
      </c>
      <c r="L57" s="118"/>
      <c r="M57" s="118">
        <f>I57/$I$61</f>
        <v>0.9832841691248771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17.256977920000004</v>
      </c>
      <c r="G58" s="132"/>
      <c r="H58" s="134">
        <v>0.13</v>
      </c>
      <c r="I58" s="141">
        <f>I57*H58</f>
        <v>17.16492752</v>
      </c>
      <c r="J58" s="136">
        <f t="shared" si="10"/>
        <v>-0.09205040000000508</v>
      </c>
      <c r="K58" s="137">
        <f t="shared" si="11"/>
        <v>-0.005334097338869694</v>
      </c>
      <c r="L58" s="138"/>
      <c r="M58" s="138">
        <f>I58/$I$61</f>
        <v>0.127826941986234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150.00296192000002</v>
      </c>
      <c r="G59" s="135"/>
      <c r="H59" s="135"/>
      <c r="I59" s="136">
        <f>I57+I58</f>
        <v>149.20283152</v>
      </c>
      <c r="J59" s="136">
        <f t="shared" si="10"/>
        <v>-0.8001304000000289</v>
      </c>
      <c r="K59" s="137">
        <f t="shared" si="11"/>
        <v>-0.005334097338869592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-15.000296192000002</v>
      </c>
      <c r="G60" s="132"/>
      <c r="H60" s="140">
        <v>-0.1</v>
      </c>
      <c r="I60" s="141">
        <f>H60*I59</f>
        <v>-14.920283152</v>
      </c>
      <c r="J60" s="136">
        <f t="shared" si="10"/>
        <v>0.08001304000000253</v>
      </c>
      <c r="K60" s="137">
        <f t="shared" si="11"/>
        <v>-0.005334097338869568</v>
      </c>
      <c r="L60" s="138"/>
      <c r="M60" s="138">
        <f>I60/$I$61</f>
        <v>-0.11111111111111112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135.002665728</v>
      </c>
      <c r="G61" s="127"/>
      <c r="H61" s="127"/>
      <c r="I61" s="128">
        <f>I60+I59</f>
        <v>134.282548368</v>
      </c>
      <c r="J61" s="128">
        <f t="shared" si="10"/>
        <v>-0.7201173600000175</v>
      </c>
      <c r="K61" s="129">
        <f t="shared" si="11"/>
        <v>-0.005334097338869529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D10">
      <selection activeCell="M48" sqref="M48"/>
    </sheetView>
  </sheetViews>
  <sheetFormatPr defaultColWidth="9.00390625" defaultRowHeight="14.25"/>
  <cols>
    <col min="3" max="3" width="59.375" style="0" bestFit="1" customWidth="1"/>
    <col min="4" max="4" width="10.00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43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70">
        <v>6.06</v>
      </c>
      <c r="F10" s="70">
        <v>6.11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71">
        <v>0</v>
      </c>
      <c r="F11" s="71">
        <v>0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68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68">
        <v>15.5108</v>
      </c>
      <c r="F13" s="68">
        <v>15.6473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68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68">
        <v>0.1081</v>
      </c>
      <c r="F15" s="68">
        <v>0.1081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68">
        <f>-0.7739-0.3666-1.0803-1.2597</f>
        <v>-3.4805</v>
      </c>
      <c r="F16" s="68">
        <f>-1.2946-1.0803-0.2405-0.3553</f>
        <v>-2.9707000000000003</v>
      </c>
      <c r="G16" s="61" t="s">
        <v>66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68">
        <v>1.8471</v>
      </c>
      <c r="F17" s="68">
        <v>1.7477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68">
        <v>1.4551</v>
      </c>
      <c r="F18" s="68">
        <v>1.3624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68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68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69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200000</v>
      </c>
      <c r="E23" s="12" t="s">
        <v>20</v>
      </c>
      <c r="F23" s="13">
        <v>535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" thickBot="1">
      <c r="A26" s="1"/>
      <c r="B26" s="1"/>
      <c r="C26" s="20" t="s">
        <v>43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213600</v>
      </c>
      <c r="E27" s="86">
        <v>0.075</v>
      </c>
      <c r="F27" s="72">
        <f>E27*D27</f>
        <v>16020</v>
      </c>
      <c r="G27" s="28">
        <f>D27</f>
        <v>213600</v>
      </c>
      <c r="H27" s="92">
        <v>0.075</v>
      </c>
      <c r="I27" s="72">
        <f>H27*G27</f>
        <v>16020</v>
      </c>
      <c r="J27" s="72">
        <f>I27-F27</f>
        <v>0</v>
      </c>
      <c r="K27" s="29">
        <f>J27/F27</f>
        <v>0</v>
      </c>
      <c r="L27" s="30">
        <f>I27/I56</f>
        <v>0.35277258423755165</v>
      </c>
      <c r="M27" s="30"/>
    </row>
    <row r="28" spans="1:13" ht="15" thickBot="1">
      <c r="A28" s="1"/>
      <c r="B28" s="1"/>
      <c r="C28" s="31" t="s">
        <v>30</v>
      </c>
      <c r="D28" s="32"/>
      <c r="E28" s="87">
        <v>0.088</v>
      </c>
      <c r="F28" s="73">
        <f>E28*D28</f>
        <v>0</v>
      </c>
      <c r="G28" s="32"/>
      <c r="H28" s="90">
        <v>0.088</v>
      </c>
      <c r="I28" s="73">
        <f>H28*G28</f>
        <v>0</v>
      </c>
      <c r="J28" s="73">
        <f>I28-F28</f>
        <v>0</v>
      </c>
      <c r="K28" s="33" t="e">
        <f>J28/F28</f>
        <v>#DIV/0!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16020</v>
      </c>
      <c r="G29" s="52"/>
      <c r="H29" s="52"/>
      <c r="I29" s="84">
        <f>SUM(I27:I28)</f>
        <v>16020</v>
      </c>
      <c r="J29" s="84">
        <f>SUM(J27:J28)</f>
        <v>0</v>
      </c>
      <c r="K29" s="53">
        <v>0</v>
      </c>
      <c r="L29" s="54">
        <f>I29/I56</f>
        <v>0.35277258423755165</v>
      </c>
      <c r="M29" s="54"/>
    </row>
    <row r="30" spans="1:13" ht="14.25">
      <c r="A30" s="1"/>
      <c r="B30" s="1"/>
      <c r="C30" s="99" t="s">
        <v>49</v>
      </c>
      <c r="D30" s="28">
        <f>0.64*$D$23*$J$23</f>
        <v>136704</v>
      </c>
      <c r="E30" s="86">
        <v>0.065</v>
      </c>
      <c r="F30" s="72">
        <f>E30*D30</f>
        <v>8885.76</v>
      </c>
      <c r="G30" s="28">
        <f>D30</f>
        <v>136704</v>
      </c>
      <c r="H30" s="92">
        <v>0.065</v>
      </c>
      <c r="I30" s="72">
        <f>H30*G30</f>
        <v>8885.76</v>
      </c>
      <c r="J30" s="72">
        <f>I30-F30</f>
        <v>0</v>
      </c>
      <c r="K30" s="29">
        <f>J30/F30</f>
        <v>0</v>
      </c>
      <c r="L30" s="30"/>
      <c r="M30" s="30">
        <f>I30/I61</f>
        <v>0.19051302379292664</v>
      </c>
    </row>
    <row r="31" spans="1:13" ht="14.25">
      <c r="A31" s="1"/>
      <c r="B31" s="1"/>
      <c r="C31" s="100" t="s">
        <v>50</v>
      </c>
      <c r="D31" s="45">
        <f>0.18*$D$23*$J$23</f>
        <v>38448</v>
      </c>
      <c r="E31" s="102">
        <v>0.1</v>
      </c>
      <c r="F31" s="103">
        <f>E31*D31</f>
        <v>3844.8</v>
      </c>
      <c r="G31" s="45">
        <f>D31</f>
        <v>38448</v>
      </c>
      <c r="H31" s="89">
        <v>0.1</v>
      </c>
      <c r="I31" s="103">
        <f>H31*G31</f>
        <v>3844.8</v>
      </c>
      <c r="J31" s="103">
        <f>I31-F31</f>
        <v>0</v>
      </c>
      <c r="K31" s="33">
        <f>J31/F31</f>
        <v>0</v>
      </c>
      <c r="L31" s="101"/>
      <c r="M31" s="101">
        <f>I31/I61</f>
        <v>0.08243351991040096</v>
      </c>
    </row>
    <row r="32" spans="1:13" ht="15" thickBot="1">
      <c r="A32" s="1"/>
      <c r="B32" s="1"/>
      <c r="C32" s="106" t="s">
        <v>51</v>
      </c>
      <c r="D32" s="32">
        <f>0.18*$D$23*$J$23</f>
        <v>38448</v>
      </c>
      <c r="E32" s="87">
        <v>0.117</v>
      </c>
      <c r="F32" s="73">
        <f>E32*D32</f>
        <v>4498.416</v>
      </c>
      <c r="G32" s="32">
        <f>D32</f>
        <v>38448</v>
      </c>
      <c r="H32" s="90">
        <v>0.117</v>
      </c>
      <c r="I32" s="73">
        <f>H32*G32</f>
        <v>4498.416</v>
      </c>
      <c r="J32" s="73">
        <f>I32-F32</f>
        <v>0</v>
      </c>
      <c r="K32" s="104">
        <f>J32/F32</f>
        <v>0</v>
      </c>
      <c r="L32" s="105"/>
      <c r="M32" s="105">
        <f>I32/I61</f>
        <v>0.09644721829516911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17228.976000000002</v>
      </c>
      <c r="G33" s="52"/>
      <c r="H33" s="52"/>
      <c r="I33" s="84">
        <f>SUM(I30:I32)</f>
        <v>17228.976000000002</v>
      </c>
      <c r="J33" s="84">
        <f>SUM(J30:J31)</f>
        <v>0</v>
      </c>
      <c r="K33" s="53">
        <v>0</v>
      </c>
      <c r="L33" s="54"/>
      <c r="M33" s="54">
        <f>I33/I61</f>
        <v>0.3693937619984968</v>
      </c>
    </row>
    <row r="34" spans="1:13" ht="14.25">
      <c r="A34" s="1"/>
      <c r="B34" s="1"/>
      <c r="C34" s="34" t="s">
        <v>5</v>
      </c>
      <c r="D34" s="35">
        <v>2845</v>
      </c>
      <c r="E34" s="74">
        <f aca="true" t="shared" si="0" ref="E34:E40">E10</f>
        <v>6.06</v>
      </c>
      <c r="F34" s="78">
        <f>D34*E34</f>
        <v>17240.699999999997</v>
      </c>
      <c r="G34" s="36">
        <v>2845</v>
      </c>
      <c r="H34" s="74">
        <f aca="true" t="shared" si="1" ref="H34:H40">F10</f>
        <v>6.11</v>
      </c>
      <c r="I34" s="78">
        <f>H34*G34</f>
        <v>17382.95</v>
      </c>
      <c r="J34" s="78">
        <f aca="true" t="shared" si="2" ref="J34:J55">I34-F34</f>
        <v>142.25000000000364</v>
      </c>
      <c r="K34" s="29">
        <f aca="true" t="shared" si="3" ref="K34:K55">J34/F34</f>
        <v>0.008250825082508463</v>
      </c>
      <c r="L34" s="30">
        <f>I34/$I$56</f>
        <v>0.38278577984844875</v>
      </c>
      <c r="M34" s="30">
        <f>I34/$I$61</f>
        <v>0.37269500492262386</v>
      </c>
    </row>
    <row r="35" spans="1:13" ht="14.25">
      <c r="A35" s="1"/>
      <c r="B35" s="1"/>
      <c r="C35" s="31" t="s">
        <v>7</v>
      </c>
      <c r="D35" s="37">
        <v>2845</v>
      </c>
      <c r="E35" s="75">
        <f t="shared" si="0"/>
        <v>0</v>
      </c>
      <c r="F35" s="79">
        <f aca="true" t="shared" si="4" ref="F35:F43">D35*E35</f>
        <v>0</v>
      </c>
      <c r="G35" s="38">
        <v>2845</v>
      </c>
      <c r="H35" s="75">
        <f t="shared" si="1"/>
        <v>0</v>
      </c>
      <c r="I35" s="81">
        <f aca="true" t="shared" si="5" ref="I35:I43">H35*G35</f>
        <v>0</v>
      </c>
      <c r="J35" s="81">
        <f t="shared" si="2"/>
        <v>0</v>
      </c>
      <c r="K35" s="29" t="e">
        <f t="shared" si="3"/>
        <v>#DIV/0!</v>
      </c>
      <c r="L35" s="30">
        <f aca="true" t="shared" si="6" ref="L35:L40">I35/$I$56</f>
        <v>0</v>
      </c>
      <c r="M35" s="30">
        <f aca="true" t="shared" si="7" ref="M35:M40">I35/$I$61</f>
        <v>0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63">
        <f>F23</f>
        <v>535</v>
      </c>
      <c r="E37" s="88">
        <f t="shared" si="0"/>
        <v>15.5108</v>
      </c>
      <c r="F37" s="79">
        <f t="shared" si="4"/>
        <v>8298.278</v>
      </c>
      <c r="G37" s="65">
        <f>F23</f>
        <v>535</v>
      </c>
      <c r="H37" s="88">
        <f t="shared" si="1"/>
        <v>15.6473</v>
      </c>
      <c r="I37" s="79">
        <f t="shared" si="5"/>
        <v>8371.3055</v>
      </c>
      <c r="J37" s="79">
        <f t="shared" si="2"/>
        <v>73.02750000000015</v>
      </c>
      <c r="K37" s="29">
        <f t="shared" si="3"/>
        <v>0.008800319777187525</v>
      </c>
      <c r="L37" s="30">
        <f t="shared" si="6"/>
        <v>0.18434251402478338</v>
      </c>
      <c r="M37" s="30">
        <f t="shared" si="7"/>
        <v>0.17948298444920385</v>
      </c>
    </row>
    <row r="38" spans="1:13" ht="14.25" hidden="1">
      <c r="A38" s="1"/>
      <c r="B38" s="1"/>
      <c r="C38" s="31" t="s">
        <v>10</v>
      </c>
      <c r="D38" s="64">
        <f>D37</f>
        <v>535</v>
      </c>
      <c r="E38" s="89">
        <f t="shared" si="0"/>
        <v>0</v>
      </c>
      <c r="F38" s="79">
        <f t="shared" si="4"/>
        <v>0</v>
      </c>
      <c r="G38" s="66">
        <f>G37</f>
        <v>535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64">
        <f>D37</f>
        <v>535</v>
      </c>
      <c r="E39" s="89">
        <f t="shared" si="0"/>
        <v>0.1081</v>
      </c>
      <c r="F39" s="79">
        <f t="shared" si="4"/>
        <v>57.8335</v>
      </c>
      <c r="G39" s="66">
        <f>G37</f>
        <v>535</v>
      </c>
      <c r="H39" s="89">
        <f t="shared" si="1"/>
        <v>0.1081</v>
      </c>
      <c r="I39" s="79">
        <f t="shared" si="5"/>
        <v>57.8335</v>
      </c>
      <c r="J39" s="79">
        <f t="shared" si="2"/>
        <v>0</v>
      </c>
      <c r="K39" s="29">
        <f t="shared" si="3"/>
        <v>0</v>
      </c>
      <c r="L39" s="30">
        <f t="shared" si="6"/>
        <v>0.0012735376560862948</v>
      </c>
      <c r="M39" s="30">
        <f t="shared" si="7"/>
        <v>0.0012399654009930747</v>
      </c>
    </row>
    <row r="40" spans="1:13" ht="15" thickBot="1">
      <c r="A40" s="1"/>
      <c r="B40" s="1"/>
      <c r="C40" s="31" t="s">
        <v>12</v>
      </c>
      <c r="D40" s="64">
        <f>D39</f>
        <v>535</v>
      </c>
      <c r="E40" s="90">
        <f t="shared" si="0"/>
        <v>-3.4805</v>
      </c>
      <c r="F40" s="80">
        <f>D40*E40-0.02</f>
        <v>-1862.0875</v>
      </c>
      <c r="G40" s="66">
        <f>G39</f>
        <v>535</v>
      </c>
      <c r="H40" s="89">
        <f t="shared" si="1"/>
        <v>-2.9707000000000003</v>
      </c>
      <c r="I40" s="79">
        <f t="shared" si="5"/>
        <v>-1589.3245000000002</v>
      </c>
      <c r="J40" s="79">
        <f t="shared" si="2"/>
        <v>272.7629999999999</v>
      </c>
      <c r="K40" s="29">
        <f t="shared" si="3"/>
        <v>-0.1464823752911718</v>
      </c>
      <c r="L40" s="30">
        <f t="shared" si="6"/>
        <v>-0.03499813427322439</v>
      </c>
      <c r="M40" s="30">
        <f t="shared" si="7"/>
        <v>-0.03407553391979766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23734.723999999995</v>
      </c>
      <c r="G41" s="58"/>
      <c r="H41" s="57"/>
      <c r="I41" s="85">
        <f>SUM(I34:I40)</f>
        <v>24222.7645</v>
      </c>
      <c r="J41" s="85">
        <f t="shared" si="2"/>
        <v>488.04050000000643</v>
      </c>
      <c r="K41" s="142">
        <f t="shared" si="3"/>
        <v>0.02056229935515604</v>
      </c>
      <c r="L41" s="60">
        <f>I41/I56</f>
        <v>0.533403697256094</v>
      </c>
      <c r="M41" s="60">
        <f>I41/I61</f>
        <v>0.5193424208530232</v>
      </c>
    </row>
    <row r="42" spans="1:13" ht="14.25">
      <c r="A42" s="1"/>
      <c r="B42" s="1"/>
      <c r="C42" s="42" t="s">
        <v>13</v>
      </c>
      <c r="D42" s="67">
        <f>F23</f>
        <v>535</v>
      </c>
      <c r="E42" s="91">
        <f>E17</f>
        <v>1.8471</v>
      </c>
      <c r="F42" s="79">
        <f t="shared" si="4"/>
        <v>988.1985</v>
      </c>
      <c r="G42" s="67">
        <f>D42</f>
        <v>535</v>
      </c>
      <c r="H42" s="91">
        <f>F17</f>
        <v>1.7477</v>
      </c>
      <c r="I42" s="79">
        <f t="shared" si="5"/>
        <v>935.0195</v>
      </c>
      <c r="J42" s="79">
        <f t="shared" si="2"/>
        <v>-53.178999999999974</v>
      </c>
      <c r="K42" s="29">
        <f t="shared" si="3"/>
        <v>-0.05381408694710625</v>
      </c>
      <c r="L42" s="30">
        <f>I42/$I$56</f>
        <v>0.020589840532303585</v>
      </c>
      <c r="M42" s="30">
        <f>I42/$I$61</f>
        <v>0.020047063194408847</v>
      </c>
    </row>
    <row r="43" spans="1:13" ht="15" thickBot="1">
      <c r="A43" s="1"/>
      <c r="B43" s="1"/>
      <c r="C43" s="42" t="s">
        <v>14</v>
      </c>
      <c r="D43" s="67">
        <f>D42</f>
        <v>535</v>
      </c>
      <c r="E43" s="88">
        <f>E18</f>
        <v>1.4551</v>
      </c>
      <c r="F43" s="82">
        <f t="shared" si="4"/>
        <v>778.4785</v>
      </c>
      <c r="G43" s="67">
        <f>D43</f>
        <v>535</v>
      </c>
      <c r="H43" s="88">
        <f>F18</f>
        <v>1.3624</v>
      </c>
      <c r="I43" s="82">
        <f t="shared" si="5"/>
        <v>728.884</v>
      </c>
      <c r="J43" s="82">
        <f t="shared" si="2"/>
        <v>-49.59450000000004</v>
      </c>
      <c r="K43" s="29">
        <f t="shared" si="3"/>
        <v>-0.06370696172084397</v>
      </c>
      <c r="L43" s="30">
        <f>I43/$I$56</f>
        <v>0.016050580043033932</v>
      </c>
      <c r="M43" s="30">
        <f>I43/$I$61</f>
        <v>0.01562746403619764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1766.6770000000001</v>
      </c>
      <c r="G44" s="57"/>
      <c r="H44" s="57"/>
      <c r="I44" s="85">
        <f>SUM(I42:I43)</f>
        <v>1663.9035</v>
      </c>
      <c r="J44" s="85">
        <f t="shared" si="2"/>
        <v>-102.77350000000024</v>
      </c>
      <c r="K44" s="59">
        <f t="shared" si="3"/>
        <v>-0.05817333898613059</v>
      </c>
      <c r="L44" s="60">
        <f>I44/I56</f>
        <v>0.036640420575337514</v>
      </c>
      <c r="M44" s="60">
        <f>I44/I61</f>
        <v>0.03567452723060649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25501.400999999994</v>
      </c>
      <c r="G45" s="52"/>
      <c r="H45" s="52"/>
      <c r="I45" s="84">
        <f>I44+I41</f>
        <v>25886.668</v>
      </c>
      <c r="J45" s="84">
        <f t="shared" si="2"/>
        <v>385.2670000000071</v>
      </c>
      <c r="K45" s="53">
        <f t="shared" si="3"/>
        <v>0.015107679770221533</v>
      </c>
      <c r="L45" s="54">
        <f>I45/I56</f>
        <v>0.5700441178314315</v>
      </c>
      <c r="M45" s="54">
        <f>I45/I61</f>
        <v>0.5550169480836297</v>
      </c>
    </row>
    <row r="46" spans="1:13" ht="14.25">
      <c r="A46" s="1"/>
      <c r="B46" s="1"/>
      <c r="C46" s="31" t="s">
        <v>15</v>
      </c>
      <c r="D46" s="48">
        <f>$D$23*$J$23</f>
        <v>213600</v>
      </c>
      <c r="E46" s="91">
        <f>E19</f>
        <v>0.0052</v>
      </c>
      <c r="F46" s="72">
        <f>D46*E46</f>
        <v>1110.72</v>
      </c>
      <c r="G46" s="48">
        <f>$D$23*$J$23</f>
        <v>213600</v>
      </c>
      <c r="H46" s="91">
        <f>F19</f>
        <v>0.0052</v>
      </c>
      <c r="I46" s="72">
        <f>H46*G46</f>
        <v>1110.72</v>
      </c>
      <c r="J46" s="72">
        <f t="shared" si="2"/>
        <v>0</v>
      </c>
      <c r="K46" s="29">
        <f t="shared" si="3"/>
        <v>0</v>
      </c>
      <c r="L46" s="49">
        <f>I46/$I$56</f>
        <v>0.024458899173803582</v>
      </c>
      <c r="M46" s="49">
        <f>I46/$I$61</f>
        <v>0.02381412797411583</v>
      </c>
    </row>
    <row r="47" spans="1:13" ht="14.25">
      <c r="A47" s="1"/>
      <c r="B47" s="1"/>
      <c r="C47" s="31" t="s">
        <v>17</v>
      </c>
      <c r="D47" s="48">
        <f>$D$23*$J$23</f>
        <v>213600</v>
      </c>
      <c r="E47" s="88">
        <f>E20</f>
        <v>0.0011</v>
      </c>
      <c r="F47" s="83">
        <f>D47*E47</f>
        <v>234.96</v>
      </c>
      <c r="G47" s="48">
        <f>$D$23*$J$23</f>
        <v>213600</v>
      </c>
      <c r="H47" s="88">
        <f>F20</f>
        <v>0.0011</v>
      </c>
      <c r="I47" s="83">
        <f>H47*G47</f>
        <v>234.96</v>
      </c>
      <c r="J47" s="83">
        <f t="shared" si="2"/>
        <v>0</v>
      </c>
      <c r="K47" s="29">
        <f t="shared" si="3"/>
        <v>0</v>
      </c>
      <c r="L47" s="30">
        <f>I47/$I$56</f>
        <v>0.005173997902150758</v>
      </c>
      <c r="M47" s="30">
        <f>I47/$I$61</f>
        <v>0.0050376039945245026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5.50519014103545E-06</v>
      </c>
      <c r="M48" s="30">
        <f>I48/$I$61</f>
        <v>5.360065537245172E-06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1345.93</v>
      </c>
      <c r="G49" s="97"/>
      <c r="H49" s="97"/>
      <c r="I49" s="98">
        <f>SUM(I46:I48)</f>
        <v>1345.93</v>
      </c>
      <c r="J49" s="98">
        <f t="shared" si="2"/>
        <v>0</v>
      </c>
      <c r="K49" s="107">
        <f t="shared" si="3"/>
        <v>0</v>
      </c>
      <c r="L49" s="108">
        <f>I49/I56</f>
        <v>0.029638402266095376</v>
      </c>
      <c r="M49" s="108">
        <f>I49/I61</f>
        <v>0.02885709203417758</v>
      </c>
    </row>
    <row r="50" spans="1:13" ht="14.25">
      <c r="A50" s="1"/>
      <c r="B50" s="1"/>
      <c r="C50" s="109" t="s">
        <v>35</v>
      </c>
      <c r="D50" s="110">
        <f>D23</f>
        <v>200000</v>
      </c>
      <c r="E50" s="102">
        <v>0.007</v>
      </c>
      <c r="F50" s="111">
        <f>D50*E50</f>
        <v>1400</v>
      </c>
      <c r="G50" s="110">
        <f>D50</f>
        <v>200000</v>
      </c>
      <c r="H50" s="89">
        <v>0.007</v>
      </c>
      <c r="I50" s="111">
        <f>H50*G50</f>
        <v>1400</v>
      </c>
      <c r="J50" s="112">
        <f t="shared" si="2"/>
        <v>0</v>
      </c>
      <c r="K50" s="113">
        <f t="shared" si="3"/>
        <v>0</v>
      </c>
      <c r="L50" s="114">
        <f>I50/I56</f>
        <v>0.03082906478979852</v>
      </c>
      <c r="M50" s="114">
        <f>I50/I61</f>
        <v>0.030016367008572964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44267.33099999999</v>
      </c>
      <c r="G52" s="115"/>
      <c r="H52" s="115"/>
      <c r="I52" s="116">
        <f>I50+I49+I45+I29</f>
        <v>44652.598</v>
      </c>
      <c r="J52" s="116">
        <f t="shared" si="2"/>
        <v>385.2670000000071</v>
      </c>
      <c r="K52" s="117">
        <f t="shared" si="3"/>
        <v>0.008703190169744076</v>
      </c>
      <c r="L52" s="118">
        <f>I52/I56</f>
        <v>0.983284169124877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5754.753029999999</v>
      </c>
      <c r="G53" s="132"/>
      <c r="H53" s="134">
        <v>0.13</v>
      </c>
      <c r="I53" s="141">
        <f>I52*H53</f>
        <v>5804.83774</v>
      </c>
      <c r="J53" s="136">
        <f t="shared" si="2"/>
        <v>50.084710000000996</v>
      </c>
      <c r="K53" s="137">
        <f t="shared" si="3"/>
        <v>0.008703190169744088</v>
      </c>
      <c r="L53" s="138">
        <f>I53/I56</f>
        <v>0.127826941986234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50022.08402999999</v>
      </c>
      <c r="G54" s="135"/>
      <c r="H54" s="135"/>
      <c r="I54" s="136">
        <f>I52+I53</f>
        <v>50457.43574</v>
      </c>
      <c r="J54" s="136">
        <f t="shared" si="2"/>
        <v>435.3517100000099</v>
      </c>
      <c r="K54" s="137">
        <f t="shared" si="3"/>
        <v>0.008703190169744112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-5002.208403</v>
      </c>
      <c r="G55" s="132"/>
      <c r="H55" s="140">
        <v>-0.1</v>
      </c>
      <c r="I55" s="141">
        <f>H55*I54</f>
        <v>-5045.743574</v>
      </c>
      <c r="J55" s="136">
        <f t="shared" si="2"/>
        <v>-43.535171000000446</v>
      </c>
      <c r="K55" s="137">
        <f t="shared" si="3"/>
        <v>0.008703190169744003</v>
      </c>
      <c r="L55" s="138">
        <f>I55/$I$56</f>
        <v>-0.1111111111111111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45019.875626999994</v>
      </c>
      <c r="G56" s="127"/>
      <c r="H56" s="127"/>
      <c r="I56" s="128">
        <f>I54+I55</f>
        <v>45411.692166</v>
      </c>
      <c r="J56" s="128">
        <f aca="true" t="shared" si="8" ref="J56:J61">I56-F56</f>
        <v>391.81653900000674</v>
      </c>
      <c r="K56" s="129">
        <f aca="true" t="shared" si="9" ref="K56:K61">J56/F56</f>
        <v>0.008703190169744064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45476.307</v>
      </c>
      <c r="G57" s="115"/>
      <c r="H57" s="115"/>
      <c r="I57" s="116">
        <f>I50+I45+I49+I33</f>
        <v>45861.57400000001</v>
      </c>
      <c r="J57" s="116">
        <f t="shared" si="8"/>
        <v>385.2670000000071</v>
      </c>
      <c r="K57" s="117">
        <f t="shared" si="9"/>
        <v>0.008471818083205549</v>
      </c>
      <c r="L57" s="118"/>
      <c r="M57" s="118">
        <f>I57/$I$61</f>
        <v>0.983284169124877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5911.9199100000005</v>
      </c>
      <c r="G58" s="132"/>
      <c r="H58" s="134">
        <v>0.13</v>
      </c>
      <c r="I58" s="141">
        <f>I57*H58</f>
        <v>5962.0046200000015</v>
      </c>
      <c r="J58" s="136">
        <f t="shared" si="8"/>
        <v>50.084710000000996</v>
      </c>
      <c r="K58" s="137">
        <f t="shared" si="9"/>
        <v>0.008471818083205561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51388.22691</v>
      </c>
      <c r="G59" s="135"/>
      <c r="H59" s="135"/>
      <c r="I59" s="136">
        <f>I57+I58</f>
        <v>51823.57862000001</v>
      </c>
      <c r="J59" s="136">
        <f t="shared" si="8"/>
        <v>435.3517100000099</v>
      </c>
      <c r="K59" s="137">
        <f t="shared" si="9"/>
        <v>0.008471818083205587</v>
      </c>
      <c r="L59" s="138"/>
      <c r="M59" s="138">
        <f>I59/$I$61</f>
        <v>1.111111111111111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-5138.822691</v>
      </c>
      <c r="G60" s="132"/>
      <c r="H60" s="140">
        <v>-0.1</v>
      </c>
      <c r="I60" s="141">
        <f>H60*I59</f>
        <v>-5182.357862000001</v>
      </c>
      <c r="J60" s="136">
        <f t="shared" si="8"/>
        <v>-43.535171000000446</v>
      </c>
      <c r="K60" s="137">
        <f t="shared" si="9"/>
        <v>0.00847181808320548</v>
      </c>
      <c r="L60" s="138"/>
      <c r="M60" s="138">
        <f>I60/$I$61</f>
        <v>-0.1111111111111111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46249.404219</v>
      </c>
      <c r="G61" s="127"/>
      <c r="H61" s="127"/>
      <c r="I61" s="128">
        <f>I60+I59</f>
        <v>46641.22075800001</v>
      </c>
      <c r="J61" s="128">
        <f t="shared" si="8"/>
        <v>391.816539000014</v>
      </c>
      <c r="K61" s="129">
        <f t="shared" si="9"/>
        <v>0.008471818083205697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D25">
      <selection activeCell="L46" sqref="L46"/>
    </sheetView>
  </sheetViews>
  <sheetFormatPr defaultColWidth="9.00390625" defaultRowHeight="14.25"/>
  <cols>
    <col min="3" max="3" width="59.375" style="0" bestFit="1" customWidth="1"/>
    <col min="4" max="4" width="12.00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48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70">
        <v>183.44</v>
      </c>
      <c r="F10" s="70">
        <v>185.05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71">
        <v>0</v>
      </c>
      <c r="F11" s="71">
        <v>0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68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68">
        <v>0.5653</v>
      </c>
      <c r="F13" s="68">
        <v>0.5703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68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68">
        <v>0</v>
      </c>
      <c r="F15" s="68">
        <v>0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68">
        <f>-0.2905</f>
        <v>-0.2905</v>
      </c>
      <c r="F16" s="68">
        <v>-0.6893</v>
      </c>
      <c r="G16" s="61" t="s">
        <v>45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68">
        <v>2.1063</v>
      </c>
      <c r="F17" s="68">
        <v>2.1841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68">
        <v>1.8422</v>
      </c>
      <c r="F18" s="68">
        <v>2.2166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68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68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69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6107000</v>
      </c>
      <c r="E23" s="12" t="s">
        <v>20</v>
      </c>
      <c r="F23" s="13">
        <v>15650</v>
      </c>
      <c r="G23" s="14" t="s">
        <v>21</v>
      </c>
      <c r="H23" s="1"/>
      <c r="I23" s="15" t="s">
        <v>22</v>
      </c>
      <c r="J23" s="16">
        <v>1.0305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53.25" thickBot="1">
      <c r="A26" s="1"/>
      <c r="B26" s="1"/>
      <c r="C26" s="62" t="s">
        <v>47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6293263.5</v>
      </c>
      <c r="E27" s="86">
        <v>0.075</v>
      </c>
      <c r="F27" s="72">
        <f>E27*D27</f>
        <v>471994.76249999995</v>
      </c>
      <c r="G27" s="28">
        <f>D27</f>
        <v>6293263.5</v>
      </c>
      <c r="H27" s="92">
        <v>0.075</v>
      </c>
      <c r="I27" s="72">
        <f>H27*G27</f>
        <v>471994.76249999995</v>
      </c>
      <c r="J27" s="72">
        <f>I27-F27</f>
        <v>0</v>
      </c>
      <c r="K27" s="29">
        <f>J27/F27</f>
        <v>0</v>
      </c>
      <c r="L27" s="30">
        <f>I27/I56</f>
        <v>0.7441326771735871</v>
      </c>
      <c r="M27" s="30"/>
    </row>
    <row r="28" spans="1:13" ht="15" thickBot="1">
      <c r="A28" s="1"/>
      <c r="B28" s="1"/>
      <c r="C28" s="31" t="s">
        <v>30</v>
      </c>
      <c r="D28" s="32"/>
      <c r="E28" s="87">
        <v>0.088</v>
      </c>
      <c r="F28" s="73">
        <f>E28*D28</f>
        <v>0</v>
      </c>
      <c r="G28" s="32"/>
      <c r="H28" s="90">
        <v>0.088</v>
      </c>
      <c r="I28" s="73">
        <f>H28*G28</f>
        <v>0</v>
      </c>
      <c r="J28" s="73">
        <f>I28-F28</f>
        <v>0</v>
      </c>
      <c r="K28" s="33" t="e">
        <f>J28/F28</f>
        <v>#DIV/0!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471994.76249999995</v>
      </c>
      <c r="G29" s="52"/>
      <c r="H29" s="52"/>
      <c r="I29" s="84">
        <f>SUM(I27:I28)</f>
        <v>471994.76249999995</v>
      </c>
      <c r="J29" s="84">
        <f>SUM(J27:J28)</f>
        <v>0</v>
      </c>
      <c r="K29" s="53">
        <v>0</v>
      </c>
      <c r="L29" s="54">
        <f>I29/I56</f>
        <v>0.7441326771735871</v>
      </c>
      <c r="M29" s="54"/>
    </row>
    <row r="30" spans="1:13" ht="14.25">
      <c r="A30" s="1"/>
      <c r="B30" s="1"/>
      <c r="C30" s="99" t="s">
        <v>49</v>
      </c>
      <c r="D30" s="28">
        <f>0.64*$D$23*$J$23</f>
        <v>4027688.6399999997</v>
      </c>
      <c r="E30" s="86">
        <v>0.065</v>
      </c>
      <c r="F30" s="72">
        <f>E30*D30</f>
        <v>261799.7616</v>
      </c>
      <c r="G30" s="28">
        <f>D30</f>
        <v>4027688.6399999997</v>
      </c>
      <c r="H30" s="92">
        <v>0.065</v>
      </c>
      <c r="I30" s="72">
        <f>H30*G30</f>
        <v>261799.7616</v>
      </c>
      <c r="J30" s="72">
        <f>I30-F30</f>
        <v>0</v>
      </c>
      <c r="K30" s="29">
        <f>J30/F30</f>
        <v>0</v>
      </c>
      <c r="L30" s="30"/>
      <c r="M30" s="30">
        <f>I30/I61</f>
        <v>0.3904464582579853</v>
      </c>
    </row>
    <row r="31" spans="1:13" ht="14.25">
      <c r="A31" s="1"/>
      <c r="B31" s="1"/>
      <c r="C31" s="100" t="s">
        <v>50</v>
      </c>
      <c r="D31" s="45">
        <f>0.18*$D$23*$J$23</f>
        <v>1132787.43</v>
      </c>
      <c r="E31" s="102">
        <v>0.1</v>
      </c>
      <c r="F31" s="103">
        <f>E31*D31</f>
        <v>113278.743</v>
      </c>
      <c r="G31" s="45">
        <f>D31</f>
        <v>1132787.43</v>
      </c>
      <c r="H31" s="89">
        <v>0.1</v>
      </c>
      <c r="I31" s="103">
        <f>H31*G31</f>
        <v>113278.743</v>
      </c>
      <c r="J31" s="103">
        <f>I31-F31</f>
        <v>0</v>
      </c>
      <c r="K31" s="33">
        <f>J31/F31</f>
        <v>0</v>
      </c>
      <c r="L31" s="101"/>
      <c r="M31" s="101">
        <f>I31/I61</f>
        <v>0.16894317905393594</v>
      </c>
    </row>
    <row r="32" spans="1:13" ht="15" thickBot="1">
      <c r="A32" s="1"/>
      <c r="B32" s="1"/>
      <c r="C32" s="106" t="s">
        <v>51</v>
      </c>
      <c r="D32" s="32">
        <f>0.18*$D$23*$J$23</f>
        <v>1132787.43</v>
      </c>
      <c r="E32" s="87">
        <v>0.117</v>
      </c>
      <c r="F32" s="73">
        <f>E32*D32</f>
        <v>132536.12931</v>
      </c>
      <c r="G32" s="32">
        <f>D32</f>
        <v>1132787.43</v>
      </c>
      <c r="H32" s="90">
        <v>0.117</v>
      </c>
      <c r="I32" s="73">
        <f>H32*G32</f>
        <v>132536.12931</v>
      </c>
      <c r="J32" s="73">
        <f>I32-F32</f>
        <v>0</v>
      </c>
      <c r="K32" s="104">
        <f>J32/F32</f>
        <v>0</v>
      </c>
      <c r="L32" s="105"/>
      <c r="M32" s="105">
        <f>I32/I61</f>
        <v>0.19766351949310504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507614.63391</v>
      </c>
      <c r="G33" s="52"/>
      <c r="H33" s="52"/>
      <c r="I33" s="84">
        <f>SUM(I30:I32)</f>
        <v>507614.63391</v>
      </c>
      <c r="J33" s="84">
        <f>SUM(J30:J31)</f>
        <v>0</v>
      </c>
      <c r="K33" s="53">
        <v>0</v>
      </c>
      <c r="L33" s="54"/>
      <c r="M33" s="54">
        <f>I33/I61</f>
        <v>0.7570531568050263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183.44</v>
      </c>
      <c r="F34" s="78">
        <f>D34*E34</f>
        <v>183.44</v>
      </c>
      <c r="G34" s="36">
        <v>1</v>
      </c>
      <c r="H34" s="74">
        <f aca="true" t="shared" si="1" ref="H34:H40">F10</f>
        <v>185.05</v>
      </c>
      <c r="I34" s="78">
        <f>H34*G34</f>
        <v>185.05</v>
      </c>
      <c r="J34" s="78">
        <f aca="true" t="shared" si="2" ref="J34:J55">I34-F34</f>
        <v>1.6100000000000136</v>
      </c>
      <c r="K34" s="29">
        <f aca="true" t="shared" si="3" ref="K34:K55">J34/F34</f>
        <v>0.008776711731356376</v>
      </c>
      <c r="L34" s="30">
        <f>I34/$I$56</f>
        <v>0.00029174423712164033</v>
      </c>
      <c r="M34" s="30">
        <f>I34/$I$61</f>
        <v>0.00027598236399860874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0</v>
      </c>
      <c r="F35" s="79">
        <f aca="true" t="shared" si="4" ref="F35:F43">D35*E35</f>
        <v>0</v>
      </c>
      <c r="G35" s="38">
        <v>1</v>
      </c>
      <c r="H35" s="75">
        <f t="shared" si="1"/>
        <v>0</v>
      </c>
      <c r="I35" s="81">
        <f aca="true" t="shared" si="5" ref="I35:I43">H35*G35</f>
        <v>0</v>
      </c>
      <c r="J35" s="81">
        <f t="shared" si="2"/>
        <v>0</v>
      </c>
      <c r="K35" s="29">
        <v>0</v>
      </c>
      <c r="L35" s="30">
        <f aca="true" t="shared" si="6" ref="L35:L40">I35/$I$56</f>
        <v>0</v>
      </c>
      <c r="M35" s="30">
        <f aca="true" t="shared" si="7" ref="M35:M40">I35/$I$61</f>
        <v>0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63">
        <f>F23</f>
        <v>15650</v>
      </c>
      <c r="E37" s="88">
        <f t="shared" si="0"/>
        <v>0.5653</v>
      </c>
      <c r="F37" s="79">
        <f t="shared" si="4"/>
        <v>8846.945</v>
      </c>
      <c r="G37" s="65">
        <f>F23</f>
        <v>15650</v>
      </c>
      <c r="H37" s="88">
        <f t="shared" si="1"/>
        <v>0.5703</v>
      </c>
      <c r="I37" s="79">
        <f t="shared" si="5"/>
        <v>8925.195</v>
      </c>
      <c r="J37" s="79">
        <f t="shared" si="2"/>
        <v>78.25</v>
      </c>
      <c r="K37" s="29">
        <f t="shared" si="3"/>
        <v>0.008844861135680171</v>
      </c>
      <c r="L37" s="30">
        <f t="shared" si="6"/>
        <v>0.0140711926854195</v>
      </c>
      <c r="M37" s="30">
        <f t="shared" si="7"/>
        <v>0.013310977656031139</v>
      </c>
    </row>
    <row r="38" spans="1:13" ht="14.25" hidden="1">
      <c r="A38" s="1"/>
      <c r="B38" s="1"/>
      <c r="C38" s="31" t="s">
        <v>10</v>
      </c>
      <c r="D38" s="64">
        <f>D37</f>
        <v>15650</v>
      </c>
      <c r="E38" s="89">
        <f t="shared" si="0"/>
        <v>0</v>
      </c>
      <c r="F38" s="79">
        <f t="shared" si="4"/>
        <v>0</v>
      </c>
      <c r="G38" s="66">
        <f>G37</f>
        <v>15650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64">
        <f>D37</f>
        <v>15650</v>
      </c>
      <c r="E39" s="89">
        <f t="shared" si="0"/>
        <v>0</v>
      </c>
      <c r="F39" s="79">
        <f t="shared" si="4"/>
        <v>0</v>
      </c>
      <c r="G39" s="66">
        <f>G37</f>
        <v>15650</v>
      </c>
      <c r="H39" s="89">
        <f t="shared" si="1"/>
        <v>0</v>
      </c>
      <c r="I39" s="79">
        <f t="shared" si="5"/>
        <v>0</v>
      </c>
      <c r="J39" s="79">
        <f t="shared" si="2"/>
        <v>0</v>
      </c>
      <c r="K39" s="29">
        <v>0</v>
      </c>
      <c r="L39" s="30">
        <f t="shared" si="6"/>
        <v>0</v>
      </c>
      <c r="M39" s="30">
        <f t="shared" si="7"/>
        <v>0</v>
      </c>
    </row>
    <row r="40" spans="1:13" ht="15" thickBot="1">
      <c r="A40" s="1"/>
      <c r="B40" s="1"/>
      <c r="C40" s="31" t="s">
        <v>12</v>
      </c>
      <c r="D40" s="64">
        <f>D39</f>
        <v>15650</v>
      </c>
      <c r="E40" s="90">
        <f t="shared" si="0"/>
        <v>-0.2905</v>
      </c>
      <c r="F40" s="80">
        <f>D40*E40-0.02</f>
        <v>-4546.345</v>
      </c>
      <c r="G40" s="66">
        <f>G39</f>
        <v>15650</v>
      </c>
      <c r="H40" s="89">
        <f t="shared" si="1"/>
        <v>-0.6893</v>
      </c>
      <c r="I40" s="79">
        <f t="shared" si="5"/>
        <v>-10787.545</v>
      </c>
      <c r="J40" s="79">
        <f t="shared" si="2"/>
        <v>-6241.2</v>
      </c>
      <c r="K40" s="29">
        <f t="shared" si="3"/>
        <v>1.3727950694458955</v>
      </c>
      <c r="L40" s="30">
        <f t="shared" si="6"/>
        <v>-0.01700731740848617</v>
      </c>
      <c r="M40" s="30">
        <f t="shared" si="7"/>
        <v>-0.01608847430878882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4484.04</v>
      </c>
      <c r="G41" s="58"/>
      <c r="H41" s="57"/>
      <c r="I41" s="85">
        <f>SUM(I34:I40)</f>
        <v>-1677.300000000001</v>
      </c>
      <c r="J41" s="85">
        <f t="shared" si="2"/>
        <v>-6161.340000000001</v>
      </c>
      <c r="K41" s="142">
        <f t="shared" si="3"/>
        <v>-1.3740599994647686</v>
      </c>
      <c r="L41" s="60">
        <f>I41/I56</f>
        <v>-0.002644380485945029</v>
      </c>
      <c r="M41" s="60">
        <f>I41/I61</f>
        <v>-0.002501514288759074</v>
      </c>
    </row>
    <row r="42" spans="1:13" ht="14.25">
      <c r="A42" s="1"/>
      <c r="B42" s="1"/>
      <c r="C42" s="42" t="s">
        <v>13</v>
      </c>
      <c r="D42" s="67">
        <f>F23*J23</f>
        <v>16127.324999999999</v>
      </c>
      <c r="E42" s="91">
        <f>E17</f>
        <v>2.1063</v>
      </c>
      <c r="F42" s="79">
        <f t="shared" si="4"/>
        <v>33968.9846475</v>
      </c>
      <c r="G42" s="67">
        <f>D42</f>
        <v>16127.324999999999</v>
      </c>
      <c r="H42" s="91">
        <f>F17</f>
        <v>2.1841</v>
      </c>
      <c r="I42" s="79">
        <f t="shared" si="5"/>
        <v>35223.6905325</v>
      </c>
      <c r="J42" s="79">
        <f t="shared" si="2"/>
        <v>1254.7058849999958</v>
      </c>
      <c r="K42" s="29">
        <f t="shared" si="3"/>
        <v>0.03693680862175366</v>
      </c>
      <c r="L42" s="30">
        <f>I42/$I$56</f>
        <v>0.055532605906581774</v>
      </c>
      <c r="M42" s="30">
        <f>I42/$I$61</f>
        <v>0.052532382501565854</v>
      </c>
    </row>
    <row r="43" spans="1:13" ht="15" thickBot="1">
      <c r="A43" s="1"/>
      <c r="B43" s="1"/>
      <c r="C43" s="42" t="s">
        <v>14</v>
      </c>
      <c r="D43" s="67">
        <f>D42</f>
        <v>16127.324999999999</v>
      </c>
      <c r="E43" s="88">
        <f>E18</f>
        <v>1.8422</v>
      </c>
      <c r="F43" s="82">
        <f t="shared" si="4"/>
        <v>29709.758115</v>
      </c>
      <c r="G43" s="67">
        <f>D43</f>
        <v>16127.324999999999</v>
      </c>
      <c r="H43" s="88">
        <f>F18</f>
        <v>2.2166</v>
      </c>
      <c r="I43" s="82">
        <f t="shared" si="5"/>
        <v>35747.828595</v>
      </c>
      <c r="J43" s="82">
        <f t="shared" si="2"/>
        <v>6038.0704799999985</v>
      </c>
      <c r="K43" s="29">
        <f t="shared" si="3"/>
        <v>0.20323526218651608</v>
      </c>
      <c r="L43" s="30">
        <f>I43/$I$56</f>
        <v>0.05635894613457679</v>
      </c>
      <c r="M43" s="30">
        <f>I43/$I$61</f>
        <v>0.0533140785920841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63678.7427625</v>
      </c>
      <c r="G44" s="57"/>
      <c r="H44" s="57"/>
      <c r="I44" s="85">
        <f>SUM(I42:I43)</f>
        <v>70971.5191275</v>
      </c>
      <c r="J44" s="85">
        <f t="shared" si="2"/>
        <v>7292.776364999998</v>
      </c>
      <c r="K44" s="59">
        <f t="shared" si="3"/>
        <v>0.11452450297581357</v>
      </c>
      <c r="L44" s="60">
        <f>I44/I56</f>
        <v>0.11189155204115855</v>
      </c>
      <c r="M44" s="60">
        <f>I44/I61</f>
        <v>0.10584646109364995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68162.78276249999</v>
      </c>
      <c r="G45" s="52"/>
      <c r="H45" s="52"/>
      <c r="I45" s="84">
        <f>I44+I41</f>
        <v>69294.2191275</v>
      </c>
      <c r="J45" s="84">
        <f t="shared" si="2"/>
        <v>1131.4363650000014</v>
      </c>
      <c r="K45" s="53">
        <f t="shared" si="3"/>
        <v>0.016599034240463335</v>
      </c>
      <c r="L45" s="54">
        <f>I45/I56</f>
        <v>0.10924717155521353</v>
      </c>
      <c r="M45" s="54">
        <f>I45/I61</f>
        <v>0.10334494680489087</v>
      </c>
    </row>
    <row r="46" spans="1:13" ht="14.25">
      <c r="A46" s="1"/>
      <c r="B46" s="1"/>
      <c r="C46" s="31" t="s">
        <v>15</v>
      </c>
      <c r="D46" s="48">
        <f>$D$23*$J$23</f>
        <v>6293263.5</v>
      </c>
      <c r="E46" s="91">
        <f>E19</f>
        <v>0.0052</v>
      </c>
      <c r="F46" s="72">
        <f>D46*E46</f>
        <v>32724.9702</v>
      </c>
      <c r="G46" s="48">
        <f>$D$23*$J$23</f>
        <v>6293263.5</v>
      </c>
      <c r="H46" s="91">
        <f>F19</f>
        <v>0.0052</v>
      </c>
      <c r="I46" s="72">
        <f>H46*G46</f>
        <v>32724.9702</v>
      </c>
      <c r="J46" s="72">
        <f t="shared" si="2"/>
        <v>0</v>
      </c>
      <c r="K46" s="29">
        <f t="shared" si="3"/>
        <v>0</v>
      </c>
      <c r="L46" s="49">
        <f>I46/$I$56</f>
        <v>0.051593198950702045</v>
      </c>
      <c r="M46" s="49">
        <f>I46/$I$61</f>
        <v>0.04880580728224816</v>
      </c>
    </row>
    <row r="47" spans="1:13" ht="14.25">
      <c r="A47" s="1"/>
      <c r="B47" s="1"/>
      <c r="C47" s="31" t="s">
        <v>17</v>
      </c>
      <c r="D47" s="48">
        <f>$D$23*$J$23</f>
        <v>6293263.5</v>
      </c>
      <c r="E47" s="88">
        <f>E20</f>
        <v>0.0011</v>
      </c>
      <c r="F47" s="83">
        <f>D47*E47</f>
        <v>6922.58985</v>
      </c>
      <c r="G47" s="48">
        <f>$D$23*$J$23</f>
        <v>6293263.5</v>
      </c>
      <c r="H47" s="88">
        <f>F20</f>
        <v>0.0011</v>
      </c>
      <c r="I47" s="83">
        <f>H47*G47</f>
        <v>6922.58985</v>
      </c>
      <c r="J47" s="83">
        <f t="shared" si="2"/>
        <v>0</v>
      </c>
      <c r="K47" s="29">
        <f t="shared" si="3"/>
        <v>0</v>
      </c>
      <c r="L47" s="30">
        <f>I47/$I$56</f>
        <v>0.01091394593187928</v>
      </c>
      <c r="M47" s="30">
        <f>I47/$I$61</f>
        <v>0.01032430538662942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3.941424440984063E-07</v>
      </c>
      <c r="M48" s="30">
        <f>I48/$I$61</f>
        <v>3.728483707087391E-07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39647.81005</v>
      </c>
      <c r="G49" s="97"/>
      <c r="H49" s="97"/>
      <c r="I49" s="98">
        <f>SUM(I46:I48)</f>
        <v>39647.81005</v>
      </c>
      <c r="J49" s="98">
        <f t="shared" si="2"/>
        <v>0</v>
      </c>
      <c r="K49" s="107">
        <f t="shared" si="3"/>
        <v>0</v>
      </c>
      <c r="L49" s="108">
        <f>I49/I56</f>
        <v>0.06250753902502543</v>
      </c>
      <c r="M49" s="108">
        <f>I49/I61</f>
        <v>0.05913048551724829</v>
      </c>
    </row>
    <row r="50" spans="1:13" ht="14.25">
      <c r="A50" s="1"/>
      <c r="B50" s="1"/>
      <c r="C50" s="109" t="s">
        <v>35</v>
      </c>
      <c r="D50" s="110">
        <f>D23</f>
        <v>6107000</v>
      </c>
      <c r="E50" s="102">
        <v>0.007</v>
      </c>
      <c r="F50" s="111">
        <f>D50*E50</f>
        <v>42749</v>
      </c>
      <c r="G50" s="110">
        <f>D50</f>
        <v>6107000</v>
      </c>
      <c r="H50" s="89">
        <v>0.007</v>
      </c>
      <c r="I50" s="111">
        <f>H50*G50</f>
        <v>42749</v>
      </c>
      <c r="J50" s="112">
        <f t="shared" si="2"/>
        <v>0</v>
      </c>
      <c r="K50" s="113">
        <f t="shared" si="3"/>
        <v>0</v>
      </c>
      <c r="L50" s="114">
        <f>I50/I56</f>
        <v>0.06739678137105108</v>
      </c>
      <c r="M50" s="114">
        <f>I50/I61</f>
        <v>0.06375557999771156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622554.3553124999</v>
      </c>
      <c r="G52" s="115"/>
      <c r="H52" s="115"/>
      <c r="I52" s="116">
        <f>I50+I49+I45+I29</f>
        <v>623685.7916774999</v>
      </c>
      <c r="J52" s="116">
        <f t="shared" si="2"/>
        <v>1131.4363649999723</v>
      </c>
      <c r="K52" s="117">
        <f t="shared" si="3"/>
        <v>0.0018174097656613966</v>
      </c>
      <c r="L52" s="118">
        <f>I52/I56</f>
        <v>0.983284169124877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80932.06619062499</v>
      </c>
      <c r="G53" s="132"/>
      <c r="H53" s="134">
        <v>0.13</v>
      </c>
      <c r="I53" s="141">
        <f>I52*H53</f>
        <v>81079.152918075</v>
      </c>
      <c r="J53" s="136">
        <f t="shared" si="2"/>
        <v>147.08672745000513</v>
      </c>
      <c r="K53" s="137">
        <f t="shared" si="3"/>
        <v>0.0018174097656615045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703486.4215031249</v>
      </c>
      <c r="G54" s="135"/>
      <c r="H54" s="135"/>
      <c r="I54" s="136">
        <f>I52+I53</f>
        <v>704764.9445955749</v>
      </c>
      <c r="J54" s="136">
        <f t="shared" si="2"/>
        <v>1278.523092449992</v>
      </c>
      <c r="K54" s="137">
        <f t="shared" si="3"/>
        <v>0.0018174097656614297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-70348.64215031249</v>
      </c>
      <c r="G55" s="132"/>
      <c r="H55" s="140">
        <v>-0.1</v>
      </c>
      <c r="I55" s="141">
        <f>H55*I54</f>
        <v>-70476.49445955749</v>
      </c>
      <c r="J55" s="136">
        <f t="shared" si="2"/>
        <v>-127.85230924500502</v>
      </c>
      <c r="K55" s="137">
        <f t="shared" si="3"/>
        <v>0.0018174097656615126</v>
      </c>
      <c r="L55" s="138">
        <f>I55/$I$56</f>
        <v>-0.11111111111111112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633137.7793528123</v>
      </c>
      <c r="G56" s="127"/>
      <c r="H56" s="127"/>
      <c r="I56" s="128">
        <f>I54+I55</f>
        <v>634288.4501360174</v>
      </c>
      <c r="J56" s="128">
        <f aca="true" t="shared" si="8" ref="J56:J61">I56-F56</f>
        <v>1150.6707832050743</v>
      </c>
      <c r="K56" s="129">
        <f aca="true" t="shared" si="9" ref="K56:K61">J56/F56</f>
        <v>0.0018174097656615585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658174.2267224999</v>
      </c>
      <c r="G57" s="115"/>
      <c r="H57" s="115"/>
      <c r="I57" s="116">
        <f>I50+I45+I49+I33</f>
        <v>659305.6630875</v>
      </c>
      <c r="J57" s="116">
        <f t="shared" si="8"/>
        <v>1131.4363650000887</v>
      </c>
      <c r="K57" s="117">
        <f t="shared" si="9"/>
        <v>0.0017190529787747613</v>
      </c>
      <c r="L57" s="118"/>
      <c r="M57" s="118">
        <f>I57/$I$61</f>
        <v>0.983284169124877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85562.64947392499</v>
      </c>
      <c r="G58" s="132"/>
      <c r="H58" s="134">
        <v>0.13</v>
      </c>
      <c r="I58" s="141">
        <f>I57*H58</f>
        <v>85709.73620137501</v>
      </c>
      <c r="J58" s="136">
        <f t="shared" si="8"/>
        <v>147.08672745001968</v>
      </c>
      <c r="K58" s="137">
        <f t="shared" si="9"/>
        <v>0.0017190529787748567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743736.876196425</v>
      </c>
      <c r="G59" s="135"/>
      <c r="H59" s="135"/>
      <c r="I59" s="136">
        <f>I57+I58</f>
        <v>745015.399288875</v>
      </c>
      <c r="J59" s="136">
        <f t="shared" si="8"/>
        <v>1278.5230924501084</v>
      </c>
      <c r="K59" s="137">
        <f t="shared" si="9"/>
        <v>0.0017190529787747724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-74373.6876196425</v>
      </c>
      <c r="G60" s="132"/>
      <c r="H60" s="140">
        <v>-0.1</v>
      </c>
      <c r="I60" s="141">
        <f>H60*I59</f>
        <v>-74501.5399288875</v>
      </c>
      <c r="J60" s="136">
        <f t="shared" si="8"/>
        <v>-127.85230924500502</v>
      </c>
      <c r="K60" s="137">
        <f t="shared" si="9"/>
        <v>0.0017190529787746939</v>
      </c>
      <c r="L60" s="138"/>
      <c r="M60" s="138">
        <f>I60/$I$61</f>
        <v>-0.1111111111111111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669363.1885767825</v>
      </c>
      <c r="G61" s="127"/>
      <c r="H61" s="127"/>
      <c r="I61" s="128">
        <f>I60+I59</f>
        <v>670513.8593599875</v>
      </c>
      <c r="J61" s="128">
        <f t="shared" si="8"/>
        <v>1150.6707832050743</v>
      </c>
      <c r="K61" s="129">
        <f t="shared" si="9"/>
        <v>0.0017190529787747375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B
Page &amp;P of &amp;N&amp;C&amp;F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D25">
      <selection activeCell="L46" sqref="L46"/>
    </sheetView>
  </sheetViews>
  <sheetFormatPr defaultColWidth="9.00390625" defaultRowHeight="14.25"/>
  <cols>
    <col min="3" max="3" width="59.375" style="0" bestFit="1" customWidth="1"/>
    <col min="4" max="4" width="12.00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9.125" style="0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48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70">
        <v>183.44</v>
      </c>
      <c r="F10" s="70">
        <v>185.05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71">
        <v>0</v>
      </c>
      <c r="F11" s="71">
        <v>0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68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68">
        <v>0.5653</v>
      </c>
      <c r="F13" s="68">
        <v>0.5703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68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68">
        <v>0</v>
      </c>
      <c r="F15" s="68">
        <v>0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68">
        <f>-0.2905-0.3758</f>
        <v>-0.6663</v>
      </c>
      <c r="F16" s="68">
        <f>-0.6893+0.1488</f>
        <v>-0.5405</v>
      </c>
      <c r="G16" s="61" t="s">
        <v>66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68">
        <v>2.1063</v>
      </c>
      <c r="F17" s="68">
        <v>2.1841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68">
        <v>1.8422</v>
      </c>
      <c r="F18" s="68">
        <v>2.2166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68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68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69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6107000</v>
      </c>
      <c r="E23" s="12" t="s">
        <v>20</v>
      </c>
      <c r="F23" s="13">
        <v>15650</v>
      </c>
      <c r="G23" s="14" t="s">
        <v>21</v>
      </c>
      <c r="H23" s="1"/>
      <c r="I23" s="15" t="s">
        <v>22</v>
      </c>
      <c r="J23" s="16">
        <v>1.0305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53.25" thickBot="1">
      <c r="A26" s="1"/>
      <c r="B26" s="1"/>
      <c r="C26" s="62" t="s">
        <v>47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6293263.5</v>
      </c>
      <c r="E27" s="86">
        <v>0.075</v>
      </c>
      <c r="F27" s="72">
        <f>E27*D27</f>
        <v>471994.76249999995</v>
      </c>
      <c r="G27" s="28">
        <f>D27</f>
        <v>6293263.5</v>
      </c>
      <c r="H27" s="92">
        <v>0.075</v>
      </c>
      <c r="I27" s="72">
        <f>H27*G27</f>
        <v>471994.76249999995</v>
      </c>
      <c r="J27" s="72">
        <f>I27-F27</f>
        <v>0</v>
      </c>
      <c r="K27" s="29">
        <f>J27/F27</f>
        <v>0</v>
      </c>
      <c r="L27" s="30">
        <f>I27/I56</f>
        <v>0.7413645677836879</v>
      </c>
      <c r="M27" s="30"/>
    </row>
    <row r="28" spans="1:13" ht="15" thickBot="1">
      <c r="A28" s="1"/>
      <c r="B28" s="1"/>
      <c r="C28" s="31" t="s">
        <v>30</v>
      </c>
      <c r="D28" s="32"/>
      <c r="E28" s="87">
        <v>0.088</v>
      </c>
      <c r="F28" s="73">
        <f>E28*D28</f>
        <v>0</v>
      </c>
      <c r="G28" s="32"/>
      <c r="H28" s="90">
        <v>0.088</v>
      </c>
      <c r="I28" s="73">
        <f>H28*G28</f>
        <v>0</v>
      </c>
      <c r="J28" s="73">
        <f>I28-F28</f>
        <v>0</v>
      </c>
      <c r="K28" s="33">
        <v>0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471994.76249999995</v>
      </c>
      <c r="G29" s="52"/>
      <c r="H29" s="52"/>
      <c r="I29" s="84">
        <f>SUM(I27:I28)</f>
        <v>471994.76249999995</v>
      </c>
      <c r="J29" s="84">
        <f>SUM(J27:J28)</f>
        <v>0</v>
      </c>
      <c r="K29" s="53">
        <v>0</v>
      </c>
      <c r="L29" s="54">
        <f>I29/I56</f>
        <v>0.7413645677836879</v>
      </c>
      <c r="M29" s="54"/>
    </row>
    <row r="30" spans="1:13" ht="14.25">
      <c r="A30" s="1"/>
      <c r="B30" s="1"/>
      <c r="C30" s="99" t="s">
        <v>49</v>
      </c>
      <c r="D30" s="28">
        <f>0.64*$D$23*$J$23</f>
        <v>4027688.6399999997</v>
      </c>
      <c r="E30" s="86">
        <v>0.065</v>
      </c>
      <c r="F30" s="72">
        <f>E30*D30</f>
        <v>261799.7616</v>
      </c>
      <c r="G30" s="28">
        <f>D30</f>
        <v>4027688.6399999997</v>
      </c>
      <c r="H30" s="92">
        <v>0.065</v>
      </c>
      <c r="I30" s="72">
        <f>H30*G30</f>
        <v>261799.7616</v>
      </c>
      <c r="J30" s="72">
        <f>I30-F30</f>
        <v>0</v>
      </c>
      <c r="K30" s="29">
        <f>J30/F30</f>
        <v>0</v>
      </c>
      <c r="L30" s="30"/>
      <c r="M30" s="30">
        <f>I30/I61</f>
        <v>0.3890722242406545</v>
      </c>
    </row>
    <row r="31" spans="1:13" ht="14.25">
      <c r="A31" s="1"/>
      <c r="B31" s="1"/>
      <c r="C31" s="100" t="s">
        <v>50</v>
      </c>
      <c r="D31" s="45">
        <f>0.18*$D$23*$J$23</f>
        <v>1132787.43</v>
      </c>
      <c r="E31" s="102">
        <v>0.1</v>
      </c>
      <c r="F31" s="103">
        <f>E31*D31</f>
        <v>113278.743</v>
      </c>
      <c r="G31" s="45">
        <f>D31</f>
        <v>1132787.43</v>
      </c>
      <c r="H31" s="89">
        <v>0.1</v>
      </c>
      <c r="I31" s="103">
        <f>H31*G31</f>
        <v>113278.743</v>
      </c>
      <c r="J31" s="103">
        <f>I31-F31</f>
        <v>0</v>
      </c>
      <c r="K31" s="33">
        <f>J31/F31</f>
        <v>0</v>
      </c>
      <c r="L31" s="101"/>
      <c r="M31" s="101">
        <f>I31/I61</f>
        <v>0.16834855856566783</v>
      </c>
    </row>
    <row r="32" spans="1:13" ht="15" thickBot="1">
      <c r="A32" s="1"/>
      <c r="B32" s="1"/>
      <c r="C32" s="106" t="s">
        <v>51</v>
      </c>
      <c r="D32" s="32">
        <f>0.18*$D$23*$J$23</f>
        <v>1132787.43</v>
      </c>
      <c r="E32" s="87">
        <v>0.117</v>
      </c>
      <c r="F32" s="73">
        <f>E32*D32</f>
        <v>132536.12931</v>
      </c>
      <c r="G32" s="32">
        <f>D32</f>
        <v>1132787.43</v>
      </c>
      <c r="H32" s="90">
        <v>0.117</v>
      </c>
      <c r="I32" s="73">
        <f>H32*G32</f>
        <v>132536.12931</v>
      </c>
      <c r="J32" s="73">
        <f>I32-F32</f>
        <v>0</v>
      </c>
      <c r="K32" s="104">
        <f>J32/F32</f>
        <v>0</v>
      </c>
      <c r="L32" s="105"/>
      <c r="M32" s="105">
        <f>I32/I61</f>
        <v>0.19696781352183132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507614.63391</v>
      </c>
      <c r="G33" s="52"/>
      <c r="H33" s="52"/>
      <c r="I33" s="84">
        <f>SUM(I30:I32)</f>
        <v>507614.63391</v>
      </c>
      <c r="J33" s="84">
        <f>SUM(J30:J31)</f>
        <v>0</v>
      </c>
      <c r="K33" s="53">
        <v>0</v>
      </c>
      <c r="L33" s="54"/>
      <c r="M33" s="54">
        <f>I33/I61</f>
        <v>0.7543885963281537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183.44</v>
      </c>
      <c r="F34" s="78">
        <f>D34*E34</f>
        <v>183.44</v>
      </c>
      <c r="G34" s="36">
        <v>1</v>
      </c>
      <c r="H34" s="74">
        <f aca="true" t="shared" si="1" ref="H34:H40">F10</f>
        <v>185.05</v>
      </c>
      <c r="I34" s="78">
        <f>H34*G34</f>
        <v>185.05</v>
      </c>
      <c r="J34" s="78">
        <f aca="true" t="shared" si="2" ref="J34:J55">I34-F34</f>
        <v>1.6100000000000136</v>
      </c>
      <c r="K34" s="29">
        <f aca="true" t="shared" si="3" ref="K34:K55">J34/F34</f>
        <v>0.008776711731356376</v>
      </c>
      <c r="L34" s="30">
        <f>I34/$I$56</f>
        <v>0.0002906589737176828</v>
      </c>
      <c r="M34" s="30">
        <f>I34/$I$61</f>
        <v>0.0002750110032786719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0</v>
      </c>
      <c r="F35" s="79">
        <f aca="true" t="shared" si="4" ref="F35:F43">D35*E35</f>
        <v>0</v>
      </c>
      <c r="G35" s="38">
        <v>1</v>
      </c>
      <c r="H35" s="75">
        <f t="shared" si="1"/>
        <v>0</v>
      </c>
      <c r="I35" s="81">
        <f aca="true" t="shared" si="5" ref="I35:I43">H35*G35</f>
        <v>0</v>
      </c>
      <c r="J35" s="81">
        <f t="shared" si="2"/>
        <v>0</v>
      </c>
      <c r="K35" s="29">
        <v>0</v>
      </c>
      <c r="L35" s="30">
        <f aca="true" t="shared" si="6" ref="L35:L40">I35/$I$56</f>
        <v>0</v>
      </c>
      <c r="M35" s="30">
        <f aca="true" t="shared" si="7" ref="M35:M40">I35/$I$61</f>
        <v>0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63">
        <f>F23</f>
        <v>15650</v>
      </c>
      <c r="E37" s="88">
        <f t="shared" si="0"/>
        <v>0.5653</v>
      </c>
      <c r="F37" s="79">
        <f t="shared" si="4"/>
        <v>8846.945</v>
      </c>
      <c r="G37" s="65">
        <f>F23</f>
        <v>15650</v>
      </c>
      <c r="H37" s="88">
        <f t="shared" si="1"/>
        <v>0.5703</v>
      </c>
      <c r="I37" s="79">
        <f t="shared" si="5"/>
        <v>8925.195</v>
      </c>
      <c r="J37" s="79">
        <f t="shared" si="2"/>
        <v>78.25</v>
      </c>
      <c r="K37" s="29">
        <f t="shared" si="3"/>
        <v>0.008844861135680171</v>
      </c>
      <c r="L37" s="30">
        <f t="shared" si="6"/>
        <v>0.014018849062038336</v>
      </c>
      <c r="M37" s="30">
        <f t="shared" si="7"/>
        <v>0.013264127702825106</v>
      </c>
    </row>
    <row r="38" spans="1:13" ht="14.25" hidden="1">
      <c r="A38" s="1"/>
      <c r="B38" s="1"/>
      <c r="C38" s="31" t="s">
        <v>10</v>
      </c>
      <c r="D38" s="64">
        <f>D37</f>
        <v>15650</v>
      </c>
      <c r="E38" s="89">
        <f t="shared" si="0"/>
        <v>0</v>
      </c>
      <c r="F38" s="79">
        <f t="shared" si="4"/>
        <v>0</v>
      </c>
      <c r="G38" s="66">
        <f>G37</f>
        <v>15650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64">
        <f>D37</f>
        <v>15650</v>
      </c>
      <c r="E39" s="89">
        <f t="shared" si="0"/>
        <v>0</v>
      </c>
      <c r="F39" s="79">
        <f t="shared" si="4"/>
        <v>0</v>
      </c>
      <c r="G39" s="66">
        <f>G37</f>
        <v>15650</v>
      </c>
      <c r="H39" s="89">
        <f t="shared" si="1"/>
        <v>0</v>
      </c>
      <c r="I39" s="79">
        <f t="shared" si="5"/>
        <v>0</v>
      </c>
      <c r="J39" s="79">
        <f t="shared" si="2"/>
        <v>0</v>
      </c>
      <c r="K39" s="29">
        <v>0</v>
      </c>
      <c r="L39" s="30">
        <f t="shared" si="6"/>
        <v>0</v>
      </c>
      <c r="M39" s="30">
        <f t="shared" si="7"/>
        <v>0</v>
      </c>
    </row>
    <row r="40" spans="1:13" ht="15" thickBot="1">
      <c r="A40" s="1"/>
      <c r="B40" s="1"/>
      <c r="C40" s="31" t="s">
        <v>12</v>
      </c>
      <c r="D40" s="64">
        <f>D39</f>
        <v>15650</v>
      </c>
      <c r="E40" s="90">
        <f t="shared" si="0"/>
        <v>-0.6663</v>
      </c>
      <c r="F40" s="80">
        <f>D40*E40-0.02</f>
        <v>-10427.615</v>
      </c>
      <c r="G40" s="66">
        <f>G39</f>
        <v>15650</v>
      </c>
      <c r="H40" s="89">
        <f t="shared" si="1"/>
        <v>-0.5405</v>
      </c>
      <c r="I40" s="79">
        <f t="shared" si="5"/>
        <v>-8458.824999999999</v>
      </c>
      <c r="J40" s="79">
        <f t="shared" si="2"/>
        <v>1968.7900000000009</v>
      </c>
      <c r="K40" s="29">
        <f t="shared" si="3"/>
        <v>-0.18880539797451296</v>
      </c>
      <c r="L40" s="30">
        <f t="shared" si="6"/>
        <v>-0.013286319337246572</v>
      </c>
      <c r="M40" s="30">
        <f t="shared" si="7"/>
        <v>-0.012571034584213518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-1397.2299999999996</v>
      </c>
      <c r="G41" s="58"/>
      <c r="H41" s="57"/>
      <c r="I41" s="85">
        <f>SUM(I34:I40)</f>
        <v>651.4200000000001</v>
      </c>
      <c r="J41" s="85">
        <f t="shared" si="2"/>
        <v>2048.6499999999996</v>
      </c>
      <c r="K41" s="142">
        <f t="shared" si="3"/>
        <v>-1.4662224544276892</v>
      </c>
      <c r="L41" s="60">
        <f>I41/I56</f>
        <v>0.001023188698509446</v>
      </c>
      <c r="M41" s="60">
        <f>I41/I61</f>
        <v>0.0009681041218902592</v>
      </c>
    </row>
    <row r="42" spans="1:13" ht="14.25">
      <c r="A42" s="1"/>
      <c r="B42" s="1"/>
      <c r="C42" s="42" t="s">
        <v>13</v>
      </c>
      <c r="D42" s="67">
        <f>F23*J23</f>
        <v>16127.324999999999</v>
      </c>
      <c r="E42" s="91">
        <f>E17</f>
        <v>2.1063</v>
      </c>
      <c r="F42" s="79">
        <f t="shared" si="4"/>
        <v>33968.9846475</v>
      </c>
      <c r="G42" s="67">
        <f>D42</f>
        <v>16127.324999999999</v>
      </c>
      <c r="H42" s="91">
        <f>F17</f>
        <v>2.1841</v>
      </c>
      <c r="I42" s="79">
        <f t="shared" si="5"/>
        <v>35223.6905325</v>
      </c>
      <c r="J42" s="79">
        <f t="shared" si="2"/>
        <v>1254.7058849999958</v>
      </c>
      <c r="K42" s="29">
        <f t="shared" si="3"/>
        <v>0.03693680862175366</v>
      </c>
      <c r="L42" s="30">
        <f>I42/$I$56</f>
        <v>0.05532602940138184</v>
      </c>
      <c r="M42" s="30">
        <f>I42/$I$61</f>
        <v>0.05234748701713202</v>
      </c>
    </row>
    <row r="43" spans="1:13" ht="15" thickBot="1">
      <c r="A43" s="1"/>
      <c r="B43" s="1"/>
      <c r="C43" s="42" t="s">
        <v>14</v>
      </c>
      <c r="D43" s="67">
        <f>D42</f>
        <v>16127.324999999999</v>
      </c>
      <c r="E43" s="88">
        <f>E18</f>
        <v>1.8422</v>
      </c>
      <c r="F43" s="82">
        <f t="shared" si="4"/>
        <v>29709.758115</v>
      </c>
      <c r="G43" s="67">
        <f>D43</f>
        <v>16127.324999999999</v>
      </c>
      <c r="H43" s="88">
        <f>F18</f>
        <v>2.2166</v>
      </c>
      <c r="I43" s="82">
        <f t="shared" si="5"/>
        <v>35747.828595</v>
      </c>
      <c r="J43" s="82">
        <f t="shared" si="2"/>
        <v>6038.0704799999985</v>
      </c>
      <c r="K43" s="29">
        <f t="shared" si="3"/>
        <v>0.20323526218651608</v>
      </c>
      <c r="L43" s="30">
        <f>I43/$I$56</f>
        <v>0.05614929571498695</v>
      </c>
      <c r="M43" s="30">
        <f>I43/$I$61</f>
        <v>0.05312643181272599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63678.7427625</v>
      </c>
      <c r="G44" s="57"/>
      <c r="H44" s="57"/>
      <c r="I44" s="85">
        <f>SUM(I42:I43)</f>
        <v>70971.5191275</v>
      </c>
      <c r="J44" s="85">
        <f t="shared" si="2"/>
        <v>7292.776364999998</v>
      </c>
      <c r="K44" s="59">
        <f t="shared" si="3"/>
        <v>0.11452450297581357</v>
      </c>
      <c r="L44" s="60">
        <f>I44/I56</f>
        <v>0.11147532511636879</v>
      </c>
      <c r="M44" s="60">
        <f>I44/I61</f>
        <v>0.10547391882985802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62281.5127625</v>
      </c>
      <c r="G45" s="52"/>
      <c r="H45" s="52"/>
      <c r="I45" s="84">
        <f>I44+I41</f>
        <v>71622.9391275</v>
      </c>
      <c r="J45" s="84">
        <f t="shared" si="2"/>
        <v>9341.426364999992</v>
      </c>
      <c r="K45" s="53">
        <f t="shared" si="3"/>
        <v>0.1499871462760055</v>
      </c>
      <c r="L45" s="54">
        <f>I45/I56</f>
        <v>0.11249851381487824</v>
      </c>
      <c r="M45" s="54">
        <f>I45/I61</f>
        <v>0.10644202295174827</v>
      </c>
    </row>
    <row r="46" spans="1:13" ht="14.25">
      <c r="A46" s="1"/>
      <c r="B46" s="1"/>
      <c r="C46" s="31" t="s">
        <v>15</v>
      </c>
      <c r="D46" s="48">
        <f>$D$23*$J$23</f>
        <v>6293263.5</v>
      </c>
      <c r="E46" s="91">
        <f>E19</f>
        <v>0.0052</v>
      </c>
      <c r="F46" s="72">
        <f>D46*E46</f>
        <v>32724.9702</v>
      </c>
      <c r="G46" s="48">
        <f>$D$23*$J$23</f>
        <v>6293263.5</v>
      </c>
      <c r="H46" s="91">
        <f>F19</f>
        <v>0.0052</v>
      </c>
      <c r="I46" s="72">
        <f>H46*G46</f>
        <v>32724.9702</v>
      </c>
      <c r="J46" s="72">
        <f t="shared" si="2"/>
        <v>0</v>
      </c>
      <c r="K46" s="29">
        <f t="shared" si="3"/>
        <v>0</v>
      </c>
      <c r="L46" s="49">
        <f>I46/$I$56</f>
        <v>0.05140127669966903</v>
      </c>
      <c r="M46" s="49">
        <f>I46/$I$61</f>
        <v>0.048634028030081815</v>
      </c>
    </row>
    <row r="47" spans="1:13" ht="14.25">
      <c r="A47" s="1"/>
      <c r="B47" s="1"/>
      <c r="C47" s="31" t="s">
        <v>17</v>
      </c>
      <c r="D47" s="48">
        <f>$D$23*$J$23</f>
        <v>6293263.5</v>
      </c>
      <c r="E47" s="88">
        <f>E20</f>
        <v>0.0011</v>
      </c>
      <c r="F47" s="83">
        <f>D47*E47</f>
        <v>6922.58985</v>
      </c>
      <c r="G47" s="48">
        <f>$D$23*$J$23</f>
        <v>6293263.5</v>
      </c>
      <c r="H47" s="88">
        <f>F20</f>
        <v>0.0011</v>
      </c>
      <c r="I47" s="83">
        <f>H47*G47</f>
        <v>6922.58985</v>
      </c>
      <c r="J47" s="83">
        <f t="shared" si="2"/>
        <v>0</v>
      </c>
      <c r="K47" s="29">
        <f t="shared" si="3"/>
        <v>0</v>
      </c>
      <c r="L47" s="30">
        <f>I47/$I$56</f>
        <v>0.010873346994160756</v>
      </c>
      <c r="M47" s="30">
        <f>I47/$I$61</f>
        <v>0.010287967467901922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3.926762681946539E-07</v>
      </c>
      <c r="M48" s="30">
        <f>I48/$I$61</f>
        <v>3.7153607576151296E-07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39647.81005</v>
      </c>
      <c r="G49" s="97"/>
      <c r="H49" s="97"/>
      <c r="I49" s="98">
        <f>SUM(I46:I48)</f>
        <v>39647.81005</v>
      </c>
      <c r="J49" s="98">
        <f t="shared" si="2"/>
        <v>0</v>
      </c>
      <c r="K49" s="107">
        <f t="shared" si="3"/>
        <v>0</v>
      </c>
      <c r="L49" s="108">
        <f>I49/I56</f>
        <v>0.062275016370097976</v>
      </c>
      <c r="M49" s="108">
        <f>I49/I61</f>
        <v>0.0589223670340595</v>
      </c>
    </row>
    <row r="50" spans="1:13" ht="14.25">
      <c r="A50" s="1"/>
      <c r="B50" s="1"/>
      <c r="C50" s="109" t="s">
        <v>35</v>
      </c>
      <c r="D50" s="110">
        <f>D23</f>
        <v>6107000</v>
      </c>
      <c r="E50" s="102">
        <v>0.007</v>
      </c>
      <c r="F50" s="111">
        <f>D50*E50</f>
        <v>42749</v>
      </c>
      <c r="G50" s="110">
        <f>D50</f>
        <v>6107000</v>
      </c>
      <c r="H50" s="89">
        <v>0.007</v>
      </c>
      <c r="I50" s="111">
        <f>H50*G50</f>
        <v>42749</v>
      </c>
      <c r="J50" s="112">
        <f t="shared" si="2"/>
        <v>0</v>
      </c>
      <c r="K50" s="113">
        <f t="shared" si="3"/>
        <v>0</v>
      </c>
      <c r="L50" s="114">
        <f>I50/I56</f>
        <v>0.06714607115621304</v>
      </c>
      <c r="M50" s="114">
        <f>I50/I61</f>
        <v>0.06353118281091567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616673.0853124999</v>
      </c>
      <c r="G52" s="115"/>
      <c r="H52" s="115"/>
      <c r="I52" s="116">
        <f>I50+I49+I45+I29</f>
        <v>626014.5116775</v>
      </c>
      <c r="J52" s="116">
        <f t="shared" si="2"/>
        <v>9341.42636500008</v>
      </c>
      <c r="K52" s="117">
        <f t="shared" si="3"/>
        <v>0.015148101299518041</v>
      </c>
      <c r="L52" s="118">
        <f>I52/I56</f>
        <v>0.9832841691248771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80167.501090625</v>
      </c>
      <c r="G53" s="132"/>
      <c r="H53" s="134">
        <v>0.13</v>
      </c>
      <c r="I53" s="141">
        <f>I52*H53</f>
        <v>81381.886518075</v>
      </c>
      <c r="J53" s="136">
        <f t="shared" si="2"/>
        <v>1214.3854274500045</v>
      </c>
      <c r="K53" s="137">
        <f t="shared" si="3"/>
        <v>0.015148101299517967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696840.5864031248</v>
      </c>
      <c r="G54" s="135"/>
      <c r="H54" s="135"/>
      <c r="I54" s="136">
        <f>I52+I53</f>
        <v>707396.398195575</v>
      </c>
      <c r="J54" s="136">
        <f t="shared" si="2"/>
        <v>10555.811792450142</v>
      </c>
      <c r="K54" s="137">
        <f t="shared" si="3"/>
        <v>0.015148101299518118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-69684.05864031249</v>
      </c>
      <c r="G55" s="132"/>
      <c r="H55" s="140">
        <v>-0.1</v>
      </c>
      <c r="I55" s="141">
        <f>H55*I54</f>
        <v>-70739.6398195575</v>
      </c>
      <c r="J55" s="136">
        <f t="shared" si="2"/>
        <v>-1055.5811792450113</v>
      </c>
      <c r="K55" s="137">
        <f t="shared" si="3"/>
        <v>0.015148101299518074</v>
      </c>
      <c r="L55" s="138">
        <f>I55/$I$56</f>
        <v>-0.11111111111111112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627156.5277628123</v>
      </c>
      <c r="G56" s="127"/>
      <c r="H56" s="127"/>
      <c r="I56" s="128">
        <f>I54+I55</f>
        <v>636656.7583760174</v>
      </c>
      <c r="J56" s="128">
        <f aca="true" t="shared" si="8" ref="J56:J61">I56-F56</f>
        <v>9500.230613205116</v>
      </c>
      <c r="K56" s="129">
        <f aca="true" t="shared" si="9" ref="K56:K61">J56/F56</f>
        <v>0.015148101299518098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652292.9567225</v>
      </c>
      <c r="G57" s="115"/>
      <c r="H57" s="115"/>
      <c r="I57" s="116">
        <f>I50+I45+I49+I33</f>
        <v>661634.3830875</v>
      </c>
      <c r="J57" s="116">
        <f t="shared" si="8"/>
        <v>9341.426364999963</v>
      </c>
      <c r="K57" s="117">
        <f t="shared" si="9"/>
        <v>0.014320906379147083</v>
      </c>
      <c r="L57" s="118"/>
      <c r="M57" s="118">
        <f>I57/$I$61</f>
        <v>0.9832841691248771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84798.08437392501</v>
      </c>
      <c r="G58" s="132"/>
      <c r="H58" s="134">
        <v>0.13</v>
      </c>
      <c r="I58" s="141">
        <f>I57*H58</f>
        <v>86012.469801375</v>
      </c>
      <c r="J58" s="136">
        <f t="shared" si="8"/>
        <v>1214.38542744999</v>
      </c>
      <c r="K58" s="137">
        <f t="shared" si="9"/>
        <v>0.01432090637914702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737091.041096425</v>
      </c>
      <c r="G59" s="135"/>
      <c r="H59" s="135"/>
      <c r="I59" s="136">
        <f>I57+I58</f>
        <v>747646.852888875</v>
      </c>
      <c r="J59" s="136">
        <f t="shared" si="8"/>
        <v>10555.81179244991</v>
      </c>
      <c r="K59" s="137">
        <f t="shared" si="9"/>
        <v>0.014320906379147017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-73709.1041096425</v>
      </c>
      <c r="G60" s="132"/>
      <c r="H60" s="140">
        <v>-0.1</v>
      </c>
      <c r="I60" s="141">
        <f>H60*I59</f>
        <v>-74764.6852888875</v>
      </c>
      <c r="J60" s="136">
        <f t="shared" si="8"/>
        <v>-1055.5811792449967</v>
      </c>
      <c r="K60" s="137">
        <f t="shared" si="9"/>
        <v>0.014320906379147095</v>
      </c>
      <c r="L60" s="138"/>
      <c r="M60" s="138">
        <f>I60/$I$61</f>
        <v>-0.11111111111111112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663381.9369867826</v>
      </c>
      <c r="G61" s="127"/>
      <c r="H61" s="127"/>
      <c r="I61" s="128">
        <f>I60+I59</f>
        <v>672882.1675999875</v>
      </c>
      <c r="J61" s="128">
        <f t="shared" si="8"/>
        <v>9500.230613204883</v>
      </c>
      <c r="K61" s="129">
        <f t="shared" si="9"/>
        <v>0.014320906379146963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B
Page &amp;P of &amp;N&amp;C&amp;F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D28">
      <selection activeCell="M48" sqref="M48"/>
    </sheetView>
  </sheetViews>
  <sheetFormatPr defaultColWidth="9.00390625" defaultRowHeight="14.25"/>
  <cols>
    <col min="3" max="3" width="59.375" style="0" bestFit="1" customWidth="1"/>
    <col min="4" max="4" width="7.75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39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70">
        <v>28.9</v>
      </c>
      <c r="F10" s="70">
        <v>29.15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71">
        <f>3.91+5.24</f>
        <v>9.15</v>
      </c>
      <c r="F11" s="71">
        <f>3.91+5.24</f>
        <v>9.15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68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68">
        <v>0.0204</v>
      </c>
      <c r="F13" s="68">
        <v>0.0206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68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68">
        <v>0.0003</v>
      </c>
      <c r="F15" s="68">
        <v>0.0003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68">
        <f>0.0004-0.0003-0.0022-0.0012</f>
        <v>-0.0033</v>
      </c>
      <c r="F16" s="68">
        <f>-0.0023-0.0012-0.0002</f>
        <v>-0.0036999999999999997</v>
      </c>
      <c r="G16" s="61" t="s">
        <v>45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68">
        <v>0.006</v>
      </c>
      <c r="F17" s="68">
        <v>0.0057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68">
        <v>0.0048</v>
      </c>
      <c r="F18" s="68">
        <v>0.0045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68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68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69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2000</v>
      </c>
      <c r="E23" s="12" t="s">
        <v>20</v>
      </c>
      <c r="F23" s="13">
        <v>0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>
        <v>600</v>
      </c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" thickBot="1">
      <c r="A26" s="1"/>
      <c r="B26" s="1"/>
      <c r="C26" s="20" t="s">
        <v>39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D24</f>
        <v>600</v>
      </c>
      <c r="E27" s="86">
        <v>0.075</v>
      </c>
      <c r="F27" s="72">
        <f>E27*D27</f>
        <v>45</v>
      </c>
      <c r="G27" s="28">
        <f>D24</f>
        <v>600</v>
      </c>
      <c r="H27" s="92">
        <v>0.075</v>
      </c>
      <c r="I27" s="72">
        <f>H27*G27</f>
        <v>45</v>
      </c>
      <c r="J27" s="72">
        <f>I27-F27</f>
        <v>0</v>
      </c>
      <c r="K27" s="29">
        <f>J27/F27</f>
        <v>0</v>
      </c>
      <c r="L27" s="30">
        <f>I27/I56</f>
        <v>0.14634043831771015</v>
      </c>
      <c r="M27" s="30"/>
    </row>
    <row r="28" spans="1:13" ht="15" thickBot="1">
      <c r="A28" s="1"/>
      <c r="B28" s="1"/>
      <c r="C28" s="31" t="s">
        <v>30</v>
      </c>
      <c r="D28" s="32">
        <f>$D$23*$J$23-D27</f>
        <v>1536</v>
      </c>
      <c r="E28" s="87">
        <v>0.088</v>
      </c>
      <c r="F28" s="73">
        <f>E28*D28</f>
        <v>135.168</v>
      </c>
      <c r="G28" s="32">
        <f>$D$23*$J$23-G27</f>
        <v>1536</v>
      </c>
      <c r="H28" s="90">
        <v>0.088</v>
      </c>
      <c r="I28" s="73">
        <f>H28*G28</f>
        <v>135.168</v>
      </c>
      <c r="J28" s="73">
        <f>I28-F28</f>
        <v>0</v>
      </c>
      <c r="K28" s="33">
        <f>J28/F28</f>
        <v>0</v>
      </c>
      <c r="L28" s="30">
        <f>I28/I56</f>
        <v>0.4395676525895166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180.168</v>
      </c>
      <c r="G29" s="52"/>
      <c r="H29" s="52"/>
      <c r="I29" s="84">
        <f>SUM(I27:I28)</f>
        <v>180.168</v>
      </c>
      <c r="J29" s="84">
        <f>SUM(J27:J28)</f>
        <v>0</v>
      </c>
      <c r="K29" s="53">
        <v>0</v>
      </c>
      <c r="L29" s="54">
        <f>I29/I56</f>
        <v>0.5859080909072267</v>
      </c>
      <c r="M29" s="54"/>
    </row>
    <row r="30" spans="1:13" ht="14.25">
      <c r="A30" s="1"/>
      <c r="B30" s="1"/>
      <c r="C30" s="99" t="s">
        <v>49</v>
      </c>
      <c r="D30" s="28">
        <f>0.64*$D$23*$J$23</f>
        <v>1367.04</v>
      </c>
      <c r="E30" s="86">
        <v>0.065</v>
      </c>
      <c r="F30" s="72">
        <f>E30*D30</f>
        <v>88.8576</v>
      </c>
      <c r="G30" s="28">
        <f>D30</f>
        <v>1367.04</v>
      </c>
      <c r="H30" s="92">
        <v>0.065</v>
      </c>
      <c r="I30" s="72">
        <f>H30*G30</f>
        <v>88.8576</v>
      </c>
      <c r="J30" s="72">
        <f>I30-F30</f>
        <v>0</v>
      </c>
      <c r="K30" s="29">
        <f>J30/F30</f>
        <v>0</v>
      </c>
      <c r="L30" s="30"/>
      <c r="M30" s="30">
        <f>I30/I61</f>
        <v>0.2966963997825574</v>
      </c>
    </row>
    <row r="31" spans="1:13" ht="14.25">
      <c r="A31" s="1"/>
      <c r="B31" s="1"/>
      <c r="C31" s="100" t="s">
        <v>50</v>
      </c>
      <c r="D31" s="45">
        <f>0.18*$D$23*$J$23</f>
        <v>384.48</v>
      </c>
      <c r="E31" s="102">
        <v>0.1</v>
      </c>
      <c r="F31" s="103">
        <f>E31*D31</f>
        <v>38.44800000000001</v>
      </c>
      <c r="G31" s="45">
        <f>D31</f>
        <v>384.48</v>
      </c>
      <c r="H31" s="89">
        <v>0.1</v>
      </c>
      <c r="I31" s="103">
        <f>H31*G31</f>
        <v>38.44800000000001</v>
      </c>
      <c r="J31" s="103">
        <f>I31-F31</f>
        <v>0</v>
      </c>
      <c r="K31" s="33">
        <f>J31/F31</f>
        <v>0</v>
      </c>
      <c r="L31" s="101"/>
      <c r="M31" s="101">
        <f>I31/I61</f>
        <v>0.1283782499059143</v>
      </c>
    </row>
    <row r="32" spans="1:13" ht="15" thickBot="1">
      <c r="A32" s="1"/>
      <c r="B32" s="1"/>
      <c r="C32" s="106" t="s">
        <v>51</v>
      </c>
      <c r="D32" s="32">
        <f>0.18*$D$23*$J$23</f>
        <v>384.48</v>
      </c>
      <c r="E32" s="87">
        <v>0.117</v>
      </c>
      <c r="F32" s="73">
        <f>E32*D32</f>
        <v>44.98416</v>
      </c>
      <c r="G32" s="32">
        <f>D32</f>
        <v>384.48</v>
      </c>
      <c r="H32" s="90">
        <v>0.117</v>
      </c>
      <c r="I32" s="73">
        <f>H32*G32</f>
        <v>44.98416</v>
      </c>
      <c r="J32" s="73">
        <f>I32-F32</f>
        <v>0</v>
      </c>
      <c r="K32" s="104">
        <f>J32/F32</f>
        <v>0</v>
      </c>
      <c r="L32" s="105"/>
      <c r="M32" s="105">
        <f>I32/I61</f>
        <v>0.1502025523899197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172.28976</v>
      </c>
      <c r="G33" s="52"/>
      <c r="H33" s="52"/>
      <c r="I33" s="84">
        <f>SUM(I30:I32)</f>
        <v>172.28976</v>
      </c>
      <c r="J33" s="84">
        <f>SUM(J30:J31)</f>
        <v>0</v>
      </c>
      <c r="K33" s="53">
        <v>0</v>
      </c>
      <c r="L33" s="54"/>
      <c r="M33" s="54">
        <f>I33/I61</f>
        <v>0.5752772020783913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28.9</v>
      </c>
      <c r="F34" s="78">
        <f>D34*E34</f>
        <v>28.9</v>
      </c>
      <c r="G34" s="36">
        <v>1</v>
      </c>
      <c r="H34" s="74">
        <f aca="true" t="shared" si="1" ref="H34:H40">F10</f>
        <v>29.15</v>
      </c>
      <c r="I34" s="78">
        <f>H34*G34</f>
        <v>29.15</v>
      </c>
      <c r="J34" s="78">
        <f aca="true" t="shared" si="2" ref="J34:J55">I34-F34</f>
        <v>0.25</v>
      </c>
      <c r="K34" s="29">
        <f aca="true" t="shared" si="3" ref="K34:K55">J34/F34</f>
        <v>0.00865051903114187</v>
      </c>
      <c r="L34" s="30">
        <f>I34/$I$56</f>
        <v>0.09479608393247223</v>
      </c>
      <c r="M34" s="30">
        <f>I34/$I$61</f>
        <v>0.09733213651574595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9.15</v>
      </c>
      <c r="F35" s="79">
        <f aca="true" t="shared" si="4" ref="F35:F43">D35*E35</f>
        <v>9.15</v>
      </c>
      <c r="G35" s="38">
        <v>1</v>
      </c>
      <c r="H35" s="75">
        <f t="shared" si="1"/>
        <v>9.15</v>
      </c>
      <c r="I35" s="81">
        <f aca="true" t="shared" si="5" ref="I35:I43">H35*G35</f>
        <v>9.15</v>
      </c>
      <c r="J35" s="81">
        <f t="shared" si="2"/>
        <v>0</v>
      </c>
      <c r="K35" s="29">
        <f t="shared" si="3"/>
        <v>0</v>
      </c>
      <c r="L35" s="30">
        <f aca="true" t="shared" si="6" ref="L35:L40">I35/$I$56</f>
        <v>0.029755889124601063</v>
      </c>
      <c r="M35" s="30">
        <f aca="true" t="shared" si="7" ref="M35:M40">I35/$I$61</f>
        <v>0.03055193993547429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43">
        <f>D23</f>
        <v>2000</v>
      </c>
      <c r="E37" s="88">
        <f t="shared" si="0"/>
        <v>0.0204</v>
      </c>
      <c r="F37" s="79">
        <f t="shared" si="4"/>
        <v>40.800000000000004</v>
      </c>
      <c r="G37" s="44">
        <f>D23</f>
        <v>2000</v>
      </c>
      <c r="H37" s="88">
        <f t="shared" si="1"/>
        <v>0.0206</v>
      </c>
      <c r="I37" s="79">
        <f t="shared" si="5"/>
        <v>41.2</v>
      </c>
      <c r="J37" s="79">
        <f t="shared" si="2"/>
        <v>0.3999999999999986</v>
      </c>
      <c r="K37" s="29">
        <f t="shared" si="3"/>
        <v>0.009803921568627414</v>
      </c>
      <c r="L37" s="30">
        <f t="shared" si="6"/>
        <v>0.13398280130421464</v>
      </c>
      <c r="M37" s="30">
        <f t="shared" si="7"/>
        <v>0.13756720495535965</v>
      </c>
    </row>
    <row r="38" spans="1:13" ht="14.25" hidden="1">
      <c r="A38" s="1"/>
      <c r="B38" s="1"/>
      <c r="C38" s="31" t="s">
        <v>10</v>
      </c>
      <c r="D38" s="45">
        <f>D37</f>
        <v>2000</v>
      </c>
      <c r="E38" s="89">
        <f t="shared" si="0"/>
        <v>0</v>
      </c>
      <c r="F38" s="79">
        <f t="shared" si="4"/>
        <v>0</v>
      </c>
      <c r="G38" s="46">
        <f>G37</f>
        <v>2000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45">
        <f>D37</f>
        <v>2000</v>
      </c>
      <c r="E39" s="89">
        <f t="shared" si="0"/>
        <v>0.0003</v>
      </c>
      <c r="F39" s="79">
        <f t="shared" si="4"/>
        <v>0.6</v>
      </c>
      <c r="G39" s="46">
        <f>G37</f>
        <v>2000</v>
      </c>
      <c r="H39" s="89">
        <f t="shared" si="1"/>
        <v>0.0003</v>
      </c>
      <c r="I39" s="79">
        <f t="shared" si="5"/>
        <v>0.6</v>
      </c>
      <c r="J39" s="79">
        <f t="shared" si="2"/>
        <v>0</v>
      </c>
      <c r="K39" s="29">
        <f t="shared" si="3"/>
        <v>0</v>
      </c>
      <c r="L39" s="30">
        <f t="shared" si="6"/>
        <v>0.0019512058442361351</v>
      </c>
      <c r="M39" s="30">
        <f t="shared" si="7"/>
        <v>0.00200340589740815</v>
      </c>
    </row>
    <row r="40" spans="1:13" ht="15" thickBot="1">
      <c r="A40" s="1"/>
      <c r="B40" s="1"/>
      <c r="C40" s="31" t="s">
        <v>12</v>
      </c>
      <c r="D40" s="45">
        <f>D39</f>
        <v>2000</v>
      </c>
      <c r="E40" s="90">
        <f t="shared" si="0"/>
        <v>-0.0033</v>
      </c>
      <c r="F40" s="80">
        <f>D40*E40-0.02</f>
        <v>-6.619999999999999</v>
      </c>
      <c r="G40" s="46">
        <f>G39</f>
        <v>2000</v>
      </c>
      <c r="H40" s="89">
        <f t="shared" si="1"/>
        <v>-0.0036999999999999997</v>
      </c>
      <c r="I40" s="79">
        <f t="shared" si="5"/>
        <v>-7.3999999999999995</v>
      </c>
      <c r="J40" s="79">
        <f t="shared" si="2"/>
        <v>-0.7800000000000002</v>
      </c>
      <c r="K40" s="29">
        <f t="shared" si="3"/>
        <v>0.11782477341389733</v>
      </c>
      <c r="L40" s="30">
        <f t="shared" si="6"/>
        <v>-0.024064872078912333</v>
      </c>
      <c r="M40" s="30">
        <f t="shared" si="7"/>
        <v>-0.024708672734700517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72.82999999999998</v>
      </c>
      <c r="G41" s="58"/>
      <c r="H41" s="57"/>
      <c r="I41" s="85">
        <f>SUM(I34:I40)</f>
        <v>72.69999999999999</v>
      </c>
      <c r="J41" s="85">
        <f t="shared" si="2"/>
        <v>-0.12999999999999545</v>
      </c>
      <c r="K41" s="59">
        <f t="shared" si="3"/>
        <v>-0.0017849787175613825</v>
      </c>
      <c r="L41" s="60">
        <f>I41/I56</f>
        <v>0.23642110812661168</v>
      </c>
      <c r="M41" s="60">
        <f>I41/I61</f>
        <v>0.2427460145692875</v>
      </c>
    </row>
    <row r="42" spans="1:13" ht="14.25">
      <c r="A42" s="1"/>
      <c r="B42" s="1"/>
      <c r="C42" s="42" t="s">
        <v>13</v>
      </c>
      <c r="D42" s="48">
        <f>$D$23*$J$23</f>
        <v>2136</v>
      </c>
      <c r="E42" s="91">
        <f>E17</f>
        <v>0.006</v>
      </c>
      <c r="F42" s="79">
        <f t="shared" si="4"/>
        <v>12.816</v>
      </c>
      <c r="G42" s="48">
        <f>$D$23*$J$23</f>
        <v>2136</v>
      </c>
      <c r="H42" s="91">
        <f>F17</f>
        <v>0.0057</v>
      </c>
      <c r="I42" s="79">
        <f t="shared" si="5"/>
        <v>12.1752</v>
      </c>
      <c r="J42" s="79">
        <f t="shared" si="2"/>
        <v>-0.6408000000000005</v>
      </c>
      <c r="K42" s="29">
        <f t="shared" si="3"/>
        <v>-0.05000000000000004</v>
      </c>
      <c r="L42" s="30">
        <f>I42/$I$56</f>
        <v>0.03959386899123966</v>
      </c>
      <c r="M42" s="30">
        <f>I42/$I$61</f>
        <v>0.040653112470206185</v>
      </c>
    </row>
    <row r="43" spans="1:13" ht="15" thickBot="1">
      <c r="A43" s="1"/>
      <c r="B43" s="1"/>
      <c r="C43" s="42" t="s">
        <v>14</v>
      </c>
      <c r="D43" s="48">
        <f>$D$23*$J$23</f>
        <v>2136</v>
      </c>
      <c r="E43" s="88">
        <f>E18</f>
        <v>0.0048</v>
      </c>
      <c r="F43" s="82">
        <f t="shared" si="4"/>
        <v>10.252799999999999</v>
      </c>
      <c r="G43" s="48">
        <f>$D$23*$J$23</f>
        <v>2136</v>
      </c>
      <c r="H43" s="88">
        <f>F18</f>
        <v>0.0045</v>
      </c>
      <c r="I43" s="82">
        <f t="shared" si="5"/>
        <v>9.612</v>
      </c>
      <c r="J43" s="82">
        <f t="shared" si="2"/>
        <v>-0.6407999999999987</v>
      </c>
      <c r="K43" s="29">
        <f t="shared" si="3"/>
        <v>-0.06249999999999988</v>
      </c>
      <c r="L43" s="30">
        <f>I43/$I$56</f>
        <v>0.031258317624662885</v>
      </c>
      <c r="M43" s="30">
        <f>I43/$I$61</f>
        <v>0.032094562476478565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23.0688</v>
      </c>
      <c r="G44" s="57"/>
      <c r="H44" s="57"/>
      <c r="I44" s="85">
        <f>SUM(I42:I43)</f>
        <v>21.7872</v>
      </c>
      <c r="J44" s="85">
        <f t="shared" si="2"/>
        <v>-1.281600000000001</v>
      </c>
      <c r="K44" s="59">
        <f t="shared" si="3"/>
        <v>-0.0555555555555556</v>
      </c>
      <c r="L44" s="60">
        <f>I44/I56</f>
        <v>0.07085218661590253</v>
      </c>
      <c r="M44" s="60">
        <f>I44/I61</f>
        <v>0.07274767494668474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95.89879999999998</v>
      </c>
      <c r="G45" s="52"/>
      <c r="H45" s="52"/>
      <c r="I45" s="84">
        <f>I44+I41</f>
        <v>94.48719999999999</v>
      </c>
      <c r="J45" s="84">
        <f t="shared" si="2"/>
        <v>-1.4115999999999929</v>
      </c>
      <c r="K45" s="53">
        <f t="shared" si="3"/>
        <v>-0.014719683666531732</v>
      </c>
      <c r="L45" s="54">
        <f>I45/I56</f>
        <v>0.30727329474251425</v>
      </c>
      <c r="M45" s="54">
        <f>I45/I61</f>
        <v>0.31549368951597223</v>
      </c>
    </row>
    <row r="46" spans="1:13" ht="14.25">
      <c r="A46" s="1"/>
      <c r="B46" s="1"/>
      <c r="C46" s="31" t="s">
        <v>15</v>
      </c>
      <c r="D46" s="48">
        <f>$D$23*$J$23</f>
        <v>2136</v>
      </c>
      <c r="E46" s="91">
        <f>E19</f>
        <v>0.0052</v>
      </c>
      <c r="F46" s="72">
        <f>D46*E46</f>
        <v>11.107199999999999</v>
      </c>
      <c r="G46" s="48">
        <f>$D$23*$J$23</f>
        <v>2136</v>
      </c>
      <c r="H46" s="91">
        <f>F19</f>
        <v>0.0052</v>
      </c>
      <c r="I46" s="72">
        <f>H46*G46</f>
        <v>11.107199999999999</v>
      </c>
      <c r="J46" s="72">
        <f t="shared" si="2"/>
        <v>0</v>
      </c>
      <c r="K46" s="29">
        <f t="shared" si="3"/>
        <v>0</v>
      </c>
      <c r="L46" s="49">
        <f>I46/$I$56</f>
        <v>0.036120722588499334</v>
      </c>
      <c r="M46" s="49">
        <f>I46/$I$61</f>
        <v>0.03708704997281967</v>
      </c>
    </row>
    <row r="47" spans="1:13" ht="14.25">
      <c r="A47" s="1"/>
      <c r="B47" s="1"/>
      <c r="C47" s="31" t="s">
        <v>17</v>
      </c>
      <c r="D47" s="48">
        <f>$D$23*$J$23</f>
        <v>2136</v>
      </c>
      <c r="E47" s="88">
        <f>E20</f>
        <v>0.0011</v>
      </c>
      <c r="F47" s="83">
        <f>D47*E47</f>
        <v>2.3496</v>
      </c>
      <c r="G47" s="48">
        <f>$D$23*$J$23</f>
        <v>2136</v>
      </c>
      <c r="H47" s="88">
        <f>F20</f>
        <v>0.0011</v>
      </c>
      <c r="I47" s="83">
        <f>H47*G47</f>
        <v>2.3496</v>
      </c>
      <c r="J47" s="83">
        <f t="shared" si="2"/>
        <v>0</v>
      </c>
      <c r="K47" s="29">
        <f t="shared" si="3"/>
        <v>0</v>
      </c>
      <c r="L47" s="30">
        <f>I47/$I$56</f>
        <v>0.007640922086028706</v>
      </c>
      <c r="M47" s="30">
        <f>I47/$I$61</f>
        <v>0.007845337494250317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0.0008130024350983897</v>
      </c>
      <c r="M48" s="30">
        <f>I48/$I$61</f>
        <v>0.0008347524572533959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13.7068</v>
      </c>
      <c r="G49" s="97"/>
      <c r="H49" s="97"/>
      <c r="I49" s="98">
        <f>SUM(I46:I48)</f>
        <v>13.7068</v>
      </c>
      <c r="J49" s="98">
        <f t="shared" si="2"/>
        <v>0</v>
      </c>
      <c r="K49" s="107">
        <f t="shared" si="3"/>
        <v>0</v>
      </c>
      <c r="L49" s="108">
        <f>I49/I56</f>
        <v>0.04457464710962643</v>
      </c>
      <c r="M49" s="108">
        <f>I49/I61</f>
        <v>0.04576713992432338</v>
      </c>
    </row>
    <row r="50" spans="1:13" ht="14.25">
      <c r="A50" s="1"/>
      <c r="B50" s="1"/>
      <c r="C50" s="109" t="s">
        <v>35</v>
      </c>
      <c r="D50" s="110">
        <f>D23</f>
        <v>2000</v>
      </c>
      <c r="E50" s="102">
        <v>0.007</v>
      </c>
      <c r="F50" s="111">
        <f>D50*E50</f>
        <v>14</v>
      </c>
      <c r="G50" s="110">
        <f>D50</f>
        <v>2000</v>
      </c>
      <c r="H50" s="89">
        <v>0.007</v>
      </c>
      <c r="I50" s="111">
        <f>H50*G50</f>
        <v>14</v>
      </c>
      <c r="J50" s="112">
        <f t="shared" si="2"/>
        <v>0</v>
      </c>
      <c r="K50" s="113">
        <f t="shared" si="3"/>
        <v>0</v>
      </c>
      <c r="L50" s="114">
        <f>I50/I56</f>
        <v>0.04552813636550982</v>
      </c>
      <c r="M50" s="114">
        <f>I50/I61</f>
        <v>0.04674613760619017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303.7736</v>
      </c>
      <c r="G52" s="115"/>
      <c r="H52" s="115"/>
      <c r="I52" s="116">
        <f>I50+I49+I45+I29</f>
        <v>302.36199999999997</v>
      </c>
      <c r="J52" s="116">
        <f t="shared" si="2"/>
        <v>-1.4116000000000213</v>
      </c>
      <c r="K52" s="117">
        <f t="shared" si="3"/>
        <v>-0.004646881756676753</v>
      </c>
      <c r="L52" s="118">
        <f>I52/I56</f>
        <v>0.9832841691248771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39.490568</v>
      </c>
      <c r="G53" s="132"/>
      <c r="H53" s="134">
        <v>0.13</v>
      </c>
      <c r="I53" s="141">
        <f>I52*H53</f>
        <v>39.30706</v>
      </c>
      <c r="J53" s="136">
        <f t="shared" si="2"/>
        <v>-0.18350800000000334</v>
      </c>
      <c r="K53" s="137">
        <f t="shared" si="3"/>
        <v>-0.004646881756676767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343.264168</v>
      </c>
      <c r="G54" s="135"/>
      <c r="H54" s="135"/>
      <c r="I54" s="136">
        <f>I52+I53</f>
        <v>341.66905999999994</v>
      </c>
      <c r="J54" s="136">
        <f t="shared" si="2"/>
        <v>-1.5951080000000388</v>
      </c>
      <c r="K54" s="137">
        <f t="shared" si="3"/>
        <v>-0.004646881756676796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-34.3264168</v>
      </c>
      <c r="G55" s="132"/>
      <c r="H55" s="140">
        <v>-0.1</v>
      </c>
      <c r="I55" s="141">
        <f>H55*I54</f>
        <v>-34.166906</v>
      </c>
      <c r="J55" s="136">
        <f t="shared" si="2"/>
        <v>0.15951079999999962</v>
      </c>
      <c r="K55" s="137">
        <f t="shared" si="3"/>
        <v>-0.004646881756676672</v>
      </c>
      <c r="L55" s="138">
        <f>I55/$I$56</f>
        <v>-0.11111111111111112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308.9377512</v>
      </c>
      <c r="G56" s="127"/>
      <c r="H56" s="127"/>
      <c r="I56" s="128">
        <f>I54+I55</f>
        <v>307.50215399999996</v>
      </c>
      <c r="J56" s="128">
        <f aca="true" t="shared" si="8" ref="J56:J61">I56-F56</f>
        <v>-1.435597200000018</v>
      </c>
      <c r="K56" s="129">
        <f aca="true" t="shared" si="9" ref="K56:K61">J56/F56</f>
        <v>-0.0046468817566767415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295.89536</v>
      </c>
      <c r="G57" s="115"/>
      <c r="H57" s="115"/>
      <c r="I57" s="116">
        <f>I50+I45+I49+I33</f>
        <v>294.48375999999996</v>
      </c>
      <c r="J57" s="116">
        <f t="shared" si="8"/>
        <v>-1.4116000000000213</v>
      </c>
      <c r="K57" s="117">
        <f t="shared" si="9"/>
        <v>-0.004770605392392842</v>
      </c>
      <c r="L57" s="118"/>
      <c r="M57" s="118">
        <f>I57/$I$61</f>
        <v>0.983284169124877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38.4663968</v>
      </c>
      <c r="G58" s="132"/>
      <c r="H58" s="134">
        <v>0.13</v>
      </c>
      <c r="I58" s="141">
        <f>I57*H58</f>
        <v>38.282888799999995</v>
      </c>
      <c r="J58" s="136">
        <f t="shared" si="8"/>
        <v>-0.18350800000000334</v>
      </c>
      <c r="K58" s="137">
        <f t="shared" si="9"/>
        <v>-0.004770605392392857</v>
      </c>
      <c r="L58" s="138"/>
      <c r="M58" s="138">
        <f>I58/$I$61</f>
        <v>0.127826941986234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334.36175679999997</v>
      </c>
      <c r="G59" s="135"/>
      <c r="H59" s="135"/>
      <c r="I59" s="136">
        <f>I57+I58</f>
        <v>332.7666488</v>
      </c>
      <c r="J59" s="136">
        <f t="shared" si="8"/>
        <v>-1.595107999999982</v>
      </c>
      <c r="K59" s="137">
        <f t="shared" si="9"/>
        <v>-0.004770605392392717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-33.43617568</v>
      </c>
      <c r="G60" s="132"/>
      <c r="H60" s="140">
        <v>-0.1</v>
      </c>
      <c r="I60" s="141">
        <f>H60*I59</f>
        <v>-33.27666488</v>
      </c>
      <c r="J60" s="136">
        <f t="shared" si="8"/>
        <v>0.15951079999999962</v>
      </c>
      <c r="K60" s="137">
        <f t="shared" si="9"/>
        <v>-0.004770605392392759</v>
      </c>
      <c r="L60" s="138"/>
      <c r="M60" s="138">
        <f>I60/$I$61</f>
        <v>-0.1111111111111111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300.92558111999995</v>
      </c>
      <c r="G61" s="127"/>
      <c r="H61" s="127"/>
      <c r="I61" s="128">
        <f>I60+I59</f>
        <v>299.48998392</v>
      </c>
      <c r="J61" s="128">
        <f t="shared" si="8"/>
        <v>-1.435597199999961</v>
      </c>
      <c r="K61" s="129">
        <f t="shared" si="9"/>
        <v>-0.004770605392392642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22">
      <selection activeCell="M48" sqref="M48"/>
    </sheetView>
  </sheetViews>
  <sheetFormatPr defaultColWidth="9.00390625" defaultRowHeight="14.25"/>
  <cols>
    <col min="3" max="3" width="59.375" style="0" bestFit="1" customWidth="1"/>
    <col min="4" max="4" width="8.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46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94">
        <v>103.56</v>
      </c>
      <c r="F10" s="70">
        <v>104.47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95">
        <f>2.49+9.75</f>
        <v>12.24</v>
      </c>
      <c r="F11" s="71">
        <f>2.49+9.75</f>
        <v>12.24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93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93">
        <v>4.8055</v>
      </c>
      <c r="F13" s="68">
        <v>4.8478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93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93">
        <v>0.1502</v>
      </c>
      <c r="F15" s="68">
        <v>0.1502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93">
        <f>-0.7941-0.0414+0.059-0.1995</f>
        <v>-0.976</v>
      </c>
      <c r="F16" s="68">
        <f>-0.8166-0.1995-0.0271</f>
        <v>-1.0432</v>
      </c>
      <c r="G16" s="61" t="s">
        <v>45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93">
        <v>2.4495</v>
      </c>
      <c r="F17" s="68">
        <v>2.3177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93">
        <v>1.882</v>
      </c>
      <c r="F18" s="68">
        <v>1.7621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93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93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96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50000</v>
      </c>
      <c r="E23" s="12" t="s">
        <v>20</v>
      </c>
      <c r="F23" s="13">
        <v>75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" thickBot="1">
      <c r="A26" s="1"/>
      <c r="B26" s="1"/>
      <c r="C26" s="20" t="s">
        <v>40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53400</v>
      </c>
      <c r="E27" s="86">
        <v>0.075</v>
      </c>
      <c r="F27" s="72">
        <f>E27*D27</f>
        <v>4005</v>
      </c>
      <c r="G27" s="28">
        <f>D27</f>
        <v>53400</v>
      </c>
      <c r="H27" s="92">
        <v>0.075</v>
      </c>
      <c r="I27" s="72">
        <f>H27*G27</f>
        <v>4005</v>
      </c>
      <c r="J27" s="72">
        <f>I27-F27</f>
        <v>0</v>
      </c>
      <c r="K27" s="29">
        <f>J27/F27</f>
        <v>0</v>
      </c>
      <c r="L27" s="30">
        <f>I27/I56</f>
        <v>0.7277899264633697</v>
      </c>
      <c r="M27" s="30"/>
    </row>
    <row r="28" spans="1:13" ht="15" thickBot="1">
      <c r="A28" s="1"/>
      <c r="B28" s="1"/>
      <c r="C28" s="31" t="s">
        <v>30</v>
      </c>
      <c r="D28" s="32">
        <f>$D$23*$J$23-D27</f>
        <v>0</v>
      </c>
      <c r="E28" s="87">
        <v>0.088</v>
      </c>
      <c r="F28" s="73">
        <f>E28*D28</f>
        <v>0</v>
      </c>
      <c r="G28" s="32">
        <f>$D$23*$J$23-G27</f>
        <v>0</v>
      </c>
      <c r="H28" s="90">
        <v>0.088</v>
      </c>
      <c r="I28" s="73">
        <f>H28*G28</f>
        <v>0</v>
      </c>
      <c r="J28" s="73">
        <f>I28-F28</f>
        <v>0</v>
      </c>
      <c r="K28" s="33">
        <v>0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4005</v>
      </c>
      <c r="G29" s="52"/>
      <c r="H29" s="52"/>
      <c r="I29" s="84">
        <f>SUM(I27:I28)</f>
        <v>4005</v>
      </c>
      <c r="J29" s="84">
        <f>SUM(J27:J28)</f>
        <v>0</v>
      </c>
      <c r="K29" s="53">
        <v>0</v>
      </c>
      <c r="L29" s="54">
        <f>I29/I56</f>
        <v>0.7277899264633697</v>
      </c>
      <c r="M29" s="54"/>
    </row>
    <row r="30" spans="1:13" ht="14.25">
      <c r="A30" s="1"/>
      <c r="B30" s="1"/>
      <c r="C30" s="99" t="s">
        <v>49</v>
      </c>
      <c r="D30" s="28">
        <f>0.64*$D$23*$J$23</f>
        <v>34176</v>
      </c>
      <c r="E30" s="86">
        <v>0.065</v>
      </c>
      <c r="F30" s="72">
        <f>E30*D30</f>
        <v>2221.44</v>
      </c>
      <c r="G30" s="28">
        <f>D30</f>
        <v>34176</v>
      </c>
      <c r="H30" s="92">
        <v>0.065</v>
      </c>
      <c r="I30" s="72">
        <f>H30*G30</f>
        <v>2221.44</v>
      </c>
      <c r="J30" s="72">
        <f>I30-F30</f>
        <v>0</v>
      </c>
      <c r="K30" s="29">
        <f>J30/F30</f>
        <v>0</v>
      </c>
      <c r="L30" s="30"/>
      <c r="M30" s="30">
        <f>I30/I61</f>
        <v>0.38232505784580756</v>
      </c>
    </row>
    <row r="31" spans="1:13" ht="14.25">
      <c r="A31" s="1"/>
      <c r="B31" s="1"/>
      <c r="C31" s="100" t="s">
        <v>50</v>
      </c>
      <c r="D31" s="45">
        <f>0.18*$D$23*$J$23</f>
        <v>9612</v>
      </c>
      <c r="E31" s="102">
        <v>0.1</v>
      </c>
      <c r="F31" s="103">
        <f>E31*D31</f>
        <v>961.2</v>
      </c>
      <c r="G31" s="45">
        <f>D31</f>
        <v>9612</v>
      </c>
      <c r="H31" s="89">
        <v>0.1</v>
      </c>
      <c r="I31" s="103">
        <f>H31*G31</f>
        <v>961.2</v>
      </c>
      <c r="J31" s="103">
        <f>I31-F31</f>
        <v>0</v>
      </c>
      <c r="K31" s="33">
        <f>J31/F31</f>
        <v>0</v>
      </c>
      <c r="L31" s="101"/>
      <c r="M31" s="101">
        <f>I31/I61</f>
        <v>0.1654291115678975</v>
      </c>
    </row>
    <row r="32" spans="1:13" ht="15" thickBot="1">
      <c r="A32" s="1"/>
      <c r="B32" s="1"/>
      <c r="C32" s="106" t="s">
        <v>51</v>
      </c>
      <c r="D32" s="32">
        <f>0.18*$D$23*$J$23</f>
        <v>9612</v>
      </c>
      <c r="E32" s="87">
        <v>0.117</v>
      </c>
      <c r="F32" s="73">
        <f>E32*D32</f>
        <v>1124.604</v>
      </c>
      <c r="G32" s="32">
        <f>D32</f>
        <v>9612</v>
      </c>
      <c r="H32" s="90">
        <v>0.117</v>
      </c>
      <c r="I32" s="73">
        <f>H32*G32</f>
        <v>1124.604</v>
      </c>
      <c r="J32" s="73">
        <f>I32-F32</f>
        <v>0</v>
      </c>
      <c r="K32" s="104">
        <f>J32/F32</f>
        <v>0</v>
      </c>
      <c r="L32" s="105"/>
      <c r="M32" s="105">
        <f>I32/I61</f>
        <v>0.19355206053444007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4307.244000000001</v>
      </c>
      <c r="G33" s="52"/>
      <c r="H33" s="52"/>
      <c r="I33" s="84">
        <f>SUM(I30:I32)</f>
        <v>4307.244000000001</v>
      </c>
      <c r="J33" s="84">
        <f>SUM(J30:J31)</f>
        <v>0</v>
      </c>
      <c r="K33" s="53">
        <v>0</v>
      </c>
      <c r="L33" s="54"/>
      <c r="M33" s="54">
        <f>I33/I61</f>
        <v>0.7413062299481452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103.56</v>
      </c>
      <c r="F34" s="78">
        <f>D34*E34</f>
        <v>103.56</v>
      </c>
      <c r="G34" s="36">
        <v>1</v>
      </c>
      <c r="H34" s="74">
        <f aca="true" t="shared" si="1" ref="H34:H40">F10</f>
        <v>104.47</v>
      </c>
      <c r="I34" s="78">
        <f>H34*G34</f>
        <v>104.47</v>
      </c>
      <c r="J34" s="78">
        <f aca="true" t="shared" si="2" ref="J34:J55">I34-F34</f>
        <v>0.9099999999999966</v>
      </c>
      <c r="K34" s="29">
        <f aca="true" t="shared" si="3" ref="K34:K55">J34/F34</f>
        <v>0.008787176516029322</v>
      </c>
      <c r="L34" s="30">
        <f>I34/$I$56</f>
        <v>0.018984323000656236</v>
      </c>
      <c r="M34" s="30">
        <f>I34/$I$61</f>
        <v>0.01798000341812136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12.24</v>
      </c>
      <c r="F35" s="79">
        <f aca="true" t="shared" si="4" ref="F35:F43">D35*E35</f>
        <v>12.24</v>
      </c>
      <c r="G35" s="38">
        <v>1</v>
      </c>
      <c r="H35" s="75">
        <f t="shared" si="1"/>
        <v>12.24</v>
      </c>
      <c r="I35" s="81">
        <f aca="true" t="shared" si="5" ref="I35:I43">H35*G35</f>
        <v>12.24</v>
      </c>
      <c r="J35" s="81">
        <f t="shared" si="2"/>
        <v>0</v>
      </c>
      <c r="K35" s="29">
        <f t="shared" si="3"/>
        <v>0</v>
      </c>
      <c r="L35" s="30">
        <f aca="true" t="shared" si="6" ref="L35:L40">I35/$I$56</f>
        <v>0.002224256853910523</v>
      </c>
      <c r="M35" s="30">
        <f aca="true" t="shared" si="7" ref="M35:M40">I35/$I$61</f>
        <v>0.002106587937568732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43">
        <v>75</v>
      </c>
      <c r="E37" s="88">
        <f t="shared" si="0"/>
        <v>4.8055</v>
      </c>
      <c r="F37" s="79">
        <f t="shared" si="4"/>
        <v>360.4125</v>
      </c>
      <c r="G37" s="44">
        <v>75</v>
      </c>
      <c r="H37" s="88">
        <f t="shared" si="1"/>
        <v>4.8478</v>
      </c>
      <c r="I37" s="79">
        <f t="shared" si="5"/>
        <v>363.58500000000004</v>
      </c>
      <c r="J37" s="79">
        <f t="shared" si="2"/>
        <v>3.1725000000000136</v>
      </c>
      <c r="K37" s="29">
        <f t="shared" si="3"/>
        <v>0.008802413900738774</v>
      </c>
      <c r="L37" s="30">
        <f t="shared" si="6"/>
        <v>0.06607078662002105</v>
      </c>
      <c r="M37" s="30">
        <f t="shared" si="7"/>
        <v>0.06257547183667708</v>
      </c>
    </row>
    <row r="38" spans="1:13" ht="14.25" hidden="1">
      <c r="A38" s="1"/>
      <c r="B38" s="1"/>
      <c r="C38" s="31" t="s">
        <v>10</v>
      </c>
      <c r="D38" s="45">
        <f>D37</f>
        <v>75</v>
      </c>
      <c r="E38" s="89">
        <f t="shared" si="0"/>
        <v>0</v>
      </c>
      <c r="F38" s="79">
        <f t="shared" si="4"/>
        <v>0</v>
      </c>
      <c r="G38" s="46">
        <f>G37</f>
        <v>75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45">
        <f>D37</f>
        <v>75</v>
      </c>
      <c r="E39" s="89">
        <f t="shared" si="0"/>
        <v>0.1502</v>
      </c>
      <c r="F39" s="79">
        <f t="shared" si="4"/>
        <v>11.265</v>
      </c>
      <c r="G39" s="46">
        <f>G37</f>
        <v>75</v>
      </c>
      <c r="H39" s="89">
        <f t="shared" si="1"/>
        <v>0.1502</v>
      </c>
      <c r="I39" s="79">
        <f t="shared" si="5"/>
        <v>11.265</v>
      </c>
      <c r="J39" s="79">
        <f t="shared" si="2"/>
        <v>0</v>
      </c>
      <c r="K39" s="29">
        <f t="shared" si="3"/>
        <v>0</v>
      </c>
      <c r="L39" s="30">
        <f t="shared" si="6"/>
        <v>0.002047079530988729</v>
      </c>
      <c r="M39" s="30">
        <f t="shared" si="7"/>
        <v>0.0019387837513653405</v>
      </c>
    </row>
    <row r="40" spans="1:13" ht="15" thickBot="1">
      <c r="A40" s="1"/>
      <c r="B40" s="1"/>
      <c r="C40" s="31" t="s">
        <v>12</v>
      </c>
      <c r="D40" s="45">
        <f>D39</f>
        <v>75</v>
      </c>
      <c r="E40" s="90">
        <f t="shared" si="0"/>
        <v>-0.976</v>
      </c>
      <c r="F40" s="80">
        <f>D40*E40-0.02</f>
        <v>-73.22</v>
      </c>
      <c r="G40" s="46">
        <f>G39</f>
        <v>75</v>
      </c>
      <c r="H40" s="89">
        <f t="shared" si="1"/>
        <v>-1.0432</v>
      </c>
      <c r="I40" s="79">
        <f t="shared" si="5"/>
        <v>-78.24</v>
      </c>
      <c r="J40" s="79">
        <f t="shared" si="2"/>
        <v>-5.019999999999996</v>
      </c>
      <c r="K40" s="29">
        <f t="shared" si="3"/>
        <v>0.06856050259491937</v>
      </c>
      <c r="L40" s="30">
        <f t="shared" si="6"/>
        <v>-0.01421779871323197</v>
      </c>
      <c r="M40" s="30">
        <f t="shared" si="7"/>
        <v>-0.013465640542106012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414.25750000000005</v>
      </c>
      <c r="G41" s="58"/>
      <c r="H41" s="57"/>
      <c r="I41" s="85">
        <f>SUM(I34:I40)</f>
        <v>413.32</v>
      </c>
      <c r="J41" s="85">
        <f t="shared" si="2"/>
        <v>-0.9375000000000568</v>
      </c>
      <c r="K41" s="59">
        <f t="shared" si="3"/>
        <v>-0.0022630851583859235</v>
      </c>
      <c r="L41" s="60">
        <f>I41/I56</f>
        <v>0.07510864729234457</v>
      </c>
      <c r="M41" s="60">
        <f>I41/I61</f>
        <v>0.0711352064016265</v>
      </c>
    </row>
    <row r="42" spans="1:13" ht="14.25">
      <c r="A42" s="1"/>
      <c r="B42" s="1"/>
      <c r="C42" s="42" t="s">
        <v>13</v>
      </c>
      <c r="D42" s="48">
        <v>75</v>
      </c>
      <c r="E42" s="91">
        <f>E17</f>
        <v>2.4495</v>
      </c>
      <c r="F42" s="79">
        <f t="shared" si="4"/>
        <v>183.7125</v>
      </c>
      <c r="G42" s="48">
        <v>75</v>
      </c>
      <c r="H42" s="91">
        <f>F17</f>
        <v>2.3177</v>
      </c>
      <c r="I42" s="79">
        <f t="shared" si="5"/>
        <v>173.8275</v>
      </c>
      <c r="J42" s="79">
        <f t="shared" si="2"/>
        <v>-9.88500000000002</v>
      </c>
      <c r="K42" s="29">
        <f t="shared" si="3"/>
        <v>-0.0538068993672179</v>
      </c>
      <c r="L42" s="30">
        <f>I42/$I$56</f>
        <v>0.03158799087198786</v>
      </c>
      <c r="M42" s="30">
        <f>I42/$I$61</f>
        <v>0.02991690479720006</v>
      </c>
    </row>
    <row r="43" spans="1:13" ht="15" thickBot="1">
      <c r="A43" s="1"/>
      <c r="B43" s="1"/>
      <c r="C43" s="42" t="s">
        <v>14</v>
      </c>
      <c r="D43" s="48">
        <v>75</v>
      </c>
      <c r="E43" s="88">
        <f>E18</f>
        <v>1.882</v>
      </c>
      <c r="F43" s="82">
        <f t="shared" si="4"/>
        <v>141.15</v>
      </c>
      <c r="G43" s="48">
        <v>75</v>
      </c>
      <c r="H43" s="88">
        <f>F18</f>
        <v>1.7621</v>
      </c>
      <c r="I43" s="82">
        <f t="shared" si="5"/>
        <v>132.1575</v>
      </c>
      <c r="J43" s="82">
        <f t="shared" si="2"/>
        <v>-8.992500000000007</v>
      </c>
      <c r="K43" s="29">
        <f t="shared" si="3"/>
        <v>-0.06370882040382576</v>
      </c>
      <c r="L43" s="30">
        <f>I43/$I$56</f>
        <v>0.024015704670807186</v>
      </c>
      <c r="M43" s="30">
        <f>I43/$I$61</f>
        <v>0.02274521203915357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324.8625</v>
      </c>
      <c r="G44" s="57"/>
      <c r="H44" s="57"/>
      <c r="I44" s="85">
        <f>SUM(I42:I43)</f>
        <v>305.985</v>
      </c>
      <c r="J44" s="85">
        <f t="shared" si="2"/>
        <v>-18.877499999999998</v>
      </c>
      <c r="K44" s="59">
        <f t="shared" si="3"/>
        <v>-0.05810920004617337</v>
      </c>
      <c r="L44" s="60">
        <f>I44/I56</f>
        <v>0.055603695542795054</v>
      </c>
      <c r="M44" s="60">
        <f>I44/I61</f>
        <v>0.052662116836353634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739.1200000000001</v>
      </c>
      <c r="G45" s="52"/>
      <c r="H45" s="52"/>
      <c r="I45" s="84">
        <f>I44+I41</f>
        <v>719.3050000000001</v>
      </c>
      <c r="J45" s="84">
        <f t="shared" si="2"/>
        <v>-19.815000000000055</v>
      </c>
      <c r="K45" s="53">
        <f t="shared" si="3"/>
        <v>-0.026808907890464407</v>
      </c>
      <c r="L45" s="54">
        <f>I45/I56</f>
        <v>0.13071234283513963</v>
      </c>
      <c r="M45" s="54">
        <f>I45/I61</f>
        <v>0.12379732323798014</v>
      </c>
    </row>
    <row r="46" spans="1:13" ht="14.25">
      <c r="A46" s="1"/>
      <c r="B46" s="1"/>
      <c r="C46" s="31" t="s">
        <v>15</v>
      </c>
      <c r="D46" s="48">
        <f>$D$23*$J$23</f>
        <v>53400</v>
      </c>
      <c r="E46" s="91">
        <f>E19</f>
        <v>0.0052</v>
      </c>
      <c r="F46" s="72">
        <f>D46*E46</f>
        <v>277.68</v>
      </c>
      <c r="G46" s="48">
        <f>$D$23*$J$23</f>
        <v>53400</v>
      </c>
      <c r="H46" s="91">
        <f>F19</f>
        <v>0.0052</v>
      </c>
      <c r="I46" s="72">
        <f>H46*G46</f>
        <v>277.68</v>
      </c>
      <c r="J46" s="72">
        <f t="shared" si="2"/>
        <v>0</v>
      </c>
      <c r="K46" s="29">
        <f t="shared" si="3"/>
        <v>0</v>
      </c>
      <c r="L46" s="49">
        <f>I46/$I$56</f>
        <v>0.05046010156812697</v>
      </c>
      <c r="M46" s="49">
        <f>I46/$I$61</f>
        <v>0.047790632230725945</v>
      </c>
    </row>
    <row r="47" spans="1:13" ht="14.25">
      <c r="A47" s="1"/>
      <c r="B47" s="1"/>
      <c r="C47" s="31" t="s">
        <v>17</v>
      </c>
      <c r="D47" s="48">
        <f>$D$23*$J$23</f>
        <v>53400</v>
      </c>
      <c r="E47" s="88">
        <f>E20</f>
        <v>0.0011</v>
      </c>
      <c r="F47" s="83">
        <f>D47*E47</f>
        <v>58.74</v>
      </c>
      <c r="G47" s="48">
        <f>$D$23*$J$23</f>
        <v>53400</v>
      </c>
      <c r="H47" s="88">
        <f>F20</f>
        <v>0.0011</v>
      </c>
      <c r="I47" s="83">
        <f>H47*G47</f>
        <v>58.74</v>
      </c>
      <c r="J47" s="83">
        <f t="shared" si="2"/>
        <v>0</v>
      </c>
      <c r="K47" s="29">
        <f t="shared" si="3"/>
        <v>0</v>
      </c>
      <c r="L47" s="30">
        <f>I47/$I$56</f>
        <v>0.01067425225479609</v>
      </c>
      <c r="M47" s="30">
        <f>I47/$I$61</f>
        <v>0.01010955681803818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4.5430082800460035E-05</v>
      </c>
      <c r="M48" s="30">
        <f>I48/$I$61</f>
        <v>4.3026714411126066E-05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336.67</v>
      </c>
      <c r="G49" s="97"/>
      <c r="H49" s="97"/>
      <c r="I49" s="98">
        <f>SUM(I46:I48)</f>
        <v>336.67</v>
      </c>
      <c r="J49" s="98">
        <f t="shared" si="2"/>
        <v>0</v>
      </c>
      <c r="K49" s="107">
        <f t="shared" si="3"/>
        <v>0</v>
      </c>
      <c r="L49" s="108">
        <f>I49/I56</f>
        <v>0.06117978390572352</v>
      </c>
      <c r="M49" s="108">
        <f>I49/I61</f>
        <v>0.05794321576317525</v>
      </c>
    </row>
    <row r="50" spans="1:13" ht="14.25">
      <c r="A50" s="1"/>
      <c r="B50" s="1"/>
      <c r="C50" s="109" t="s">
        <v>35</v>
      </c>
      <c r="D50" s="110">
        <f>D23</f>
        <v>50000</v>
      </c>
      <c r="E50" s="102">
        <v>0.007</v>
      </c>
      <c r="F50" s="111">
        <f>D50*E50</f>
        <v>350</v>
      </c>
      <c r="G50" s="110">
        <f>D50</f>
        <v>50000</v>
      </c>
      <c r="H50" s="89">
        <v>0.007</v>
      </c>
      <c r="I50" s="111">
        <f>H50*G50</f>
        <v>350</v>
      </c>
      <c r="J50" s="112">
        <f t="shared" si="2"/>
        <v>0</v>
      </c>
      <c r="K50" s="113">
        <f t="shared" si="3"/>
        <v>0</v>
      </c>
      <c r="L50" s="114">
        <f>I50/I56</f>
        <v>0.06360211592064405</v>
      </c>
      <c r="M50" s="114">
        <f>I50/I61</f>
        <v>0.06023740017557649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5430.79</v>
      </c>
      <c r="G52" s="115"/>
      <c r="H52" s="115"/>
      <c r="I52" s="116">
        <f>I50+I49+I45+I29</f>
        <v>5410.975</v>
      </c>
      <c r="J52" s="116">
        <f t="shared" si="2"/>
        <v>-19.8149999999996</v>
      </c>
      <c r="K52" s="117">
        <f t="shared" si="3"/>
        <v>-0.003648640437210719</v>
      </c>
      <c r="L52" s="118">
        <f>I52/I56</f>
        <v>0.9832841691248769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706.0027</v>
      </c>
      <c r="G53" s="132"/>
      <c r="H53" s="134">
        <v>0.13</v>
      </c>
      <c r="I53" s="141">
        <f>I52*H53</f>
        <v>703.4267500000001</v>
      </c>
      <c r="J53" s="136">
        <f t="shared" si="2"/>
        <v>-2.5759499999999207</v>
      </c>
      <c r="K53" s="137">
        <f t="shared" si="3"/>
        <v>-0.0036486404372106803</v>
      </c>
      <c r="L53" s="138">
        <f>I53/I56</f>
        <v>0.127826941986234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6136.7927</v>
      </c>
      <c r="G54" s="135"/>
      <c r="H54" s="135"/>
      <c r="I54" s="136">
        <f>I52+I53</f>
        <v>6114.401750000001</v>
      </c>
      <c r="J54" s="136">
        <f t="shared" si="2"/>
        <v>-22.390949999999066</v>
      </c>
      <c r="K54" s="137">
        <f t="shared" si="3"/>
        <v>-0.0036486404372106404</v>
      </c>
      <c r="L54" s="138">
        <f>I54/$I$56</f>
        <v>1.111111111111111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-613.67927</v>
      </c>
      <c r="G55" s="132"/>
      <c r="H55" s="140">
        <v>-0.1</v>
      </c>
      <c r="I55" s="141">
        <f>H55*I54</f>
        <v>-611.4401750000001</v>
      </c>
      <c r="J55" s="136">
        <f t="shared" si="2"/>
        <v>2.2390949999999066</v>
      </c>
      <c r="K55" s="137">
        <f t="shared" si="3"/>
        <v>-0.0036486404372106404</v>
      </c>
      <c r="L55" s="138">
        <f>I55/$I$56</f>
        <v>-0.1111111111111111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5523.11343</v>
      </c>
      <c r="G56" s="127"/>
      <c r="H56" s="127"/>
      <c r="I56" s="128">
        <f>I54+I55</f>
        <v>5502.961575000001</v>
      </c>
      <c r="J56" s="128">
        <f aca="true" t="shared" si="8" ref="J56:J61">I56-F56</f>
        <v>-20.15185499999916</v>
      </c>
      <c r="K56" s="129">
        <f aca="true" t="shared" si="9" ref="K56:K61">J56/F56</f>
        <v>-0.00364864043721064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5733.034000000001</v>
      </c>
      <c r="G57" s="115"/>
      <c r="H57" s="115"/>
      <c r="I57" s="116">
        <f>I50+I45+I49+I33</f>
        <v>5713.219000000001</v>
      </c>
      <c r="J57" s="116">
        <f t="shared" si="8"/>
        <v>-19.8149999999996</v>
      </c>
      <c r="K57" s="117">
        <f t="shared" si="9"/>
        <v>-0.0034562851013965027</v>
      </c>
      <c r="L57" s="118"/>
      <c r="M57" s="118">
        <f>I57/$I$61</f>
        <v>0.9832841691248771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745.2944200000001</v>
      </c>
      <c r="G58" s="132"/>
      <c r="H58" s="134">
        <v>0.13</v>
      </c>
      <c r="I58" s="141">
        <f>I57*H58</f>
        <v>742.7184700000001</v>
      </c>
      <c r="J58" s="136">
        <f t="shared" si="8"/>
        <v>-2.5759499999999207</v>
      </c>
      <c r="K58" s="137">
        <f t="shared" si="9"/>
        <v>-0.0034562851013964662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6478.328420000001</v>
      </c>
      <c r="G59" s="135"/>
      <c r="H59" s="135"/>
      <c r="I59" s="136">
        <f>I57+I58</f>
        <v>6455.937470000001</v>
      </c>
      <c r="J59" s="136">
        <f t="shared" si="8"/>
        <v>-22.390949999999975</v>
      </c>
      <c r="K59" s="137">
        <f t="shared" si="9"/>
        <v>-0.0034562851013965686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-647.8328420000001</v>
      </c>
      <c r="G60" s="132"/>
      <c r="H60" s="140">
        <v>-0.1</v>
      </c>
      <c r="I60" s="141">
        <f>H60*I59</f>
        <v>-645.5937470000001</v>
      </c>
      <c r="J60" s="136">
        <f t="shared" si="8"/>
        <v>2.2390950000000203</v>
      </c>
      <c r="K60" s="137">
        <f t="shared" si="9"/>
        <v>-0.0034562851013966033</v>
      </c>
      <c r="L60" s="138"/>
      <c r="M60" s="138">
        <f>I60/$I$61</f>
        <v>-0.11111111111111112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5830.495578000001</v>
      </c>
      <c r="G61" s="127"/>
      <c r="H61" s="127"/>
      <c r="I61" s="128">
        <f>I60+I59</f>
        <v>5810.343723000001</v>
      </c>
      <c r="J61" s="128">
        <f t="shared" si="8"/>
        <v>-20.15185500000007</v>
      </c>
      <c r="K61" s="129">
        <f t="shared" si="9"/>
        <v>-0.003456285101396584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D7">
      <selection activeCell="M48" sqref="M48"/>
    </sheetView>
  </sheetViews>
  <sheetFormatPr defaultColWidth="9.00390625" defaultRowHeight="14.25"/>
  <cols>
    <col min="3" max="3" width="59.375" style="0" bestFit="1" customWidth="1"/>
    <col min="4" max="4" width="8.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46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94">
        <v>103.56</v>
      </c>
      <c r="F10" s="70">
        <v>104.47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95">
        <f>2.49+9.75</f>
        <v>12.24</v>
      </c>
      <c r="F11" s="71">
        <f>2.49+9.75</f>
        <v>12.24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93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93">
        <v>4.8055</v>
      </c>
      <c r="F13" s="68">
        <v>4.8478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93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93">
        <v>0.1502</v>
      </c>
      <c r="F15" s="68">
        <v>0.1502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93">
        <f>-0.7941-0.0414+0.059-0.1995-1.2926</f>
        <v>-2.2686</v>
      </c>
      <c r="F16" s="68">
        <f>-0.8166-0.1995-0.0271-0.3687</f>
        <v>-1.4119</v>
      </c>
      <c r="G16" s="61" t="s">
        <v>66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93">
        <v>2.4495</v>
      </c>
      <c r="F17" s="68">
        <v>2.3177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93">
        <v>1.882</v>
      </c>
      <c r="F18" s="68">
        <v>1.7621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93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93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96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50000</v>
      </c>
      <c r="E23" s="12" t="s">
        <v>20</v>
      </c>
      <c r="F23" s="13">
        <v>75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" thickBot="1">
      <c r="A26" s="1"/>
      <c r="B26" s="1"/>
      <c r="C26" s="20" t="s">
        <v>40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53400</v>
      </c>
      <c r="E27" s="86">
        <v>0.075</v>
      </c>
      <c r="F27" s="72">
        <f>E27*D27</f>
        <v>4005</v>
      </c>
      <c r="G27" s="28">
        <f>D27</f>
        <v>53400</v>
      </c>
      <c r="H27" s="92">
        <v>0.075</v>
      </c>
      <c r="I27" s="72">
        <f>H27*G27</f>
        <v>4005</v>
      </c>
      <c r="J27" s="72">
        <f>I27-F27</f>
        <v>0</v>
      </c>
      <c r="K27" s="29">
        <f>J27/F27</f>
        <v>0</v>
      </c>
      <c r="L27" s="30">
        <f>I27/I56</f>
        <v>0.7315283632636039</v>
      </c>
      <c r="M27" s="30"/>
    </row>
    <row r="28" spans="1:13" ht="15" thickBot="1">
      <c r="A28" s="1"/>
      <c r="B28" s="1"/>
      <c r="C28" s="31" t="s">
        <v>30</v>
      </c>
      <c r="D28" s="32">
        <f>$D$23*$J$23-D27</f>
        <v>0</v>
      </c>
      <c r="E28" s="87">
        <v>0.088</v>
      </c>
      <c r="F28" s="73">
        <f>E28*D28</f>
        <v>0</v>
      </c>
      <c r="G28" s="32">
        <f>$D$23*$J$23-G27</f>
        <v>0</v>
      </c>
      <c r="H28" s="90">
        <v>0.088</v>
      </c>
      <c r="I28" s="73">
        <f>H28*G28</f>
        <v>0</v>
      </c>
      <c r="J28" s="73">
        <f>I28-F28</f>
        <v>0</v>
      </c>
      <c r="K28" s="33">
        <v>0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4005</v>
      </c>
      <c r="G29" s="52"/>
      <c r="H29" s="52"/>
      <c r="I29" s="84">
        <f>SUM(I27:I28)</f>
        <v>4005</v>
      </c>
      <c r="J29" s="84">
        <f>SUM(J27:J28)</f>
        <v>0</v>
      </c>
      <c r="K29" s="53">
        <v>0</v>
      </c>
      <c r="L29" s="54">
        <f>I29/I56</f>
        <v>0.7315283632636039</v>
      </c>
      <c r="M29" s="54"/>
    </row>
    <row r="30" spans="1:13" ht="14.25">
      <c r="A30" s="1"/>
      <c r="B30" s="1"/>
      <c r="C30" s="99" t="s">
        <v>49</v>
      </c>
      <c r="D30" s="28">
        <f>0.64*$D$23*$J$23</f>
        <v>34176</v>
      </c>
      <c r="E30" s="86">
        <v>0.065</v>
      </c>
      <c r="F30" s="72">
        <f>E30*D30</f>
        <v>2221.44</v>
      </c>
      <c r="G30" s="28">
        <f>D30</f>
        <v>34176</v>
      </c>
      <c r="H30" s="92">
        <v>0.065</v>
      </c>
      <c r="I30" s="72">
        <f>H30*G30</f>
        <v>2221.44</v>
      </c>
      <c r="J30" s="72">
        <f>I30-F30</f>
        <v>0</v>
      </c>
      <c r="K30" s="29">
        <f>J30/F30</f>
        <v>0</v>
      </c>
      <c r="L30" s="30"/>
      <c r="M30" s="30">
        <f>I30/I61</f>
        <v>0.38418454601854835</v>
      </c>
    </row>
    <row r="31" spans="1:13" ht="14.25">
      <c r="A31" s="1"/>
      <c r="B31" s="1"/>
      <c r="C31" s="100" t="s">
        <v>50</v>
      </c>
      <c r="D31" s="45">
        <f>0.18*$D$23*$J$23</f>
        <v>9612</v>
      </c>
      <c r="E31" s="102">
        <v>0.1</v>
      </c>
      <c r="F31" s="103">
        <f>E31*D31</f>
        <v>961.2</v>
      </c>
      <c r="G31" s="45">
        <f>D31</f>
        <v>9612</v>
      </c>
      <c r="H31" s="89">
        <v>0.1</v>
      </c>
      <c r="I31" s="103">
        <f>H31*G31</f>
        <v>961.2</v>
      </c>
      <c r="J31" s="103">
        <f>I31-F31</f>
        <v>0</v>
      </c>
      <c r="K31" s="33">
        <f>J31/F31</f>
        <v>0</v>
      </c>
      <c r="L31" s="101"/>
      <c r="M31" s="101">
        <f>I31/I61</f>
        <v>0.16623369779648728</v>
      </c>
    </row>
    <row r="32" spans="1:13" ht="15" thickBot="1">
      <c r="A32" s="1"/>
      <c r="B32" s="1"/>
      <c r="C32" s="106" t="s">
        <v>51</v>
      </c>
      <c r="D32" s="32">
        <f>0.18*$D$23*$J$23</f>
        <v>9612</v>
      </c>
      <c r="E32" s="87">
        <v>0.117</v>
      </c>
      <c r="F32" s="73">
        <f>E32*D32</f>
        <v>1124.604</v>
      </c>
      <c r="G32" s="32">
        <f>D32</f>
        <v>9612</v>
      </c>
      <c r="H32" s="90">
        <v>0.117</v>
      </c>
      <c r="I32" s="73">
        <f>H32*G32</f>
        <v>1124.604</v>
      </c>
      <c r="J32" s="73">
        <f>I32-F32</f>
        <v>0</v>
      </c>
      <c r="K32" s="104">
        <f>J32/F32</f>
        <v>0</v>
      </c>
      <c r="L32" s="105"/>
      <c r="M32" s="105">
        <f>I32/I61</f>
        <v>0.1944934264218901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4307.244000000001</v>
      </c>
      <c r="G33" s="52"/>
      <c r="H33" s="52"/>
      <c r="I33" s="84">
        <f>SUM(I30:I32)</f>
        <v>4307.244000000001</v>
      </c>
      <c r="J33" s="84">
        <f>SUM(J30:J31)</f>
        <v>0</v>
      </c>
      <c r="K33" s="53">
        <v>0</v>
      </c>
      <c r="L33" s="54"/>
      <c r="M33" s="54">
        <f>I33/I61</f>
        <v>0.7449116702369258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103.56</v>
      </c>
      <c r="F34" s="78">
        <f>D34*E34</f>
        <v>103.56</v>
      </c>
      <c r="G34" s="36">
        <v>1</v>
      </c>
      <c r="H34" s="74">
        <f aca="true" t="shared" si="1" ref="H34:H40">F10</f>
        <v>104.47</v>
      </c>
      <c r="I34" s="78">
        <f>H34*G34</f>
        <v>104.47</v>
      </c>
      <c r="J34" s="78">
        <f aca="true" t="shared" si="2" ref="J34:J55">I34-F34</f>
        <v>0.9099999999999966</v>
      </c>
      <c r="K34" s="29">
        <f aca="true" t="shared" si="3" ref="K34:K55">J34/F34</f>
        <v>0.008787176516029322</v>
      </c>
      <c r="L34" s="30">
        <f>I34/$I$56</f>
        <v>0.019081839727877328</v>
      </c>
      <c r="M34" s="30">
        <f>I34/$I$61</f>
        <v>0.018067451528088873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12.24</v>
      </c>
      <c r="F35" s="79">
        <f aca="true" t="shared" si="4" ref="F35:F43">D35*E35</f>
        <v>12.24</v>
      </c>
      <c r="G35" s="38">
        <v>1</v>
      </c>
      <c r="H35" s="75">
        <f t="shared" si="1"/>
        <v>12.24</v>
      </c>
      <c r="I35" s="81">
        <f aca="true" t="shared" si="5" ref="I35:I43">H35*G35</f>
        <v>12.24</v>
      </c>
      <c r="J35" s="81">
        <f t="shared" si="2"/>
        <v>0</v>
      </c>
      <c r="K35" s="29">
        <f t="shared" si="3"/>
        <v>0</v>
      </c>
      <c r="L35" s="30">
        <f aca="true" t="shared" si="6" ref="L35:L40">I35/$I$56</f>
        <v>0.0022356821888505646</v>
      </c>
      <c r="M35" s="30">
        <f aca="true" t="shared" si="7" ref="M35:M40">I35/$I$61</f>
        <v>0.002116833604899089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43">
        <v>75</v>
      </c>
      <c r="E37" s="88">
        <f t="shared" si="0"/>
        <v>4.8055</v>
      </c>
      <c r="F37" s="79">
        <f t="shared" si="4"/>
        <v>360.4125</v>
      </c>
      <c r="G37" s="44">
        <v>75</v>
      </c>
      <c r="H37" s="88">
        <f t="shared" si="1"/>
        <v>4.8478</v>
      </c>
      <c r="I37" s="79">
        <f t="shared" si="5"/>
        <v>363.58500000000004</v>
      </c>
      <c r="J37" s="79">
        <f t="shared" si="2"/>
        <v>3.1725000000000136</v>
      </c>
      <c r="K37" s="29">
        <f t="shared" si="3"/>
        <v>0.008802413900738774</v>
      </c>
      <c r="L37" s="30">
        <f t="shared" si="6"/>
        <v>0.06641017227395692</v>
      </c>
      <c r="M37" s="30">
        <f t="shared" si="7"/>
        <v>0.06287981586905517</v>
      </c>
    </row>
    <row r="38" spans="1:13" ht="14.25" hidden="1">
      <c r="A38" s="1"/>
      <c r="B38" s="1"/>
      <c r="C38" s="31" t="s">
        <v>10</v>
      </c>
      <c r="D38" s="45">
        <f>D37</f>
        <v>75</v>
      </c>
      <c r="E38" s="89">
        <f t="shared" si="0"/>
        <v>0</v>
      </c>
      <c r="F38" s="79">
        <f t="shared" si="4"/>
        <v>0</v>
      </c>
      <c r="G38" s="46">
        <f>G37</f>
        <v>75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45">
        <f>D37</f>
        <v>75</v>
      </c>
      <c r="E39" s="89">
        <f t="shared" si="0"/>
        <v>0.1502</v>
      </c>
      <c r="F39" s="79">
        <f t="shared" si="4"/>
        <v>11.265</v>
      </c>
      <c r="G39" s="46">
        <f>G37</f>
        <v>75</v>
      </c>
      <c r="H39" s="89">
        <f t="shared" si="1"/>
        <v>0.1502</v>
      </c>
      <c r="I39" s="79">
        <f t="shared" si="5"/>
        <v>11.265</v>
      </c>
      <c r="J39" s="79">
        <f t="shared" si="2"/>
        <v>0</v>
      </c>
      <c r="K39" s="29">
        <f t="shared" si="3"/>
        <v>0</v>
      </c>
      <c r="L39" s="30">
        <f t="shared" si="6"/>
        <v>0.002057594759591635</v>
      </c>
      <c r="M39" s="30">
        <f t="shared" si="7"/>
        <v>0.0019482132809794312</v>
      </c>
    </row>
    <row r="40" spans="1:13" ht="15" thickBot="1">
      <c r="A40" s="1"/>
      <c r="B40" s="1"/>
      <c r="C40" s="31" t="s">
        <v>12</v>
      </c>
      <c r="D40" s="45">
        <f>D39</f>
        <v>75</v>
      </c>
      <c r="E40" s="90">
        <f t="shared" si="0"/>
        <v>-2.2686</v>
      </c>
      <c r="F40" s="80">
        <f>D40*E40-0.02</f>
        <v>-170.16500000000002</v>
      </c>
      <c r="G40" s="46">
        <f>G39</f>
        <v>75</v>
      </c>
      <c r="H40" s="89">
        <f t="shared" si="1"/>
        <v>-1.4119</v>
      </c>
      <c r="I40" s="79">
        <f t="shared" si="5"/>
        <v>-105.8925</v>
      </c>
      <c r="J40" s="79">
        <f t="shared" si="2"/>
        <v>64.27250000000002</v>
      </c>
      <c r="K40" s="29">
        <f t="shared" si="3"/>
        <v>-0.37770693150765444</v>
      </c>
      <c r="L40" s="30">
        <f t="shared" si="6"/>
        <v>-0.01934166472082177</v>
      </c>
      <c r="M40" s="30">
        <f t="shared" si="7"/>
        <v>-0.018313464257089605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317.3125</v>
      </c>
      <c r="G41" s="58"/>
      <c r="H41" s="57"/>
      <c r="I41" s="85">
        <f>SUM(I34:I40)</f>
        <v>385.6675</v>
      </c>
      <c r="J41" s="85">
        <f t="shared" si="2"/>
        <v>68.35500000000002</v>
      </c>
      <c r="K41" s="59">
        <f t="shared" si="3"/>
        <v>0.21541855426432938</v>
      </c>
      <c r="L41" s="60">
        <f>I41/I56</f>
        <v>0.07044362422945467</v>
      </c>
      <c r="M41" s="60">
        <f>I41/I61</f>
        <v>0.06669885002593295</v>
      </c>
    </row>
    <row r="42" spans="1:13" ht="14.25">
      <c r="A42" s="1"/>
      <c r="B42" s="1"/>
      <c r="C42" s="42" t="s">
        <v>13</v>
      </c>
      <c r="D42" s="48">
        <v>75</v>
      </c>
      <c r="E42" s="91">
        <f>E17</f>
        <v>2.4495</v>
      </c>
      <c r="F42" s="79">
        <f t="shared" si="4"/>
        <v>183.7125</v>
      </c>
      <c r="G42" s="48">
        <v>75</v>
      </c>
      <c r="H42" s="91">
        <f>F17</f>
        <v>2.3177</v>
      </c>
      <c r="I42" s="79">
        <f t="shared" si="5"/>
        <v>173.8275</v>
      </c>
      <c r="J42" s="79">
        <f t="shared" si="2"/>
        <v>-9.88500000000002</v>
      </c>
      <c r="K42" s="29">
        <f t="shared" si="3"/>
        <v>-0.0538068993672179</v>
      </c>
      <c r="L42" s="30">
        <f>I42/$I$56</f>
        <v>0.03175024883026319</v>
      </c>
      <c r="M42" s="30">
        <f>I42/$I$61</f>
        <v>0.03006240959604545</v>
      </c>
    </row>
    <row r="43" spans="1:13" ht="15" thickBot="1">
      <c r="A43" s="1"/>
      <c r="B43" s="1"/>
      <c r="C43" s="42" t="s">
        <v>14</v>
      </c>
      <c r="D43" s="48">
        <v>75</v>
      </c>
      <c r="E43" s="88">
        <f>E18</f>
        <v>1.882</v>
      </c>
      <c r="F43" s="82">
        <f t="shared" si="4"/>
        <v>141.15</v>
      </c>
      <c r="G43" s="48">
        <v>75</v>
      </c>
      <c r="H43" s="88">
        <f>F18</f>
        <v>1.7621</v>
      </c>
      <c r="I43" s="82">
        <f t="shared" si="5"/>
        <v>132.1575</v>
      </c>
      <c r="J43" s="82">
        <f t="shared" si="2"/>
        <v>-8.992500000000007</v>
      </c>
      <c r="K43" s="29">
        <f t="shared" si="3"/>
        <v>-0.06370882040382576</v>
      </c>
      <c r="L43" s="30">
        <f>I43/$I$56</f>
        <v>0.024139066084396938</v>
      </c>
      <c r="M43" s="30">
        <f>I43/$I$61</f>
        <v>0.022855836367602234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324.8625</v>
      </c>
      <c r="G44" s="57"/>
      <c r="H44" s="57"/>
      <c r="I44" s="85">
        <f>SUM(I42:I43)</f>
        <v>305.985</v>
      </c>
      <c r="J44" s="85">
        <f t="shared" si="2"/>
        <v>-18.877499999999998</v>
      </c>
      <c r="K44" s="59">
        <f t="shared" si="3"/>
        <v>-0.05810920004617337</v>
      </c>
      <c r="L44" s="60">
        <f>I44/I56</f>
        <v>0.05588931491466014</v>
      </c>
      <c r="M44" s="60">
        <f>I44/I61</f>
        <v>0.05291824596364769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642.175</v>
      </c>
      <c r="G45" s="52"/>
      <c r="H45" s="52"/>
      <c r="I45" s="84">
        <f>I44+I41</f>
        <v>691.6525</v>
      </c>
      <c r="J45" s="84">
        <f t="shared" si="2"/>
        <v>49.47750000000008</v>
      </c>
      <c r="K45" s="53">
        <f t="shared" si="3"/>
        <v>0.07704675516798393</v>
      </c>
      <c r="L45" s="54">
        <f>I45/I56</f>
        <v>0.1263329391441148</v>
      </c>
      <c r="M45" s="54">
        <f>I45/I61</f>
        <v>0.11961709598958065</v>
      </c>
    </row>
    <row r="46" spans="1:13" ht="14.25">
      <c r="A46" s="1"/>
      <c r="B46" s="1"/>
      <c r="C46" s="31" t="s">
        <v>15</v>
      </c>
      <c r="D46" s="48">
        <f>$D$23*$J$23</f>
        <v>53400</v>
      </c>
      <c r="E46" s="91">
        <f>E19</f>
        <v>0.0052</v>
      </c>
      <c r="F46" s="72">
        <f>D46*E46</f>
        <v>277.68</v>
      </c>
      <c r="G46" s="48">
        <f>$D$23*$J$23</f>
        <v>53400</v>
      </c>
      <c r="H46" s="91">
        <f>F19</f>
        <v>0.0052</v>
      </c>
      <c r="I46" s="72">
        <f>H46*G46</f>
        <v>277.68</v>
      </c>
      <c r="J46" s="72">
        <f t="shared" si="2"/>
        <v>0</v>
      </c>
      <c r="K46" s="29">
        <f t="shared" si="3"/>
        <v>0</v>
      </c>
      <c r="L46" s="49">
        <f>I46/$I$56</f>
        <v>0.050719299852943205</v>
      </c>
      <c r="M46" s="49">
        <f>I46/$I$61</f>
        <v>0.04802306825231854</v>
      </c>
    </row>
    <row r="47" spans="1:13" ht="14.25">
      <c r="A47" s="1"/>
      <c r="B47" s="1"/>
      <c r="C47" s="31" t="s">
        <v>17</v>
      </c>
      <c r="D47" s="48">
        <f>$D$23*$J$23</f>
        <v>53400</v>
      </c>
      <c r="E47" s="88">
        <f>E20</f>
        <v>0.0011</v>
      </c>
      <c r="F47" s="83">
        <f>D47*E47</f>
        <v>58.74</v>
      </c>
      <c r="G47" s="48">
        <f>$D$23*$J$23</f>
        <v>53400</v>
      </c>
      <c r="H47" s="88">
        <f>F20</f>
        <v>0.0011</v>
      </c>
      <c r="I47" s="83">
        <f>H47*G47</f>
        <v>58.74</v>
      </c>
      <c r="J47" s="83">
        <f t="shared" si="2"/>
        <v>0</v>
      </c>
      <c r="K47" s="29">
        <f t="shared" si="3"/>
        <v>0</v>
      </c>
      <c r="L47" s="30">
        <f>I47/$I$56</f>
        <v>0.010729082661199525</v>
      </c>
      <c r="M47" s="30">
        <f>I47/$I$61</f>
        <v>0.010158725976452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4.5663443399725586E-05</v>
      </c>
      <c r="M48" s="30">
        <f>I48/$I$61</f>
        <v>4.323598049221995E-05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336.67</v>
      </c>
      <c r="G49" s="97"/>
      <c r="H49" s="97"/>
      <c r="I49" s="98">
        <f>SUM(I46:I48)</f>
        <v>336.67</v>
      </c>
      <c r="J49" s="98">
        <f t="shared" si="2"/>
        <v>0</v>
      </c>
      <c r="K49" s="107">
        <f t="shared" si="3"/>
        <v>0</v>
      </c>
      <c r="L49" s="108">
        <f>I49/I56</f>
        <v>0.06149404595754246</v>
      </c>
      <c r="M49" s="108">
        <f>I49/I61</f>
        <v>0.05822503020926277</v>
      </c>
    </row>
    <row r="50" spans="1:13" ht="14.25">
      <c r="A50" s="1"/>
      <c r="B50" s="1"/>
      <c r="C50" s="109" t="s">
        <v>35</v>
      </c>
      <c r="D50" s="110">
        <f>D23</f>
        <v>50000</v>
      </c>
      <c r="E50" s="102">
        <v>0.007</v>
      </c>
      <c r="F50" s="111">
        <f>D50*E50</f>
        <v>350</v>
      </c>
      <c r="G50" s="110">
        <f>D50</f>
        <v>50000</v>
      </c>
      <c r="H50" s="89">
        <v>0.007</v>
      </c>
      <c r="I50" s="111">
        <f>H50*G50</f>
        <v>350</v>
      </c>
      <c r="J50" s="112">
        <f t="shared" si="2"/>
        <v>0</v>
      </c>
      <c r="K50" s="113">
        <f t="shared" si="3"/>
        <v>0</v>
      </c>
      <c r="L50" s="114">
        <f>I50/I56</f>
        <v>0.06392882075961583</v>
      </c>
      <c r="M50" s="114">
        <f>I50/I61</f>
        <v>0.06053037268910793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5333.845</v>
      </c>
      <c r="G52" s="115"/>
      <c r="H52" s="115"/>
      <c r="I52" s="116">
        <f>I50+I49+I45+I29</f>
        <v>5383.3225</v>
      </c>
      <c r="J52" s="116">
        <f t="shared" si="2"/>
        <v>49.477499999999964</v>
      </c>
      <c r="K52" s="117">
        <f t="shared" si="3"/>
        <v>0.009276141320192086</v>
      </c>
      <c r="L52" s="118">
        <f>I52/I56</f>
        <v>0.983284169124877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693.39985</v>
      </c>
      <c r="G53" s="132"/>
      <c r="H53" s="134">
        <v>0.13</v>
      </c>
      <c r="I53" s="141">
        <f>I52*H53</f>
        <v>699.8319250000001</v>
      </c>
      <c r="J53" s="136">
        <f t="shared" si="2"/>
        <v>6.432075000000054</v>
      </c>
      <c r="K53" s="137">
        <f t="shared" si="3"/>
        <v>0.009276141320192173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6027.24485</v>
      </c>
      <c r="G54" s="135"/>
      <c r="H54" s="135"/>
      <c r="I54" s="136">
        <f>I52+I53</f>
        <v>6083.154425000001</v>
      </c>
      <c r="J54" s="136">
        <f t="shared" si="2"/>
        <v>55.909575000000586</v>
      </c>
      <c r="K54" s="137">
        <f t="shared" si="3"/>
        <v>0.009276141320192192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-602.7244850000001</v>
      </c>
      <c r="G55" s="132"/>
      <c r="H55" s="140">
        <v>-0.1</v>
      </c>
      <c r="I55" s="141">
        <f>H55*I54</f>
        <v>-608.3154425000001</v>
      </c>
      <c r="J55" s="136">
        <f t="shared" si="2"/>
        <v>-5.590957500000059</v>
      </c>
      <c r="K55" s="137">
        <f t="shared" si="3"/>
        <v>0.00927614132019219</v>
      </c>
      <c r="L55" s="138">
        <f>I55/$I$56</f>
        <v>-0.11111111111111113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5424.520365</v>
      </c>
      <c r="G56" s="127"/>
      <c r="H56" s="127"/>
      <c r="I56" s="128">
        <f>I54+I55</f>
        <v>5474.8389825</v>
      </c>
      <c r="J56" s="128">
        <f aca="true" t="shared" si="8" ref="J56:J61">I56-F56</f>
        <v>50.31861750000007</v>
      </c>
      <c r="K56" s="129">
        <f aca="true" t="shared" si="9" ref="K56:K61">J56/F56</f>
        <v>0.009276141320192107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5636.089000000001</v>
      </c>
      <c r="G57" s="115"/>
      <c r="H57" s="115"/>
      <c r="I57" s="116">
        <f>I50+I45+I49+I33</f>
        <v>5685.566500000001</v>
      </c>
      <c r="J57" s="116">
        <f t="shared" si="8"/>
        <v>49.477499999999964</v>
      </c>
      <c r="K57" s="117">
        <f t="shared" si="9"/>
        <v>0.008778693877971045</v>
      </c>
      <c r="L57" s="118"/>
      <c r="M57" s="118">
        <f>I57/$I$61</f>
        <v>0.9832841691248773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732.6915700000002</v>
      </c>
      <c r="G58" s="132"/>
      <c r="H58" s="134">
        <v>0.13</v>
      </c>
      <c r="I58" s="141">
        <f>I57*H58</f>
        <v>739.1236450000001</v>
      </c>
      <c r="J58" s="136">
        <f t="shared" si="8"/>
        <v>6.432074999999941</v>
      </c>
      <c r="K58" s="137">
        <f t="shared" si="9"/>
        <v>0.00877869387797097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6368.780570000001</v>
      </c>
      <c r="G59" s="135"/>
      <c r="H59" s="135"/>
      <c r="I59" s="136">
        <f>I57+I58</f>
        <v>6424.6901450000005</v>
      </c>
      <c r="J59" s="136">
        <f t="shared" si="8"/>
        <v>55.90957499999968</v>
      </c>
      <c r="K59" s="137">
        <f t="shared" si="9"/>
        <v>0.008778693877971002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-636.8780570000001</v>
      </c>
      <c r="G60" s="132"/>
      <c r="H60" s="140">
        <v>-0.1</v>
      </c>
      <c r="I60" s="141">
        <f>H60*I59</f>
        <v>-642.4690145000001</v>
      </c>
      <c r="J60" s="136">
        <f t="shared" si="8"/>
        <v>-5.590957499999945</v>
      </c>
      <c r="K60" s="137">
        <f t="shared" si="9"/>
        <v>0.008778693877970966</v>
      </c>
      <c r="L60" s="138"/>
      <c r="M60" s="138">
        <f>I60/$I$61</f>
        <v>-0.11111111111111112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5731.902513000001</v>
      </c>
      <c r="G61" s="127"/>
      <c r="H61" s="127"/>
      <c r="I61" s="128">
        <f>I60+I59</f>
        <v>5782.2211305</v>
      </c>
      <c r="J61" s="128">
        <f t="shared" si="8"/>
        <v>50.318617499999164</v>
      </c>
      <c r="K61" s="129">
        <f t="shared" si="9"/>
        <v>0.008778693877970907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D13">
      <selection activeCell="M48" sqref="M48"/>
    </sheetView>
  </sheetViews>
  <sheetFormatPr defaultColWidth="9.00390625" defaultRowHeight="14.25"/>
  <cols>
    <col min="3" max="3" width="59.375" style="0" bestFit="1" customWidth="1"/>
    <col min="4" max="4" width="10.00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64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94">
        <v>103.56</v>
      </c>
      <c r="F10" s="70">
        <v>104.47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95">
        <f>2.49+9.75</f>
        <v>12.24</v>
      </c>
      <c r="F11" s="71">
        <f>2.49+9.75</f>
        <v>12.24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93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93">
        <v>4.8055</v>
      </c>
      <c r="F13" s="68">
        <v>4.8478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93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93">
        <v>0.1502</v>
      </c>
      <c r="F15" s="68">
        <v>0.1502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93">
        <f>-0.7941-0.0414+0.059-0.1995</f>
        <v>-0.976</v>
      </c>
      <c r="F16" s="68">
        <f>-0.8166-0.1995-0.0271</f>
        <v>-1.0432</v>
      </c>
      <c r="G16" s="61" t="s">
        <v>45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93">
        <v>2.5983</v>
      </c>
      <c r="F17" s="68">
        <v>2.4585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93">
        <v>2.0801</v>
      </c>
      <c r="F18" s="68">
        <v>1.9476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93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93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96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500000</v>
      </c>
      <c r="E23" s="12" t="s">
        <v>20</v>
      </c>
      <c r="F23" s="13">
        <v>1000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53.25" thickBot="1">
      <c r="A26" s="1"/>
      <c r="B26" s="1"/>
      <c r="C26" s="62" t="s">
        <v>65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534000</v>
      </c>
      <c r="E27" s="86">
        <v>0.075</v>
      </c>
      <c r="F27" s="72">
        <f>E27*D27</f>
        <v>40050</v>
      </c>
      <c r="G27" s="28">
        <f>D27</f>
        <v>534000</v>
      </c>
      <c r="H27" s="92">
        <v>0.075</v>
      </c>
      <c r="I27" s="72">
        <f>H27*G27</f>
        <v>40050</v>
      </c>
      <c r="J27" s="72">
        <f>I27-F27</f>
        <v>0</v>
      </c>
      <c r="K27" s="29">
        <f>J27/F27</f>
        <v>0</v>
      </c>
      <c r="L27" s="30">
        <f>I27/I56</f>
        <v>0.710941802371158</v>
      </c>
      <c r="M27" s="30"/>
    </row>
    <row r="28" spans="1:13" ht="15" thickBot="1">
      <c r="A28" s="1"/>
      <c r="B28" s="1"/>
      <c r="C28" s="31" t="s">
        <v>30</v>
      </c>
      <c r="D28" s="32">
        <f>$D$23*$J$23-D27</f>
        <v>0</v>
      </c>
      <c r="E28" s="87">
        <v>0.088</v>
      </c>
      <c r="F28" s="73">
        <f>E28*D28</f>
        <v>0</v>
      </c>
      <c r="G28" s="32">
        <f>$D$23*$J$23-G27</f>
        <v>0</v>
      </c>
      <c r="H28" s="90">
        <v>0.088</v>
      </c>
      <c r="I28" s="73">
        <f>H28*G28</f>
        <v>0</v>
      </c>
      <c r="J28" s="73">
        <f>I28-F28</f>
        <v>0</v>
      </c>
      <c r="K28" s="33">
        <v>0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40050</v>
      </c>
      <c r="G29" s="52"/>
      <c r="H29" s="52"/>
      <c r="I29" s="84">
        <f>SUM(I27:I28)</f>
        <v>40050</v>
      </c>
      <c r="J29" s="84">
        <f>SUM(J27:J28)</f>
        <v>0</v>
      </c>
      <c r="K29" s="53">
        <v>0</v>
      </c>
      <c r="L29" s="54">
        <f>I29/I56</f>
        <v>0.710941802371158</v>
      </c>
      <c r="M29" s="54"/>
    </row>
    <row r="30" spans="1:13" ht="14.25">
      <c r="A30" s="1"/>
      <c r="B30" s="1"/>
      <c r="C30" s="99" t="s">
        <v>49</v>
      </c>
      <c r="D30" s="28">
        <f>0.64*$D$23*$J$23</f>
        <v>341760</v>
      </c>
      <c r="E30" s="86">
        <v>0.065</v>
      </c>
      <c r="F30" s="72">
        <f>E30*D30</f>
        <v>22214.4</v>
      </c>
      <c r="G30" s="28">
        <f>D30</f>
        <v>341760</v>
      </c>
      <c r="H30" s="92">
        <v>0.065</v>
      </c>
      <c r="I30" s="72">
        <f>H30*G30</f>
        <v>22214.4</v>
      </c>
      <c r="J30" s="72">
        <f>I30-F30</f>
        <v>0</v>
      </c>
      <c r="K30" s="29">
        <f>J30/F30</f>
        <v>0</v>
      </c>
      <c r="L30" s="30"/>
      <c r="M30" s="30">
        <f>I30/I61</f>
        <v>0.37393229158184477</v>
      </c>
    </row>
    <row r="31" spans="1:13" ht="14.25">
      <c r="A31" s="1"/>
      <c r="B31" s="1"/>
      <c r="C31" s="100" t="s">
        <v>50</v>
      </c>
      <c r="D31" s="45">
        <f>0.18*$D$23*$J$23</f>
        <v>96120</v>
      </c>
      <c r="E31" s="102">
        <v>0.1</v>
      </c>
      <c r="F31" s="103">
        <f>E31*D31</f>
        <v>9612</v>
      </c>
      <c r="G31" s="45">
        <f>D31</f>
        <v>96120</v>
      </c>
      <c r="H31" s="89">
        <v>0.1</v>
      </c>
      <c r="I31" s="103">
        <f>H31*G31</f>
        <v>9612</v>
      </c>
      <c r="J31" s="103">
        <f>I31-F31</f>
        <v>0</v>
      </c>
      <c r="K31" s="33">
        <f>J31/F31</f>
        <v>0</v>
      </c>
      <c r="L31" s="101"/>
      <c r="M31" s="101">
        <f>I31/I61</f>
        <v>0.16179762616522128</v>
      </c>
    </row>
    <row r="32" spans="1:13" ht="15" thickBot="1">
      <c r="A32" s="1"/>
      <c r="B32" s="1"/>
      <c r="C32" s="106" t="s">
        <v>51</v>
      </c>
      <c r="D32" s="32">
        <f>0.18*$D$23*$J$23</f>
        <v>96120</v>
      </c>
      <c r="E32" s="87">
        <v>0.117</v>
      </c>
      <c r="F32" s="73">
        <f>E32*D32</f>
        <v>11246.04</v>
      </c>
      <c r="G32" s="32">
        <f>D32</f>
        <v>96120</v>
      </c>
      <c r="H32" s="90">
        <v>0.117</v>
      </c>
      <c r="I32" s="73">
        <f>H32*G32</f>
        <v>11246.04</v>
      </c>
      <c r="J32" s="73">
        <f>I32-F32</f>
        <v>0</v>
      </c>
      <c r="K32" s="104">
        <f>J32/F32</f>
        <v>0</v>
      </c>
      <c r="L32" s="105"/>
      <c r="M32" s="105">
        <f>I32/I61</f>
        <v>0.18930322261330892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43072.44</v>
      </c>
      <c r="G33" s="52"/>
      <c r="H33" s="52"/>
      <c r="I33" s="84">
        <f>SUM(I30:I32)</f>
        <v>43072.44</v>
      </c>
      <c r="J33" s="84">
        <f>SUM(J30:J31)</f>
        <v>0</v>
      </c>
      <c r="K33" s="53">
        <v>0</v>
      </c>
      <c r="L33" s="54"/>
      <c r="M33" s="54">
        <f>I33/I61</f>
        <v>0.725033140360375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103.56</v>
      </c>
      <c r="F34" s="78">
        <f>D34*E34</f>
        <v>103.56</v>
      </c>
      <c r="G34" s="36">
        <v>1</v>
      </c>
      <c r="H34" s="74">
        <f aca="true" t="shared" si="1" ref="H34:H40">F10</f>
        <v>104.47</v>
      </c>
      <c r="I34" s="78">
        <f>H34*G34</f>
        <v>104.47</v>
      </c>
      <c r="J34" s="78">
        <f aca="true" t="shared" si="2" ref="J34:J55">I34-F34</f>
        <v>0.9099999999999966</v>
      </c>
      <c r="K34" s="29">
        <f aca="true" t="shared" si="3" ref="K34:K55">J34/F34</f>
        <v>0.008787176516029322</v>
      </c>
      <c r="L34" s="30">
        <f>I34/$I$56</f>
        <v>0.0018544841471589233</v>
      </c>
      <c r="M34" s="30">
        <f>I34/$I$61</f>
        <v>0.001758530795409974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12.24</v>
      </c>
      <c r="F35" s="79">
        <f aca="true" t="shared" si="4" ref="F35:F43">D35*E35</f>
        <v>12.24</v>
      </c>
      <c r="G35" s="38">
        <v>1</v>
      </c>
      <c r="H35" s="75">
        <f t="shared" si="1"/>
        <v>12.24</v>
      </c>
      <c r="I35" s="81">
        <f aca="true" t="shared" si="5" ref="I35:I43">H35*G35</f>
        <v>12.24</v>
      </c>
      <c r="J35" s="81">
        <f t="shared" si="2"/>
        <v>0</v>
      </c>
      <c r="K35" s="29">
        <f t="shared" si="3"/>
        <v>0</v>
      </c>
      <c r="L35" s="30">
        <f aca="true" t="shared" si="6" ref="L35:L40">I35/$I$56</f>
        <v>0.00021727659578084832</v>
      </c>
      <c r="M35" s="30">
        <f aca="true" t="shared" si="7" ref="M35:M40">I35/$I$61</f>
        <v>0.0002060344303227537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43">
        <v>1000</v>
      </c>
      <c r="E37" s="88">
        <f t="shared" si="0"/>
        <v>4.8055</v>
      </c>
      <c r="F37" s="79">
        <f t="shared" si="4"/>
        <v>4805.5</v>
      </c>
      <c r="G37" s="44">
        <v>1000</v>
      </c>
      <c r="H37" s="88">
        <f t="shared" si="1"/>
        <v>4.8478</v>
      </c>
      <c r="I37" s="79">
        <f t="shared" si="5"/>
        <v>4847.8</v>
      </c>
      <c r="J37" s="79">
        <f t="shared" si="2"/>
        <v>42.30000000000018</v>
      </c>
      <c r="K37" s="29">
        <f t="shared" si="3"/>
        <v>0.008802413900738775</v>
      </c>
      <c r="L37" s="30">
        <f t="shared" si="6"/>
        <v>0.0860550229596729</v>
      </c>
      <c r="M37" s="30">
        <f t="shared" si="7"/>
        <v>0.08160242739531418</v>
      </c>
    </row>
    <row r="38" spans="1:13" ht="14.25" hidden="1">
      <c r="A38" s="1"/>
      <c r="B38" s="1"/>
      <c r="C38" s="31" t="s">
        <v>10</v>
      </c>
      <c r="D38" s="45">
        <f>D37</f>
        <v>1000</v>
      </c>
      <c r="E38" s="89">
        <f t="shared" si="0"/>
        <v>0</v>
      </c>
      <c r="F38" s="79">
        <f t="shared" si="4"/>
        <v>0</v>
      </c>
      <c r="G38" s="46">
        <f>G37</f>
        <v>1000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45">
        <f>D37</f>
        <v>1000</v>
      </c>
      <c r="E39" s="89">
        <f t="shared" si="0"/>
        <v>0.1502</v>
      </c>
      <c r="F39" s="79">
        <f t="shared" si="4"/>
        <v>150.2</v>
      </c>
      <c r="G39" s="46">
        <f>G37</f>
        <v>1000</v>
      </c>
      <c r="H39" s="89">
        <f t="shared" si="1"/>
        <v>0.1502</v>
      </c>
      <c r="I39" s="79">
        <f t="shared" si="5"/>
        <v>150.2</v>
      </c>
      <c r="J39" s="79">
        <f t="shared" si="2"/>
        <v>0</v>
      </c>
      <c r="K39" s="29">
        <f t="shared" si="3"/>
        <v>0</v>
      </c>
      <c r="L39" s="30">
        <f t="shared" si="6"/>
        <v>0.002666253650840148</v>
      </c>
      <c r="M39" s="30">
        <f t="shared" si="7"/>
        <v>0.0025282983198102616</v>
      </c>
    </row>
    <row r="40" spans="1:13" ht="15" thickBot="1">
      <c r="A40" s="1"/>
      <c r="B40" s="1"/>
      <c r="C40" s="31" t="s">
        <v>12</v>
      </c>
      <c r="D40" s="45">
        <f>D39</f>
        <v>1000</v>
      </c>
      <c r="E40" s="90">
        <f t="shared" si="0"/>
        <v>-0.976</v>
      </c>
      <c r="F40" s="80">
        <f>D40*E40-0.02</f>
        <v>-976.02</v>
      </c>
      <c r="G40" s="46">
        <f>G39</f>
        <v>1000</v>
      </c>
      <c r="H40" s="89">
        <f t="shared" si="1"/>
        <v>-1.0432</v>
      </c>
      <c r="I40" s="79">
        <f t="shared" si="5"/>
        <v>-1043.1999999999998</v>
      </c>
      <c r="J40" s="79">
        <f t="shared" si="2"/>
        <v>-67.17999999999984</v>
      </c>
      <c r="K40" s="29">
        <f t="shared" si="3"/>
        <v>0.06883055675088609</v>
      </c>
      <c r="L40" s="30">
        <f t="shared" si="6"/>
        <v>-0.018518214437792557</v>
      </c>
      <c r="M40" s="30">
        <f t="shared" si="7"/>
        <v>-0.017560058636658223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4095.48</v>
      </c>
      <c r="G41" s="58"/>
      <c r="H41" s="57"/>
      <c r="I41" s="85">
        <f>SUM(I34:I40)</f>
        <v>4071.51</v>
      </c>
      <c r="J41" s="85">
        <f t="shared" si="2"/>
        <v>-23.9699999999998</v>
      </c>
      <c r="K41" s="59">
        <f t="shared" si="3"/>
        <v>-0.005852793811714329</v>
      </c>
      <c r="L41" s="60">
        <f>I41/I56</f>
        <v>0.07227482291566027</v>
      </c>
      <c r="M41" s="60">
        <f>I41/I61</f>
        <v>0.06853523230419893</v>
      </c>
    </row>
    <row r="42" spans="1:13" ht="14.25">
      <c r="A42" s="1"/>
      <c r="B42" s="1"/>
      <c r="C42" s="42" t="s">
        <v>13</v>
      </c>
      <c r="D42" s="48">
        <v>1000</v>
      </c>
      <c r="E42" s="91">
        <f>E17</f>
        <v>2.5983</v>
      </c>
      <c r="F42" s="79">
        <f t="shared" si="4"/>
        <v>2598.3</v>
      </c>
      <c r="G42" s="48">
        <v>1000</v>
      </c>
      <c r="H42" s="91">
        <f>F17</f>
        <v>2.4585</v>
      </c>
      <c r="I42" s="79">
        <f t="shared" si="5"/>
        <v>2458.5</v>
      </c>
      <c r="J42" s="79">
        <f t="shared" si="2"/>
        <v>-139.80000000000018</v>
      </c>
      <c r="K42" s="29">
        <f t="shared" si="3"/>
        <v>-0.05380441057614601</v>
      </c>
      <c r="L42" s="30">
        <f>I42/$I$56</f>
        <v>0.04364170839274637</v>
      </c>
      <c r="M42" s="30">
        <f>I42/$I$61</f>
        <v>0.04138363128664134</v>
      </c>
    </row>
    <row r="43" spans="1:13" ht="15" thickBot="1">
      <c r="A43" s="1"/>
      <c r="B43" s="1"/>
      <c r="C43" s="42" t="s">
        <v>14</v>
      </c>
      <c r="D43" s="48">
        <v>1000</v>
      </c>
      <c r="E43" s="88">
        <f>E18</f>
        <v>2.0801</v>
      </c>
      <c r="F43" s="82">
        <f t="shared" si="4"/>
        <v>2080.1</v>
      </c>
      <c r="G43" s="48">
        <v>1000</v>
      </c>
      <c r="H43" s="88">
        <f>F18</f>
        <v>1.9476</v>
      </c>
      <c r="I43" s="82">
        <f t="shared" si="5"/>
        <v>1947.6</v>
      </c>
      <c r="J43" s="82">
        <f t="shared" si="2"/>
        <v>-132.5</v>
      </c>
      <c r="K43" s="29">
        <f t="shared" si="3"/>
        <v>-0.0636988606317004</v>
      </c>
      <c r="L43" s="30">
        <f>I43/$I$56</f>
        <v>0.034572540681599685</v>
      </c>
      <c r="M43" s="30">
        <f>I43/$I$61</f>
        <v>0.03278371376606169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4678.4</v>
      </c>
      <c r="G44" s="57"/>
      <c r="H44" s="57"/>
      <c r="I44" s="85">
        <f>SUM(I42:I43)</f>
        <v>4406.1</v>
      </c>
      <c r="J44" s="85">
        <f t="shared" si="2"/>
        <v>-272.2999999999993</v>
      </c>
      <c r="K44" s="59">
        <f t="shared" si="3"/>
        <v>-0.058203659370724886</v>
      </c>
      <c r="L44" s="60">
        <f>I44/I56</f>
        <v>0.07821424907434606</v>
      </c>
      <c r="M44" s="60">
        <f>I44/I61</f>
        <v>0.07416734505270303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8773.88</v>
      </c>
      <c r="G45" s="52"/>
      <c r="H45" s="52"/>
      <c r="I45" s="84">
        <f>I44+I41</f>
        <v>8477.61</v>
      </c>
      <c r="J45" s="84">
        <f t="shared" si="2"/>
        <v>-296.2699999999986</v>
      </c>
      <c r="K45" s="53">
        <f t="shared" si="3"/>
        <v>-0.03376727285989763</v>
      </c>
      <c r="L45" s="54">
        <f>I45/I56</f>
        <v>0.15048907199000633</v>
      </c>
      <c r="M45" s="54">
        <f>I45/I61</f>
        <v>0.14270257735690198</v>
      </c>
    </row>
    <row r="46" spans="1:13" ht="14.25">
      <c r="A46" s="1"/>
      <c r="B46" s="1"/>
      <c r="C46" s="31" t="s">
        <v>15</v>
      </c>
      <c r="D46" s="48">
        <f>$D$23*$J$23</f>
        <v>534000</v>
      </c>
      <c r="E46" s="91">
        <f>E19</f>
        <v>0.0052</v>
      </c>
      <c r="F46" s="72">
        <f>D46*E46</f>
        <v>2776.7999999999997</v>
      </c>
      <c r="G46" s="48">
        <f>$D$23*$J$23</f>
        <v>534000</v>
      </c>
      <c r="H46" s="91">
        <f>F19</f>
        <v>0.0052</v>
      </c>
      <c r="I46" s="72">
        <f>H46*G46</f>
        <v>2776.7999999999997</v>
      </c>
      <c r="J46" s="72">
        <f t="shared" si="2"/>
        <v>0</v>
      </c>
      <c r="K46" s="29">
        <f t="shared" si="3"/>
        <v>0</v>
      </c>
      <c r="L46" s="49">
        <f>I46/$I$56</f>
        <v>0.04929196496440029</v>
      </c>
      <c r="M46" s="49">
        <f>I46/$I$61</f>
        <v>0.04674153644773059</v>
      </c>
    </row>
    <row r="47" spans="1:13" ht="14.25">
      <c r="A47" s="1"/>
      <c r="B47" s="1"/>
      <c r="C47" s="31" t="s">
        <v>17</v>
      </c>
      <c r="D47" s="48">
        <f>$D$23*$J$23</f>
        <v>534000</v>
      </c>
      <c r="E47" s="88">
        <f>E20</f>
        <v>0.0011</v>
      </c>
      <c r="F47" s="83">
        <f>D47*E47</f>
        <v>587.4000000000001</v>
      </c>
      <c r="G47" s="48">
        <f>$D$23*$J$23</f>
        <v>534000</v>
      </c>
      <c r="H47" s="88">
        <f>F20</f>
        <v>0.0011</v>
      </c>
      <c r="I47" s="83">
        <f>H47*G47</f>
        <v>587.4000000000001</v>
      </c>
      <c r="J47" s="83">
        <f t="shared" si="2"/>
        <v>0</v>
      </c>
      <c r="K47" s="29">
        <f t="shared" si="3"/>
        <v>0</v>
      </c>
      <c r="L47" s="30">
        <f>I47/$I$56</f>
        <v>0.010427146434776987</v>
      </c>
      <c r="M47" s="30">
        <f>I47/$I$61</f>
        <v>0.009887632710096858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4.437838966112097E-06</v>
      </c>
      <c r="M48" s="30">
        <f>I48/$I$61</f>
        <v>4.208219573585656E-06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3364.45</v>
      </c>
      <c r="G49" s="97"/>
      <c r="H49" s="97"/>
      <c r="I49" s="98">
        <f>SUM(I46:I48)</f>
        <v>3364.45</v>
      </c>
      <c r="J49" s="98">
        <f t="shared" si="2"/>
        <v>0</v>
      </c>
      <c r="K49" s="107">
        <f t="shared" si="3"/>
        <v>0</v>
      </c>
      <c r="L49" s="108">
        <f>I49/I56</f>
        <v>0.05972354923814339</v>
      </c>
      <c r="M49" s="108">
        <f>I49/I61</f>
        <v>0.05663337737740103</v>
      </c>
    </row>
    <row r="50" spans="1:13" ht="14.25">
      <c r="A50" s="1"/>
      <c r="B50" s="1"/>
      <c r="C50" s="109" t="s">
        <v>35</v>
      </c>
      <c r="D50" s="110">
        <f>D23</f>
        <v>500000</v>
      </c>
      <c r="E50" s="102">
        <v>0.007</v>
      </c>
      <c r="F50" s="111">
        <f>D50*E50</f>
        <v>3500</v>
      </c>
      <c r="G50" s="110">
        <f>D50</f>
        <v>500000</v>
      </c>
      <c r="H50" s="89">
        <v>0.007</v>
      </c>
      <c r="I50" s="111">
        <f>H50*G50</f>
        <v>3500</v>
      </c>
      <c r="J50" s="112">
        <f t="shared" si="2"/>
        <v>0</v>
      </c>
      <c r="K50" s="113">
        <f t="shared" si="3"/>
        <v>0</v>
      </c>
      <c r="L50" s="114">
        <f>I50/I56</f>
        <v>0.062129745525569366</v>
      </c>
      <c r="M50" s="114">
        <f>I50/I61</f>
        <v>0.05891507403019918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55688.33</v>
      </c>
      <c r="G52" s="115"/>
      <c r="H52" s="115"/>
      <c r="I52" s="116">
        <f>I50+I49+I45+I29</f>
        <v>55392.06</v>
      </c>
      <c r="J52" s="116">
        <f t="shared" si="2"/>
        <v>-296.2700000000041</v>
      </c>
      <c r="K52" s="117">
        <f t="shared" si="3"/>
        <v>-0.0053201451722471125</v>
      </c>
      <c r="L52" s="118">
        <f>I52/I56</f>
        <v>0.983284169124877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7239.482900000001</v>
      </c>
      <c r="G53" s="132"/>
      <c r="H53" s="134">
        <v>0.13</v>
      </c>
      <c r="I53" s="141">
        <f>I52*H53</f>
        <v>7200.9678</v>
      </c>
      <c r="J53" s="136">
        <f t="shared" si="2"/>
        <v>-38.51510000000053</v>
      </c>
      <c r="K53" s="137">
        <f t="shared" si="3"/>
        <v>-0.0053201451722471125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62927.812900000004</v>
      </c>
      <c r="G54" s="135"/>
      <c r="H54" s="135"/>
      <c r="I54" s="136">
        <f>I52+I53</f>
        <v>62593.027799999996</v>
      </c>
      <c r="J54" s="136">
        <f t="shared" si="2"/>
        <v>-334.78510000000824</v>
      </c>
      <c r="K54" s="137">
        <f t="shared" si="3"/>
        <v>-0.005320145172247171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-6292.781290000001</v>
      </c>
      <c r="G55" s="132"/>
      <c r="H55" s="140">
        <v>-0.1</v>
      </c>
      <c r="I55" s="141">
        <f>H55*I54</f>
        <v>-6259.30278</v>
      </c>
      <c r="J55" s="136">
        <f t="shared" si="2"/>
        <v>33.478510000000824</v>
      </c>
      <c r="K55" s="137">
        <f t="shared" si="3"/>
        <v>-0.005320145172247171</v>
      </c>
      <c r="L55" s="138">
        <f>I55/$I$56</f>
        <v>-0.11111111111111112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56635.031610000005</v>
      </c>
      <c r="G56" s="127"/>
      <c r="H56" s="127"/>
      <c r="I56" s="128">
        <f>I54+I55</f>
        <v>56333.72502</v>
      </c>
      <c r="J56" s="128">
        <f aca="true" t="shared" si="8" ref="J56:J61">I56-F56</f>
        <v>-301.3065900000074</v>
      </c>
      <c r="K56" s="129">
        <f aca="true" t="shared" si="9" ref="K56:K61">J56/F56</f>
        <v>-0.005320145172247171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58710.770000000004</v>
      </c>
      <c r="G57" s="115"/>
      <c r="H57" s="115"/>
      <c r="I57" s="116">
        <f>I50+I45+I49+I33</f>
        <v>58414.5</v>
      </c>
      <c r="J57" s="116">
        <f t="shared" si="8"/>
        <v>-296.2700000000041</v>
      </c>
      <c r="K57" s="117">
        <f t="shared" si="9"/>
        <v>-0.0050462632324529905</v>
      </c>
      <c r="L57" s="118"/>
      <c r="M57" s="118">
        <f>I57/$I$61</f>
        <v>0.9832841691248771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7632.400100000001</v>
      </c>
      <c r="G58" s="132"/>
      <c r="H58" s="134">
        <v>0.13</v>
      </c>
      <c r="I58" s="141">
        <f>I57*H58</f>
        <v>7593.885</v>
      </c>
      <c r="J58" s="136">
        <f t="shared" si="8"/>
        <v>-38.51510000000053</v>
      </c>
      <c r="K58" s="137">
        <f t="shared" si="9"/>
        <v>-0.0050462632324529905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66343.1701</v>
      </c>
      <c r="G59" s="135"/>
      <c r="H59" s="135"/>
      <c r="I59" s="136">
        <f>I57+I58</f>
        <v>66008.385</v>
      </c>
      <c r="J59" s="136">
        <f t="shared" si="8"/>
        <v>-334.78510000000824</v>
      </c>
      <c r="K59" s="137">
        <f t="shared" si="9"/>
        <v>-0.005046263232453045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-6634.317010000001</v>
      </c>
      <c r="G60" s="132"/>
      <c r="H60" s="140">
        <v>-0.1</v>
      </c>
      <c r="I60" s="141">
        <f>H60*I59</f>
        <v>-6600.8385</v>
      </c>
      <c r="J60" s="136">
        <f t="shared" si="8"/>
        <v>33.478510000000824</v>
      </c>
      <c r="K60" s="137">
        <f t="shared" si="9"/>
        <v>-0.005046263232453045</v>
      </c>
      <c r="L60" s="138"/>
      <c r="M60" s="138">
        <f>I60/$I$61</f>
        <v>-0.11111111111111112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59708.853090000004</v>
      </c>
      <c r="G61" s="127"/>
      <c r="H61" s="127"/>
      <c r="I61" s="128">
        <f>I60+I59</f>
        <v>59407.5465</v>
      </c>
      <c r="J61" s="128">
        <f t="shared" si="8"/>
        <v>-301.3065900000074</v>
      </c>
      <c r="K61" s="129">
        <f t="shared" si="9"/>
        <v>-0.005046263232453045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D4">
      <selection activeCell="M48" sqref="M48"/>
    </sheetView>
  </sheetViews>
  <sheetFormatPr defaultColWidth="9.00390625" defaultRowHeight="14.25"/>
  <cols>
    <col min="3" max="3" width="59.375" style="0" bestFit="1" customWidth="1"/>
    <col min="4" max="4" width="10.00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64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94">
        <v>103.56</v>
      </c>
      <c r="F10" s="70">
        <v>104.47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95">
        <f>2.49+9.75</f>
        <v>12.24</v>
      </c>
      <c r="F11" s="71">
        <f>2.49+9.75</f>
        <v>12.24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93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93">
        <v>4.8055</v>
      </c>
      <c r="F13" s="68">
        <v>4.8478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93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93">
        <v>0.1502</v>
      </c>
      <c r="F15" s="68">
        <v>0.1502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93">
        <f>-0.7941-0.0414+0.059-0.1995-1.2926</f>
        <v>-2.2686</v>
      </c>
      <c r="F16" s="68">
        <f>-0.8166-0.1995-0.0271-0.3687</f>
        <v>-1.4119</v>
      </c>
      <c r="G16" s="61" t="s">
        <v>66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93">
        <v>2.5983</v>
      </c>
      <c r="F17" s="68">
        <v>2.4585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93">
        <v>2.0801</v>
      </c>
      <c r="F18" s="68">
        <v>1.9476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93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93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96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500000</v>
      </c>
      <c r="E23" s="12" t="s">
        <v>20</v>
      </c>
      <c r="F23" s="13">
        <v>1000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53.25" thickBot="1">
      <c r="A26" s="1"/>
      <c r="B26" s="1"/>
      <c r="C26" s="62" t="s">
        <v>65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534000</v>
      </c>
      <c r="E27" s="86">
        <v>0.075</v>
      </c>
      <c r="F27" s="72">
        <f>E27*D27</f>
        <v>40050</v>
      </c>
      <c r="G27" s="28">
        <f>D27</f>
        <v>534000</v>
      </c>
      <c r="H27" s="92">
        <v>0.075</v>
      </c>
      <c r="I27" s="72">
        <f>H27*G27</f>
        <v>40050</v>
      </c>
      <c r="J27" s="72">
        <f>I27-F27</f>
        <v>0</v>
      </c>
      <c r="K27" s="29">
        <f>J27/F27</f>
        <v>0</v>
      </c>
      <c r="L27" s="30">
        <f>I27/I56</f>
        <v>0.715705674343612</v>
      </c>
      <c r="M27" s="30"/>
    </row>
    <row r="28" spans="1:13" ht="15" thickBot="1">
      <c r="A28" s="1"/>
      <c r="B28" s="1"/>
      <c r="C28" s="31" t="s">
        <v>30</v>
      </c>
      <c r="D28" s="32">
        <f>$D$23*$J$23-D27</f>
        <v>0</v>
      </c>
      <c r="E28" s="87">
        <v>0.088</v>
      </c>
      <c r="F28" s="73">
        <f>E28*D28</f>
        <v>0</v>
      </c>
      <c r="G28" s="32">
        <f>$D$23*$J$23-G27</f>
        <v>0</v>
      </c>
      <c r="H28" s="90">
        <v>0.088</v>
      </c>
      <c r="I28" s="73">
        <f>H28*G28</f>
        <v>0</v>
      </c>
      <c r="J28" s="73">
        <f>I28-F28</f>
        <v>0</v>
      </c>
      <c r="K28" s="33">
        <v>0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40050</v>
      </c>
      <c r="G29" s="52"/>
      <c r="H29" s="52"/>
      <c r="I29" s="84">
        <f>SUM(I27:I28)</f>
        <v>40050</v>
      </c>
      <c r="J29" s="84">
        <f>SUM(J27:J28)</f>
        <v>0</v>
      </c>
      <c r="K29" s="53">
        <v>0</v>
      </c>
      <c r="L29" s="54">
        <f>I29/I56</f>
        <v>0.715705674343612</v>
      </c>
      <c r="M29" s="54"/>
    </row>
    <row r="30" spans="1:13" ht="14.25">
      <c r="A30" s="1"/>
      <c r="B30" s="1"/>
      <c r="C30" s="99" t="s">
        <v>49</v>
      </c>
      <c r="D30" s="28">
        <f>0.64*$D$23*$J$23</f>
        <v>341760</v>
      </c>
      <c r="E30" s="86">
        <v>0.065</v>
      </c>
      <c r="F30" s="72">
        <f>E30*D30</f>
        <v>22214.4</v>
      </c>
      <c r="G30" s="28">
        <f>D30</f>
        <v>341760</v>
      </c>
      <c r="H30" s="92">
        <v>0.065</v>
      </c>
      <c r="I30" s="72">
        <f>H30*G30</f>
        <v>22214.4</v>
      </c>
      <c r="J30" s="72">
        <f>I30-F30</f>
        <v>0</v>
      </c>
      <c r="K30" s="29">
        <f>J30/F30</f>
        <v>0</v>
      </c>
      <c r="L30" s="30"/>
      <c r="M30" s="30">
        <f>I30/I61</f>
        <v>0.3763074649088766</v>
      </c>
    </row>
    <row r="31" spans="1:13" ht="14.25">
      <c r="A31" s="1"/>
      <c r="B31" s="1"/>
      <c r="C31" s="100" t="s">
        <v>50</v>
      </c>
      <c r="D31" s="45">
        <f>0.18*$D$23*$J$23</f>
        <v>96120</v>
      </c>
      <c r="E31" s="102">
        <v>0.1</v>
      </c>
      <c r="F31" s="103">
        <f>E31*D31</f>
        <v>9612</v>
      </c>
      <c r="G31" s="45">
        <f>D31</f>
        <v>96120</v>
      </c>
      <c r="H31" s="89">
        <v>0.1</v>
      </c>
      <c r="I31" s="103">
        <f>H31*G31</f>
        <v>9612</v>
      </c>
      <c r="J31" s="103">
        <f>I31-F31</f>
        <v>0</v>
      </c>
      <c r="K31" s="33">
        <f>J31/F31</f>
        <v>0</v>
      </c>
      <c r="L31" s="101"/>
      <c r="M31" s="101">
        <f>I31/I61</f>
        <v>0.1628253453932639</v>
      </c>
    </row>
    <row r="32" spans="1:13" ht="15" thickBot="1">
      <c r="A32" s="1"/>
      <c r="B32" s="1"/>
      <c r="C32" s="106" t="s">
        <v>51</v>
      </c>
      <c r="D32" s="32">
        <f>0.18*$D$23*$J$23</f>
        <v>96120</v>
      </c>
      <c r="E32" s="87">
        <v>0.117</v>
      </c>
      <c r="F32" s="73">
        <f>E32*D32</f>
        <v>11246.04</v>
      </c>
      <c r="G32" s="32">
        <f>D32</f>
        <v>96120</v>
      </c>
      <c r="H32" s="90">
        <v>0.117</v>
      </c>
      <c r="I32" s="73">
        <f>H32*G32</f>
        <v>11246.04</v>
      </c>
      <c r="J32" s="73">
        <f>I32-F32</f>
        <v>0</v>
      </c>
      <c r="K32" s="104">
        <f>J32/F32</f>
        <v>0</v>
      </c>
      <c r="L32" s="105"/>
      <c r="M32" s="105">
        <f>I32/I61</f>
        <v>0.1905056541101188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43072.44</v>
      </c>
      <c r="G33" s="52"/>
      <c r="H33" s="52"/>
      <c r="I33" s="84">
        <f>SUM(I30:I32)</f>
        <v>43072.44</v>
      </c>
      <c r="J33" s="84">
        <f>SUM(J30:J31)</f>
        <v>0</v>
      </c>
      <c r="K33" s="53">
        <v>0</v>
      </c>
      <c r="L33" s="54"/>
      <c r="M33" s="54">
        <f>I33/I61</f>
        <v>0.7296384644122593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103.56</v>
      </c>
      <c r="F34" s="78">
        <f>D34*E34</f>
        <v>103.56</v>
      </c>
      <c r="G34" s="36">
        <v>1</v>
      </c>
      <c r="H34" s="74">
        <f aca="true" t="shared" si="1" ref="H34:H40">F10</f>
        <v>104.47</v>
      </c>
      <c r="I34" s="78">
        <f>H34*G34</f>
        <v>104.47</v>
      </c>
      <c r="J34" s="78">
        <f aca="true" t="shared" si="2" ref="J34:J55">I34-F34</f>
        <v>0.9099999999999966</v>
      </c>
      <c r="K34" s="29">
        <f aca="true" t="shared" si="3" ref="K34:K55">J34/F34</f>
        <v>0.008787176516029322</v>
      </c>
      <c r="L34" s="30">
        <f>I34/$I$56</f>
        <v>0.001866910656646121</v>
      </c>
      <c r="M34" s="30">
        <f>I34/$I$61</f>
        <v>0.0017697007733285769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12.24</v>
      </c>
      <c r="F35" s="79">
        <f aca="true" t="shared" si="4" ref="F35:F43">D35*E35</f>
        <v>12.24</v>
      </c>
      <c r="G35" s="38">
        <v>1</v>
      </c>
      <c r="H35" s="75">
        <f t="shared" si="1"/>
        <v>12.24</v>
      </c>
      <c r="I35" s="81">
        <f aca="true" t="shared" si="5" ref="I35:I43">H35*G35</f>
        <v>12.24</v>
      </c>
      <c r="J35" s="81">
        <f t="shared" si="2"/>
        <v>0</v>
      </c>
      <c r="K35" s="29">
        <f t="shared" si="3"/>
        <v>0</v>
      </c>
      <c r="L35" s="30">
        <f aca="true" t="shared" si="6" ref="L35:L40">I35/$I$56</f>
        <v>0.00021873252069827244</v>
      </c>
      <c r="M35" s="30">
        <f aca="true" t="shared" si="7" ref="M35:M40">I35/$I$61</f>
        <v>0.00020734313645584169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43">
        <v>1000</v>
      </c>
      <c r="E37" s="88">
        <f t="shared" si="0"/>
        <v>4.8055</v>
      </c>
      <c r="F37" s="79">
        <f t="shared" si="4"/>
        <v>4805.5</v>
      </c>
      <c r="G37" s="44">
        <v>1000</v>
      </c>
      <c r="H37" s="88">
        <f t="shared" si="1"/>
        <v>4.8478</v>
      </c>
      <c r="I37" s="79">
        <f t="shared" si="5"/>
        <v>4847.8</v>
      </c>
      <c r="J37" s="79">
        <f t="shared" si="2"/>
        <v>42.30000000000018</v>
      </c>
      <c r="K37" s="29">
        <f t="shared" si="3"/>
        <v>0.008802413900738775</v>
      </c>
      <c r="L37" s="30">
        <f t="shared" si="6"/>
        <v>0.08663165962753963</v>
      </c>
      <c r="M37" s="30">
        <f t="shared" si="7"/>
        <v>0.08212075628354815</v>
      </c>
    </row>
    <row r="38" spans="1:13" ht="14.25" hidden="1">
      <c r="A38" s="1"/>
      <c r="B38" s="1"/>
      <c r="C38" s="31" t="s">
        <v>10</v>
      </c>
      <c r="D38" s="45">
        <f>D37</f>
        <v>1000</v>
      </c>
      <c r="E38" s="89">
        <f t="shared" si="0"/>
        <v>0</v>
      </c>
      <c r="F38" s="79">
        <f t="shared" si="4"/>
        <v>0</v>
      </c>
      <c r="G38" s="46">
        <f>G37</f>
        <v>1000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45">
        <f>D37</f>
        <v>1000</v>
      </c>
      <c r="E39" s="89">
        <f t="shared" si="0"/>
        <v>0.1502</v>
      </c>
      <c r="F39" s="79">
        <f t="shared" si="4"/>
        <v>150.2</v>
      </c>
      <c r="G39" s="46">
        <f>G37</f>
        <v>1000</v>
      </c>
      <c r="H39" s="89">
        <f t="shared" si="1"/>
        <v>0.1502</v>
      </c>
      <c r="I39" s="79">
        <f t="shared" si="5"/>
        <v>150.2</v>
      </c>
      <c r="J39" s="79">
        <f t="shared" si="2"/>
        <v>0</v>
      </c>
      <c r="K39" s="29">
        <f t="shared" si="3"/>
        <v>0</v>
      </c>
      <c r="L39" s="30">
        <f t="shared" si="6"/>
        <v>0.0026841196575882777</v>
      </c>
      <c r="M39" s="30">
        <f t="shared" si="7"/>
        <v>0.0025443577692538743</v>
      </c>
    </row>
    <row r="40" spans="1:13" ht="15" thickBot="1">
      <c r="A40" s="1"/>
      <c r="B40" s="1"/>
      <c r="C40" s="31" t="s">
        <v>12</v>
      </c>
      <c r="D40" s="45">
        <f>D39</f>
        <v>1000</v>
      </c>
      <c r="E40" s="90">
        <f t="shared" si="0"/>
        <v>-2.2686</v>
      </c>
      <c r="F40" s="80">
        <f>D40*E40-0.02</f>
        <v>-2268.6200000000003</v>
      </c>
      <c r="G40" s="46">
        <f>G39</f>
        <v>1000</v>
      </c>
      <c r="H40" s="89">
        <f t="shared" si="1"/>
        <v>-1.4119</v>
      </c>
      <c r="I40" s="79">
        <f t="shared" si="5"/>
        <v>-1411.8999999999999</v>
      </c>
      <c r="J40" s="79">
        <f t="shared" si="2"/>
        <v>856.7200000000005</v>
      </c>
      <c r="K40" s="29">
        <f t="shared" si="3"/>
        <v>-0.3776392696881806</v>
      </c>
      <c r="L40" s="30">
        <f t="shared" si="6"/>
        <v>-0.02523108218740938</v>
      </c>
      <c r="M40" s="30">
        <f t="shared" si="7"/>
        <v>-0.023917301826961015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2802.8799999999997</v>
      </c>
      <c r="G41" s="58"/>
      <c r="H41" s="57"/>
      <c r="I41" s="85">
        <f>SUM(I34:I40)</f>
        <v>3702.8100000000004</v>
      </c>
      <c r="J41" s="85">
        <f t="shared" si="2"/>
        <v>899.9300000000007</v>
      </c>
      <c r="K41" s="59">
        <f t="shared" si="3"/>
        <v>0.32107332458043186</v>
      </c>
      <c r="L41" s="60">
        <f>I41/I56</f>
        <v>0.06617034027506292</v>
      </c>
      <c r="M41" s="60">
        <f>I41/I61</f>
        <v>0.06272485613562542</v>
      </c>
    </row>
    <row r="42" spans="1:13" ht="14.25">
      <c r="A42" s="1"/>
      <c r="B42" s="1"/>
      <c r="C42" s="42" t="s">
        <v>13</v>
      </c>
      <c r="D42" s="48">
        <v>1000</v>
      </c>
      <c r="E42" s="91">
        <f>E17</f>
        <v>2.5983</v>
      </c>
      <c r="F42" s="79">
        <f t="shared" si="4"/>
        <v>2598.3</v>
      </c>
      <c r="G42" s="48">
        <v>1000</v>
      </c>
      <c r="H42" s="91">
        <f>F17</f>
        <v>2.4585</v>
      </c>
      <c r="I42" s="79">
        <f t="shared" si="5"/>
        <v>2458.5</v>
      </c>
      <c r="J42" s="79">
        <f t="shared" si="2"/>
        <v>-139.80000000000018</v>
      </c>
      <c r="K42" s="29">
        <f t="shared" si="3"/>
        <v>-0.05380441057614601</v>
      </c>
      <c r="L42" s="30">
        <f>I42/$I$56</f>
        <v>0.04393414233142996</v>
      </c>
      <c r="M42" s="30">
        <f>I42/$I$61</f>
        <v>0.041646495177833885</v>
      </c>
    </row>
    <row r="43" spans="1:13" ht="15" thickBot="1">
      <c r="A43" s="1"/>
      <c r="B43" s="1"/>
      <c r="C43" s="42" t="s">
        <v>14</v>
      </c>
      <c r="D43" s="48">
        <v>1000</v>
      </c>
      <c r="E43" s="88">
        <f>E18</f>
        <v>2.0801</v>
      </c>
      <c r="F43" s="82">
        <f t="shared" si="4"/>
        <v>2080.1</v>
      </c>
      <c r="G43" s="48">
        <v>1000</v>
      </c>
      <c r="H43" s="88">
        <f>F18</f>
        <v>1.9476</v>
      </c>
      <c r="I43" s="82">
        <f t="shared" si="5"/>
        <v>1947.6</v>
      </c>
      <c r="J43" s="82">
        <f t="shared" si="2"/>
        <v>-132.5</v>
      </c>
      <c r="K43" s="29">
        <f t="shared" si="3"/>
        <v>-0.0636988606317004</v>
      </c>
      <c r="L43" s="30">
        <f>I43/$I$56</f>
        <v>0.034804204028754525</v>
      </c>
      <c r="M43" s="30">
        <f>I43/$I$61</f>
        <v>0.0329919520066501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4678.4</v>
      </c>
      <c r="G44" s="57"/>
      <c r="H44" s="57"/>
      <c r="I44" s="85">
        <f>SUM(I42:I43)</f>
        <v>4406.1</v>
      </c>
      <c r="J44" s="85">
        <f t="shared" si="2"/>
        <v>-272.2999999999993</v>
      </c>
      <c r="K44" s="59">
        <f t="shared" si="3"/>
        <v>-0.058203659370724886</v>
      </c>
      <c r="L44" s="60">
        <f>I44/I56</f>
        <v>0.0787383463601845</v>
      </c>
      <c r="M44" s="60">
        <f>I44/I61</f>
        <v>0.074638447184484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7481.279999999999</v>
      </c>
      <c r="G45" s="52"/>
      <c r="H45" s="52"/>
      <c r="I45" s="84">
        <f>I44+I41</f>
        <v>8108.910000000001</v>
      </c>
      <c r="J45" s="84">
        <f t="shared" si="2"/>
        <v>627.6300000000019</v>
      </c>
      <c r="K45" s="53">
        <f t="shared" si="3"/>
        <v>0.08389339792121162</v>
      </c>
      <c r="L45" s="54">
        <f>I45/I56</f>
        <v>0.14490868663524742</v>
      </c>
      <c r="M45" s="54">
        <f>I45/I61</f>
        <v>0.13736330332010943</v>
      </c>
    </row>
    <row r="46" spans="1:13" ht="14.25">
      <c r="A46" s="1"/>
      <c r="B46" s="1"/>
      <c r="C46" s="31" t="s">
        <v>15</v>
      </c>
      <c r="D46" s="48">
        <f>$D$23*$J$23</f>
        <v>534000</v>
      </c>
      <c r="E46" s="91">
        <f>E19</f>
        <v>0.0052</v>
      </c>
      <c r="F46" s="72">
        <f>D46*E46</f>
        <v>2776.7999999999997</v>
      </c>
      <c r="G46" s="48">
        <f>$D$23*$J$23</f>
        <v>534000</v>
      </c>
      <c r="H46" s="91">
        <f>F19</f>
        <v>0.0052</v>
      </c>
      <c r="I46" s="72">
        <f>H46*G46</f>
        <v>2776.7999999999997</v>
      </c>
      <c r="J46" s="72">
        <f t="shared" si="2"/>
        <v>0</v>
      </c>
      <c r="K46" s="29">
        <f t="shared" si="3"/>
        <v>0</v>
      </c>
      <c r="L46" s="49">
        <f>I46/$I$56</f>
        <v>0.04962226008782376</v>
      </c>
      <c r="M46" s="49">
        <f>I46/$I$61</f>
        <v>0.04703843311360957</v>
      </c>
    </row>
    <row r="47" spans="1:13" ht="14.25">
      <c r="A47" s="1"/>
      <c r="B47" s="1"/>
      <c r="C47" s="31" t="s">
        <v>17</v>
      </c>
      <c r="D47" s="48">
        <f>$D$23*$J$23</f>
        <v>534000</v>
      </c>
      <c r="E47" s="88">
        <f>E20</f>
        <v>0.0011</v>
      </c>
      <c r="F47" s="83">
        <f>D47*E47</f>
        <v>587.4000000000001</v>
      </c>
      <c r="G47" s="48">
        <f>$D$23*$J$23</f>
        <v>534000</v>
      </c>
      <c r="H47" s="88">
        <f>F20</f>
        <v>0.0011</v>
      </c>
      <c r="I47" s="83">
        <f>H47*G47</f>
        <v>587.4000000000001</v>
      </c>
      <c r="J47" s="83">
        <f t="shared" si="2"/>
        <v>0</v>
      </c>
      <c r="K47" s="29">
        <f t="shared" si="3"/>
        <v>0</v>
      </c>
      <c r="L47" s="30">
        <f>I47/$I$56</f>
        <v>0.010497016557039645</v>
      </c>
      <c r="M47" s="30">
        <f>I47/$I$61</f>
        <v>0.009950437774032796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4.467575994654257E-06</v>
      </c>
      <c r="M48" s="30">
        <f>I48/$I$61</f>
        <v>4.234949682513107E-06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3364.45</v>
      </c>
      <c r="G49" s="97"/>
      <c r="H49" s="97"/>
      <c r="I49" s="98">
        <f>SUM(I46:I48)</f>
        <v>3364.45</v>
      </c>
      <c r="J49" s="98">
        <f t="shared" si="2"/>
        <v>0</v>
      </c>
      <c r="K49" s="107">
        <f t="shared" si="3"/>
        <v>0</v>
      </c>
      <c r="L49" s="108">
        <f>I49/I56</f>
        <v>0.06012374422085806</v>
      </c>
      <c r="M49" s="108">
        <f>I49/I61</f>
        <v>0.05699310583732488</v>
      </c>
    </row>
    <row r="50" spans="1:13" ht="14.25">
      <c r="A50" s="1"/>
      <c r="B50" s="1"/>
      <c r="C50" s="109" t="s">
        <v>35</v>
      </c>
      <c r="D50" s="110">
        <f>D23</f>
        <v>500000</v>
      </c>
      <c r="E50" s="102">
        <v>0.007</v>
      </c>
      <c r="F50" s="111">
        <f>D50*E50</f>
        <v>3500</v>
      </c>
      <c r="G50" s="110">
        <f>D50</f>
        <v>500000</v>
      </c>
      <c r="H50" s="89">
        <v>0.007</v>
      </c>
      <c r="I50" s="111">
        <f>H50*G50</f>
        <v>3500</v>
      </c>
      <c r="J50" s="112">
        <f t="shared" si="2"/>
        <v>0</v>
      </c>
      <c r="K50" s="113">
        <f t="shared" si="3"/>
        <v>0</v>
      </c>
      <c r="L50" s="114">
        <f>I50/I56</f>
        <v>0.0625460639251596</v>
      </c>
      <c r="M50" s="114">
        <f>I50/I61</f>
        <v>0.05928929555518349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54395.729999999996</v>
      </c>
      <c r="G52" s="115"/>
      <c r="H52" s="115"/>
      <c r="I52" s="116">
        <f>I50+I49+I45+I29</f>
        <v>55023.36</v>
      </c>
      <c r="J52" s="116">
        <f t="shared" si="2"/>
        <v>627.6300000000047</v>
      </c>
      <c r="K52" s="117">
        <f t="shared" si="3"/>
        <v>0.011538221842045409</v>
      </c>
      <c r="L52" s="118">
        <f>I52/I56</f>
        <v>0.983284169124877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7071.4448999999995</v>
      </c>
      <c r="G53" s="132"/>
      <c r="H53" s="134">
        <v>0.13</v>
      </c>
      <c r="I53" s="141">
        <f>I52*H53</f>
        <v>7153.036800000001</v>
      </c>
      <c r="J53" s="136">
        <f t="shared" si="2"/>
        <v>81.59190000000126</v>
      </c>
      <c r="K53" s="137">
        <f t="shared" si="3"/>
        <v>0.0115382218420455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61467.1749</v>
      </c>
      <c r="G54" s="135"/>
      <c r="H54" s="135"/>
      <c r="I54" s="136">
        <f>I52+I53</f>
        <v>62176.3968</v>
      </c>
      <c r="J54" s="136">
        <f t="shared" si="2"/>
        <v>709.2219000000041</v>
      </c>
      <c r="K54" s="137">
        <f t="shared" si="3"/>
        <v>0.01153822184204539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-6146.71749</v>
      </c>
      <c r="G55" s="132"/>
      <c r="H55" s="140">
        <v>-0.1</v>
      </c>
      <c r="I55" s="141">
        <f>H55*I54</f>
        <v>-6217.63968</v>
      </c>
      <c r="J55" s="136">
        <f t="shared" si="2"/>
        <v>-70.92219000000023</v>
      </c>
      <c r="K55" s="137">
        <f t="shared" si="3"/>
        <v>0.01153822184204536</v>
      </c>
      <c r="L55" s="138">
        <f>I55/$I$56</f>
        <v>-0.1111111111111111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55320.457409999995</v>
      </c>
      <c r="G56" s="127"/>
      <c r="H56" s="127"/>
      <c r="I56" s="128">
        <f>I54+I55</f>
        <v>55958.75712</v>
      </c>
      <c r="J56" s="128">
        <f aca="true" t="shared" si="8" ref="J56:J61">I56-F56</f>
        <v>638.2997100000066</v>
      </c>
      <c r="K56" s="129">
        <f aca="true" t="shared" si="9" ref="K56:K61">J56/F56</f>
        <v>0.011538221842045443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57418.17</v>
      </c>
      <c r="G57" s="115"/>
      <c r="H57" s="115"/>
      <c r="I57" s="116">
        <f>I50+I45+I49+I33</f>
        <v>58045.8</v>
      </c>
      <c r="J57" s="116">
        <f t="shared" si="8"/>
        <v>627.6300000000047</v>
      </c>
      <c r="K57" s="117">
        <f t="shared" si="9"/>
        <v>0.01093086038792258</v>
      </c>
      <c r="L57" s="118"/>
      <c r="M57" s="118">
        <f>I57/$I$61</f>
        <v>0.9832841691248771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7464.3621</v>
      </c>
      <c r="G58" s="132"/>
      <c r="H58" s="134">
        <v>0.13</v>
      </c>
      <c r="I58" s="141">
        <f>I57*H58</f>
        <v>7545.954000000001</v>
      </c>
      <c r="J58" s="136">
        <f t="shared" si="8"/>
        <v>81.59190000000035</v>
      </c>
      <c r="K58" s="137">
        <f t="shared" si="9"/>
        <v>0.010930860387922545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64882.5321</v>
      </c>
      <c r="G59" s="135"/>
      <c r="H59" s="135"/>
      <c r="I59" s="136">
        <f>I57+I58</f>
        <v>65591.754</v>
      </c>
      <c r="J59" s="136">
        <f t="shared" si="8"/>
        <v>709.2219000000041</v>
      </c>
      <c r="K59" s="137">
        <f t="shared" si="9"/>
        <v>0.010930860387922563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-6488.25321</v>
      </c>
      <c r="G60" s="132"/>
      <c r="H60" s="140">
        <v>-0.1</v>
      </c>
      <c r="I60" s="141">
        <f>H60*I59</f>
        <v>-6559.1754</v>
      </c>
      <c r="J60" s="136">
        <f t="shared" si="8"/>
        <v>-70.92219000000023</v>
      </c>
      <c r="K60" s="137">
        <f t="shared" si="9"/>
        <v>0.010930860387922535</v>
      </c>
      <c r="L60" s="138"/>
      <c r="M60" s="138">
        <f>I60/$I$61</f>
        <v>-0.1111111111111111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58394.278889999994</v>
      </c>
      <c r="G61" s="127"/>
      <c r="H61" s="127"/>
      <c r="I61" s="128">
        <f>I60+I59</f>
        <v>59032.5786</v>
      </c>
      <c r="J61" s="128">
        <f t="shared" si="8"/>
        <v>638.2997100000066</v>
      </c>
      <c r="K61" s="129">
        <f t="shared" si="9"/>
        <v>0.010930860387922613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0">
      <selection activeCell="M48" sqref="M48"/>
    </sheetView>
  </sheetViews>
  <sheetFormatPr defaultColWidth="9.00390625" defaultRowHeight="14.25"/>
  <cols>
    <col min="3" max="3" width="59.375" style="0" bestFit="1" customWidth="1"/>
    <col min="4" max="4" width="7.75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41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70">
        <v>20.73</v>
      </c>
      <c r="F10" s="70">
        <v>20.91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71">
        <v>0</v>
      </c>
      <c r="F11" s="71">
        <v>0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68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68">
        <v>0.0027</v>
      </c>
      <c r="F13" s="68">
        <v>0.0027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68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68">
        <v>0.0003</v>
      </c>
      <c r="F15" s="68">
        <v>0.0003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68">
        <f>-0.0022-0.0004-0.0016</f>
        <v>-0.004200000000000001</v>
      </c>
      <c r="F16" s="68">
        <f>-0.0025-0.0016-0.0002</f>
        <v>-0.0043</v>
      </c>
      <c r="G16" s="61" t="s">
        <v>45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68">
        <v>0.006</v>
      </c>
      <c r="F17" s="68">
        <v>0.0057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68">
        <v>0.0048</v>
      </c>
      <c r="F18" s="68">
        <v>0.0045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68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68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69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500</v>
      </c>
      <c r="E23" s="12" t="s">
        <v>20</v>
      </c>
      <c r="F23" s="13">
        <v>0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" thickBot="1">
      <c r="A26" s="1"/>
      <c r="B26" s="1"/>
      <c r="C26" s="20" t="s">
        <v>41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534</v>
      </c>
      <c r="E27" s="86">
        <v>0.075</v>
      </c>
      <c r="F27" s="72">
        <f>E27*D27</f>
        <v>40.05</v>
      </c>
      <c r="G27" s="28">
        <f>D27</f>
        <v>534</v>
      </c>
      <c r="H27" s="92">
        <v>0.075</v>
      </c>
      <c r="I27" s="72">
        <f>H27*G27</f>
        <v>40.05</v>
      </c>
      <c r="J27" s="72">
        <f>I27-F27</f>
        <v>0</v>
      </c>
      <c r="K27" s="29">
        <f>J27/F27</f>
        <v>0</v>
      </c>
      <c r="L27" s="30">
        <f>I27/I56</f>
        <v>0.5404143071105286</v>
      </c>
      <c r="M27" s="30"/>
    </row>
    <row r="28" spans="1:13" ht="15" thickBot="1">
      <c r="A28" s="1"/>
      <c r="B28" s="1"/>
      <c r="C28" s="31" t="s">
        <v>30</v>
      </c>
      <c r="D28" s="32"/>
      <c r="E28" s="87">
        <v>0.088</v>
      </c>
      <c r="F28" s="73">
        <f>E28*D28</f>
        <v>0</v>
      </c>
      <c r="G28" s="32"/>
      <c r="H28" s="90">
        <v>0.088</v>
      </c>
      <c r="I28" s="73">
        <f>H28*G28</f>
        <v>0</v>
      </c>
      <c r="J28" s="73">
        <f>I28-F28</f>
        <v>0</v>
      </c>
      <c r="K28" s="33" t="e">
        <f>J28/F28</f>
        <v>#DIV/0!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40.05</v>
      </c>
      <c r="G29" s="52"/>
      <c r="H29" s="52"/>
      <c r="I29" s="84">
        <f>SUM(I27:I28)</f>
        <v>40.05</v>
      </c>
      <c r="J29" s="84">
        <f>SUM(J27:J28)</f>
        <v>0</v>
      </c>
      <c r="K29" s="53">
        <v>0</v>
      </c>
      <c r="L29" s="54">
        <f>I29/I56</f>
        <v>0.5404143071105286</v>
      </c>
      <c r="M29" s="54"/>
    </row>
    <row r="30" spans="1:13" ht="14.25">
      <c r="A30" s="1"/>
      <c r="B30" s="1"/>
      <c r="C30" s="99" t="s">
        <v>49</v>
      </c>
      <c r="D30" s="28">
        <f>0.64*$D$23*$J$23</f>
        <v>341.76</v>
      </c>
      <c r="E30" s="86">
        <v>0.065</v>
      </c>
      <c r="F30" s="72">
        <f>E30*D30</f>
        <v>22.2144</v>
      </c>
      <c r="G30" s="28">
        <f>D30</f>
        <v>341.76</v>
      </c>
      <c r="H30" s="92">
        <v>0.065</v>
      </c>
      <c r="I30" s="72">
        <f>H30*G30</f>
        <v>22.2144</v>
      </c>
      <c r="J30" s="72">
        <f>I30-F30</f>
        <v>0</v>
      </c>
      <c r="K30" s="29">
        <f>J30/F30</f>
        <v>0</v>
      </c>
      <c r="L30" s="30"/>
      <c r="M30" s="30">
        <f>I30/I61</f>
        <v>0.2878123306389547</v>
      </c>
    </row>
    <row r="31" spans="1:13" ht="14.25">
      <c r="A31" s="1"/>
      <c r="B31" s="1"/>
      <c r="C31" s="100" t="s">
        <v>50</v>
      </c>
      <c r="D31" s="45">
        <f>0.18*$D$23*$J$23</f>
        <v>96.12</v>
      </c>
      <c r="E31" s="102">
        <v>0.1</v>
      </c>
      <c r="F31" s="103">
        <f>E31*D31</f>
        <v>9.612000000000002</v>
      </c>
      <c r="G31" s="45">
        <f>D31</f>
        <v>96.12</v>
      </c>
      <c r="H31" s="89">
        <v>0.1</v>
      </c>
      <c r="I31" s="103">
        <f>H31*G31</f>
        <v>9.612000000000002</v>
      </c>
      <c r="J31" s="103">
        <f>I31-F31</f>
        <v>0</v>
      </c>
      <c r="K31" s="33">
        <f>J31/F31</f>
        <v>0</v>
      </c>
      <c r="L31" s="101"/>
      <c r="M31" s="101">
        <f>I31/I61</f>
        <v>0.1245341815264708</v>
      </c>
    </row>
    <row r="32" spans="1:13" ht="15" thickBot="1">
      <c r="A32" s="1"/>
      <c r="B32" s="1"/>
      <c r="C32" s="106" t="s">
        <v>51</v>
      </c>
      <c r="D32" s="32">
        <f>0.18*$D$23*$J$23</f>
        <v>96.12</v>
      </c>
      <c r="E32" s="87">
        <v>0.117</v>
      </c>
      <c r="F32" s="73">
        <f>E32*D32</f>
        <v>11.24604</v>
      </c>
      <c r="G32" s="32">
        <f>D32</f>
        <v>96.12</v>
      </c>
      <c r="H32" s="90">
        <v>0.117</v>
      </c>
      <c r="I32" s="73">
        <f>H32*G32</f>
        <v>11.24604</v>
      </c>
      <c r="J32" s="73">
        <f>I32-F32</f>
        <v>0</v>
      </c>
      <c r="K32" s="104">
        <f>J32/F32</f>
        <v>0</v>
      </c>
      <c r="L32" s="105"/>
      <c r="M32" s="105">
        <f>I32/I61</f>
        <v>0.14570499238597082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43.07244</v>
      </c>
      <c r="G33" s="52"/>
      <c r="H33" s="52"/>
      <c r="I33" s="84">
        <f>SUM(I30:I32)</f>
        <v>43.07244</v>
      </c>
      <c r="J33" s="84">
        <f>SUM(J30:J31)</f>
        <v>0</v>
      </c>
      <c r="K33" s="53">
        <v>0</v>
      </c>
      <c r="L33" s="54"/>
      <c r="M33" s="54">
        <f>I33/I61</f>
        <v>0.5580515045513963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20.73</v>
      </c>
      <c r="F34" s="78">
        <f>D34*E34</f>
        <v>20.73</v>
      </c>
      <c r="G34" s="36">
        <v>1</v>
      </c>
      <c r="H34" s="74">
        <f aca="true" t="shared" si="1" ref="H34:H40">F10</f>
        <v>20.91</v>
      </c>
      <c r="I34" s="78">
        <f>H34*G34</f>
        <v>20.91</v>
      </c>
      <c r="J34" s="78">
        <f aca="true" t="shared" si="2" ref="J34:J55">I34-F34</f>
        <v>0.17999999999999972</v>
      </c>
      <c r="K34" s="29">
        <f aca="true" t="shared" si="3" ref="K34:K55">J34/F34</f>
        <v>0.008683068017366123</v>
      </c>
      <c r="L34" s="30">
        <f>I34/$I$56</f>
        <v>0.28214889292587153</v>
      </c>
      <c r="M34" s="30">
        <f>I34/$I$61</f>
        <v>0.2709123736702564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0</v>
      </c>
      <c r="F35" s="79">
        <f aca="true" t="shared" si="4" ref="F35:F43">D35*E35</f>
        <v>0</v>
      </c>
      <c r="G35" s="38">
        <v>1</v>
      </c>
      <c r="H35" s="75">
        <f t="shared" si="1"/>
        <v>0</v>
      </c>
      <c r="I35" s="81">
        <f aca="true" t="shared" si="5" ref="I35:I43">H35*G35</f>
        <v>0</v>
      </c>
      <c r="J35" s="81">
        <f t="shared" si="2"/>
        <v>0</v>
      </c>
      <c r="K35" s="29" t="e">
        <f t="shared" si="3"/>
        <v>#DIV/0!</v>
      </c>
      <c r="L35" s="30">
        <f aca="true" t="shared" si="6" ref="L35:L40">I35/$I$56</f>
        <v>0</v>
      </c>
      <c r="M35" s="30">
        <f aca="true" t="shared" si="7" ref="M35:M40">I35/$I$61</f>
        <v>0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43">
        <f>D23</f>
        <v>500</v>
      </c>
      <c r="E37" s="88">
        <f t="shared" si="0"/>
        <v>0.0027</v>
      </c>
      <c r="F37" s="79">
        <f t="shared" si="4"/>
        <v>1.35</v>
      </c>
      <c r="G37" s="44">
        <f>D23</f>
        <v>500</v>
      </c>
      <c r="H37" s="88">
        <f t="shared" si="1"/>
        <v>0.0027</v>
      </c>
      <c r="I37" s="79">
        <f t="shared" si="5"/>
        <v>1.35</v>
      </c>
      <c r="J37" s="79">
        <f t="shared" si="2"/>
        <v>0</v>
      </c>
      <c r="K37" s="29">
        <f t="shared" si="3"/>
        <v>0</v>
      </c>
      <c r="L37" s="30">
        <f t="shared" si="6"/>
        <v>0.018216212599231302</v>
      </c>
      <c r="M37" s="30">
        <f t="shared" si="7"/>
        <v>0.017490755832369493</v>
      </c>
    </row>
    <row r="38" spans="1:13" ht="14.25" hidden="1">
      <c r="A38" s="1"/>
      <c r="B38" s="1"/>
      <c r="C38" s="31" t="s">
        <v>10</v>
      </c>
      <c r="D38" s="45">
        <f>D37</f>
        <v>500</v>
      </c>
      <c r="E38" s="89">
        <f t="shared" si="0"/>
        <v>0</v>
      </c>
      <c r="F38" s="79">
        <f t="shared" si="4"/>
        <v>0</v>
      </c>
      <c r="G38" s="46">
        <f>G37</f>
        <v>500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45">
        <f>D37</f>
        <v>500</v>
      </c>
      <c r="E39" s="89">
        <f t="shared" si="0"/>
        <v>0.0003</v>
      </c>
      <c r="F39" s="79">
        <f t="shared" si="4"/>
        <v>0.15</v>
      </c>
      <c r="G39" s="46">
        <f>G37</f>
        <v>500</v>
      </c>
      <c r="H39" s="89">
        <f t="shared" si="1"/>
        <v>0.0003</v>
      </c>
      <c r="I39" s="79">
        <f t="shared" si="5"/>
        <v>0.15</v>
      </c>
      <c r="J39" s="79">
        <f t="shared" si="2"/>
        <v>0</v>
      </c>
      <c r="K39" s="29">
        <f t="shared" si="3"/>
        <v>0</v>
      </c>
      <c r="L39" s="30">
        <f t="shared" si="6"/>
        <v>0.0020240236221368115</v>
      </c>
      <c r="M39" s="30">
        <f t="shared" si="7"/>
        <v>0.0019434173147077213</v>
      </c>
    </row>
    <row r="40" spans="1:13" ht="15" thickBot="1">
      <c r="A40" s="1"/>
      <c r="B40" s="1"/>
      <c r="C40" s="31" t="s">
        <v>12</v>
      </c>
      <c r="D40" s="45">
        <f>D39</f>
        <v>500</v>
      </c>
      <c r="E40" s="90">
        <f t="shared" si="0"/>
        <v>-0.004200000000000001</v>
      </c>
      <c r="F40" s="80">
        <f>D40*E40-0.02</f>
        <v>-2.12</v>
      </c>
      <c r="G40" s="46">
        <f>G39</f>
        <v>500</v>
      </c>
      <c r="H40" s="89">
        <f t="shared" si="1"/>
        <v>-0.0043</v>
      </c>
      <c r="I40" s="79">
        <f t="shared" si="5"/>
        <v>-2.15</v>
      </c>
      <c r="J40" s="79">
        <f t="shared" si="2"/>
        <v>-0.029999999999999805</v>
      </c>
      <c r="K40" s="29">
        <f t="shared" si="3"/>
        <v>0.014150943396226322</v>
      </c>
      <c r="L40" s="30">
        <f t="shared" si="6"/>
        <v>-0.02901100525062763</v>
      </c>
      <c r="M40" s="30">
        <f t="shared" si="7"/>
        <v>-0.02785564817747734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20.11</v>
      </c>
      <c r="G41" s="58"/>
      <c r="H41" s="57"/>
      <c r="I41" s="85">
        <f>SUM(I34:I40)</f>
        <v>20.26</v>
      </c>
      <c r="J41" s="85">
        <f t="shared" si="2"/>
        <v>0.15000000000000213</v>
      </c>
      <c r="K41" s="59">
        <f t="shared" si="3"/>
        <v>0.007458975634013035</v>
      </c>
      <c r="L41" s="60">
        <f>I41/I56</f>
        <v>0.27337812389661204</v>
      </c>
      <c r="M41" s="60">
        <f>I41/I61</f>
        <v>0.26249089863985625</v>
      </c>
    </row>
    <row r="42" spans="1:13" ht="14.25">
      <c r="A42" s="1"/>
      <c r="B42" s="1"/>
      <c r="C42" s="42" t="s">
        <v>13</v>
      </c>
      <c r="D42" s="48">
        <f>$D$23*$J$23</f>
        <v>534</v>
      </c>
      <c r="E42" s="91">
        <f>E17</f>
        <v>0.006</v>
      </c>
      <c r="F42" s="79">
        <f t="shared" si="4"/>
        <v>3.204</v>
      </c>
      <c r="G42" s="48">
        <f>$D$23*$J$23</f>
        <v>534</v>
      </c>
      <c r="H42" s="91">
        <f>F17</f>
        <v>0.0057</v>
      </c>
      <c r="I42" s="79">
        <f t="shared" si="5"/>
        <v>3.0438</v>
      </c>
      <c r="J42" s="79">
        <f t="shared" si="2"/>
        <v>-0.16020000000000012</v>
      </c>
      <c r="K42" s="29">
        <f t="shared" si="3"/>
        <v>-0.05000000000000004</v>
      </c>
      <c r="L42" s="30">
        <f>I42/$I$56</f>
        <v>0.04107148734040018</v>
      </c>
      <c r="M42" s="30">
        <f>I42/$I$61</f>
        <v>0.039435824150049086</v>
      </c>
    </row>
    <row r="43" spans="1:13" ht="15" thickBot="1">
      <c r="A43" s="1"/>
      <c r="B43" s="1"/>
      <c r="C43" s="42" t="s">
        <v>14</v>
      </c>
      <c r="D43" s="48">
        <f>$D$23*$J$23</f>
        <v>534</v>
      </c>
      <c r="E43" s="88">
        <f>E18</f>
        <v>0.0048</v>
      </c>
      <c r="F43" s="82">
        <f t="shared" si="4"/>
        <v>2.5631999999999997</v>
      </c>
      <c r="G43" s="48">
        <f>$D$23*$J$23</f>
        <v>534</v>
      </c>
      <c r="H43" s="88">
        <f>F18</f>
        <v>0.0045</v>
      </c>
      <c r="I43" s="82">
        <f t="shared" si="5"/>
        <v>2.403</v>
      </c>
      <c r="J43" s="82">
        <f t="shared" si="2"/>
        <v>-0.16019999999999968</v>
      </c>
      <c r="K43" s="29">
        <f t="shared" si="3"/>
        <v>-0.06249999999999988</v>
      </c>
      <c r="L43" s="30">
        <f>I43/$I$56</f>
        <v>0.03242485842663172</v>
      </c>
      <c r="M43" s="30">
        <f>I43/$I$61</f>
        <v>0.031133545381617698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5.7672</v>
      </c>
      <c r="G44" s="57"/>
      <c r="H44" s="57"/>
      <c r="I44" s="85">
        <f>SUM(I42:I43)</f>
        <v>5.4468</v>
      </c>
      <c r="J44" s="85">
        <f t="shared" si="2"/>
        <v>-0.32040000000000024</v>
      </c>
      <c r="K44" s="59">
        <f t="shared" si="3"/>
        <v>-0.0555555555555556</v>
      </c>
      <c r="L44" s="60">
        <f>I44/I56</f>
        <v>0.07349634576703189</v>
      </c>
      <c r="M44" s="60">
        <f>I44/I61</f>
        <v>0.07056936953166677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25.8772</v>
      </c>
      <c r="G45" s="52"/>
      <c r="H45" s="52"/>
      <c r="I45" s="84">
        <f>I44+I41</f>
        <v>25.7068</v>
      </c>
      <c r="J45" s="84">
        <f t="shared" si="2"/>
        <v>-0.17039999999999722</v>
      </c>
      <c r="K45" s="53">
        <f t="shared" si="3"/>
        <v>-0.006584947366793828</v>
      </c>
      <c r="L45" s="54">
        <f>I45/I56</f>
        <v>0.3468744696636439</v>
      </c>
      <c r="M45" s="54">
        <f>I45/I61</f>
        <v>0.333060268171523</v>
      </c>
    </row>
    <row r="46" spans="1:13" ht="14.25">
      <c r="A46" s="1"/>
      <c r="B46" s="1"/>
      <c r="C46" s="31" t="s">
        <v>15</v>
      </c>
      <c r="D46" s="48">
        <f>$D$23*$J$23</f>
        <v>534</v>
      </c>
      <c r="E46" s="91">
        <f>E19</f>
        <v>0.0052</v>
      </c>
      <c r="F46" s="72">
        <f>D46*E46</f>
        <v>2.7767999999999997</v>
      </c>
      <c r="G46" s="48">
        <f>$D$23*$J$23</f>
        <v>534</v>
      </c>
      <c r="H46" s="91">
        <f>F19</f>
        <v>0.0052</v>
      </c>
      <c r="I46" s="72">
        <f>H46*G46</f>
        <v>2.7767999999999997</v>
      </c>
      <c r="J46" s="72">
        <f t="shared" si="2"/>
        <v>0</v>
      </c>
      <c r="K46" s="29">
        <f t="shared" si="3"/>
        <v>0</v>
      </c>
      <c r="L46" s="49">
        <f>I46/$I$56</f>
        <v>0.03746872529299665</v>
      </c>
      <c r="M46" s="49">
        <f>I46/$I$61</f>
        <v>0.035976541329869334</v>
      </c>
    </row>
    <row r="47" spans="1:13" ht="14.25">
      <c r="A47" s="1"/>
      <c r="B47" s="1"/>
      <c r="C47" s="31" t="s">
        <v>17</v>
      </c>
      <c r="D47" s="48">
        <f>$D$23*$J$23</f>
        <v>534</v>
      </c>
      <c r="E47" s="88">
        <f>E20</f>
        <v>0.0011</v>
      </c>
      <c r="F47" s="83">
        <f>D47*E47</f>
        <v>0.5874</v>
      </c>
      <c r="G47" s="48">
        <f>$D$23*$J$23</f>
        <v>534</v>
      </c>
      <c r="H47" s="88">
        <f>F20</f>
        <v>0.0011</v>
      </c>
      <c r="I47" s="83">
        <f>H47*G47</f>
        <v>0.5874</v>
      </c>
      <c r="J47" s="83">
        <f t="shared" si="2"/>
        <v>0</v>
      </c>
      <c r="K47" s="29">
        <f t="shared" si="3"/>
        <v>0</v>
      </c>
      <c r="L47" s="30">
        <f>I47/$I$56</f>
        <v>0.007926076504287755</v>
      </c>
      <c r="M47" s="30">
        <f>I47/$I$61</f>
        <v>0.007610422204395438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0.0033733727035613523</v>
      </c>
      <c r="M48" s="30">
        <f>I48/$I$61</f>
        <v>0.003239028857846202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3.6142</v>
      </c>
      <c r="G49" s="97"/>
      <c r="H49" s="97"/>
      <c r="I49" s="98">
        <f>SUM(I46:I48)</f>
        <v>3.6142</v>
      </c>
      <c r="J49" s="98">
        <f t="shared" si="2"/>
        <v>0</v>
      </c>
      <c r="K49" s="107">
        <f t="shared" si="3"/>
        <v>0</v>
      </c>
      <c r="L49" s="108">
        <f>I49/I56</f>
        <v>0.04876817450084576</v>
      </c>
      <c r="M49" s="108">
        <f>I49/I61</f>
        <v>0.04682599239211098</v>
      </c>
    </row>
    <row r="50" spans="1:13" ht="14.25">
      <c r="A50" s="1"/>
      <c r="B50" s="1"/>
      <c r="C50" s="109" t="s">
        <v>35</v>
      </c>
      <c r="D50" s="110">
        <f>D23</f>
        <v>500</v>
      </c>
      <c r="E50" s="102">
        <v>0.007</v>
      </c>
      <c r="F50" s="111">
        <f>D50*E50</f>
        <v>3.5</v>
      </c>
      <c r="G50" s="110">
        <f>D50</f>
        <v>500</v>
      </c>
      <c r="H50" s="89">
        <v>0.007</v>
      </c>
      <c r="I50" s="111">
        <f>H50*G50</f>
        <v>3.5</v>
      </c>
      <c r="J50" s="112">
        <f t="shared" si="2"/>
        <v>0</v>
      </c>
      <c r="K50" s="113">
        <f t="shared" si="3"/>
        <v>0</v>
      </c>
      <c r="L50" s="114">
        <f>I50/I56</f>
        <v>0.047227217849858935</v>
      </c>
      <c r="M50" s="114">
        <f>I50/I61</f>
        <v>0.04534640400984683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73.0414</v>
      </c>
      <c r="G52" s="115"/>
      <c r="H52" s="115"/>
      <c r="I52" s="116">
        <f>I50+I49+I45+I29</f>
        <v>72.871</v>
      </c>
      <c r="J52" s="116">
        <f t="shared" si="2"/>
        <v>-0.17040000000000077</v>
      </c>
      <c r="K52" s="117">
        <f t="shared" si="3"/>
        <v>-0.00233292352008588</v>
      </c>
      <c r="L52" s="118">
        <f>I52/I56</f>
        <v>0.9832841691248771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9.495382</v>
      </c>
      <c r="G53" s="132"/>
      <c r="H53" s="134">
        <v>0.13</v>
      </c>
      <c r="I53" s="141">
        <f>I52*H53</f>
        <v>9.47323</v>
      </c>
      <c r="J53" s="136">
        <f t="shared" si="2"/>
        <v>-0.02215200000000017</v>
      </c>
      <c r="K53" s="137">
        <f t="shared" si="3"/>
        <v>-0.0023329235200858873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82.53678199999999</v>
      </c>
      <c r="G54" s="135"/>
      <c r="H54" s="135"/>
      <c r="I54" s="136">
        <f>I52+I53</f>
        <v>82.34423</v>
      </c>
      <c r="J54" s="136">
        <f t="shared" si="2"/>
        <v>-0.19255199999999206</v>
      </c>
      <c r="K54" s="137">
        <f t="shared" si="3"/>
        <v>-0.0023329235200857733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-8.2536782</v>
      </c>
      <c r="G55" s="132"/>
      <c r="H55" s="140">
        <v>-0.1</v>
      </c>
      <c r="I55" s="141">
        <f>H55*I54</f>
        <v>-8.234423</v>
      </c>
      <c r="J55" s="136">
        <f t="shared" si="2"/>
        <v>0.019255199999999917</v>
      </c>
      <c r="K55" s="137">
        <f t="shared" si="3"/>
        <v>-0.002332923520085859</v>
      </c>
      <c r="L55" s="138">
        <f>I55/$I$56</f>
        <v>-0.11111111111111112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74.28310379999999</v>
      </c>
      <c r="G56" s="127"/>
      <c r="H56" s="127"/>
      <c r="I56" s="128">
        <f>I54+I55</f>
        <v>74.10980699999999</v>
      </c>
      <c r="J56" s="128">
        <f aca="true" t="shared" si="8" ref="J56:J61">I56-F56</f>
        <v>-0.1732968000000028</v>
      </c>
      <c r="K56" s="129">
        <f aca="true" t="shared" si="9" ref="K56:K61">J56/F56</f>
        <v>-0.0023329235200859073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76.06384</v>
      </c>
      <c r="G57" s="115"/>
      <c r="H57" s="115"/>
      <c r="I57" s="116">
        <f>I50+I45+I49+I33</f>
        <v>75.89344</v>
      </c>
      <c r="J57" s="116">
        <f t="shared" si="8"/>
        <v>-0.17040000000000077</v>
      </c>
      <c r="K57" s="117">
        <f t="shared" si="9"/>
        <v>-0.0022402234754385366</v>
      </c>
      <c r="L57" s="118"/>
      <c r="M57" s="118">
        <f>I57/$I$61</f>
        <v>0.9832841691248771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9.8882992</v>
      </c>
      <c r="G58" s="132"/>
      <c r="H58" s="134">
        <v>0.13</v>
      </c>
      <c r="I58" s="141">
        <f>I57*H58</f>
        <v>9.8661472</v>
      </c>
      <c r="J58" s="136">
        <f t="shared" si="8"/>
        <v>-0.02215200000000017</v>
      </c>
      <c r="K58" s="137">
        <f t="shared" si="9"/>
        <v>-0.0022402234754385435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85.9521392</v>
      </c>
      <c r="G59" s="135"/>
      <c r="H59" s="135"/>
      <c r="I59" s="136">
        <f>I57+I58</f>
        <v>85.7595872</v>
      </c>
      <c r="J59" s="136">
        <f t="shared" si="8"/>
        <v>-0.19255200000000627</v>
      </c>
      <c r="K59" s="137">
        <f t="shared" si="9"/>
        <v>-0.002240223475438599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-8.59521392</v>
      </c>
      <c r="G60" s="132"/>
      <c r="H60" s="140">
        <v>-0.1</v>
      </c>
      <c r="I60" s="141">
        <f>H60*I59</f>
        <v>-8.575958720000001</v>
      </c>
      <c r="J60" s="136">
        <f t="shared" si="8"/>
        <v>0.019255199999999917</v>
      </c>
      <c r="K60" s="137">
        <f t="shared" si="9"/>
        <v>-0.0022402234754385166</v>
      </c>
      <c r="L60" s="138"/>
      <c r="M60" s="138">
        <f>I60/$I$61</f>
        <v>-0.11111111111111113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77.35692528</v>
      </c>
      <c r="G61" s="127"/>
      <c r="H61" s="127"/>
      <c r="I61" s="128">
        <f>I60+I59</f>
        <v>77.18362848</v>
      </c>
      <c r="J61" s="128">
        <f t="shared" si="8"/>
        <v>-0.1732968000000028</v>
      </c>
      <c r="K61" s="129">
        <f t="shared" si="9"/>
        <v>-0.0022402234754385626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B22">
      <selection activeCell="M48" sqref="M48"/>
    </sheetView>
  </sheetViews>
  <sheetFormatPr defaultColWidth="9.00390625" defaultRowHeight="14.25"/>
  <cols>
    <col min="3" max="3" width="59.375" style="0" bestFit="1" customWidth="1"/>
    <col min="4" max="4" width="7.75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94">
        <v>12.93</v>
      </c>
      <c r="F10" s="70">
        <v>13.04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95">
        <v>0</v>
      </c>
      <c r="F11" s="71">
        <v>0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93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93">
        <v>33.3692</v>
      </c>
      <c r="F13" s="68">
        <v>33.6628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93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93">
        <v>0.1103</v>
      </c>
      <c r="F15" s="68">
        <v>0.1103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93">
        <f>-0.7724-0.8555-2.2663</f>
        <v>-3.8942</v>
      </c>
      <c r="F16" s="68">
        <f>-1.3756-2.2663-0.5613</f>
        <v>-4.2032</v>
      </c>
      <c r="G16" s="61" t="s">
        <v>45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93">
        <v>1.8564</v>
      </c>
      <c r="F17" s="68">
        <v>1.7565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93">
        <v>1.4855</v>
      </c>
      <c r="F18" s="68">
        <v>1.3909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93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93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96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77</v>
      </c>
      <c r="E23" s="12" t="s">
        <v>20</v>
      </c>
      <c r="F23" s="13">
        <v>0.21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" thickBot="1">
      <c r="A26" s="1"/>
      <c r="B26" s="1"/>
      <c r="C26" s="20" t="s">
        <v>42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82.236</v>
      </c>
      <c r="E27" s="86">
        <v>0.075</v>
      </c>
      <c r="F27" s="72">
        <f>E27*D27</f>
        <v>6.1677</v>
      </c>
      <c r="G27" s="28">
        <f>D27</f>
        <v>82.236</v>
      </c>
      <c r="H27" s="92">
        <v>0.075</v>
      </c>
      <c r="I27" s="72">
        <f>H27*G27</f>
        <v>6.1677</v>
      </c>
      <c r="J27" s="72">
        <f>I27-F27</f>
        <v>0</v>
      </c>
      <c r="K27" s="29">
        <f>J27/F27</f>
        <v>0</v>
      </c>
      <c r="L27" s="30">
        <f>I27/I56</f>
        <v>0.2214536718517459</v>
      </c>
      <c r="M27" s="30"/>
    </row>
    <row r="28" spans="1:13" ht="15" thickBot="1">
      <c r="A28" s="1"/>
      <c r="B28" s="1"/>
      <c r="C28" s="31" t="s">
        <v>30</v>
      </c>
      <c r="D28" s="32"/>
      <c r="E28" s="87">
        <v>0.088</v>
      </c>
      <c r="F28" s="73">
        <f>E28*D28</f>
        <v>0</v>
      </c>
      <c r="G28" s="32"/>
      <c r="H28" s="90">
        <v>0.088</v>
      </c>
      <c r="I28" s="73">
        <f>H28*G28</f>
        <v>0</v>
      </c>
      <c r="J28" s="73">
        <f>I28-F28</f>
        <v>0</v>
      </c>
      <c r="K28" s="33" t="e">
        <f>J28/F28</f>
        <v>#DIV/0!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6.1677</v>
      </c>
      <c r="G29" s="52"/>
      <c r="H29" s="52"/>
      <c r="I29" s="84">
        <f>SUM(I27:I28)</f>
        <v>6.1677</v>
      </c>
      <c r="J29" s="84">
        <f>SUM(J27:J28)</f>
        <v>0</v>
      </c>
      <c r="K29" s="53">
        <v>0</v>
      </c>
      <c r="L29" s="54">
        <f>I29/I56</f>
        <v>0.2214536718517459</v>
      </c>
      <c r="M29" s="54"/>
    </row>
    <row r="30" spans="1:13" ht="14.25">
      <c r="A30" s="1"/>
      <c r="B30" s="1"/>
      <c r="C30" s="99" t="s">
        <v>49</v>
      </c>
      <c r="D30" s="28">
        <f>0.64*$D$23*$J$23</f>
        <v>52.631040000000006</v>
      </c>
      <c r="E30" s="86">
        <v>0.065</v>
      </c>
      <c r="F30" s="72">
        <f>E30*D30</f>
        <v>3.4210176000000003</v>
      </c>
      <c r="G30" s="28">
        <f>D30</f>
        <v>52.631040000000006</v>
      </c>
      <c r="H30" s="92">
        <v>0.065</v>
      </c>
      <c r="I30" s="72">
        <f>H30*G30</f>
        <v>3.4210176000000003</v>
      </c>
      <c r="J30" s="72">
        <f>I30-F30</f>
        <v>0</v>
      </c>
      <c r="K30" s="29">
        <f>J30/F30</f>
        <v>0</v>
      </c>
      <c r="L30" s="30"/>
      <c r="M30" s="30">
        <f>I30/I61</f>
        <v>0.12078013278723584</v>
      </c>
    </row>
    <row r="31" spans="1:13" ht="14.25">
      <c r="A31" s="1"/>
      <c r="B31" s="1"/>
      <c r="C31" s="100" t="s">
        <v>50</v>
      </c>
      <c r="D31" s="45">
        <f>0.18*$D$23*$J$23</f>
        <v>14.802480000000001</v>
      </c>
      <c r="E31" s="102">
        <v>0.1</v>
      </c>
      <c r="F31" s="103">
        <f>E31*D31</f>
        <v>1.4802480000000002</v>
      </c>
      <c r="G31" s="45">
        <f>D31</f>
        <v>14.802480000000001</v>
      </c>
      <c r="H31" s="89">
        <v>0.1</v>
      </c>
      <c r="I31" s="103">
        <f>H31*G31</f>
        <v>1.4802480000000002</v>
      </c>
      <c r="J31" s="103">
        <f>I31-F31</f>
        <v>0</v>
      </c>
      <c r="K31" s="33">
        <f>J31/F31</f>
        <v>0</v>
      </c>
      <c r="L31" s="101"/>
      <c r="M31" s="101">
        <f>I31/I61</f>
        <v>0.05226063437909243</v>
      </c>
    </row>
    <row r="32" spans="1:13" ht="15" thickBot="1">
      <c r="A32" s="1"/>
      <c r="B32" s="1"/>
      <c r="C32" s="106" t="s">
        <v>51</v>
      </c>
      <c r="D32" s="32">
        <f>0.18*$D$23*$J$23</f>
        <v>14.802480000000001</v>
      </c>
      <c r="E32" s="87">
        <v>0.117</v>
      </c>
      <c r="F32" s="73">
        <f>E32*D32</f>
        <v>1.7318901600000003</v>
      </c>
      <c r="G32" s="32">
        <f>D32</f>
        <v>14.802480000000001</v>
      </c>
      <c r="H32" s="90">
        <v>0.117</v>
      </c>
      <c r="I32" s="73">
        <f>H32*G32</f>
        <v>1.7318901600000003</v>
      </c>
      <c r="J32" s="73">
        <f>I32-F32</f>
        <v>0</v>
      </c>
      <c r="K32" s="104">
        <f>J32/F32</f>
        <v>0</v>
      </c>
      <c r="L32" s="105"/>
      <c r="M32" s="105">
        <f>I32/I61</f>
        <v>0.06114494222353815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6.633155760000001</v>
      </c>
      <c r="G33" s="52"/>
      <c r="H33" s="52"/>
      <c r="I33" s="84">
        <f>SUM(I30:I32)</f>
        <v>6.633155760000001</v>
      </c>
      <c r="J33" s="84">
        <f>SUM(J30:J31)</f>
        <v>0</v>
      </c>
      <c r="K33" s="53">
        <v>0</v>
      </c>
      <c r="L33" s="54"/>
      <c r="M33" s="54">
        <f>I33/I61</f>
        <v>0.23418570938986644</v>
      </c>
    </row>
    <row r="34" spans="1:13" ht="14.25">
      <c r="A34" s="1"/>
      <c r="B34" s="1"/>
      <c r="C34" s="34" t="s">
        <v>5</v>
      </c>
      <c r="D34" s="35">
        <v>1</v>
      </c>
      <c r="E34" s="74">
        <f aca="true" t="shared" si="0" ref="E34:E40">E10</f>
        <v>12.93</v>
      </c>
      <c r="F34" s="78">
        <f>D34*E34</f>
        <v>12.93</v>
      </c>
      <c r="G34" s="36">
        <v>1</v>
      </c>
      <c r="H34" s="74">
        <f aca="true" t="shared" si="1" ref="H34:H40">F10</f>
        <v>13.04</v>
      </c>
      <c r="I34" s="78">
        <f>H34*G34</f>
        <v>13.04</v>
      </c>
      <c r="J34" s="78">
        <f aca="true" t="shared" si="2" ref="J34:J55">I34-F34</f>
        <v>0.10999999999999943</v>
      </c>
      <c r="K34" s="29">
        <f aca="true" t="shared" si="3" ref="K34:K55">J34/F34</f>
        <v>0.00850734725444698</v>
      </c>
      <c r="L34" s="30">
        <f>I34/$I$56</f>
        <v>0.46820628126315583</v>
      </c>
      <c r="M34" s="30">
        <f>I34/$I$61</f>
        <v>0.4603814173728762</v>
      </c>
    </row>
    <row r="35" spans="1:13" ht="14.25">
      <c r="A35" s="1"/>
      <c r="B35" s="1"/>
      <c r="C35" s="31" t="s">
        <v>7</v>
      </c>
      <c r="D35" s="37">
        <v>1</v>
      </c>
      <c r="E35" s="75">
        <f t="shared" si="0"/>
        <v>0</v>
      </c>
      <c r="F35" s="79">
        <f aca="true" t="shared" si="4" ref="F35:F43">D35*E35</f>
        <v>0</v>
      </c>
      <c r="G35" s="38">
        <v>1</v>
      </c>
      <c r="H35" s="75">
        <f t="shared" si="1"/>
        <v>0</v>
      </c>
      <c r="I35" s="81">
        <f aca="true" t="shared" si="5" ref="I35:I43">H35*G35</f>
        <v>0</v>
      </c>
      <c r="J35" s="81">
        <f t="shared" si="2"/>
        <v>0</v>
      </c>
      <c r="K35" s="29" t="e">
        <f t="shared" si="3"/>
        <v>#DIV/0!</v>
      </c>
      <c r="L35" s="30">
        <f aca="true" t="shared" si="6" ref="L35:L40">I35/$I$56</f>
        <v>0</v>
      </c>
      <c r="M35" s="30">
        <f aca="true" t="shared" si="7" ref="M35:M40">I35/$I$61</f>
        <v>0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63">
        <f>F23</f>
        <v>0.21</v>
      </c>
      <c r="E37" s="88">
        <f t="shared" si="0"/>
        <v>33.3692</v>
      </c>
      <c r="F37" s="79">
        <f t="shared" si="4"/>
        <v>7.007531999999999</v>
      </c>
      <c r="G37" s="65">
        <f>F23</f>
        <v>0.21</v>
      </c>
      <c r="H37" s="88">
        <f t="shared" si="1"/>
        <v>33.6628</v>
      </c>
      <c r="I37" s="79">
        <f t="shared" si="5"/>
        <v>7.069188</v>
      </c>
      <c r="J37" s="79">
        <f t="shared" si="2"/>
        <v>0.061656000000000155</v>
      </c>
      <c r="K37" s="29">
        <f t="shared" si="3"/>
        <v>0.00879853277873011</v>
      </c>
      <c r="L37" s="30">
        <f t="shared" si="6"/>
        <v>0.2538219497722489</v>
      </c>
      <c r="M37" s="30">
        <f t="shared" si="7"/>
        <v>0.2495799686438135</v>
      </c>
    </row>
    <row r="38" spans="1:13" ht="14.25" hidden="1">
      <c r="A38" s="1"/>
      <c r="B38" s="1"/>
      <c r="C38" s="31" t="s">
        <v>10</v>
      </c>
      <c r="D38" s="64">
        <f>D37</f>
        <v>0.21</v>
      </c>
      <c r="E38" s="89">
        <f t="shared" si="0"/>
        <v>0</v>
      </c>
      <c r="F38" s="79">
        <f t="shared" si="4"/>
        <v>0</v>
      </c>
      <c r="G38" s="66">
        <f>G37</f>
        <v>0.21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64">
        <f>D37</f>
        <v>0.21</v>
      </c>
      <c r="E39" s="89">
        <f t="shared" si="0"/>
        <v>0.1103</v>
      </c>
      <c r="F39" s="79">
        <f t="shared" si="4"/>
        <v>0.023163</v>
      </c>
      <c r="G39" s="66">
        <f>G37</f>
        <v>0.21</v>
      </c>
      <c r="H39" s="89">
        <f t="shared" si="1"/>
        <v>0.1103</v>
      </c>
      <c r="I39" s="79">
        <f t="shared" si="5"/>
        <v>0.023163</v>
      </c>
      <c r="J39" s="79">
        <f t="shared" si="2"/>
        <v>0</v>
      </c>
      <c r="K39" s="29">
        <f t="shared" si="3"/>
        <v>0</v>
      </c>
      <c r="L39" s="30">
        <f t="shared" si="6"/>
        <v>0.0008316765408664477</v>
      </c>
      <c r="M39" s="30">
        <f t="shared" si="7"/>
        <v>0.0008177772063349641</v>
      </c>
    </row>
    <row r="40" spans="1:13" ht="15" thickBot="1">
      <c r="A40" s="1"/>
      <c r="B40" s="1"/>
      <c r="C40" s="31" t="s">
        <v>12</v>
      </c>
      <c r="D40" s="64">
        <f>D39</f>
        <v>0.21</v>
      </c>
      <c r="E40" s="90">
        <f t="shared" si="0"/>
        <v>-3.8942</v>
      </c>
      <c r="F40" s="80">
        <f>D40*E40-0.02</f>
        <v>-0.837782</v>
      </c>
      <c r="G40" s="66">
        <f>G39</f>
        <v>0.21</v>
      </c>
      <c r="H40" s="89">
        <f t="shared" si="1"/>
        <v>-4.2032</v>
      </c>
      <c r="I40" s="79">
        <f t="shared" si="5"/>
        <v>-0.8826719999999999</v>
      </c>
      <c r="J40" s="79">
        <f t="shared" si="2"/>
        <v>-0.044889999999999874</v>
      </c>
      <c r="K40" s="29">
        <f t="shared" si="3"/>
        <v>0.053581958075012204</v>
      </c>
      <c r="L40" s="30">
        <f t="shared" si="6"/>
        <v>-0.03169268210852088</v>
      </c>
      <c r="M40" s="30">
        <f t="shared" si="7"/>
        <v>-0.031163020432158843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19.122912999999997</v>
      </c>
      <c r="G41" s="58"/>
      <c r="H41" s="57"/>
      <c r="I41" s="85">
        <f>SUM(I34:I40)</f>
        <v>19.249679</v>
      </c>
      <c r="J41" s="85">
        <f t="shared" si="2"/>
        <v>0.1267660000000035</v>
      </c>
      <c r="K41" s="59">
        <f t="shared" si="3"/>
        <v>0.006629010967105457</v>
      </c>
      <c r="L41" s="60">
        <f>I41/I56</f>
        <v>0.6911672254677503</v>
      </c>
      <c r="M41" s="60">
        <f>I41/I61</f>
        <v>0.6796161427908658</v>
      </c>
    </row>
    <row r="42" spans="1:13" ht="14.25">
      <c r="A42" s="1"/>
      <c r="B42" s="1"/>
      <c r="C42" s="42" t="s">
        <v>13</v>
      </c>
      <c r="D42" s="67">
        <f>F23</f>
        <v>0.21</v>
      </c>
      <c r="E42" s="91">
        <f>E17</f>
        <v>1.8564</v>
      </c>
      <c r="F42" s="79">
        <f t="shared" si="4"/>
        <v>0.38984399999999997</v>
      </c>
      <c r="G42" s="67">
        <f>D42</f>
        <v>0.21</v>
      </c>
      <c r="H42" s="91">
        <f>F17</f>
        <v>1.7565</v>
      </c>
      <c r="I42" s="79">
        <f t="shared" si="5"/>
        <v>0.368865</v>
      </c>
      <c r="J42" s="79">
        <f t="shared" si="2"/>
        <v>-0.02097899999999997</v>
      </c>
      <c r="K42" s="29">
        <f t="shared" si="3"/>
        <v>-0.05381383322559786</v>
      </c>
      <c r="L42" s="30">
        <f>I42/$I$56</f>
        <v>0.013244241559672852</v>
      </c>
      <c r="M42" s="30">
        <f>I42/$I$61</f>
        <v>0.013022898122641563</v>
      </c>
    </row>
    <row r="43" spans="1:13" ht="15" thickBot="1">
      <c r="A43" s="1"/>
      <c r="B43" s="1"/>
      <c r="C43" s="42" t="s">
        <v>14</v>
      </c>
      <c r="D43" s="67">
        <f>D42</f>
        <v>0.21</v>
      </c>
      <c r="E43" s="88">
        <f>E18</f>
        <v>1.4855</v>
      </c>
      <c r="F43" s="82">
        <f t="shared" si="4"/>
        <v>0.311955</v>
      </c>
      <c r="G43" s="67">
        <f>D43</f>
        <v>0.21</v>
      </c>
      <c r="H43" s="88">
        <f>F18</f>
        <v>1.3909</v>
      </c>
      <c r="I43" s="82">
        <f t="shared" si="5"/>
        <v>0.292089</v>
      </c>
      <c r="J43" s="82">
        <f t="shared" si="2"/>
        <v>-0.019865999999999995</v>
      </c>
      <c r="K43" s="29">
        <f t="shared" si="3"/>
        <v>-0.06368226186469202</v>
      </c>
      <c r="L43" s="30">
        <f>I43/$I$56</f>
        <v>0.010487569362567018</v>
      </c>
      <c r="M43" s="30">
        <f>I43/$I$61</f>
        <v>0.010312296611888499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0.701799</v>
      </c>
      <c r="G44" s="57"/>
      <c r="H44" s="57"/>
      <c r="I44" s="85">
        <f>SUM(I42:I43)</f>
        <v>0.660954</v>
      </c>
      <c r="J44" s="85">
        <f t="shared" si="2"/>
        <v>-0.04084499999999991</v>
      </c>
      <c r="K44" s="59">
        <f t="shared" si="3"/>
        <v>-0.058200424907986346</v>
      </c>
      <c r="L44" s="60">
        <f>I44/I56</f>
        <v>0.02373181092223987</v>
      </c>
      <c r="M44" s="60">
        <f>I44/I61</f>
        <v>0.023335194734530065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19.824711999999998</v>
      </c>
      <c r="G45" s="52"/>
      <c r="H45" s="52"/>
      <c r="I45" s="84">
        <f>I44+I41</f>
        <v>19.910633</v>
      </c>
      <c r="J45" s="84">
        <f t="shared" si="2"/>
        <v>0.08592100000000258</v>
      </c>
      <c r="K45" s="53">
        <f t="shared" si="3"/>
        <v>0.004334035218267109</v>
      </c>
      <c r="L45" s="54">
        <f>I45/I56</f>
        <v>0.7148990363899902</v>
      </c>
      <c r="M45" s="54">
        <f>I45/I61</f>
        <v>0.7029513375253958</v>
      </c>
    </row>
    <row r="46" spans="1:13" ht="14.25">
      <c r="A46" s="1"/>
      <c r="B46" s="1"/>
      <c r="C46" s="31" t="s">
        <v>15</v>
      </c>
      <c r="D46" s="48">
        <f>$D$23*$J$23</f>
        <v>82.236</v>
      </c>
      <c r="E46" s="91">
        <f>E19</f>
        <v>0.0052</v>
      </c>
      <c r="F46" s="72">
        <f>D46*E46</f>
        <v>0.4276272</v>
      </c>
      <c r="G46" s="48">
        <f>$D$23*$J$23</f>
        <v>82.236</v>
      </c>
      <c r="H46" s="91">
        <f>F19</f>
        <v>0.0052</v>
      </c>
      <c r="I46" s="72">
        <f>H46*G46</f>
        <v>0.4276272</v>
      </c>
      <c r="J46" s="72">
        <f t="shared" si="2"/>
        <v>0</v>
      </c>
      <c r="K46" s="29">
        <f t="shared" si="3"/>
        <v>0</v>
      </c>
      <c r="L46" s="49">
        <f>I46/$I$56</f>
        <v>0.015354121248387713</v>
      </c>
      <c r="M46" s="49">
        <f>I46/$I$61</f>
        <v>0.015097516598404479</v>
      </c>
    </row>
    <row r="47" spans="1:13" ht="14.25">
      <c r="A47" s="1"/>
      <c r="B47" s="1"/>
      <c r="C47" s="31" t="s">
        <v>17</v>
      </c>
      <c r="D47" s="48">
        <f>$D$23*$J$23</f>
        <v>82.236</v>
      </c>
      <c r="E47" s="88">
        <f>E20</f>
        <v>0.0011</v>
      </c>
      <c r="F47" s="83">
        <f>D47*E47</f>
        <v>0.09045960000000001</v>
      </c>
      <c r="G47" s="48">
        <f>$D$23*$J$23</f>
        <v>82.236</v>
      </c>
      <c r="H47" s="88">
        <f>F20</f>
        <v>0.0011</v>
      </c>
      <c r="I47" s="83">
        <f>H47*G47</f>
        <v>0.09045960000000001</v>
      </c>
      <c r="J47" s="83">
        <f t="shared" si="2"/>
        <v>0</v>
      </c>
      <c r="K47" s="29">
        <f t="shared" si="3"/>
        <v>0</v>
      </c>
      <c r="L47" s="30">
        <f>I47/$I$56</f>
        <v>0.00324798718715894</v>
      </c>
      <c r="M47" s="30">
        <f>I47/$I$61</f>
        <v>0.003193705434277871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0.008976347416854982</v>
      </c>
      <c r="M48" s="30">
        <f>I48/$I$61</f>
        <v>0.008826330854541337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0.7680868</v>
      </c>
      <c r="G49" s="97"/>
      <c r="H49" s="97"/>
      <c r="I49" s="98">
        <f>SUM(I46:I48)</f>
        <v>0.7680868</v>
      </c>
      <c r="J49" s="98">
        <f t="shared" si="2"/>
        <v>0</v>
      </c>
      <c r="K49" s="107">
        <f t="shared" si="3"/>
        <v>0</v>
      </c>
      <c r="L49" s="108">
        <f>I49/I56</f>
        <v>0.027578455852401634</v>
      </c>
      <c r="M49" s="108">
        <f>I49/I61</f>
        <v>0.027117552887223687</v>
      </c>
    </row>
    <row r="50" spans="1:13" ht="14.25">
      <c r="A50" s="1"/>
      <c r="B50" s="1"/>
      <c r="C50" s="109" t="s">
        <v>35</v>
      </c>
      <c r="D50" s="110">
        <f>D23</f>
        <v>77</v>
      </c>
      <c r="E50" s="102">
        <v>0.007</v>
      </c>
      <c r="F50" s="111">
        <f>D50*E50</f>
        <v>0.539</v>
      </c>
      <c r="G50" s="110">
        <f>D50</f>
        <v>77</v>
      </c>
      <c r="H50" s="89">
        <v>0.007</v>
      </c>
      <c r="I50" s="111">
        <f>H50*G50</f>
        <v>0.539</v>
      </c>
      <c r="J50" s="112">
        <f t="shared" si="2"/>
        <v>0</v>
      </c>
      <c r="K50" s="113">
        <f t="shared" si="3"/>
        <v>0</v>
      </c>
      <c r="L50" s="114">
        <f>I50/I56</f>
        <v>0.01935300503073934</v>
      </c>
      <c r="M50" s="114">
        <f>I50/I61</f>
        <v>0.019029569322391127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27.2994988</v>
      </c>
      <c r="G52" s="115"/>
      <c r="H52" s="115"/>
      <c r="I52" s="116">
        <f>I50+I49+I45+I29</f>
        <v>27.3854198</v>
      </c>
      <c r="J52" s="116">
        <f t="shared" si="2"/>
        <v>0.08592100000000258</v>
      </c>
      <c r="K52" s="117">
        <f t="shared" si="3"/>
        <v>0.0031473471593552694</v>
      </c>
      <c r="L52" s="118">
        <f>I52/I56</f>
        <v>0.9832841691248771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3.548934844</v>
      </c>
      <c r="G53" s="132"/>
      <c r="H53" s="134">
        <v>0.13</v>
      </c>
      <c r="I53" s="141">
        <f>I52*H53</f>
        <v>3.5601045740000004</v>
      </c>
      <c r="J53" s="136">
        <f t="shared" si="2"/>
        <v>0.011169730000000211</v>
      </c>
      <c r="K53" s="137">
        <f t="shared" si="3"/>
        <v>0.003147347159355234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30.848433644</v>
      </c>
      <c r="G54" s="135"/>
      <c r="H54" s="135"/>
      <c r="I54" s="136">
        <f>I52+I53</f>
        <v>30.945524374</v>
      </c>
      <c r="J54" s="136">
        <f t="shared" si="2"/>
        <v>0.09709073000000146</v>
      </c>
      <c r="K54" s="137">
        <f t="shared" si="3"/>
        <v>0.0031473471593552217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-3.0848433644</v>
      </c>
      <c r="G55" s="132"/>
      <c r="H55" s="140">
        <v>-0.1</v>
      </c>
      <c r="I55" s="141">
        <f>H55*I54</f>
        <v>-3.0945524374000004</v>
      </c>
      <c r="J55" s="136">
        <f t="shared" si="2"/>
        <v>-0.009709073000000235</v>
      </c>
      <c r="K55" s="137">
        <f t="shared" si="3"/>
        <v>0.0031473471593552503</v>
      </c>
      <c r="L55" s="138">
        <f>I55/$I$56</f>
        <v>-0.11111111111111112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27.7635902796</v>
      </c>
      <c r="G56" s="127"/>
      <c r="H56" s="127"/>
      <c r="I56" s="128">
        <f>I54+I55</f>
        <v>27.8509719366</v>
      </c>
      <c r="J56" s="128">
        <f aca="true" t="shared" si="8" ref="J56:J61">I56-F56</f>
        <v>0.08738165700000167</v>
      </c>
      <c r="K56" s="129">
        <f aca="true" t="shared" si="9" ref="K56:K61">J56/F56</f>
        <v>0.0031473471593552347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27.76495456</v>
      </c>
      <c r="G57" s="115"/>
      <c r="H57" s="115"/>
      <c r="I57" s="116">
        <f>I50+I45+I49+I33</f>
        <v>27.850875560000002</v>
      </c>
      <c r="J57" s="116">
        <f t="shared" si="8"/>
        <v>0.08592100000000258</v>
      </c>
      <c r="K57" s="117">
        <f t="shared" si="9"/>
        <v>0.003094584571148046</v>
      </c>
      <c r="L57" s="118"/>
      <c r="M57" s="118">
        <f>I57/$I$61</f>
        <v>0.9832841691248771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3.6094440928</v>
      </c>
      <c r="G58" s="132"/>
      <c r="H58" s="134">
        <v>0.13</v>
      </c>
      <c r="I58" s="141">
        <f>I57*H58</f>
        <v>3.6206138228</v>
      </c>
      <c r="J58" s="136">
        <f t="shared" si="8"/>
        <v>0.011169730000000211</v>
      </c>
      <c r="K58" s="137">
        <f t="shared" si="9"/>
        <v>0.0030945845711480113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31.3743986528</v>
      </c>
      <c r="G59" s="135"/>
      <c r="H59" s="135"/>
      <c r="I59" s="136">
        <f>I57+I58</f>
        <v>31.4714893828</v>
      </c>
      <c r="J59" s="136">
        <f t="shared" si="8"/>
        <v>0.09709073000000146</v>
      </c>
      <c r="K59" s="137">
        <f t="shared" si="9"/>
        <v>0.003094584571147999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-3.13743986528</v>
      </c>
      <c r="G60" s="132"/>
      <c r="H60" s="140">
        <v>-0.1</v>
      </c>
      <c r="I60" s="141">
        <f>H60*I59</f>
        <v>-3.1471489382800004</v>
      </c>
      <c r="J60" s="136">
        <f t="shared" si="8"/>
        <v>-0.009709073000000235</v>
      </c>
      <c r="K60" s="137">
        <f t="shared" si="9"/>
        <v>0.0030945845711480274</v>
      </c>
      <c r="L60" s="138"/>
      <c r="M60" s="138">
        <f>I60/$I$61</f>
        <v>-0.11111111111111112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28.23695878752</v>
      </c>
      <c r="G61" s="127"/>
      <c r="H61" s="127"/>
      <c r="I61" s="128">
        <f>I60+I59</f>
        <v>28.32434044452</v>
      </c>
      <c r="J61" s="128">
        <f t="shared" si="8"/>
        <v>0.08738165700000167</v>
      </c>
      <c r="K61" s="129">
        <f t="shared" si="9"/>
        <v>0.003094584571148012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6">
      <selection activeCell="M48" sqref="M48"/>
    </sheetView>
  </sheetViews>
  <sheetFormatPr defaultColWidth="9.00390625" defaultRowHeight="14.25"/>
  <cols>
    <col min="3" max="3" width="59.375" style="0" bestFit="1" customWidth="1"/>
    <col min="4" max="4" width="10.00390625" style="0" bestFit="1" customWidth="1"/>
    <col min="5" max="5" width="11.00390625" style="0" bestFit="1" customWidth="1"/>
    <col min="6" max="6" width="16.125" style="0" bestFit="1" customWidth="1"/>
    <col min="7" max="8" width="8.75390625" style="0" bestFit="1" customWidth="1"/>
    <col min="9" max="9" width="16.00390625" style="0" bestFit="1" customWidth="1"/>
    <col min="10" max="10" width="9.50390625" style="0" bestFit="1" customWidth="1"/>
    <col min="11" max="11" width="7.875" style="0" bestFit="1" customWidth="1"/>
    <col min="12" max="13" width="8.625" style="0" bestFit="1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2" t="s">
        <v>62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"/>
      <c r="B4" s="1"/>
      <c r="C4" s="2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1"/>
      <c r="B5" s="1"/>
      <c r="C5" s="2" t="s">
        <v>63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"/>
      <c r="B7" s="1"/>
      <c r="C7" s="51" t="s">
        <v>43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thickBot="1">
      <c r="A9" s="1"/>
      <c r="B9" s="1"/>
      <c r="C9" s="55" t="s">
        <v>1</v>
      </c>
      <c r="D9" s="56" t="s">
        <v>2</v>
      </c>
      <c r="E9" s="56" t="s">
        <v>3</v>
      </c>
      <c r="F9" s="56" t="s">
        <v>4</v>
      </c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3" t="s">
        <v>5</v>
      </c>
      <c r="D10" s="4" t="s">
        <v>6</v>
      </c>
      <c r="E10" s="70">
        <v>6.06</v>
      </c>
      <c r="F10" s="70">
        <v>6.11</v>
      </c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5" t="s">
        <v>7</v>
      </c>
      <c r="D11" s="6" t="s">
        <v>6</v>
      </c>
      <c r="E11" s="71">
        <v>0</v>
      </c>
      <c r="F11" s="71">
        <v>0</v>
      </c>
      <c r="G11" s="1"/>
      <c r="H11" s="1"/>
      <c r="I11" s="1"/>
      <c r="J11" s="1"/>
      <c r="K11" s="1"/>
      <c r="L11" s="1"/>
      <c r="M11" s="1"/>
    </row>
    <row r="12" spans="1:13" ht="14.25" hidden="1">
      <c r="A12" s="1"/>
      <c r="B12" s="1"/>
      <c r="C12" s="5" t="s">
        <v>8</v>
      </c>
      <c r="D12" s="6" t="s">
        <v>6</v>
      </c>
      <c r="E12" s="68">
        <v>0</v>
      </c>
      <c r="F12" s="68">
        <v>0</v>
      </c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7" t="s">
        <v>9</v>
      </c>
      <c r="D13" s="6" t="s">
        <v>16</v>
      </c>
      <c r="E13" s="68">
        <v>15.5108</v>
      </c>
      <c r="F13" s="68">
        <v>15.6473</v>
      </c>
      <c r="G13" s="1"/>
      <c r="H13" s="1"/>
      <c r="I13" s="1"/>
      <c r="J13" s="1"/>
      <c r="K13" s="1"/>
      <c r="L13" s="1"/>
      <c r="M13" s="1"/>
    </row>
    <row r="14" spans="1:13" ht="14.25" hidden="1">
      <c r="A14" s="1"/>
      <c r="B14" s="1"/>
      <c r="C14" s="5" t="s">
        <v>10</v>
      </c>
      <c r="D14" s="6" t="s">
        <v>16</v>
      </c>
      <c r="E14" s="68">
        <v>0</v>
      </c>
      <c r="F14" s="68">
        <v>0</v>
      </c>
      <c r="G14" s="61"/>
      <c r="H14" s="1"/>
      <c r="I14" s="1"/>
      <c r="J14" s="1"/>
      <c r="K14" s="1"/>
      <c r="L14" s="1"/>
      <c r="M14" s="1"/>
    </row>
    <row r="15" spans="1:13" ht="14.25">
      <c r="A15" s="1"/>
      <c r="B15" s="1"/>
      <c r="C15" s="7" t="s">
        <v>11</v>
      </c>
      <c r="D15" s="6" t="s">
        <v>16</v>
      </c>
      <c r="E15" s="68">
        <v>0.1081</v>
      </c>
      <c r="F15" s="68">
        <v>0.1081</v>
      </c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5" t="s">
        <v>12</v>
      </c>
      <c r="D16" s="6" t="s">
        <v>16</v>
      </c>
      <c r="E16" s="68">
        <f>-0.7739-0.3666-1.0803</f>
        <v>-2.2208</v>
      </c>
      <c r="F16" s="68">
        <f>-1.2946-1.0803-0.2405</f>
        <v>-2.6154</v>
      </c>
      <c r="G16" s="61" t="s">
        <v>45</v>
      </c>
      <c r="H16" s="1"/>
      <c r="I16" s="1"/>
      <c r="J16" s="1"/>
      <c r="K16" s="1"/>
      <c r="L16" s="1"/>
      <c r="M16" s="1"/>
    </row>
    <row r="17" spans="1:13" ht="14.25">
      <c r="A17" s="1"/>
      <c r="B17" s="1"/>
      <c r="C17" s="7" t="s">
        <v>13</v>
      </c>
      <c r="D17" s="6" t="s">
        <v>16</v>
      </c>
      <c r="E17" s="68">
        <v>1.8471</v>
      </c>
      <c r="F17" s="68">
        <v>1.7477</v>
      </c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7" t="s">
        <v>14</v>
      </c>
      <c r="D18" s="6" t="s">
        <v>16</v>
      </c>
      <c r="E18" s="68">
        <v>1.4551</v>
      </c>
      <c r="F18" s="68">
        <v>1.3624</v>
      </c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7" t="s">
        <v>15</v>
      </c>
      <c r="D19" s="6" t="s">
        <v>16</v>
      </c>
      <c r="E19" s="68">
        <v>0.0052</v>
      </c>
      <c r="F19" s="68">
        <v>0.0052</v>
      </c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7" t="s">
        <v>17</v>
      </c>
      <c r="D20" s="6" t="s">
        <v>16</v>
      </c>
      <c r="E20" s="68">
        <v>0.0011</v>
      </c>
      <c r="F20" s="68">
        <v>0.0011</v>
      </c>
      <c r="G20" s="1"/>
      <c r="H20" s="1"/>
      <c r="I20" s="1"/>
      <c r="J20" s="1"/>
      <c r="K20" s="1"/>
      <c r="L20" s="1"/>
      <c r="M20" s="1"/>
    </row>
    <row r="21" spans="1:13" ht="15" thickBot="1">
      <c r="A21" s="1"/>
      <c r="B21" s="1"/>
      <c r="C21" s="8" t="s">
        <v>18</v>
      </c>
      <c r="D21" s="9" t="s">
        <v>6</v>
      </c>
      <c r="E21" s="69">
        <v>0.25</v>
      </c>
      <c r="F21" s="69">
        <v>0.25</v>
      </c>
      <c r="G21" s="1"/>
      <c r="H21" s="1"/>
      <c r="I21" s="1"/>
      <c r="J21" s="1"/>
      <c r="K21" s="1"/>
      <c r="L21" s="1"/>
      <c r="M21" s="1"/>
    </row>
    <row r="22" spans="1:13" ht="1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thickBot="1">
      <c r="A23" s="1"/>
      <c r="B23" s="1"/>
      <c r="C23" s="10" t="s">
        <v>19</v>
      </c>
      <c r="D23" s="11">
        <v>200000</v>
      </c>
      <c r="E23" s="12" t="s">
        <v>20</v>
      </c>
      <c r="F23" s="13">
        <v>535</v>
      </c>
      <c r="G23" s="14" t="s">
        <v>21</v>
      </c>
      <c r="H23" s="1"/>
      <c r="I23" s="15" t="s">
        <v>22</v>
      </c>
      <c r="J23" s="16">
        <v>1.068</v>
      </c>
      <c r="K23" s="1"/>
      <c r="L23" s="1"/>
      <c r="M23" s="1"/>
    </row>
    <row r="24" spans="1:13" ht="19.5" thickBot="1">
      <c r="A24" s="1"/>
      <c r="B24" s="1"/>
      <c r="C24" s="10" t="s">
        <v>23</v>
      </c>
      <c r="D24" s="17"/>
      <c r="E24" s="12" t="s">
        <v>20</v>
      </c>
      <c r="F24" s="18" t="s">
        <v>24</v>
      </c>
      <c r="G24" s="19" t="s">
        <v>38</v>
      </c>
      <c r="H24" s="1"/>
      <c r="I24" s="1"/>
      <c r="J24" s="1"/>
      <c r="K24" s="1"/>
      <c r="L24" s="1"/>
      <c r="M24" s="1"/>
    </row>
    <row r="25" spans="1:13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" thickBot="1">
      <c r="A26" s="1"/>
      <c r="B26" s="1"/>
      <c r="C26" s="20" t="s">
        <v>43</v>
      </c>
      <c r="D26" s="21" t="s">
        <v>25</v>
      </c>
      <c r="E26" s="22" t="s">
        <v>26</v>
      </c>
      <c r="F26" s="23" t="s">
        <v>27</v>
      </c>
      <c r="G26" s="22" t="s">
        <v>25</v>
      </c>
      <c r="H26" s="22" t="s">
        <v>26</v>
      </c>
      <c r="I26" s="23" t="s">
        <v>27</v>
      </c>
      <c r="J26" s="24" t="s">
        <v>6</v>
      </c>
      <c r="K26" s="25" t="s">
        <v>28</v>
      </c>
      <c r="L26" s="26" t="s">
        <v>60</v>
      </c>
      <c r="M26" s="26" t="s">
        <v>59</v>
      </c>
    </row>
    <row r="27" spans="1:13" ht="14.25">
      <c r="A27" s="1"/>
      <c r="B27" s="1"/>
      <c r="C27" s="27" t="s">
        <v>29</v>
      </c>
      <c r="D27" s="28">
        <f>D23*J23</f>
        <v>213600</v>
      </c>
      <c r="E27" s="86">
        <v>0.075</v>
      </c>
      <c r="F27" s="72">
        <f>E27*D27</f>
        <v>16020</v>
      </c>
      <c r="G27" s="28">
        <f>D27</f>
        <v>213600</v>
      </c>
      <c r="H27" s="92">
        <v>0.075</v>
      </c>
      <c r="I27" s="72">
        <f>H27*G27</f>
        <v>16020</v>
      </c>
      <c r="J27" s="72">
        <f>I27-F27</f>
        <v>0</v>
      </c>
      <c r="K27" s="29">
        <f>J27/F27</f>
        <v>0</v>
      </c>
      <c r="L27" s="30">
        <f>I27/I56</f>
        <v>0.35127720198503576</v>
      </c>
      <c r="M27" s="30"/>
    </row>
    <row r="28" spans="1:13" ht="15" thickBot="1">
      <c r="A28" s="1"/>
      <c r="B28" s="1"/>
      <c r="C28" s="31" t="s">
        <v>30</v>
      </c>
      <c r="D28" s="32"/>
      <c r="E28" s="87">
        <v>0.088</v>
      </c>
      <c r="F28" s="73">
        <f>E28*D28</f>
        <v>0</v>
      </c>
      <c r="G28" s="32"/>
      <c r="H28" s="90">
        <v>0.088</v>
      </c>
      <c r="I28" s="73">
        <f>H28*G28</f>
        <v>0</v>
      </c>
      <c r="J28" s="73">
        <f>I28-F28</f>
        <v>0</v>
      </c>
      <c r="K28" s="33" t="e">
        <f>J28/F28</f>
        <v>#DIV/0!</v>
      </c>
      <c r="L28" s="30">
        <f>I28/I56</f>
        <v>0</v>
      </c>
      <c r="M28" s="30"/>
    </row>
    <row r="29" spans="1:13" ht="15" thickBot="1">
      <c r="A29" s="1"/>
      <c r="B29" s="1"/>
      <c r="C29" s="52" t="s">
        <v>56</v>
      </c>
      <c r="D29" s="52"/>
      <c r="E29" s="52"/>
      <c r="F29" s="84">
        <f>SUM(F27:F28)</f>
        <v>16020</v>
      </c>
      <c r="G29" s="52"/>
      <c r="H29" s="52"/>
      <c r="I29" s="84">
        <f>SUM(I27:I28)</f>
        <v>16020</v>
      </c>
      <c r="J29" s="84">
        <f>SUM(J27:J28)</f>
        <v>0</v>
      </c>
      <c r="K29" s="53">
        <v>0</v>
      </c>
      <c r="L29" s="54">
        <f>I29/I56</f>
        <v>0.35127720198503576</v>
      </c>
      <c r="M29" s="54"/>
    </row>
    <row r="30" spans="1:13" ht="14.25">
      <c r="A30" s="1"/>
      <c r="B30" s="1"/>
      <c r="C30" s="99" t="s">
        <v>49</v>
      </c>
      <c r="D30" s="28">
        <f>0.64*$D$23*$J$23</f>
        <v>136704</v>
      </c>
      <c r="E30" s="86">
        <v>0.065</v>
      </c>
      <c r="F30" s="72">
        <f>E30*D30</f>
        <v>8885.76</v>
      </c>
      <c r="G30" s="28">
        <f>D30</f>
        <v>136704</v>
      </c>
      <c r="H30" s="92">
        <v>0.065</v>
      </c>
      <c r="I30" s="72">
        <f>H30*G30</f>
        <v>8885.76</v>
      </c>
      <c r="J30" s="72">
        <f>I30-F30</f>
        <v>0</v>
      </c>
      <c r="K30" s="29">
        <f>J30/F30</f>
        <v>0</v>
      </c>
      <c r="L30" s="30"/>
      <c r="M30" s="30">
        <f>I30/I61</f>
        <v>0.1897266511892599</v>
      </c>
    </row>
    <row r="31" spans="1:13" ht="14.25">
      <c r="A31" s="1"/>
      <c r="B31" s="1"/>
      <c r="C31" s="100" t="s">
        <v>50</v>
      </c>
      <c r="D31" s="45">
        <f>0.18*$D$23*$J$23</f>
        <v>38448</v>
      </c>
      <c r="E31" s="102">
        <v>0.1</v>
      </c>
      <c r="F31" s="103">
        <f>E31*D31</f>
        <v>3844.8</v>
      </c>
      <c r="G31" s="45">
        <f>D31</f>
        <v>38448</v>
      </c>
      <c r="H31" s="89">
        <v>0.1</v>
      </c>
      <c r="I31" s="103">
        <f>H31*G31</f>
        <v>3844.8</v>
      </c>
      <c r="J31" s="103">
        <f>I31-F31</f>
        <v>0</v>
      </c>
      <c r="K31" s="33">
        <f>J31/F31</f>
        <v>0</v>
      </c>
      <c r="L31" s="101"/>
      <c r="M31" s="101">
        <f>I31/I61</f>
        <v>0.0820932625338144</v>
      </c>
    </row>
    <row r="32" spans="1:13" ht="15" thickBot="1">
      <c r="A32" s="1"/>
      <c r="B32" s="1"/>
      <c r="C32" s="106" t="s">
        <v>51</v>
      </c>
      <c r="D32" s="32">
        <f>0.18*$D$23*$J$23</f>
        <v>38448</v>
      </c>
      <c r="E32" s="87">
        <v>0.117</v>
      </c>
      <c r="F32" s="73">
        <f>E32*D32</f>
        <v>4498.416</v>
      </c>
      <c r="G32" s="32">
        <f>D32</f>
        <v>38448</v>
      </c>
      <c r="H32" s="90">
        <v>0.117</v>
      </c>
      <c r="I32" s="73">
        <f>H32*G32</f>
        <v>4498.416</v>
      </c>
      <c r="J32" s="73">
        <f>I32-F32</f>
        <v>0</v>
      </c>
      <c r="K32" s="104">
        <f>J32/F32</f>
        <v>0</v>
      </c>
      <c r="L32" s="105"/>
      <c r="M32" s="105">
        <f>I32/I61</f>
        <v>0.09604911716456284</v>
      </c>
    </row>
    <row r="33" spans="1:13" ht="15" thickBot="1">
      <c r="A33" s="1"/>
      <c r="B33" s="1"/>
      <c r="C33" s="52" t="s">
        <v>57</v>
      </c>
      <c r="D33" s="52"/>
      <c r="E33" s="52"/>
      <c r="F33" s="84">
        <f>SUM(F30:F32)</f>
        <v>17228.976000000002</v>
      </c>
      <c r="G33" s="52"/>
      <c r="H33" s="52"/>
      <c r="I33" s="84">
        <f>SUM(I30:I32)</f>
        <v>17228.976000000002</v>
      </c>
      <c r="J33" s="84">
        <f>SUM(J30:J31)</f>
        <v>0</v>
      </c>
      <c r="K33" s="53">
        <v>0</v>
      </c>
      <c r="L33" s="54"/>
      <c r="M33" s="54">
        <f>I33/I61</f>
        <v>0.36786903088763717</v>
      </c>
    </row>
    <row r="34" spans="1:13" ht="14.25">
      <c r="A34" s="1"/>
      <c r="B34" s="1"/>
      <c r="C34" s="34" t="s">
        <v>5</v>
      </c>
      <c r="D34" s="35">
        <v>2845</v>
      </c>
      <c r="E34" s="74">
        <f aca="true" t="shared" si="0" ref="E34:E40">E10</f>
        <v>6.06</v>
      </c>
      <c r="F34" s="78">
        <f>D34*E34</f>
        <v>17240.699999999997</v>
      </c>
      <c r="G34" s="36">
        <v>2845</v>
      </c>
      <c r="H34" s="74">
        <f aca="true" t="shared" si="1" ref="H34:H40">F10</f>
        <v>6.11</v>
      </c>
      <c r="I34" s="78">
        <f>H34*G34</f>
        <v>17382.95</v>
      </c>
      <c r="J34" s="78">
        <f aca="true" t="shared" si="2" ref="J34:J55">I34-F34</f>
        <v>142.25000000000364</v>
      </c>
      <c r="K34" s="29">
        <f aca="true" t="shared" si="3" ref="K34:K55">J34/F34</f>
        <v>0.008250825082508463</v>
      </c>
      <c r="L34" s="30">
        <f>I34/$I$56</f>
        <v>0.38116317342358164</v>
      </c>
      <c r="M34" s="30">
        <f>I34/$I$61</f>
        <v>0.3711566474100522</v>
      </c>
    </row>
    <row r="35" spans="1:13" ht="14.25">
      <c r="A35" s="1"/>
      <c r="B35" s="1"/>
      <c r="C35" s="31" t="s">
        <v>7</v>
      </c>
      <c r="D35" s="37">
        <v>2845</v>
      </c>
      <c r="E35" s="75">
        <f t="shared" si="0"/>
        <v>0</v>
      </c>
      <c r="F35" s="79">
        <f aca="true" t="shared" si="4" ref="F35:F43">D35*E35</f>
        <v>0</v>
      </c>
      <c r="G35" s="38">
        <v>2845</v>
      </c>
      <c r="H35" s="75">
        <f t="shared" si="1"/>
        <v>0</v>
      </c>
      <c r="I35" s="81">
        <f aca="true" t="shared" si="5" ref="I35:I43">H35*G35</f>
        <v>0</v>
      </c>
      <c r="J35" s="81">
        <f t="shared" si="2"/>
        <v>0</v>
      </c>
      <c r="K35" s="29" t="e">
        <f t="shared" si="3"/>
        <v>#DIV/0!</v>
      </c>
      <c r="L35" s="30">
        <f aca="true" t="shared" si="6" ref="L35:L40">I35/$I$56</f>
        <v>0</v>
      </c>
      <c r="M35" s="30">
        <f aca="true" t="shared" si="7" ref="M35:M40">I35/$I$61</f>
        <v>0</v>
      </c>
    </row>
    <row r="36" spans="1:13" ht="14.25" hidden="1">
      <c r="A36" s="1"/>
      <c r="B36" s="1"/>
      <c r="C36" s="31" t="s">
        <v>8</v>
      </c>
      <c r="D36" s="39">
        <v>1</v>
      </c>
      <c r="E36" s="40">
        <f t="shared" si="0"/>
        <v>0</v>
      </c>
      <c r="F36" s="79">
        <f t="shared" si="4"/>
        <v>0</v>
      </c>
      <c r="G36" s="41">
        <v>1</v>
      </c>
      <c r="H36" s="40">
        <f t="shared" si="1"/>
        <v>0</v>
      </c>
      <c r="I36" s="79">
        <f t="shared" si="5"/>
        <v>0</v>
      </c>
      <c r="J36" s="79">
        <f t="shared" si="2"/>
        <v>0</v>
      </c>
      <c r="K36" s="29">
        <v>0</v>
      </c>
      <c r="L36" s="30">
        <f t="shared" si="6"/>
        <v>0</v>
      </c>
      <c r="M36" s="30">
        <f t="shared" si="7"/>
        <v>0</v>
      </c>
    </row>
    <row r="37" spans="1:13" ht="14.25">
      <c r="A37" s="1"/>
      <c r="B37" s="1"/>
      <c r="C37" s="42" t="s">
        <v>9</v>
      </c>
      <c r="D37" s="63">
        <f>F23</f>
        <v>535</v>
      </c>
      <c r="E37" s="88">
        <f t="shared" si="0"/>
        <v>15.5108</v>
      </c>
      <c r="F37" s="79">
        <f t="shared" si="4"/>
        <v>8298.278</v>
      </c>
      <c r="G37" s="65">
        <f>F23</f>
        <v>535</v>
      </c>
      <c r="H37" s="88">
        <f t="shared" si="1"/>
        <v>15.6473</v>
      </c>
      <c r="I37" s="79">
        <f t="shared" si="5"/>
        <v>8371.3055</v>
      </c>
      <c r="J37" s="79">
        <f t="shared" si="2"/>
        <v>73.02750000000015</v>
      </c>
      <c r="K37" s="29">
        <f t="shared" si="3"/>
        <v>0.008800319777187525</v>
      </c>
      <c r="L37" s="30">
        <f t="shared" si="6"/>
        <v>0.1835610969414445</v>
      </c>
      <c r="M37" s="30">
        <f t="shared" si="7"/>
        <v>0.1787421400754953</v>
      </c>
    </row>
    <row r="38" spans="1:13" ht="14.25" hidden="1">
      <c r="A38" s="1"/>
      <c r="B38" s="1"/>
      <c r="C38" s="31" t="s">
        <v>10</v>
      </c>
      <c r="D38" s="64">
        <f>D37</f>
        <v>535</v>
      </c>
      <c r="E38" s="89">
        <f t="shared" si="0"/>
        <v>0</v>
      </c>
      <c r="F38" s="79">
        <f t="shared" si="4"/>
        <v>0</v>
      </c>
      <c r="G38" s="66">
        <f>G37</f>
        <v>535</v>
      </c>
      <c r="H38" s="89">
        <f t="shared" si="1"/>
        <v>0</v>
      </c>
      <c r="I38" s="79">
        <f t="shared" si="5"/>
        <v>0</v>
      </c>
      <c r="J38" s="79">
        <f t="shared" si="2"/>
        <v>0</v>
      </c>
      <c r="K38" s="29" t="e">
        <f t="shared" si="3"/>
        <v>#DIV/0!</v>
      </c>
      <c r="L38" s="30">
        <f t="shared" si="6"/>
        <v>0</v>
      </c>
      <c r="M38" s="30">
        <f t="shared" si="7"/>
        <v>0</v>
      </c>
    </row>
    <row r="39" spans="1:13" ht="14.25">
      <c r="A39" s="1"/>
      <c r="B39" s="1"/>
      <c r="C39" s="47" t="s">
        <v>11</v>
      </c>
      <c r="D39" s="64">
        <f>D37</f>
        <v>535</v>
      </c>
      <c r="E39" s="89">
        <f t="shared" si="0"/>
        <v>0.1081</v>
      </c>
      <c r="F39" s="79">
        <f t="shared" si="4"/>
        <v>57.8335</v>
      </c>
      <c r="G39" s="66">
        <f>G37</f>
        <v>535</v>
      </c>
      <c r="H39" s="89">
        <f t="shared" si="1"/>
        <v>0.1081</v>
      </c>
      <c r="I39" s="79">
        <f t="shared" si="5"/>
        <v>57.8335</v>
      </c>
      <c r="J39" s="79">
        <f t="shared" si="2"/>
        <v>0</v>
      </c>
      <c r="K39" s="29">
        <f t="shared" si="3"/>
        <v>0</v>
      </c>
      <c r="L39" s="30">
        <f t="shared" si="6"/>
        <v>0.0012681392048065898</v>
      </c>
      <c r="M39" s="30">
        <f t="shared" si="7"/>
        <v>0.001234847247906095</v>
      </c>
    </row>
    <row r="40" spans="1:13" ht="15" thickBot="1">
      <c r="A40" s="1"/>
      <c r="B40" s="1"/>
      <c r="C40" s="31" t="s">
        <v>12</v>
      </c>
      <c r="D40" s="64">
        <f>D39</f>
        <v>535</v>
      </c>
      <c r="E40" s="90">
        <f t="shared" si="0"/>
        <v>-2.2208</v>
      </c>
      <c r="F40" s="80">
        <f>D40*E40-0.02</f>
        <v>-1188.1480000000001</v>
      </c>
      <c r="G40" s="66">
        <f>G39</f>
        <v>535</v>
      </c>
      <c r="H40" s="89">
        <f t="shared" si="1"/>
        <v>-2.6154</v>
      </c>
      <c r="I40" s="79">
        <f t="shared" si="5"/>
        <v>-1399.239</v>
      </c>
      <c r="J40" s="79">
        <f t="shared" si="2"/>
        <v>-211.0909999999999</v>
      </c>
      <c r="K40" s="29">
        <f t="shared" si="3"/>
        <v>0.1776638937236774</v>
      </c>
      <c r="L40" s="30">
        <f t="shared" si="6"/>
        <v>-0.03068169543248062</v>
      </c>
      <c r="M40" s="30">
        <f t="shared" si="7"/>
        <v>-0.029876221019182247</v>
      </c>
    </row>
    <row r="41" spans="1:13" ht="15" thickBot="1">
      <c r="A41" s="1"/>
      <c r="B41" s="1"/>
      <c r="C41" s="57" t="s">
        <v>31</v>
      </c>
      <c r="D41" s="58"/>
      <c r="E41" s="57"/>
      <c r="F41" s="85">
        <f>SUM(F34:F40)</f>
        <v>24408.663499999995</v>
      </c>
      <c r="G41" s="58"/>
      <c r="H41" s="57"/>
      <c r="I41" s="85">
        <f>SUM(I34:I40)</f>
        <v>24412.85</v>
      </c>
      <c r="J41" s="85">
        <f t="shared" si="2"/>
        <v>4.186500000003434</v>
      </c>
      <c r="K41" s="142">
        <f t="shared" si="3"/>
        <v>0.00017151696978425038</v>
      </c>
      <c r="L41" s="60">
        <f>I41/I56</f>
        <v>0.5353107141373521</v>
      </c>
      <c r="M41" s="60">
        <f>I41/I61</f>
        <v>0.5212574137142714</v>
      </c>
    </row>
    <row r="42" spans="1:13" ht="14.25">
      <c r="A42" s="1"/>
      <c r="B42" s="1"/>
      <c r="C42" s="42" t="s">
        <v>13</v>
      </c>
      <c r="D42" s="67">
        <f>F23</f>
        <v>535</v>
      </c>
      <c r="E42" s="91">
        <f>E17</f>
        <v>1.8471</v>
      </c>
      <c r="F42" s="79">
        <f t="shared" si="4"/>
        <v>988.1985</v>
      </c>
      <c r="G42" s="67">
        <f>D42</f>
        <v>535</v>
      </c>
      <c r="H42" s="91">
        <f>F17</f>
        <v>1.7477</v>
      </c>
      <c r="I42" s="79">
        <f t="shared" si="5"/>
        <v>935.0195</v>
      </c>
      <c r="J42" s="79">
        <f t="shared" si="2"/>
        <v>-53.178999999999974</v>
      </c>
      <c r="K42" s="29">
        <f t="shared" si="3"/>
        <v>-0.05381408694710625</v>
      </c>
      <c r="L42" s="30">
        <f>I42/$I$56</f>
        <v>0.020502561408330035</v>
      </c>
      <c r="M42" s="30">
        <f>I42/$I$61</f>
        <v>0.019964315773963758</v>
      </c>
    </row>
    <row r="43" spans="1:13" ht="15" thickBot="1">
      <c r="A43" s="1"/>
      <c r="B43" s="1"/>
      <c r="C43" s="42" t="s">
        <v>14</v>
      </c>
      <c r="D43" s="67">
        <f>D42</f>
        <v>535</v>
      </c>
      <c r="E43" s="88">
        <f>E18</f>
        <v>1.4551</v>
      </c>
      <c r="F43" s="82">
        <f t="shared" si="4"/>
        <v>778.4785</v>
      </c>
      <c r="G43" s="67">
        <f>D43</f>
        <v>535</v>
      </c>
      <c r="H43" s="88">
        <f>F18</f>
        <v>1.3624</v>
      </c>
      <c r="I43" s="82">
        <f t="shared" si="5"/>
        <v>728.884</v>
      </c>
      <c r="J43" s="82">
        <f t="shared" si="2"/>
        <v>-49.59450000000004</v>
      </c>
      <c r="K43" s="29">
        <f t="shared" si="3"/>
        <v>-0.06370696172084397</v>
      </c>
      <c r="L43" s="30">
        <f>I43/$I$56</f>
        <v>0.01598254257750692</v>
      </c>
      <c r="M43" s="30">
        <f>I43/$I$61</f>
        <v>0.015562959209502904</v>
      </c>
    </row>
    <row r="44" spans="1:13" ht="15" thickBot="1">
      <c r="A44" s="1"/>
      <c r="B44" s="1"/>
      <c r="C44" s="57" t="s">
        <v>32</v>
      </c>
      <c r="D44" s="57"/>
      <c r="E44" s="57"/>
      <c r="F44" s="85">
        <f>SUM(F42:F43)</f>
        <v>1766.6770000000001</v>
      </c>
      <c r="G44" s="57"/>
      <c r="H44" s="57"/>
      <c r="I44" s="85">
        <f>SUM(I42:I43)</f>
        <v>1663.9035</v>
      </c>
      <c r="J44" s="85">
        <f t="shared" si="2"/>
        <v>-102.77350000000024</v>
      </c>
      <c r="K44" s="59">
        <f t="shared" si="3"/>
        <v>-0.05817333898613059</v>
      </c>
      <c r="L44" s="60">
        <f>I44/I56</f>
        <v>0.03648510398583695</v>
      </c>
      <c r="M44" s="60">
        <f>I44/I61</f>
        <v>0.03552727498346666</v>
      </c>
    </row>
    <row r="45" spans="1:13" ht="15" thickBot="1">
      <c r="A45" s="1"/>
      <c r="B45" s="1"/>
      <c r="C45" s="52" t="s">
        <v>33</v>
      </c>
      <c r="D45" s="52"/>
      <c r="E45" s="52"/>
      <c r="F45" s="84">
        <f>F44+F41</f>
        <v>26175.340499999995</v>
      </c>
      <c r="G45" s="52"/>
      <c r="H45" s="52"/>
      <c r="I45" s="84">
        <f>I44+I41</f>
        <v>26076.7535</v>
      </c>
      <c r="J45" s="84">
        <f t="shared" si="2"/>
        <v>-98.5869999999959</v>
      </c>
      <c r="K45" s="53">
        <f t="shared" si="3"/>
        <v>-0.003766407546828127</v>
      </c>
      <c r="L45" s="54">
        <f>I45/I56</f>
        <v>0.571795818123189</v>
      </c>
      <c r="M45" s="54">
        <f>I45/I61</f>
        <v>0.556784688697738</v>
      </c>
    </row>
    <row r="46" spans="1:13" ht="14.25">
      <c r="A46" s="1"/>
      <c r="B46" s="1"/>
      <c r="C46" s="31" t="s">
        <v>15</v>
      </c>
      <c r="D46" s="48">
        <f>$D$23*$J$23</f>
        <v>213600</v>
      </c>
      <c r="E46" s="91">
        <f>E19</f>
        <v>0.0052</v>
      </c>
      <c r="F46" s="72">
        <f>D46*E46</f>
        <v>1110.72</v>
      </c>
      <c r="G46" s="48">
        <f>$D$23*$J$23</f>
        <v>213600</v>
      </c>
      <c r="H46" s="91">
        <f>F19</f>
        <v>0.0052</v>
      </c>
      <c r="I46" s="72">
        <f>H46*G46</f>
        <v>1110.72</v>
      </c>
      <c r="J46" s="72">
        <f t="shared" si="2"/>
        <v>0</v>
      </c>
      <c r="K46" s="29">
        <f t="shared" si="3"/>
        <v>0</v>
      </c>
      <c r="L46" s="49">
        <f>I46/$I$56</f>
        <v>0.024355219337629148</v>
      </c>
      <c r="M46" s="49">
        <f>I46/$I$61</f>
        <v>0.02371583139865749</v>
      </c>
    </row>
    <row r="47" spans="1:13" ht="14.25">
      <c r="A47" s="1"/>
      <c r="B47" s="1"/>
      <c r="C47" s="31" t="s">
        <v>17</v>
      </c>
      <c r="D47" s="48">
        <f>$D$23*$J$23</f>
        <v>213600</v>
      </c>
      <c r="E47" s="88">
        <f>E20</f>
        <v>0.0011</v>
      </c>
      <c r="F47" s="83">
        <f>D47*E47</f>
        <v>234.96</v>
      </c>
      <c r="G47" s="48">
        <f>$D$23*$J$23</f>
        <v>213600</v>
      </c>
      <c r="H47" s="88">
        <f>F20</f>
        <v>0.0011</v>
      </c>
      <c r="I47" s="83">
        <f>H47*G47</f>
        <v>234.96</v>
      </c>
      <c r="J47" s="83">
        <f t="shared" si="2"/>
        <v>0</v>
      </c>
      <c r="K47" s="29">
        <f t="shared" si="3"/>
        <v>0</v>
      </c>
      <c r="L47" s="30">
        <f>I47/$I$56</f>
        <v>0.005152065629113858</v>
      </c>
      <c r="M47" s="30">
        <f>I47/$I$61</f>
        <v>0.005016810488177546</v>
      </c>
    </row>
    <row r="48" spans="1:13" ht="15" thickBot="1">
      <c r="A48" s="1"/>
      <c r="B48" s="1"/>
      <c r="C48" s="31" t="s">
        <v>18</v>
      </c>
      <c r="D48" s="50">
        <v>1</v>
      </c>
      <c r="E48" s="76">
        <f>E21</f>
        <v>0.25</v>
      </c>
      <c r="F48" s="80">
        <f>D48*E48</f>
        <v>0.25</v>
      </c>
      <c r="G48" s="50">
        <v>1</v>
      </c>
      <c r="H48" s="77">
        <f>F21</f>
        <v>0.25</v>
      </c>
      <c r="I48" s="80">
        <f>H48*G48</f>
        <v>0.25</v>
      </c>
      <c r="J48" s="80">
        <f t="shared" si="2"/>
        <v>0</v>
      </c>
      <c r="K48" s="29">
        <f t="shared" si="3"/>
        <v>0</v>
      </c>
      <c r="L48" s="30">
        <f>I48/$I$56</f>
        <v>5.481853963561732E-06</v>
      </c>
      <c r="M48" s="30">
        <f>I48/$I$61</f>
        <v>5.337941019936953E-06</v>
      </c>
    </row>
    <row r="49" spans="1:13" ht="14.25">
      <c r="A49" s="1"/>
      <c r="B49" s="1"/>
      <c r="C49" s="97" t="s">
        <v>34</v>
      </c>
      <c r="D49" s="97"/>
      <c r="E49" s="97"/>
      <c r="F49" s="98">
        <f>SUM(F46:F48)</f>
        <v>1345.93</v>
      </c>
      <c r="G49" s="97"/>
      <c r="H49" s="97"/>
      <c r="I49" s="98">
        <f>SUM(I46:I48)</f>
        <v>1345.93</v>
      </c>
      <c r="J49" s="98">
        <f t="shared" si="2"/>
        <v>0</v>
      </c>
      <c r="K49" s="107">
        <f t="shared" si="3"/>
        <v>0</v>
      </c>
      <c r="L49" s="108">
        <f>I49/I56</f>
        <v>0.029512766820706568</v>
      </c>
      <c r="M49" s="108">
        <f>I49/I61</f>
        <v>0.028737979827854972</v>
      </c>
    </row>
    <row r="50" spans="1:13" ht="14.25">
      <c r="A50" s="1"/>
      <c r="B50" s="1"/>
      <c r="C50" s="109" t="s">
        <v>35</v>
      </c>
      <c r="D50" s="110">
        <f>D23</f>
        <v>200000</v>
      </c>
      <c r="E50" s="102">
        <v>0.007</v>
      </c>
      <c r="F50" s="111">
        <f>D50*E50</f>
        <v>1400</v>
      </c>
      <c r="G50" s="110">
        <f>D50</f>
        <v>200000</v>
      </c>
      <c r="H50" s="89">
        <v>0.007</v>
      </c>
      <c r="I50" s="111">
        <f>H50*G50</f>
        <v>1400</v>
      </c>
      <c r="J50" s="112">
        <f t="shared" si="2"/>
        <v>0</v>
      </c>
      <c r="K50" s="113">
        <f t="shared" si="3"/>
        <v>0</v>
      </c>
      <c r="L50" s="114">
        <f>I50/I56</f>
        <v>0.0306983821959457</v>
      </c>
      <c r="M50" s="114">
        <f>I50/I61</f>
        <v>0.029892469711646937</v>
      </c>
    </row>
    <row r="51" spans="1:13" ht="5.25" customHeight="1">
      <c r="A51" s="1"/>
      <c r="B51" s="1"/>
      <c r="C51" s="119"/>
      <c r="D51" s="120"/>
      <c r="E51" s="121"/>
      <c r="F51" s="122"/>
      <c r="G51" s="120"/>
      <c r="H51" s="121"/>
      <c r="I51" s="122"/>
      <c r="J51" s="123"/>
      <c r="K51" s="124"/>
      <c r="L51" s="125"/>
      <c r="M51" s="125"/>
    </row>
    <row r="52" spans="1:13" ht="14.25">
      <c r="A52" s="1"/>
      <c r="B52" s="1"/>
      <c r="C52" s="115" t="s">
        <v>55</v>
      </c>
      <c r="D52" s="115"/>
      <c r="E52" s="115"/>
      <c r="F52" s="116">
        <f>F50+F49+F45+F29</f>
        <v>44941.2705</v>
      </c>
      <c r="G52" s="115"/>
      <c r="H52" s="115"/>
      <c r="I52" s="116">
        <f>I50+I49+I45+I29</f>
        <v>44842.6835</v>
      </c>
      <c r="J52" s="116">
        <f t="shared" si="2"/>
        <v>-98.58699999999953</v>
      </c>
      <c r="K52" s="117">
        <f t="shared" si="3"/>
        <v>-0.0021936852007777468</v>
      </c>
      <c r="L52" s="118">
        <f>I52/I56</f>
        <v>0.9832841691248771</v>
      </c>
      <c r="M52" s="118"/>
    </row>
    <row r="53" spans="1:13" ht="14.25">
      <c r="A53" s="1"/>
      <c r="B53" s="1"/>
      <c r="C53" s="131" t="s">
        <v>36</v>
      </c>
      <c r="D53" s="132"/>
      <c r="E53" s="133">
        <v>0.13</v>
      </c>
      <c r="F53" s="141">
        <f>E53*F52</f>
        <v>5842.365165</v>
      </c>
      <c r="G53" s="132"/>
      <c r="H53" s="134">
        <v>0.13</v>
      </c>
      <c r="I53" s="141">
        <f>I52*H53</f>
        <v>5829.548855</v>
      </c>
      <c r="J53" s="136">
        <f t="shared" si="2"/>
        <v>-12.816310000000158</v>
      </c>
      <c r="K53" s="137">
        <f t="shared" si="3"/>
        <v>-0.002193685200777784</v>
      </c>
      <c r="L53" s="138">
        <f>I53/I56</f>
        <v>0.12782694198623404</v>
      </c>
      <c r="M53" s="138"/>
    </row>
    <row r="54" spans="1:13" ht="14.25">
      <c r="A54" s="1"/>
      <c r="B54" s="1"/>
      <c r="C54" s="131" t="s">
        <v>52</v>
      </c>
      <c r="D54" s="135"/>
      <c r="E54" s="135"/>
      <c r="F54" s="136">
        <f>F53+F52</f>
        <v>50783.635665</v>
      </c>
      <c r="G54" s="135"/>
      <c r="H54" s="135"/>
      <c r="I54" s="136">
        <f>I52+I53</f>
        <v>50672.232355</v>
      </c>
      <c r="J54" s="136">
        <f t="shared" si="2"/>
        <v>-111.40331000000151</v>
      </c>
      <c r="K54" s="137">
        <f t="shared" si="3"/>
        <v>-0.002193685200777787</v>
      </c>
      <c r="L54" s="138">
        <f>I54/$I$56</f>
        <v>1.1111111111111112</v>
      </c>
      <c r="M54" s="138"/>
    </row>
    <row r="55" spans="1:13" ht="14.25">
      <c r="A55" s="1"/>
      <c r="B55" s="1"/>
      <c r="C55" s="131" t="s">
        <v>44</v>
      </c>
      <c r="D55" s="132"/>
      <c r="E55" s="139">
        <v>-0.1</v>
      </c>
      <c r="F55" s="141">
        <f>F54*E55</f>
        <v>-5078.3635665</v>
      </c>
      <c r="G55" s="132"/>
      <c r="H55" s="140">
        <v>-0.1</v>
      </c>
      <c r="I55" s="141">
        <f>H55*I54</f>
        <v>-5067.223235500001</v>
      </c>
      <c r="J55" s="136">
        <f t="shared" si="2"/>
        <v>11.140330999999605</v>
      </c>
      <c r="K55" s="137">
        <f t="shared" si="3"/>
        <v>-0.0021936852007776795</v>
      </c>
      <c r="L55" s="138">
        <f>I55/$I$56</f>
        <v>-0.11111111111111113</v>
      </c>
      <c r="M55" s="138"/>
    </row>
    <row r="56" spans="1:13" ht="15.75" thickBot="1">
      <c r="A56" s="1"/>
      <c r="B56" s="1"/>
      <c r="C56" s="126" t="s">
        <v>54</v>
      </c>
      <c r="D56" s="127"/>
      <c r="E56" s="127"/>
      <c r="F56" s="128">
        <f>F55+F54</f>
        <v>45705.272098500005</v>
      </c>
      <c r="G56" s="127"/>
      <c r="H56" s="127"/>
      <c r="I56" s="128">
        <f>I54+I55</f>
        <v>45605.0091195</v>
      </c>
      <c r="J56" s="128">
        <f aca="true" t="shared" si="8" ref="J56:J61">I56-F56</f>
        <v>-100.26297900000645</v>
      </c>
      <c r="K56" s="129">
        <f aca="true" t="shared" si="9" ref="K56:K61">J56/F56</f>
        <v>-0.002193685200777898</v>
      </c>
      <c r="L56" s="130">
        <f>I56/$I$56</f>
        <v>1</v>
      </c>
      <c r="M56" s="130"/>
    </row>
    <row r="57" spans="1:13" ht="14.25">
      <c r="A57" s="1"/>
      <c r="B57" s="1"/>
      <c r="C57" s="115" t="s">
        <v>53</v>
      </c>
      <c r="D57" s="115"/>
      <c r="E57" s="115"/>
      <c r="F57" s="116">
        <f>F50+F45+F49+F33</f>
        <v>46150.246499999994</v>
      </c>
      <c r="G57" s="115"/>
      <c r="H57" s="115"/>
      <c r="I57" s="116">
        <f>I50+I45+I49+I33</f>
        <v>46051.6595</v>
      </c>
      <c r="J57" s="116">
        <f t="shared" si="8"/>
        <v>-98.58699999999226</v>
      </c>
      <c r="K57" s="117">
        <f t="shared" si="9"/>
        <v>-0.0021362182756703646</v>
      </c>
      <c r="L57" s="118"/>
      <c r="M57" s="118">
        <f>I57/$I$61</f>
        <v>0.9832841691248771</v>
      </c>
    </row>
    <row r="58" spans="1:13" ht="14.25">
      <c r="A58" s="1"/>
      <c r="B58" s="1"/>
      <c r="C58" s="131" t="s">
        <v>36</v>
      </c>
      <c r="D58" s="132"/>
      <c r="E58" s="133">
        <v>0.13</v>
      </c>
      <c r="F58" s="141">
        <f>E58*F57</f>
        <v>5999.532044999999</v>
      </c>
      <c r="G58" s="132"/>
      <c r="H58" s="134">
        <v>0.13</v>
      </c>
      <c r="I58" s="141">
        <f>I57*H58</f>
        <v>5986.715735000001</v>
      </c>
      <c r="J58" s="136">
        <f t="shared" si="8"/>
        <v>-12.816309999998339</v>
      </c>
      <c r="K58" s="137">
        <f t="shared" si="9"/>
        <v>-0.0021362182756702553</v>
      </c>
      <c r="L58" s="138"/>
      <c r="M58" s="138">
        <f>I58/$I$61</f>
        <v>0.12782694198623404</v>
      </c>
    </row>
    <row r="59" spans="1:13" ht="14.25">
      <c r="A59" s="1"/>
      <c r="B59" s="1"/>
      <c r="C59" s="131" t="s">
        <v>52</v>
      </c>
      <c r="D59" s="135"/>
      <c r="E59" s="135"/>
      <c r="F59" s="136">
        <f>F58+F57</f>
        <v>52149.778544999994</v>
      </c>
      <c r="G59" s="135"/>
      <c r="H59" s="135"/>
      <c r="I59" s="136">
        <f>I57+I58</f>
        <v>52038.375235</v>
      </c>
      <c r="J59" s="136">
        <f t="shared" si="8"/>
        <v>-111.40330999999424</v>
      </c>
      <c r="K59" s="137">
        <f t="shared" si="9"/>
        <v>-0.0021362182756704214</v>
      </c>
      <c r="L59" s="138"/>
      <c r="M59" s="138">
        <f>I59/$I$61</f>
        <v>1.1111111111111112</v>
      </c>
    </row>
    <row r="60" spans="1:13" ht="14.25">
      <c r="A60" s="1"/>
      <c r="B60" s="1"/>
      <c r="C60" s="131" t="s">
        <v>44</v>
      </c>
      <c r="D60" s="132"/>
      <c r="E60" s="139">
        <v>-0.1</v>
      </c>
      <c r="F60" s="141">
        <f>F59*E60</f>
        <v>-5214.9778545</v>
      </c>
      <c r="G60" s="132"/>
      <c r="H60" s="140">
        <v>-0.1</v>
      </c>
      <c r="I60" s="141">
        <f>H60*I59</f>
        <v>-5203.8375235</v>
      </c>
      <c r="J60" s="136">
        <f t="shared" si="8"/>
        <v>11.140330999999605</v>
      </c>
      <c r="K60" s="137">
        <f t="shared" si="9"/>
        <v>-0.002136218275670456</v>
      </c>
      <c r="L60" s="138"/>
      <c r="M60" s="138">
        <f>I60/$I$61</f>
        <v>-0.11111111111111112</v>
      </c>
    </row>
    <row r="61" spans="1:13" ht="15.75" thickBot="1">
      <c r="A61" s="1"/>
      <c r="B61" s="1"/>
      <c r="C61" s="126" t="s">
        <v>58</v>
      </c>
      <c r="D61" s="127"/>
      <c r="E61" s="127"/>
      <c r="F61" s="128">
        <f>F60+F59</f>
        <v>46934.80069049999</v>
      </c>
      <c r="G61" s="127"/>
      <c r="H61" s="127"/>
      <c r="I61" s="128">
        <f>I60+I59</f>
        <v>46834.5377115</v>
      </c>
      <c r="J61" s="128">
        <f t="shared" si="8"/>
        <v>-100.2629789999919</v>
      </c>
      <c r="K61" s="129">
        <f t="shared" si="9"/>
        <v>-0.00213621827567036</v>
      </c>
      <c r="L61" s="130"/>
      <c r="M61" s="130">
        <f>I61/$I$61</f>
        <v>1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748031496062992" right="0.748031496062992" top="0.484251969" bottom="0.734251969" header="0.261811024" footer="0.511811023622047"/>
  <pageSetup fitToHeight="2" horizontalDpi="600" verticalDpi="600" orientation="landscape" scale="60" r:id="rId1"/>
  <headerFooter>
    <oddFooter>&amp;LAPPENDIX A
Page &amp;P of &amp;N&amp;C&amp;F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Graham</dc:creator>
  <cp:keywords/>
  <dc:description/>
  <cp:lastModifiedBy>Sherry Graham</cp:lastModifiedBy>
  <cp:lastPrinted>2012-11-08T22:15:59Z</cp:lastPrinted>
  <dcterms:created xsi:type="dcterms:W3CDTF">2010-10-28T14:05:21Z</dcterms:created>
  <dcterms:modified xsi:type="dcterms:W3CDTF">2012-11-08T22:16:04Z</dcterms:modified>
  <cp:category/>
  <cp:version/>
  <cp:contentType/>
  <cp:contentStatus/>
</cp:coreProperties>
</file>