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8" windowWidth="15480" windowHeight="11580" activeTab="0"/>
  </bookViews>
  <sheets>
    <sheet name="Revenue Requirement" sheetId="1" r:id="rId1"/>
    <sheet name="PILs" sheetId="2" r:id="rId2"/>
    <sheet name="Avg Nt Fix Ass &amp;UCC" sheetId="3" r:id="rId3"/>
    <sheet name="Weighted Avg Direct Benefit" sheetId="4" r:id="rId4"/>
  </sheets>
  <externalReferences>
    <externalReference r:id="rId7"/>
  </externalReferences>
  <definedNames>
    <definedName name="_xlnm.Print_Area" localSheetId="2">'Avg Nt Fix Ass &amp;UCC'!$A$1:$I$75</definedName>
    <definedName name="_xlnm.Print_Area" localSheetId="1">'PILs'!$A$1:$G$36</definedName>
    <definedName name="_xlnm.Print_Area" localSheetId="3">'Weighted Avg Direct Benefit'!$A$1:$H$75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<sst xmlns="http://schemas.openxmlformats.org/spreadsheetml/2006/main" count="156" uniqueCount="81">
  <si>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</si>
  <si>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</si>
  <si>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</si>
  <si>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</si>
  <si>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</si>
  <si>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</si>
  <si>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</si>
  <si>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</si>
  <si>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</si>
  <si>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</si>
  <si>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</si>
  <si>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</si>
  <si>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</si>
  <si>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</si>
  <si>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</si>
  <si>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</si>
  <si>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</si>
  <si>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</si>
  <si>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</si>
  <si>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</si>
  <si>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</si>
  <si>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</si>
  <si>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</si>
  <si>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</si>
  <si>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</si>
  <si>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</si>
  <si>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</si>
  <si>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</si>
  <si>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</si>
  <si>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</si>
  <si>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</si>
  <si>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</si>
  <si>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</si>
  <si>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</si>
  <si>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</si>
  <si>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</si>
  <si>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</si>
  <si>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</si>
  <si>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</si>
  <si>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</si>
  <si>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</si>
  <si>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</si>
  <si>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</si>
  <si>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</si>
  <si>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</si>
  <si>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</si>
  <si>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</si>
  <si>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</si>
  <si>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</si>
  <si>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</si>
  <si>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Tax Rate</t>
  </si>
  <si>
    <t>Rate Base</t>
  </si>
  <si>
    <t>Direct Benefit %</t>
  </si>
  <si>
    <t>Provincial Rate Protection</t>
  </si>
  <si>
    <t>Total # of Customers (excl connections)</t>
  </si>
  <si>
    <t>Cost</t>
  </si>
  <si>
    <t>TOTAL</t>
  </si>
  <si>
    <t xml:space="preserve">Direct Benefit </t>
  </si>
  <si>
    <t>Capital</t>
  </si>
  <si>
    <t>Direct Benefit % on capital</t>
  </si>
  <si>
    <t>Direct Benefit on capital</t>
  </si>
  <si>
    <t>Total Direct Benefit</t>
  </si>
  <si>
    <t>Renewable Connections Capital - Expansions</t>
  </si>
  <si>
    <t>Renewable Connections Capital - Renewable Enabling Improvements</t>
  </si>
  <si>
    <t>Feeder Automation Projects</t>
  </si>
  <si>
    <t>Direct Benefit</t>
  </si>
  <si>
    <t>Weighted Average Direct Benefit %</t>
  </si>
  <si>
    <t xml:space="preserve">GEA Rate Adder </t>
  </si>
  <si>
    <t>Monthly Adder Amount Paid by IESO</t>
  </si>
  <si>
    <t>Total</t>
  </si>
  <si>
    <t>Gross Investment</t>
  </si>
  <si>
    <t>Qualify for Direct Benefit?</t>
  </si>
  <si>
    <t>Yes</t>
  </si>
  <si>
    <t>Funded by TBHEDI customers</t>
  </si>
  <si>
    <t>Funded  by Province</t>
  </si>
  <si>
    <t>40 years</t>
  </si>
  <si>
    <t>IESO</t>
  </si>
  <si>
    <t>4 year funding adder customers</t>
  </si>
  <si>
    <t>4 year IESO funding adder</t>
  </si>
  <si>
    <t>Table 9-4.2 Incremental Revenue Requirement &amp; Funding Adder Calculation</t>
  </si>
  <si>
    <t>Table 9-4.3  PILS Calculation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</si>
</sst>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mmmm\ d\,\ yyyy;@"/>
    <numFmt numFmtId="186" formatCode="#,##0_ ;[Red]\-#,##0\ "/>
    <numFmt numFmtId="187" formatCode="0.0"/>
    <numFmt numFmtId="188" formatCode="[$-F800]dddd\,\ mmmm\ dd\,\ yyyy"/>
    <numFmt numFmtId="189" formatCode="_-&quot;$&quot;* #,##0.0000_-;\-&quot;$&quot;* #,##0.0000_-;_-&quot;$&quot;* &quot;-&quot;????_-;_-@_-"/>
    <numFmt numFmtId="190" formatCode="_(* #,##0.0000_);_(* \(#,##0.0000\);_(* &quot;-&quot;??_);_(@_)"/>
    <numFmt numFmtId="191" formatCode="0_);[Red]\(0\)"/>
    <numFmt numFmtId="192" formatCode="&quot;$&quot;#,##0.00;[Red]&quot;$&quot;#,##0.00"/>
    <numFmt numFmtId="193" formatCode="_-&quot;$&quot;* #,##0.000_-;\-&quot;$&quot;* #,##0.000_-;_-&quot;$&quot;* &quot;-&quot;???_-;_-@_-"/>
    <numFmt numFmtId="194" formatCode="_-* #,##0.00000_-;\-* #,##0.00000_-;_-* &quot;-&quot;??_-;_-@_-"/>
    <numFmt numFmtId="195" formatCode="0.000"/>
    <numFmt numFmtId="196" formatCode="_-&quot;$&quot;* #,##0.0000_-;\-&quot;$&quot;* #,##0.0000_-;_-&quot;$&quot;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.00"/>
    <numFmt numFmtId="202" formatCode="&quot;$&quot;#,##0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</numFmts>
  <fonts count="35">
    <font>
      <sz val="12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8" fillId="0" borderId="0" xfId="63" applyFill="1" applyProtection="1">
      <alignment/>
      <protection/>
    </xf>
    <xf numFmtId="0" fontId="23" fillId="0" borderId="0" xfId="63" applyFont="1" applyFill="1" applyProtection="1">
      <alignment/>
      <protection/>
    </xf>
    <xf numFmtId="0" fontId="8" fillId="0" borderId="0" xfId="63" applyFill="1">
      <alignment/>
      <protection/>
    </xf>
    <xf numFmtId="0" fontId="8" fillId="0" borderId="0" xfId="64" applyFill="1" applyProtection="1">
      <alignment/>
      <protection/>
    </xf>
    <xf numFmtId="0" fontId="23" fillId="0" borderId="0" xfId="64" applyFont="1" applyFill="1" applyProtection="1">
      <alignment/>
      <protection/>
    </xf>
    <xf numFmtId="0" fontId="28" fillId="0" borderId="0" xfId="64" applyFont="1" applyFill="1" applyProtection="1">
      <alignment/>
      <protection/>
    </xf>
    <xf numFmtId="0" fontId="8" fillId="0" borderId="0" xfId="64" applyFont="1" applyFill="1" applyProtection="1">
      <alignment/>
      <protection/>
    </xf>
    <xf numFmtId="173" fontId="0" fillId="0" borderId="0" xfId="46" applyNumberFormat="1" applyFont="1" applyFill="1" applyAlignment="1">
      <alignment/>
    </xf>
    <xf numFmtId="173" fontId="8" fillId="0" borderId="0" xfId="46" applyNumberFormat="1" applyFont="1" applyFill="1" applyAlignment="1" applyProtection="1">
      <alignment/>
      <protection/>
    </xf>
    <xf numFmtId="173" fontId="8" fillId="0" borderId="0" xfId="46" applyNumberFormat="1" applyFont="1" applyFill="1" applyAlignment="1" applyProtection="1">
      <alignment horizontal="center"/>
      <protection/>
    </xf>
    <xf numFmtId="173" fontId="8" fillId="0" borderId="10" xfId="46" applyNumberFormat="1" applyFont="1" applyFill="1" applyBorder="1" applyAlignment="1" applyProtection="1">
      <alignment/>
      <protection/>
    </xf>
    <xf numFmtId="173" fontId="25" fillId="4" borderId="0" xfId="46" applyNumberFormat="1" applyFont="1" applyFill="1" applyBorder="1" applyAlignment="1" applyProtection="1">
      <alignment/>
      <protection/>
    </xf>
    <xf numFmtId="173" fontId="8" fillId="0" borderId="0" xfId="46" applyNumberFormat="1" applyFont="1" applyFill="1" applyBorder="1" applyAlignment="1" applyProtection="1">
      <alignment/>
      <protection/>
    </xf>
    <xf numFmtId="173" fontId="8" fillId="0" borderId="0" xfId="46" applyNumberFormat="1" applyFont="1" applyFill="1" applyAlignment="1">
      <alignment/>
    </xf>
    <xf numFmtId="173" fontId="8" fillId="0" borderId="12" xfId="46" applyNumberFormat="1" applyFont="1" applyFill="1" applyBorder="1" applyAlignment="1" applyProtection="1">
      <alignment/>
      <protection/>
    </xf>
    <xf numFmtId="0" fontId="8" fillId="0" borderId="0" xfId="46" applyNumberFormat="1" applyFont="1" applyFill="1" applyAlignment="1" applyProtection="1">
      <alignment horizontal="center"/>
      <protection/>
    </xf>
    <xf numFmtId="0" fontId="8" fillId="4" borderId="0" xfId="46" applyNumberFormat="1" applyFont="1" applyFill="1" applyAlignment="1" applyProtection="1">
      <alignment horizontal="center"/>
      <protection/>
    </xf>
    <xf numFmtId="9" fontId="8" fillId="4" borderId="0" xfId="68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24" borderId="13" xfId="0" applyFont="1" applyFill="1" applyBorder="1" applyAlignment="1">
      <alignment horizontal="center" vertical="center"/>
    </xf>
    <xf numFmtId="0" fontId="8" fillId="0" borderId="14" xfId="64" applyFill="1" applyBorder="1" applyProtection="1">
      <alignment/>
      <protection/>
    </xf>
    <xf numFmtId="0" fontId="8" fillId="0" borderId="14" xfId="64" applyFill="1" applyBorder="1" applyAlignment="1" applyProtection="1">
      <alignment wrapText="1"/>
      <protection/>
    </xf>
    <xf numFmtId="0" fontId="8" fillId="0" borderId="14" xfId="0" applyFont="1" applyBorder="1" applyAlignment="1">
      <alignment vertical="center"/>
    </xf>
    <xf numFmtId="0" fontId="7" fillId="24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84" fontId="8" fillId="0" borderId="14" xfId="42" applyNumberFormat="1" applyFont="1" applyBorder="1" applyAlignment="1">
      <alignment horizontal="right" vertical="center"/>
    </xf>
    <xf numFmtId="0" fontId="1" fillId="0" borderId="0" xfId="64" applyFont="1" applyFill="1" applyProtection="1">
      <alignment/>
      <protection/>
    </xf>
    <xf numFmtId="0" fontId="1" fillId="0" borderId="0" xfId="64" applyFont="1" applyFill="1" applyAlignment="1" applyProtection="1">
      <alignment wrapText="1"/>
      <protection/>
    </xf>
    <xf numFmtId="0" fontId="8" fillId="0" borderId="14" xfId="64" applyFill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173" fontId="8" fillId="0" borderId="14" xfId="4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8" fillId="0" borderId="14" xfId="0" applyFont="1" applyBorder="1" applyAlignment="1">
      <alignment/>
    </xf>
    <xf numFmtId="10" fontId="8" fillId="0" borderId="14" xfId="68" applyNumberFormat="1" applyFont="1" applyBorder="1" applyAlignment="1">
      <alignment/>
    </xf>
    <xf numFmtId="9" fontId="8" fillId="4" borderId="14" xfId="68" applyFont="1" applyFill="1" applyBorder="1" applyAlignment="1" applyProtection="1">
      <alignment horizontal="center"/>
      <protection/>
    </xf>
    <xf numFmtId="171" fontId="0" fillId="0" borderId="0" xfId="0" applyNumberFormat="1" applyAlignment="1">
      <alignment/>
    </xf>
    <xf numFmtId="0" fontId="7" fillId="24" borderId="16" xfId="0" applyFont="1" applyFill="1" applyBorder="1" applyAlignment="1">
      <alignment horizontal="center" vertical="center"/>
    </xf>
    <xf numFmtId="173" fontId="25" fillId="0" borderId="0" xfId="46" applyNumberFormat="1" applyFont="1" applyFill="1" applyBorder="1" applyAlignment="1" applyProtection="1">
      <alignment/>
      <protection/>
    </xf>
    <xf numFmtId="202" fontId="8" fillId="0" borderId="14" xfId="42" applyNumberFormat="1" applyFont="1" applyBorder="1" applyAlignment="1">
      <alignment horizontal="right" vertical="center"/>
    </xf>
    <xf numFmtId="202" fontId="8" fillId="0" borderId="0" xfId="0" applyNumberFormat="1" applyFont="1" applyAlignment="1">
      <alignment/>
    </xf>
    <xf numFmtId="202" fontId="8" fillId="0" borderId="14" xfId="0" applyNumberFormat="1" applyFont="1" applyBorder="1" applyAlignment="1">
      <alignment horizontal="right" vertical="center"/>
    </xf>
    <xf numFmtId="202" fontId="0" fillId="0" borderId="0" xfId="0" applyNumberFormat="1" applyAlignment="1">
      <alignment/>
    </xf>
    <xf numFmtId="202" fontId="0" fillId="0" borderId="12" xfId="0" applyNumberFormat="1" applyBorder="1" applyAlignment="1">
      <alignment/>
    </xf>
    <xf numFmtId="204" fontId="0" fillId="0" borderId="0" xfId="0" applyNumberFormat="1" applyAlignment="1">
      <alignment/>
    </xf>
    <xf numFmtId="9" fontId="8" fillId="0" borderId="14" xfId="68" applyFont="1" applyFill="1" applyBorder="1" applyAlignment="1" applyProtection="1">
      <alignment/>
      <protection/>
    </xf>
    <xf numFmtId="175" fontId="0" fillId="0" borderId="0" xfId="68" applyNumberFormat="1" applyFont="1" applyAlignment="1">
      <alignment/>
    </xf>
    <xf numFmtId="0" fontId="0" fillId="0" borderId="0" xfId="0" applyBorder="1" applyAlignment="1">
      <alignment/>
    </xf>
    <xf numFmtId="175" fontId="0" fillId="0" borderId="0" xfId="68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0" applyNumberFormat="1" applyFill="1" applyAlignment="1">
      <alignment/>
    </xf>
    <xf numFmtId="170" fontId="0" fillId="0" borderId="0" xfId="46" applyFont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3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17" xfId="0" applyNumberFormat="1" applyBorder="1" applyAlignment="1">
      <alignment/>
    </xf>
    <xf numFmtId="170" fontId="0" fillId="0" borderId="17" xfId="46" applyFont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9" xfId="46" applyNumberFormat="1" applyFont="1" applyBorder="1" applyAlignment="1">
      <alignment/>
    </xf>
    <xf numFmtId="10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173" fontId="0" fillId="0" borderId="18" xfId="46" applyNumberFormat="1" applyFont="1" applyBorder="1" applyAlignment="1">
      <alignment/>
    </xf>
    <xf numFmtId="196" fontId="0" fillId="0" borderId="17" xfId="46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3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0" fillId="0" borderId="11" xfId="46" applyNumberFormat="1" applyFont="1" applyBorder="1" applyAlignment="1">
      <alignment/>
    </xf>
    <xf numFmtId="173" fontId="0" fillId="0" borderId="24" xfId="0" applyNumberFormat="1" applyBorder="1" applyAlignment="1">
      <alignment/>
    </xf>
    <xf numFmtId="170" fontId="0" fillId="0" borderId="23" xfId="46" applyFont="1" applyBorder="1" applyAlignment="1">
      <alignment/>
    </xf>
    <xf numFmtId="173" fontId="0" fillId="0" borderId="14" xfId="0" applyNumberFormat="1" applyBorder="1" applyAlignment="1">
      <alignment/>
    </xf>
    <xf numFmtId="10" fontId="0" fillId="0" borderId="23" xfId="68" applyNumberFormat="1" applyFont="1" applyBorder="1" applyAlignment="1">
      <alignment/>
    </xf>
    <xf numFmtId="173" fontId="0" fillId="0" borderId="24" xfId="46" applyNumberFormat="1" applyFont="1" applyBorder="1" applyAlignment="1">
      <alignment/>
    </xf>
    <xf numFmtId="196" fontId="0" fillId="0" borderId="0" xfId="46" applyNumberFormat="1" applyFont="1" applyBorder="1" applyAlignment="1">
      <alignment/>
    </xf>
    <xf numFmtId="196" fontId="0" fillId="0" borderId="23" xfId="46" applyNumberFormat="1" applyFont="1" applyBorder="1" applyAlignment="1">
      <alignment/>
    </xf>
    <xf numFmtId="0" fontId="0" fillId="0" borderId="0" xfId="0" applyFill="1" applyBorder="1" applyAlignment="1">
      <alignment/>
    </xf>
    <xf numFmtId="173" fontId="0" fillId="0" borderId="23" xfId="0" applyNumberFormat="1" applyFill="1" applyBorder="1" applyAlignment="1">
      <alignment/>
    </xf>
    <xf numFmtId="196" fontId="0" fillId="0" borderId="23" xfId="46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3" fontId="0" fillId="0" borderId="24" xfId="46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0" fillId="0" borderId="25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9" fontId="0" fillId="0" borderId="2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24" xfId="0" applyNumberFormat="1" applyBorder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175" fontId="33" fillId="0" borderId="28" xfId="0" applyNumberFormat="1" applyFont="1" applyBorder="1" applyAlignment="1">
      <alignment horizontal="center"/>
    </xf>
    <xf numFmtId="175" fontId="33" fillId="0" borderId="10" xfId="0" applyNumberFormat="1" applyFont="1" applyBorder="1" applyAlignment="1">
      <alignment horizontal="center"/>
    </xf>
    <xf numFmtId="175" fontId="33" fillId="0" borderId="1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9" fontId="33" fillId="4" borderId="21" xfId="0" applyNumberFormat="1" applyFont="1" applyFill="1" applyBorder="1" applyAlignment="1">
      <alignment horizontal="center"/>
    </xf>
    <xf numFmtId="9" fontId="33" fillId="4" borderId="28" xfId="68" applyFont="1" applyFill="1" applyBorder="1" applyAlignment="1">
      <alignment horizontal="center"/>
    </xf>
    <xf numFmtId="9" fontId="0" fillId="0" borderId="10" xfId="68" applyFont="1" applyBorder="1" applyAlignment="1">
      <alignment horizontal="center"/>
    </xf>
    <xf numFmtId="9" fontId="0" fillId="0" borderId="14" xfId="68" applyFont="1" applyBorder="1" applyAlignment="1">
      <alignment horizontal="center"/>
    </xf>
    <xf numFmtId="10" fontId="33" fillId="4" borderId="21" xfId="68" applyNumberFormat="1" applyFont="1" applyFill="1" applyBorder="1" applyAlignment="1">
      <alignment horizontal="center"/>
    </xf>
    <xf numFmtId="10" fontId="33" fillId="4" borderId="11" xfId="68" applyNumberFormat="1" applyFont="1" applyFill="1" applyBorder="1" applyAlignment="1">
      <alignment horizontal="center"/>
    </xf>
    <xf numFmtId="10" fontId="0" fillId="0" borderId="11" xfId="68" applyNumberFormat="1" applyFont="1" applyBorder="1" applyAlignment="1">
      <alignment horizontal="center"/>
    </xf>
    <xf numFmtId="10" fontId="0" fillId="0" borderId="24" xfId="68" applyNumberFormat="1" applyFont="1" applyBorder="1" applyAlignment="1">
      <alignment horizontal="center"/>
    </xf>
    <xf numFmtId="10" fontId="33" fillId="4" borderId="28" xfId="68" applyNumberFormat="1" applyFont="1" applyFill="1" applyBorder="1" applyAlignment="1">
      <alignment horizontal="center"/>
    </xf>
    <xf numFmtId="10" fontId="33" fillId="4" borderId="10" xfId="68" applyNumberFormat="1" applyFont="1" applyFill="1" applyBorder="1" applyAlignment="1">
      <alignment horizontal="center"/>
    </xf>
    <xf numFmtId="10" fontId="0" fillId="0" borderId="10" xfId="68" applyNumberFormat="1" applyFont="1" applyBorder="1" applyAlignment="1">
      <alignment horizontal="center"/>
    </xf>
    <xf numFmtId="10" fontId="0" fillId="0" borderId="14" xfId="68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3" fontId="0" fillId="0" borderId="29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31" xfId="0" applyNumberFormat="1" applyBorder="1" applyAlignment="1">
      <alignment/>
    </xf>
    <xf numFmtId="173" fontId="0" fillId="0" borderId="32" xfId="0" applyNumberFormat="1" applyBorder="1" applyAlignment="1">
      <alignment/>
    </xf>
    <xf numFmtId="173" fontId="34" fillId="4" borderId="24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173" fontId="34" fillId="0" borderId="24" xfId="0" applyNumberFormat="1" applyFont="1" applyFill="1" applyBorder="1" applyAlignment="1">
      <alignment/>
    </xf>
    <xf numFmtId="173" fontId="34" fillId="4" borderId="11" xfId="0" applyNumberFormat="1" applyFont="1" applyFill="1" applyBorder="1" applyAlignment="1">
      <alignment/>
    </xf>
    <xf numFmtId="0" fontId="33" fillId="0" borderId="24" xfId="0" applyFont="1" applyBorder="1" applyAlignment="1">
      <alignment/>
    </xf>
    <xf numFmtId="173" fontId="34" fillId="4" borderId="18" xfId="0" applyNumberFormat="1" applyFont="1" applyFill="1" applyBorder="1" applyAlignment="1">
      <alignment/>
    </xf>
    <xf numFmtId="173" fontId="0" fillId="0" borderId="14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173" fontId="0" fillId="0" borderId="14" xfId="46" applyNumberFormat="1" applyFont="1" applyBorder="1" applyAlignment="1">
      <alignment/>
    </xf>
    <xf numFmtId="173" fontId="0" fillId="0" borderId="10" xfId="46" applyNumberFormat="1" applyFont="1" applyBorder="1" applyAlignment="1">
      <alignment/>
    </xf>
    <xf numFmtId="173" fontId="0" fillId="0" borderId="20" xfId="46" applyNumberFormat="1" applyFont="1" applyBorder="1" applyAlignment="1">
      <alignment/>
    </xf>
    <xf numFmtId="0" fontId="0" fillId="0" borderId="14" xfId="0" applyFont="1" applyBorder="1" applyAlignment="1">
      <alignment/>
    </xf>
    <xf numFmtId="173" fontId="0" fillId="0" borderId="14" xfId="0" applyNumberFormat="1" applyFill="1" applyBorder="1" applyAlignment="1">
      <alignment/>
    </xf>
    <xf numFmtId="10" fontId="0" fillId="0" borderId="14" xfId="68" applyNumberFormat="1" applyFont="1" applyBorder="1" applyAlignment="1">
      <alignment/>
    </xf>
    <xf numFmtId="10" fontId="0" fillId="0" borderId="10" xfId="68" applyNumberFormat="1" applyFont="1" applyBorder="1" applyAlignment="1">
      <alignment/>
    </xf>
    <xf numFmtId="10" fontId="0" fillId="0" borderId="14" xfId="68" applyNumberFormat="1" applyFont="1" applyFill="1" applyBorder="1" applyAlignment="1">
      <alignment/>
    </xf>
    <xf numFmtId="10" fontId="0" fillId="0" borderId="20" xfId="68" applyNumberFormat="1" applyFont="1" applyBorder="1" applyAlignment="1">
      <alignment/>
    </xf>
    <xf numFmtId="0" fontId="0" fillId="14" borderId="14" xfId="0" applyFont="1" applyFill="1" applyBorder="1" applyAlignment="1">
      <alignment/>
    </xf>
    <xf numFmtId="0" fontId="0" fillId="14" borderId="28" xfId="0" applyFill="1" applyBorder="1" applyAlignment="1">
      <alignment/>
    </xf>
    <xf numFmtId="173" fontId="0" fillId="14" borderId="14" xfId="0" applyNumberFormat="1" applyFill="1" applyBorder="1" applyAlignment="1">
      <alignment/>
    </xf>
    <xf numFmtId="173" fontId="0" fillId="14" borderId="10" xfId="0" applyNumberFormat="1" applyFill="1" applyBorder="1" applyAlignment="1">
      <alignment/>
    </xf>
    <xf numFmtId="173" fontId="0" fillId="14" borderId="20" xfId="0" applyNumberFormat="1" applyFill="1" applyBorder="1" applyAlignment="1">
      <alignment/>
    </xf>
    <xf numFmtId="173" fontId="0" fillId="0" borderId="28" xfId="46" applyNumberFormat="1" applyFont="1" applyBorder="1" applyAlignment="1">
      <alignment/>
    </xf>
    <xf numFmtId="184" fontId="0" fillId="0" borderId="14" xfId="42" applyNumberFormat="1" applyFont="1" applyBorder="1" applyAlignment="1">
      <alignment/>
    </xf>
    <xf numFmtId="184" fontId="0" fillId="0" borderId="10" xfId="42" applyNumberFormat="1" applyFont="1" applyBorder="1" applyAlignment="1">
      <alignment/>
    </xf>
    <xf numFmtId="184" fontId="0" fillId="0" borderId="20" xfId="42" applyNumberFormat="1" applyFont="1" applyBorder="1" applyAlignment="1">
      <alignment/>
    </xf>
    <xf numFmtId="184" fontId="0" fillId="0" borderId="14" xfId="0" applyNumberFormat="1" applyBorder="1" applyAlignment="1">
      <alignment/>
    </xf>
    <xf numFmtId="10" fontId="0" fillId="14" borderId="28" xfId="0" applyNumberFormat="1" applyFill="1" applyBorder="1" applyAlignment="1">
      <alignment/>
    </xf>
    <xf numFmtId="196" fontId="0" fillId="14" borderId="14" xfId="46" applyNumberFormat="1" applyFont="1" applyFill="1" applyBorder="1" applyAlignment="1">
      <alignment/>
    </xf>
    <xf numFmtId="170" fontId="0" fillId="14" borderId="10" xfId="46" applyFont="1" applyFill="1" applyBorder="1" applyAlignment="1">
      <alignment/>
    </xf>
    <xf numFmtId="196" fontId="0" fillId="14" borderId="10" xfId="46" applyNumberFormat="1" applyFont="1" applyFill="1" applyBorder="1" applyAlignment="1">
      <alignment/>
    </xf>
    <xf numFmtId="170" fontId="0" fillId="14" borderId="14" xfId="46" applyFont="1" applyFill="1" applyBorder="1" applyAlignment="1">
      <alignment/>
    </xf>
    <xf numFmtId="196" fontId="0" fillId="14" borderId="20" xfId="46" applyNumberFormat="1" applyFont="1" applyFill="1" applyBorder="1" applyAlignment="1">
      <alignment/>
    </xf>
    <xf numFmtId="196" fontId="0" fillId="25" borderId="14" xfId="46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25" borderId="18" xfId="46" applyNumberFormat="1" applyFont="1" applyFill="1" applyBorder="1" applyAlignment="1">
      <alignment/>
    </xf>
    <xf numFmtId="0" fontId="8" fillId="0" borderId="26" xfId="63" applyFill="1" applyBorder="1">
      <alignment/>
      <protection/>
    </xf>
    <xf numFmtId="0" fontId="8" fillId="0" borderId="28" xfId="63" applyFill="1" applyBorder="1" applyProtection="1">
      <alignment/>
      <protection/>
    </xf>
    <xf numFmtId="0" fontId="24" fillId="0" borderId="22" xfId="63" applyFont="1" applyFill="1" applyBorder="1" applyProtection="1">
      <alignment/>
      <protection/>
    </xf>
    <xf numFmtId="0" fontId="8" fillId="0" borderId="23" xfId="63" applyFill="1" applyBorder="1" applyProtection="1">
      <alignment/>
      <protection/>
    </xf>
    <xf numFmtId="0" fontId="8" fillId="0" borderId="23" xfId="63" applyFont="1" applyFill="1" applyBorder="1" applyProtection="1">
      <alignment/>
      <protection/>
    </xf>
    <xf numFmtId="0" fontId="24" fillId="0" borderId="23" xfId="63" applyFont="1" applyFill="1" applyBorder="1" applyProtection="1">
      <alignment/>
      <protection/>
    </xf>
    <xf numFmtId="0" fontId="8" fillId="0" borderId="23" xfId="64" applyFill="1" applyBorder="1" applyProtection="1">
      <alignment/>
      <protection/>
    </xf>
    <xf numFmtId="0" fontId="1" fillId="0" borderId="23" xfId="63" applyFont="1" applyFill="1" applyBorder="1" applyAlignment="1" applyProtection="1">
      <alignment horizontal="left"/>
      <protection/>
    </xf>
    <xf numFmtId="0" fontId="8" fillId="0" borderId="24" xfId="63" applyFill="1" applyBorder="1" applyProtection="1">
      <alignment/>
      <protection/>
    </xf>
    <xf numFmtId="0" fontId="8" fillId="0" borderId="22" xfId="63" applyFill="1" applyBorder="1" applyAlignment="1" applyProtection="1">
      <alignment horizontal="center"/>
      <protection/>
    </xf>
    <xf numFmtId="10" fontId="25" fillId="0" borderId="23" xfId="63" applyNumberFormat="1" applyFont="1" applyFill="1" applyBorder="1" applyAlignment="1" applyProtection="1">
      <alignment horizontal="center"/>
      <protection/>
    </xf>
    <xf numFmtId="170" fontId="8" fillId="4" borderId="23" xfId="46" applyFont="1" applyFill="1" applyBorder="1" applyAlignment="1" applyProtection="1">
      <alignment/>
      <protection/>
    </xf>
    <xf numFmtId="176" fontId="8" fillId="0" borderId="23" xfId="65" applyNumberFormat="1" applyFill="1" applyBorder="1">
      <alignment/>
      <protection/>
    </xf>
    <xf numFmtId="170" fontId="8" fillId="0" borderId="14" xfId="46" applyFont="1" applyFill="1" applyBorder="1" applyAlignment="1" applyProtection="1">
      <alignment/>
      <protection/>
    </xf>
    <xf numFmtId="0" fontId="8" fillId="0" borderId="23" xfId="63" applyFill="1" applyBorder="1" applyAlignment="1" applyProtection="1">
      <alignment horizontal="center"/>
      <protection/>
    </xf>
    <xf numFmtId="173" fontId="8" fillId="0" borderId="23" xfId="46" applyNumberFormat="1" applyFont="1" applyFill="1" applyBorder="1" applyAlignment="1" applyProtection="1">
      <alignment/>
      <protection/>
    </xf>
    <xf numFmtId="173" fontId="8" fillId="0" borderId="24" xfId="46" applyNumberFormat="1" applyFont="1" applyFill="1" applyBorder="1" applyAlignment="1" applyProtection="1">
      <alignment/>
      <protection/>
    </xf>
    <xf numFmtId="0" fontId="8" fillId="0" borderId="23" xfId="63" applyFill="1" applyBorder="1">
      <alignment/>
      <protection/>
    </xf>
    <xf numFmtId="176" fontId="8" fillId="0" borderId="23" xfId="68" applyNumberFormat="1" applyFont="1" applyFill="1" applyBorder="1" applyAlignment="1" applyProtection="1">
      <alignment/>
      <protection/>
    </xf>
    <xf numFmtId="0" fontId="8" fillId="26" borderId="14" xfId="63" applyFill="1" applyBorder="1" applyAlignment="1" applyProtection="1">
      <alignment horizontal="center"/>
      <protection/>
    </xf>
    <xf numFmtId="173" fontId="8" fillId="0" borderId="23" xfId="63" applyNumberFormat="1" applyFill="1" applyBorder="1">
      <alignment/>
      <protection/>
    </xf>
    <xf numFmtId="10" fontId="8" fillId="0" borderId="23" xfId="63" applyNumberFormat="1" applyFill="1" applyBorder="1" applyAlignment="1" applyProtection="1">
      <alignment horizontal="center"/>
      <protection/>
    </xf>
    <xf numFmtId="10" fontId="8" fillId="0" borderId="23" xfId="63" applyNumberFormat="1" applyFill="1" applyBorder="1">
      <alignment/>
      <protection/>
    </xf>
    <xf numFmtId="0" fontId="8" fillId="0" borderId="23" xfId="63" applyFill="1" applyBorder="1" applyAlignment="1" applyProtection="1">
      <alignment horizontal="center" wrapText="1"/>
      <protection/>
    </xf>
    <xf numFmtId="173" fontId="27" fillId="0" borderId="14" xfId="46" applyNumberFormat="1" applyFont="1" applyFill="1" applyBorder="1" applyAlignment="1" applyProtection="1">
      <alignment/>
      <protection/>
    </xf>
    <xf numFmtId="0" fontId="0" fillId="0" borderId="23" xfId="0" applyFont="1" applyFill="1" applyBorder="1" applyAlignment="1">
      <alignment/>
    </xf>
    <xf numFmtId="0" fontId="8" fillId="0" borderId="22" xfId="63" applyFill="1" applyBorder="1" applyProtection="1">
      <alignment/>
      <protection/>
    </xf>
    <xf numFmtId="0" fontId="8" fillId="0" borderId="14" xfId="63" applyFill="1" applyBorder="1" applyProtection="1">
      <alignment/>
      <protection/>
    </xf>
    <xf numFmtId="41" fontId="25" fillId="0" borderId="23" xfId="46" applyNumberFormat="1" applyFont="1" applyFill="1" applyBorder="1" applyAlignment="1" applyProtection="1">
      <alignment/>
      <protection/>
    </xf>
    <xf numFmtId="41" fontId="8" fillId="0" borderId="14" xfId="46" applyNumberFormat="1" applyFont="1" applyFill="1" applyBorder="1" applyAlignment="1" applyProtection="1">
      <alignment/>
      <protection/>
    </xf>
    <xf numFmtId="0" fontId="24" fillId="26" borderId="33" xfId="63" applyFont="1" applyFill="1" applyBorder="1" applyAlignment="1" applyProtection="1">
      <alignment horizontal="center"/>
      <protection/>
    </xf>
    <xf numFmtId="0" fontId="24" fillId="26" borderId="34" xfId="63" applyFont="1" applyFill="1" applyBorder="1" applyAlignment="1" applyProtection="1">
      <alignment horizontal="center"/>
      <protection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Input" xfId="58"/>
    <cellStyle name="Linked Cell" xfId="59"/>
    <cellStyle name="Neutral" xfId="60"/>
    <cellStyle name="Normal 2" xfId="61"/>
    <cellStyle name="Normal 3" xfId="62"/>
    <cellStyle name="Normal_Sheet2" xfId="63"/>
    <cellStyle name="Normal_Sheet3" xfId="64"/>
    <cellStyle name="Normal_Tax Rates for 2006-2012_Sep42008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erv1\finance\Admin\Ontario%20Energy%20Board\Rate%20Design\2013\Load%20Forecast\Load%20Forecasts%20from%20Bruce%20Bacon\Round%204%20CDM%20Final\Thunder%20Bay%20Hydro%202013%20Load%20Forecast%20August%2031,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LF consumed"/>
      <sheetName val="Summary LF billed"/>
      <sheetName val="Exibit 3 Tables"/>
      <sheetName val="Summary"/>
      <sheetName val="Stats Sum"/>
      <sheetName val="Purchased Power Model "/>
      <sheetName val="Residential"/>
      <sheetName val="GS &lt; 50 kW"/>
      <sheetName val="GS &gt; 50 kW"/>
      <sheetName val="GS &gt; 1000  kW"/>
      <sheetName val="Rate Class Energy Model"/>
      <sheetName val="Rate Class Customer Model"/>
      <sheetName val="Rate Class Load Model"/>
      <sheetName val="CDM Activity"/>
      <sheetName val="Weather Data"/>
      <sheetName val="Weather Analysis - Thunder Bay"/>
    </sheetNames>
    <sheetDataSet>
      <sheetData sheetId="3">
        <row r="53">
          <cell r="N53">
            <v>0.0025338513499268177</v>
          </cell>
        </row>
        <row r="58">
          <cell r="N58">
            <v>49905.21622376457</v>
          </cell>
          <cell r="O58">
            <v>50014.728259819756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83"/>
  <sheetViews>
    <sheetView showGridLines="0" tabSelected="1" zoomScalePageLayoutView="0" workbookViewId="0" topLeftCell="B1">
      <selection activeCell="B2" sqref="B2"/>
    </sheetView>
  </sheetViews>
  <sheetFormatPr defaultColWidth="8.88671875" defaultRowHeight="15"/>
  <cols>
    <col min="1" max="1" width="2.21484375" style="0" customWidth="1"/>
    <col min="2" max="2" width="40.99609375" style="0" bestFit="1" customWidth="1"/>
    <col min="3" max="3" width="9.99609375" style="0" bestFit="1" customWidth="1"/>
    <col min="4" max="4" width="9.99609375" style="72" bestFit="1" customWidth="1"/>
    <col min="5" max="5" width="9.5546875" style="0" bestFit="1" customWidth="1"/>
    <col min="6" max="6" width="9.5546875" style="72" bestFit="1" customWidth="1"/>
    <col min="7" max="7" width="9.5546875" style="0" bestFit="1" customWidth="1"/>
    <col min="8" max="8" width="10.99609375" style="72" bestFit="1" customWidth="1"/>
    <col min="9" max="9" width="10.88671875" style="72" bestFit="1" customWidth="1"/>
    <col min="10" max="10" width="9.5546875" style="0" bestFit="1" customWidth="1"/>
    <col min="11" max="11" width="10.99609375" style="72" bestFit="1" customWidth="1"/>
    <col min="12" max="12" width="9.5546875" style="0" bestFit="1" customWidth="1"/>
    <col min="13" max="13" width="10.99609375" style="0" bestFit="1" customWidth="1"/>
  </cols>
  <sheetData>
    <row r="5" spans="2:13" ht="15">
      <c r="B5" s="89" t="s">
        <v>79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2"/>
    </row>
    <row r="6" spans="2:13" ht="15" thickBot="1">
      <c r="B6" s="35"/>
      <c r="C6" s="194">
        <v>2012</v>
      </c>
      <c r="D6" s="195"/>
      <c r="E6" s="194">
        <v>2013</v>
      </c>
      <c r="F6" s="195"/>
      <c r="G6" s="194">
        <v>2014</v>
      </c>
      <c r="H6" s="195"/>
      <c r="I6" s="194">
        <v>2015</v>
      </c>
      <c r="J6" s="195"/>
      <c r="K6" s="194">
        <v>2016</v>
      </c>
      <c r="L6" s="195"/>
      <c r="M6" s="72"/>
    </row>
    <row r="7" spans="2:13" ht="15">
      <c r="B7" s="94" t="s">
        <v>45</v>
      </c>
      <c r="C7" s="96"/>
      <c r="D7" s="80">
        <f>'Avg Nt Fix Ass &amp;UCC'!D19+'Avg Nt Fix Ass &amp;UCC'!D36</f>
        <v>0</v>
      </c>
      <c r="E7" s="97"/>
      <c r="F7" s="80">
        <f>'Avg Nt Fix Ass &amp;UCC'!E19+'Avg Nt Fix Ass &amp;UCC'!E36</f>
        <v>185544.3375</v>
      </c>
      <c r="G7" s="97"/>
      <c r="H7" s="80">
        <f>'Avg Nt Fix Ass &amp;UCC'!F19+'Avg Nt Fix Ass &amp;UCC'!F36</f>
        <v>366391.35</v>
      </c>
      <c r="I7" s="98"/>
      <c r="J7" s="75">
        <f>'Avg Nt Fix Ass &amp;UCC'!G19+'Avg Nt Fix Ass &amp;UCC'!G36</f>
        <v>356996.7</v>
      </c>
      <c r="K7" s="98"/>
      <c r="L7" s="69">
        <f>'Avg Nt Fix Ass &amp;UCC'!H19+'Avg Nt Fix Ass &amp;UCC'!H36</f>
        <v>347602.05</v>
      </c>
      <c r="M7" s="72"/>
    </row>
    <row r="8" spans="2:13" ht="15">
      <c r="B8" s="35" t="s">
        <v>0</v>
      </c>
      <c r="C8" s="99">
        <f>D22</f>
        <v>0</v>
      </c>
      <c r="D8" s="35"/>
      <c r="E8" s="100">
        <f>F22</f>
        <v>0</v>
      </c>
      <c r="F8" s="35"/>
      <c r="G8" s="100">
        <f>H22</f>
        <v>0</v>
      </c>
      <c r="H8" s="35"/>
      <c r="I8" s="101">
        <f>J22</f>
        <v>0</v>
      </c>
      <c r="J8" s="102"/>
      <c r="K8" s="101">
        <f>L22</f>
        <v>0</v>
      </c>
      <c r="L8" s="103"/>
      <c r="M8" s="72"/>
    </row>
    <row r="9" spans="2:13" ht="15">
      <c r="B9" s="35" t="s">
        <v>1</v>
      </c>
      <c r="C9" s="104">
        <v>0.15</v>
      </c>
      <c r="D9" s="78">
        <f>C8*C9</f>
        <v>0</v>
      </c>
      <c r="E9" s="105">
        <v>0.13</v>
      </c>
      <c r="F9" s="78">
        <f>E8*E9</f>
        <v>0</v>
      </c>
      <c r="G9" s="105">
        <f>+E9</f>
        <v>0.13</v>
      </c>
      <c r="H9" s="78">
        <f>G8*G9</f>
        <v>0</v>
      </c>
      <c r="I9" s="106">
        <f>+G9</f>
        <v>0.13</v>
      </c>
      <c r="J9" s="1">
        <f>I8*I9</f>
        <v>0</v>
      </c>
      <c r="K9" s="106">
        <f>+I9</f>
        <v>0.13</v>
      </c>
      <c r="L9" s="65">
        <f>K8*K9</f>
        <v>0</v>
      </c>
      <c r="M9" s="72"/>
    </row>
    <row r="10" spans="2:13" ht="15">
      <c r="B10" s="35" t="s">
        <v>51</v>
      </c>
      <c r="C10" s="107"/>
      <c r="D10" s="78">
        <f>SUM(D7:D9)</f>
        <v>0</v>
      </c>
      <c r="E10" s="102"/>
      <c r="F10" s="78">
        <f>SUM(F7:F9)</f>
        <v>185544.3375</v>
      </c>
      <c r="G10" s="102"/>
      <c r="H10" s="78">
        <f>SUM(H7:H9)</f>
        <v>366391.35</v>
      </c>
      <c r="I10" s="35"/>
      <c r="J10" s="1">
        <f>SUM(J7:J9)</f>
        <v>356996.7</v>
      </c>
      <c r="K10" s="35"/>
      <c r="L10" s="65">
        <f>SUM(L7:L9)</f>
        <v>347602.05</v>
      </c>
      <c r="M10" s="72"/>
    </row>
    <row r="11" spans="2:13" ht="15">
      <c r="B11" s="72"/>
      <c r="C11" s="62"/>
      <c r="E11" s="50"/>
      <c r="G11" s="50"/>
      <c r="J11" s="50"/>
      <c r="L11" s="60"/>
      <c r="M11" s="72"/>
    </row>
    <row r="12" spans="2:13" ht="15">
      <c r="B12" s="72"/>
      <c r="C12" s="62"/>
      <c r="E12" s="50"/>
      <c r="G12" s="50"/>
      <c r="J12" s="50"/>
      <c r="L12" s="60"/>
      <c r="M12" s="72"/>
    </row>
    <row r="13" spans="2:13" ht="15">
      <c r="B13" s="94" t="s">
        <v>3</v>
      </c>
      <c r="C13" s="108">
        <v>0.04</v>
      </c>
      <c r="D13" s="76">
        <f>D10*C13</f>
        <v>0</v>
      </c>
      <c r="E13" s="97">
        <f>C13</f>
        <v>0.04</v>
      </c>
      <c r="F13" s="76">
        <f>F10*E13</f>
        <v>7421.7735</v>
      </c>
      <c r="G13" s="97">
        <f>E13</f>
        <v>0.04</v>
      </c>
      <c r="H13" s="76">
        <f>H10*G13</f>
        <v>14655.653999999999</v>
      </c>
      <c r="I13" s="98">
        <f>G13</f>
        <v>0.04</v>
      </c>
      <c r="J13" s="2">
        <f>J10*I13</f>
        <v>14279.868</v>
      </c>
      <c r="K13" s="98">
        <f>I13</f>
        <v>0.04</v>
      </c>
      <c r="L13" s="61">
        <f>L10*K13</f>
        <v>13904.082</v>
      </c>
      <c r="M13" s="72"/>
    </row>
    <row r="14" spans="2:13" ht="15">
      <c r="B14" s="35" t="s">
        <v>4</v>
      </c>
      <c r="C14" s="109">
        <v>0.56</v>
      </c>
      <c r="D14" s="78">
        <f>D10*C14</f>
        <v>0</v>
      </c>
      <c r="E14" s="110">
        <f>C14</f>
        <v>0.56</v>
      </c>
      <c r="F14" s="78">
        <f>F10*E14</f>
        <v>103904.82900000001</v>
      </c>
      <c r="G14" s="110">
        <f>E14</f>
        <v>0.56</v>
      </c>
      <c r="H14" s="78">
        <f>H10*G14</f>
        <v>205179.15600000002</v>
      </c>
      <c r="I14" s="111">
        <f>G14</f>
        <v>0.56</v>
      </c>
      <c r="J14" s="1">
        <f>J10*I14</f>
        <v>199918.15200000003</v>
      </c>
      <c r="K14" s="111">
        <f>I14</f>
        <v>0.56</v>
      </c>
      <c r="L14" s="65">
        <f>L10*K14</f>
        <v>194657.14800000002</v>
      </c>
      <c r="M14" s="72"/>
    </row>
    <row r="15" spans="2:13" ht="15">
      <c r="B15" s="35" t="s">
        <v>2</v>
      </c>
      <c r="C15" s="109">
        <v>0.4</v>
      </c>
      <c r="D15" s="78">
        <f>D10*C15</f>
        <v>0</v>
      </c>
      <c r="E15" s="110">
        <f>C15</f>
        <v>0.4</v>
      </c>
      <c r="F15" s="78">
        <f>F10*E15</f>
        <v>74217.735</v>
      </c>
      <c r="G15" s="110">
        <f>E15</f>
        <v>0.4</v>
      </c>
      <c r="H15" s="78">
        <f>H10*G15</f>
        <v>146556.54</v>
      </c>
      <c r="I15" s="111">
        <f>G15</f>
        <v>0.4</v>
      </c>
      <c r="J15" s="1">
        <f>J10*I15</f>
        <v>142798.68000000002</v>
      </c>
      <c r="K15" s="111">
        <f>I15</f>
        <v>0.4</v>
      </c>
      <c r="L15" s="65">
        <f>L10*K15</f>
        <v>139040.82</v>
      </c>
      <c r="M15" s="72"/>
    </row>
    <row r="16" spans="2:13" ht="15">
      <c r="B16" s="72"/>
      <c r="C16" s="62"/>
      <c r="D16" s="77"/>
      <c r="E16" s="50"/>
      <c r="F16" s="77"/>
      <c r="G16" s="50"/>
      <c r="H16" s="77"/>
      <c r="J16" s="55"/>
      <c r="L16" s="64"/>
      <c r="M16" s="72"/>
    </row>
    <row r="17" spans="2:13" ht="15">
      <c r="B17" s="94" t="s">
        <v>5</v>
      </c>
      <c r="C17" s="112">
        <v>0.0133</v>
      </c>
      <c r="D17" s="76">
        <f>D13*C17</f>
        <v>0</v>
      </c>
      <c r="E17" s="113">
        <v>0.0208</v>
      </c>
      <c r="F17" s="76">
        <f>F13*E17</f>
        <v>154.3728888</v>
      </c>
      <c r="G17" s="114">
        <f>E17</f>
        <v>0.0208</v>
      </c>
      <c r="H17" s="76">
        <f>H13*G17</f>
        <v>304.83760319999993</v>
      </c>
      <c r="I17" s="115">
        <f>G17</f>
        <v>0.0208</v>
      </c>
      <c r="J17" s="2">
        <f>J13*I17</f>
        <v>297.0212544</v>
      </c>
      <c r="K17" s="115">
        <f>I17</f>
        <v>0.0208</v>
      </c>
      <c r="L17" s="61">
        <f>L13*K17</f>
        <v>289.2049056</v>
      </c>
      <c r="M17" s="72"/>
    </row>
    <row r="18" spans="2:13" ht="15">
      <c r="B18" s="35" t="s">
        <v>6</v>
      </c>
      <c r="C18" s="116">
        <v>0.006</v>
      </c>
      <c r="D18" s="78">
        <f>D14*C18</f>
        <v>0</v>
      </c>
      <c r="E18" s="117">
        <v>0.0189</v>
      </c>
      <c r="F18" s="78">
        <f>F14*E18</f>
        <v>1963.8012681000002</v>
      </c>
      <c r="G18" s="118">
        <f>E18</f>
        <v>0.0189</v>
      </c>
      <c r="H18" s="78">
        <f>H14*G18</f>
        <v>3877.8860484</v>
      </c>
      <c r="I18" s="119">
        <f>G18</f>
        <v>0.0189</v>
      </c>
      <c r="J18" s="1">
        <f>J14*I18</f>
        <v>3778.4530728000004</v>
      </c>
      <c r="K18" s="119">
        <f>I18</f>
        <v>0.0189</v>
      </c>
      <c r="L18" s="65">
        <f>L14*K18</f>
        <v>3679.0200972000002</v>
      </c>
      <c r="M18" s="72"/>
    </row>
    <row r="19" spans="2:13" ht="15">
      <c r="B19" s="35" t="s">
        <v>7</v>
      </c>
      <c r="C19" s="116">
        <v>0.0375</v>
      </c>
      <c r="D19" s="78">
        <f>D15*C19</f>
        <v>0</v>
      </c>
      <c r="E19" s="117">
        <v>0.07</v>
      </c>
      <c r="F19" s="78">
        <f>F15*E19</f>
        <v>5195.24145</v>
      </c>
      <c r="G19" s="118">
        <f>E19</f>
        <v>0.07</v>
      </c>
      <c r="H19" s="78">
        <f>H15*G19</f>
        <v>10258.957800000002</v>
      </c>
      <c r="I19" s="119">
        <f>G19</f>
        <v>0.07</v>
      </c>
      <c r="J19" s="1">
        <f>J15*I19</f>
        <v>9995.907600000002</v>
      </c>
      <c r="K19" s="119">
        <f>I19</f>
        <v>0.07</v>
      </c>
      <c r="L19" s="65">
        <f>L15*K19</f>
        <v>9732.8574</v>
      </c>
      <c r="M19" s="72"/>
    </row>
    <row r="20" spans="2:13" ht="15" thickBot="1">
      <c r="B20" s="120"/>
      <c r="C20" s="121"/>
      <c r="D20" s="122">
        <f>SUM(D17:D19)</f>
        <v>0</v>
      </c>
      <c r="E20" s="123"/>
      <c r="F20" s="122">
        <f>SUM(F17:F19)</f>
        <v>7313.4156069</v>
      </c>
      <c r="G20" s="123"/>
      <c r="H20" s="122">
        <f>SUM(H17:H19)</f>
        <v>14441.681451600001</v>
      </c>
      <c r="I20" s="120"/>
      <c r="J20" s="124">
        <f>SUM(J17:J19)</f>
        <v>14071.381927200004</v>
      </c>
      <c r="K20" s="120"/>
      <c r="L20" s="125">
        <f>SUM(L17:L19)</f>
        <v>13701.0824028</v>
      </c>
      <c r="M20" s="72"/>
    </row>
    <row r="21" spans="2:13" ht="15" thickTop="1">
      <c r="B21" s="72"/>
      <c r="C21" s="62"/>
      <c r="E21" s="50"/>
      <c r="G21" s="50"/>
      <c r="J21" s="50"/>
      <c r="L21" s="60"/>
      <c r="M21" s="72"/>
    </row>
    <row r="22" spans="2:13" ht="15">
      <c r="B22" s="94" t="s">
        <v>0</v>
      </c>
      <c r="C22" s="68"/>
      <c r="D22" s="126"/>
      <c r="E22" s="127"/>
      <c r="F22" s="126"/>
      <c r="G22" s="127"/>
      <c r="H22" s="126"/>
      <c r="I22" s="128"/>
      <c r="J22" s="129"/>
      <c r="K22" s="130"/>
      <c r="L22" s="131"/>
      <c r="M22" s="72"/>
    </row>
    <row r="23" spans="2:13" ht="15">
      <c r="B23" s="35" t="s">
        <v>10</v>
      </c>
      <c r="C23" s="107"/>
      <c r="D23" s="132">
        <f>SUM('Avg Nt Fix Ass &amp;UCC'!D13:D14)+SUM('Avg Nt Fix Ass &amp;UCC'!D30:D31)</f>
        <v>0</v>
      </c>
      <c r="E23" s="102"/>
      <c r="F23" s="132">
        <f>SUM('Avg Nt Fix Ass &amp;UCC'!E13:E14)+SUM('Avg Nt Fix Ass &amp;UCC'!E30:E31)</f>
        <v>4697.325</v>
      </c>
      <c r="G23" s="102"/>
      <c r="H23" s="132">
        <f>SUM('Avg Nt Fix Ass &amp;UCC'!F13:F14)+SUM('Avg Nt Fix Ass &amp;UCC'!F30:F31)</f>
        <v>9394.65</v>
      </c>
      <c r="I23" s="35"/>
      <c r="J23" s="133">
        <f>SUM('Avg Nt Fix Ass &amp;UCC'!G13:G14)+SUM('Avg Nt Fix Ass &amp;UCC'!G30:G31)</f>
        <v>9394.65</v>
      </c>
      <c r="K23" s="35"/>
      <c r="L23" s="134">
        <f>SUM('Avg Nt Fix Ass &amp;UCC'!H13:H14)+SUM('Avg Nt Fix Ass &amp;UCC'!H30:H31)</f>
        <v>9394.65</v>
      </c>
      <c r="M23" s="72"/>
    </row>
    <row r="24" spans="2:13" ht="15">
      <c r="B24" s="35" t="s">
        <v>8</v>
      </c>
      <c r="C24" s="107"/>
      <c r="D24" s="135">
        <f>PILs!C36</f>
        <v>0</v>
      </c>
      <c r="E24" s="102"/>
      <c r="F24" s="135">
        <f>PILs!D36</f>
        <v>813.5514694630872</v>
      </c>
      <c r="G24" s="102"/>
      <c r="H24" s="135">
        <f>PILs!E36</f>
        <v>1640.9322</v>
      </c>
      <c r="I24" s="35"/>
      <c r="J24" s="136">
        <f>PILs!F36</f>
        <v>1749.6596159999997</v>
      </c>
      <c r="K24" s="35"/>
      <c r="L24" s="137">
        <f>PILs!G36</f>
        <v>1850.5305993600002</v>
      </c>
      <c r="M24" s="72"/>
    </row>
    <row r="25" spans="2:13" ht="15">
      <c r="B25" s="72"/>
      <c r="C25" s="62"/>
      <c r="E25" s="50"/>
      <c r="G25" s="50"/>
      <c r="J25" s="50"/>
      <c r="L25" s="60"/>
      <c r="M25" s="72"/>
    </row>
    <row r="26" spans="2:13" ht="15">
      <c r="B26" s="94" t="s">
        <v>9</v>
      </c>
      <c r="C26" s="68"/>
      <c r="D26" s="78">
        <f>SUM(D20:D24)</f>
        <v>0</v>
      </c>
      <c r="E26" s="95"/>
      <c r="F26" s="78">
        <f>SUM(F20:F24)</f>
        <v>12824.292076363086</v>
      </c>
      <c r="G26" s="95"/>
      <c r="H26" s="78">
        <f>SUM(H20:H24)</f>
        <v>25477.263651600002</v>
      </c>
      <c r="I26" s="94"/>
      <c r="J26" s="1">
        <f>SUM(J20:J24)</f>
        <v>25215.691543200006</v>
      </c>
      <c r="K26" s="94"/>
      <c r="L26" s="65">
        <f>SUM(L20:L24)</f>
        <v>24946.26300216</v>
      </c>
      <c r="M26" s="78">
        <f>SUM(D26:L26)</f>
        <v>88463.5102733231</v>
      </c>
    </row>
    <row r="27" spans="2:13" ht="15">
      <c r="B27" s="72"/>
      <c r="C27" s="62"/>
      <c r="E27" s="50"/>
      <c r="G27" s="50"/>
      <c r="J27" s="50"/>
      <c r="L27" s="60"/>
      <c r="M27" s="72"/>
    </row>
    <row r="28" spans="2:13" ht="15">
      <c r="B28" s="138" t="s">
        <v>57</v>
      </c>
      <c r="C28" s="107"/>
      <c r="D28" s="78"/>
      <c r="E28" s="1"/>
      <c r="F28" s="78"/>
      <c r="G28" s="1"/>
      <c r="H28" s="78"/>
      <c r="I28" s="35"/>
      <c r="J28" s="102"/>
      <c r="K28" s="138"/>
      <c r="L28" s="103"/>
      <c r="M28" s="72"/>
    </row>
    <row r="29" spans="2:13" ht="15">
      <c r="B29" s="138" t="s">
        <v>0</v>
      </c>
      <c r="C29" s="107"/>
      <c r="D29" s="78">
        <f>+D22</f>
        <v>0</v>
      </c>
      <c r="E29" s="1"/>
      <c r="F29" s="78">
        <f>+F22</f>
        <v>0</v>
      </c>
      <c r="G29" s="1"/>
      <c r="H29" s="78">
        <f>+H22</f>
        <v>0</v>
      </c>
      <c r="I29" s="139"/>
      <c r="J29" s="1">
        <f>+J22</f>
        <v>0</v>
      </c>
      <c r="K29" s="78"/>
      <c r="L29" s="65">
        <f>+L22</f>
        <v>0</v>
      </c>
      <c r="M29" s="72"/>
    </row>
    <row r="30" spans="2:13" ht="15">
      <c r="B30" s="138" t="s">
        <v>58</v>
      </c>
      <c r="C30" s="107"/>
      <c r="D30" s="78">
        <f>+D26-D29</f>
        <v>0</v>
      </c>
      <c r="E30" s="102"/>
      <c r="F30" s="78">
        <f>+F26-F29</f>
        <v>12824.292076363086</v>
      </c>
      <c r="G30" s="102"/>
      <c r="H30" s="78">
        <f>+H26-H29</f>
        <v>25477.263651600002</v>
      </c>
      <c r="I30" s="139"/>
      <c r="J30" s="1">
        <f>+J26-J29</f>
        <v>25215.691543200006</v>
      </c>
      <c r="K30" s="78"/>
      <c r="L30" s="65">
        <f>+L26-L29</f>
        <v>24946.26300216</v>
      </c>
      <c r="M30" s="72"/>
    </row>
    <row r="31" spans="2:13" ht="15">
      <c r="B31" s="138" t="s">
        <v>59</v>
      </c>
      <c r="C31" s="107"/>
      <c r="D31" s="140">
        <v>0</v>
      </c>
      <c r="E31" s="141"/>
      <c r="F31" s="140">
        <f>+'Weighted Avg Direct Benefit'!D65</f>
        <v>0.06</v>
      </c>
      <c r="G31" s="141"/>
      <c r="H31" s="140">
        <f>+'Weighted Avg Direct Benefit'!E65</f>
        <v>0.05999999999999999</v>
      </c>
      <c r="I31" s="142"/>
      <c r="J31" s="141">
        <f>+'Weighted Avg Direct Benefit'!F65</f>
        <v>0.06</v>
      </c>
      <c r="K31" s="140"/>
      <c r="L31" s="143">
        <f>+'Weighted Avg Direct Benefit'!G65</f>
        <v>0.06</v>
      </c>
      <c r="M31" s="72"/>
    </row>
    <row r="32" spans="2:13" ht="15">
      <c r="B32" s="138" t="s">
        <v>60</v>
      </c>
      <c r="C32" s="107"/>
      <c r="D32" s="78">
        <f>+D31*D30</f>
        <v>0</v>
      </c>
      <c r="E32" s="1"/>
      <c r="F32" s="78">
        <f>+F31*F30</f>
        <v>769.4575245817852</v>
      </c>
      <c r="G32" s="1"/>
      <c r="H32" s="78">
        <f>+H31*H30</f>
        <v>1528.635819096</v>
      </c>
      <c r="I32" s="139"/>
      <c r="J32" s="1">
        <f>+J31*J30</f>
        <v>1512.9414925920003</v>
      </c>
      <c r="K32" s="78"/>
      <c r="L32" s="65">
        <f>+L31*L30</f>
        <v>1496.7757801296</v>
      </c>
      <c r="M32" s="72"/>
    </row>
    <row r="33" spans="2:13" ht="15">
      <c r="B33" s="144" t="s">
        <v>61</v>
      </c>
      <c r="C33" s="145"/>
      <c r="D33" s="146">
        <f>+D32+D29</f>
        <v>0</v>
      </c>
      <c r="E33" s="147"/>
      <c r="F33" s="146">
        <f>+F32+F29</f>
        <v>769.4575245817852</v>
      </c>
      <c r="G33" s="147"/>
      <c r="H33" s="146">
        <f>+H32+H29</f>
        <v>1528.635819096</v>
      </c>
      <c r="I33" s="146"/>
      <c r="J33" s="147">
        <f>+J32+J29</f>
        <v>1512.9414925920003</v>
      </c>
      <c r="K33" s="146"/>
      <c r="L33" s="148">
        <f>+L32+L29</f>
        <v>1496.7757801296</v>
      </c>
      <c r="M33" s="78">
        <f>SUM(D33:L33)</f>
        <v>5307.810616399385</v>
      </c>
    </row>
    <row r="34" spans="2:13" ht="15">
      <c r="B34" s="88"/>
      <c r="C34" s="62"/>
      <c r="D34" s="73"/>
      <c r="E34" s="50"/>
      <c r="F34" s="73"/>
      <c r="G34" s="50"/>
      <c r="H34" s="73"/>
      <c r="J34" s="74"/>
      <c r="K34" s="73"/>
      <c r="L34" s="63"/>
      <c r="M34" s="72"/>
    </row>
    <row r="35" spans="2:13" ht="15">
      <c r="B35" s="35" t="s">
        <v>54</v>
      </c>
      <c r="C35" s="149"/>
      <c r="D35" s="150">
        <f>'[1]Summary'!$N$58</f>
        <v>49905.21622376457</v>
      </c>
      <c r="E35" s="102"/>
      <c r="F35" s="150">
        <f>'[1]Summary'!$O$58</f>
        <v>50014.728259819756</v>
      </c>
      <c r="G35" s="102"/>
      <c r="H35" s="150">
        <f>+F35*(1+'[1]Summary'!$N$53)</f>
        <v>50141.45814653713</v>
      </c>
      <c r="I35" s="35"/>
      <c r="J35" s="151">
        <f>+H35*(1+'[1]Summary'!$N$53)</f>
        <v>50268.50914794904</v>
      </c>
      <c r="K35" s="150"/>
      <c r="L35" s="152">
        <f>+J35*(1+'[1]Summary'!$N$53)</f>
        <v>50395.88207771238</v>
      </c>
      <c r="M35" s="153">
        <f>AVERAGE(D35:L35)</f>
        <v>50145.15877115658</v>
      </c>
    </row>
    <row r="36" spans="2:13" ht="15">
      <c r="B36" s="72"/>
      <c r="C36" s="67"/>
      <c r="D36" s="79"/>
      <c r="E36" s="50"/>
      <c r="G36" s="50"/>
      <c r="J36" s="50"/>
      <c r="L36" s="60"/>
      <c r="M36" s="72"/>
    </row>
    <row r="37" spans="2:14" ht="15">
      <c r="B37" s="144" t="s">
        <v>67</v>
      </c>
      <c r="C37" s="154"/>
      <c r="D37" s="155">
        <f>+D33/D35/12</f>
        <v>0</v>
      </c>
      <c r="E37" s="156"/>
      <c r="F37" s="155">
        <f>+F33/F35/12</f>
        <v>0.001282051559866788</v>
      </c>
      <c r="G37" s="157"/>
      <c r="H37" s="155">
        <f>+H33/H35/12</f>
        <v>0.00254053876705613</v>
      </c>
      <c r="I37" s="158"/>
      <c r="J37" s="157">
        <f>+J33/J35/12</f>
        <v>0.0025081001973806106</v>
      </c>
      <c r="K37" s="155"/>
      <c r="L37" s="159">
        <f>+L33/L35/12</f>
        <v>0.002475029900626792</v>
      </c>
      <c r="M37" s="160">
        <f>+M33/M35/(12*4)</f>
        <v>0.0022051857158593533</v>
      </c>
      <c r="N37" s="22" t="s">
        <v>77</v>
      </c>
    </row>
    <row r="38" spans="2:13" ht="15">
      <c r="B38" s="72"/>
      <c r="C38" s="66"/>
      <c r="D38" s="77"/>
      <c r="E38" s="50"/>
      <c r="F38" s="82"/>
      <c r="G38" s="81"/>
      <c r="H38" s="82"/>
      <c r="I38" s="85"/>
      <c r="J38" s="81"/>
      <c r="K38" s="82"/>
      <c r="L38" s="70"/>
      <c r="M38" s="72"/>
    </row>
    <row r="39" spans="2:14" ht="15">
      <c r="B39" s="35" t="s">
        <v>53</v>
      </c>
      <c r="C39" s="107"/>
      <c r="D39" s="78">
        <f>+D26-D33</f>
        <v>0</v>
      </c>
      <c r="E39" s="102"/>
      <c r="F39" s="78">
        <f>+F26-F33</f>
        <v>12054.834551781301</v>
      </c>
      <c r="G39" s="102"/>
      <c r="H39" s="78">
        <f>+H26-H33</f>
        <v>23948.627832504004</v>
      </c>
      <c r="I39" s="139"/>
      <c r="J39" s="1">
        <f>+J26-J33</f>
        <v>23702.750050608007</v>
      </c>
      <c r="K39" s="78"/>
      <c r="L39" s="65">
        <f>+L26-L33</f>
        <v>23449.487222030402</v>
      </c>
      <c r="M39" s="78">
        <f>SUM(D39:L39)</f>
        <v>83155.69965692371</v>
      </c>
      <c r="N39" t="s">
        <v>76</v>
      </c>
    </row>
    <row r="40" spans="2:13" ht="11.25" customHeight="1">
      <c r="B40" s="161"/>
      <c r="C40" s="71"/>
      <c r="D40" s="71"/>
      <c r="E40" s="71"/>
      <c r="F40" s="71"/>
      <c r="G40" s="71"/>
      <c r="H40" s="71"/>
      <c r="I40" s="91"/>
      <c r="J40" s="71"/>
      <c r="K40" s="71"/>
      <c r="L40" s="71"/>
      <c r="M40" s="162"/>
    </row>
    <row r="41" spans="2:14" ht="19.5" customHeight="1">
      <c r="B41" s="93" t="s">
        <v>68</v>
      </c>
      <c r="C41" s="94"/>
      <c r="D41" s="80">
        <f>+D39/12</f>
        <v>0</v>
      </c>
      <c r="E41" s="80"/>
      <c r="F41" s="80">
        <f>+F39/12</f>
        <v>1004.5695459817751</v>
      </c>
      <c r="G41" s="80"/>
      <c r="H41" s="80">
        <f>+H39/12</f>
        <v>1995.7189860420003</v>
      </c>
      <c r="I41" s="87"/>
      <c r="J41" s="80">
        <f>+J39/12</f>
        <v>1975.2291708840005</v>
      </c>
      <c r="K41" s="80"/>
      <c r="L41" s="80">
        <f>+L39/12</f>
        <v>1954.1239351692002</v>
      </c>
      <c r="M41" s="163">
        <f>M39/(12*4)</f>
        <v>1732.410409519244</v>
      </c>
      <c r="N41" s="22" t="s">
        <v>78</v>
      </c>
    </row>
    <row r="42" spans="2:13" ht="15">
      <c r="B42" s="50"/>
      <c r="C42" s="50"/>
      <c r="D42" s="50"/>
      <c r="E42" s="50"/>
      <c r="F42" s="50"/>
      <c r="G42" s="50"/>
      <c r="H42" s="50"/>
      <c r="I42" s="83"/>
      <c r="J42" s="50"/>
      <c r="K42" s="50"/>
      <c r="L42" s="50"/>
      <c r="M42" s="50"/>
    </row>
    <row r="43" spans="2:13" ht="1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2:13" ht="1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2:13" ht="1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2:13" ht="1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2:13" ht="1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 ht="1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 ht="1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 ht="1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 ht="1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3" ht="15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 ht="1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 ht="1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ht="1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 ht="1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 ht="1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1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1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2:13" ht="1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2:13" ht="1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ht="1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2:13" ht="1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2:13" ht="1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13" ht="15"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2:13" ht="15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spans="2:13" ht="15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2:13" ht="15"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2:13" ht="15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2:13" ht="15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2:13" ht="15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2:13" ht="15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  <row r="76" spans="2:13" ht="1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2:13" ht="15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2:13" ht="15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5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2:13" ht="15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2:13" ht="15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2:13" ht="15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2:13" ht="15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</sheetData>
  <sheetProtection/>
  <mergeCells count="5">
    <mergeCell ref="K6:L6"/>
    <mergeCell ref="G6:H6"/>
    <mergeCell ref="C6:D6"/>
    <mergeCell ref="E6:F6"/>
    <mergeCell ref="I6:J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5" r:id="rId1"/>
  <headerFooter alignWithMargins="0">
    <oddFooter>&amp;L
&amp;Z&amp;F&amp;CPage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6"/>
  <sheetViews>
    <sheetView showGridLines="0" zoomScalePageLayoutView="0" workbookViewId="0" topLeftCell="B1">
      <selection activeCell="F23" sqref="F23"/>
    </sheetView>
  </sheetViews>
  <sheetFormatPr defaultColWidth="8.77734375" defaultRowHeight="15"/>
  <cols>
    <col min="1" max="1" width="8.88671875" style="3" customWidth="1"/>
    <col min="2" max="2" width="25.4453125" style="3" bestFit="1" customWidth="1"/>
    <col min="3" max="7" width="15.77734375" style="3" customWidth="1"/>
    <col min="8" max="16384" width="8.77734375" style="3" customWidth="1"/>
  </cols>
  <sheetData>
    <row r="4" spans="1:5" ht="24">
      <c r="A4" s="4"/>
      <c r="B4" s="5" t="s">
        <v>11</v>
      </c>
      <c r="C4" s="4"/>
      <c r="D4" s="6"/>
      <c r="E4" s="6"/>
    </row>
    <row r="5" spans="1:5" ht="15">
      <c r="A5" s="4"/>
      <c r="B5" s="4"/>
      <c r="C5" s="4"/>
      <c r="D5" s="6"/>
      <c r="E5" s="6"/>
    </row>
    <row r="6" spans="1:7" ht="15">
      <c r="A6" s="4"/>
      <c r="B6" s="196" t="s">
        <v>80</v>
      </c>
      <c r="C6" s="197"/>
      <c r="D6" s="164"/>
      <c r="E6" s="164"/>
      <c r="F6" s="90"/>
      <c r="G6" s="92"/>
    </row>
    <row r="7" spans="1:7" ht="15">
      <c r="A7" s="4"/>
      <c r="B7" s="165"/>
      <c r="C7" s="183">
        <v>2012</v>
      </c>
      <c r="D7" s="183">
        <v>2013</v>
      </c>
      <c r="E7" s="183">
        <v>2014</v>
      </c>
      <c r="F7" s="183">
        <v>2015</v>
      </c>
      <c r="G7" s="183">
        <v>2016</v>
      </c>
    </row>
    <row r="8" spans="1:7" ht="15">
      <c r="A8" s="4"/>
      <c r="B8" s="166" t="s">
        <v>12</v>
      </c>
      <c r="C8" s="173"/>
      <c r="D8" s="178"/>
      <c r="E8" s="178"/>
      <c r="F8" s="86"/>
      <c r="G8" s="86"/>
    </row>
    <row r="9" spans="1:7" ht="15">
      <c r="A9" s="4"/>
      <c r="B9" s="167" t="s">
        <v>13</v>
      </c>
      <c r="C9" s="192">
        <f>'Revenue Requirement'!D19</f>
        <v>0</v>
      </c>
      <c r="D9" s="192">
        <f>'Revenue Requirement'!F19</f>
        <v>5195.24145</v>
      </c>
      <c r="E9" s="192">
        <f>'Revenue Requirement'!H19</f>
        <v>10258.957800000002</v>
      </c>
      <c r="F9" s="192">
        <f>'Revenue Requirement'!J19</f>
        <v>9995.907600000002</v>
      </c>
      <c r="G9" s="192">
        <f>'Revenue Requirement'!L19</f>
        <v>9732.8574</v>
      </c>
    </row>
    <row r="10" spans="1:7" ht="15">
      <c r="A10" s="4"/>
      <c r="B10" s="167" t="s">
        <v>44</v>
      </c>
      <c r="C10" s="192">
        <f>'Revenue Requirement'!D23</f>
        <v>0</v>
      </c>
      <c r="D10" s="192">
        <f>'Revenue Requirement'!F23</f>
        <v>4697.325</v>
      </c>
      <c r="E10" s="192">
        <f>'Revenue Requirement'!H23</f>
        <v>9394.65</v>
      </c>
      <c r="F10" s="192">
        <f>'Revenue Requirement'!J23</f>
        <v>9394.65</v>
      </c>
      <c r="G10" s="192">
        <f>'Revenue Requirement'!L23</f>
        <v>9394.65</v>
      </c>
    </row>
    <row r="11" spans="1:7" ht="15">
      <c r="A11" s="4"/>
      <c r="B11" s="168" t="s">
        <v>40</v>
      </c>
      <c r="C11" s="192">
        <f>-'Avg Nt Fix Ass &amp;UCC'!D57-'Avg Nt Fix Ass &amp;UCC'!D74</f>
        <v>0</v>
      </c>
      <c r="D11" s="192">
        <f>-'Avg Nt Fix Ass &amp;UCC'!E57-'Avg Nt Fix Ass &amp;UCC'!E74</f>
        <v>-7515.72</v>
      </c>
      <c r="E11" s="192">
        <f>-'Avg Nt Fix Ass &amp;UCC'!F57-'Avg Nt Fix Ass &amp;UCC'!F74</f>
        <v>-14730.811200000002</v>
      </c>
      <c r="F11" s="192">
        <f>-'Avg Nt Fix Ass &amp;UCC'!G57-'Avg Nt Fix Ass &amp;UCC'!G74</f>
        <v>-14141.578752000001</v>
      </c>
      <c r="G11" s="192">
        <f>-'Avg Nt Fix Ass &amp;UCC'!H57-'Avg Nt Fix Ass &amp;UCC'!H74</f>
        <v>-13575.915601920002</v>
      </c>
    </row>
    <row r="12" spans="1:7" ht="15">
      <c r="A12" s="4"/>
      <c r="B12" s="167" t="s">
        <v>14</v>
      </c>
      <c r="C12" s="193">
        <f>SUM(C9:C11)</f>
        <v>0</v>
      </c>
      <c r="D12" s="193">
        <f>SUM(D9:D11)</f>
        <v>2376.84645</v>
      </c>
      <c r="E12" s="193">
        <f>SUM(E9:E11)</f>
        <v>4922.7966</v>
      </c>
      <c r="F12" s="193">
        <f>SUM(F9:F11)</f>
        <v>5248.978847999999</v>
      </c>
      <c r="G12" s="193">
        <f>SUM(G9:G11)</f>
        <v>5551.59179808</v>
      </c>
    </row>
    <row r="13" spans="1:7" ht="15">
      <c r="A13" s="4"/>
      <c r="B13" s="168" t="s">
        <v>50</v>
      </c>
      <c r="C13" s="174">
        <v>0.2625</v>
      </c>
      <c r="D13" s="174">
        <v>0.255</v>
      </c>
      <c r="E13" s="174">
        <v>0.25</v>
      </c>
      <c r="F13" s="174">
        <v>0.25</v>
      </c>
      <c r="G13" s="174">
        <v>0.25</v>
      </c>
    </row>
    <row r="14" spans="1:7" ht="15">
      <c r="A14" s="4"/>
      <c r="B14" s="167" t="s">
        <v>15</v>
      </c>
      <c r="C14" s="34">
        <f>C12*C13</f>
        <v>0</v>
      </c>
      <c r="D14" s="34">
        <f>D12*D13</f>
        <v>606.09584475</v>
      </c>
      <c r="E14" s="34">
        <f>E12*E13</f>
        <v>1230.69915</v>
      </c>
      <c r="F14" s="34">
        <f>F12*F13</f>
        <v>1312.2447119999997</v>
      </c>
      <c r="G14" s="34">
        <f>G12*G13</f>
        <v>1387.89794952</v>
      </c>
    </row>
    <row r="15" spans="1:7" ht="15">
      <c r="A15" s="4"/>
      <c r="B15" s="167"/>
      <c r="C15" s="167"/>
      <c r="D15" s="167"/>
      <c r="E15" s="181"/>
      <c r="F15" s="181"/>
      <c r="G15" s="181"/>
    </row>
    <row r="16" spans="1:7" ht="15">
      <c r="A16" s="4"/>
      <c r="B16" s="169" t="s">
        <v>16</v>
      </c>
      <c r="C16" s="192"/>
      <c r="D16" s="192"/>
      <c r="E16" s="192"/>
      <c r="F16" s="192"/>
      <c r="G16" s="192"/>
    </row>
    <row r="17" spans="1:7" ht="15">
      <c r="A17" s="4"/>
      <c r="B17" s="170" t="s">
        <v>32</v>
      </c>
      <c r="C17" s="192">
        <f>'Avg Nt Fix Ass &amp;UCC'!D18+'Avg Nt Fix Ass &amp;UCC'!D35</f>
        <v>0</v>
      </c>
      <c r="D17" s="192">
        <f>'Avg Nt Fix Ass &amp;UCC'!E18+'Avg Nt Fix Ass &amp;UCC'!E35</f>
        <v>371088.675</v>
      </c>
      <c r="E17" s="192">
        <f>'Avg Nt Fix Ass &amp;UCC'!F18+'Avg Nt Fix Ass &amp;UCC'!F35</f>
        <v>361694.025</v>
      </c>
      <c r="F17" s="192">
        <f>'Avg Nt Fix Ass &amp;UCC'!G18+'Avg Nt Fix Ass &amp;UCC'!G35</f>
        <v>352299.375</v>
      </c>
      <c r="G17" s="192">
        <f>'Avg Nt Fix Ass &amp;UCC'!H18+'Avg Nt Fix Ass &amp;UCC'!H35</f>
        <v>342904.725</v>
      </c>
    </row>
    <row r="18" spans="1:7" ht="15">
      <c r="A18" s="4"/>
      <c r="B18" s="167" t="s">
        <v>17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</row>
    <row r="19" spans="1:7" ht="15">
      <c r="A19" s="4"/>
      <c r="B19" s="167" t="s">
        <v>18</v>
      </c>
      <c r="C19" s="34">
        <f>C17-C18</f>
        <v>0</v>
      </c>
      <c r="D19" s="34">
        <f>D17-D18</f>
        <v>371088.675</v>
      </c>
      <c r="E19" s="34">
        <f>E17-E18</f>
        <v>361694.025</v>
      </c>
      <c r="F19" s="34">
        <f>F17-F18</f>
        <v>352299.375</v>
      </c>
      <c r="G19" s="34">
        <f>G17-G18</f>
        <v>342904.725</v>
      </c>
    </row>
    <row r="20" spans="1:7" ht="15">
      <c r="A20" s="4"/>
      <c r="B20" s="167" t="s">
        <v>19</v>
      </c>
      <c r="C20" s="176">
        <v>0</v>
      </c>
      <c r="D20" s="176">
        <v>0</v>
      </c>
      <c r="E20" s="182">
        <v>0</v>
      </c>
      <c r="F20" s="182">
        <v>0</v>
      </c>
      <c r="G20" s="182">
        <v>0</v>
      </c>
    </row>
    <row r="21" spans="1:7" ht="15">
      <c r="A21" s="4"/>
      <c r="B21" s="167" t="s">
        <v>20</v>
      </c>
      <c r="C21" s="177">
        <f>C19*C20</f>
        <v>0</v>
      </c>
      <c r="D21" s="177">
        <f>D19*D20</f>
        <v>0</v>
      </c>
      <c r="E21" s="177">
        <f>E19*E20</f>
        <v>0</v>
      </c>
      <c r="F21" s="177">
        <f>F19*F20</f>
        <v>0</v>
      </c>
      <c r="G21" s="177">
        <f>G19*G20</f>
        <v>0</v>
      </c>
    </row>
    <row r="22" spans="1:7" ht="15">
      <c r="A22" s="4"/>
      <c r="B22" s="167"/>
      <c r="C22" s="167"/>
      <c r="D22" s="167"/>
      <c r="E22" s="181"/>
      <c r="F22" s="86"/>
      <c r="G22" s="86"/>
    </row>
    <row r="23" spans="1:7" ht="15">
      <c r="A23" s="4"/>
      <c r="B23" s="167"/>
      <c r="C23" s="167"/>
      <c r="D23" s="167"/>
      <c r="E23" s="181"/>
      <c r="F23" s="86"/>
      <c r="G23" s="86"/>
    </row>
    <row r="24" spans="1:7" ht="15">
      <c r="A24" s="4"/>
      <c r="B24" s="171" t="s">
        <v>21</v>
      </c>
      <c r="C24" s="167"/>
      <c r="D24" s="167"/>
      <c r="E24" s="181"/>
      <c r="F24" s="86"/>
      <c r="G24" s="86"/>
    </row>
    <row r="25" spans="1:7" ht="15">
      <c r="A25" s="4"/>
      <c r="B25" s="191"/>
      <c r="C25" s="183" t="s">
        <v>22</v>
      </c>
      <c r="D25" s="183" t="s">
        <v>22</v>
      </c>
      <c r="E25" s="183" t="s">
        <v>22</v>
      </c>
      <c r="F25" s="183" t="s">
        <v>22</v>
      </c>
      <c r="G25" s="183" t="s">
        <v>22</v>
      </c>
    </row>
    <row r="26" spans="1:8" ht="15">
      <c r="A26" s="4"/>
      <c r="B26" s="167" t="s">
        <v>23</v>
      </c>
      <c r="C26" s="179">
        <f>C14</f>
        <v>0</v>
      </c>
      <c r="D26" s="179">
        <f>D14</f>
        <v>606.09584475</v>
      </c>
      <c r="E26" s="179">
        <f>E14</f>
        <v>1230.69915</v>
      </c>
      <c r="F26" s="179">
        <f>F14</f>
        <v>1312.2447119999997</v>
      </c>
      <c r="G26" s="179">
        <f>G14</f>
        <v>1387.89794952</v>
      </c>
      <c r="H26" s="54"/>
    </row>
    <row r="27" spans="1:8" ht="15">
      <c r="A27" s="4"/>
      <c r="B27" s="172" t="s">
        <v>24</v>
      </c>
      <c r="C27" s="180">
        <f>C21</f>
        <v>0</v>
      </c>
      <c r="D27" s="180">
        <f>D21</f>
        <v>0</v>
      </c>
      <c r="E27" s="180">
        <f>E21</f>
        <v>0</v>
      </c>
      <c r="F27" s="180">
        <f>F21</f>
        <v>0</v>
      </c>
      <c r="G27" s="180">
        <f>G21</f>
        <v>0</v>
      </c>
      <c r="H27" s="54"/>
    </row>
    <row r="28" spans="1:8" ht="15">
      <c r="A28" s="4"/>
      <c r="B28" s="190" t="s">
        <v>25</v>
      </c>
      <c r="C28" s="34">
        <f>SUM(C26:C27)</f>
        <v>0</v>
      </c>
      <c r="D28" s="34">
        <f>SUM(D26:D27)</f>
        <v>606.09584475</v>
      </c>
      <c r="E28" s="34">
        <f>SUM(E26:E27)</f>
        <v>1230.69915</v>
      </c>
      <c r="F28" s="34">
        <f>SUM(F26:F27)</f>
        <v>1312.2447119999997</v>
      </c>
      <c r="G28" s="34">
        <f>SUM(G26:G27)</f>
        <v>1387.89794952</v>
      </c>
      <c r="H28" s="54"/>
    </row>
    <row r="29" spans="1:8" ht="15">
      <c r="A29" s="6"/>
      <c r="B29" s="181"/>
      <c r="C29" s="184"/>
      <c r="D29" s="184"/>
      <c r="E29" s="184"/>
      <c r="F29" s="84"/>
      <c r="G29" s="84"/>
      <c r="H29" s="54"/>
    </row>
    <row r="30" spans="1:7" ht="15">
      <c r="A30" s="6"/>
      <c r="B30" s="181"/>
      <c r="C30" s="178"/>
      <c r="D30" s="178"/>
      <c r="E30" s="178"/>
      <c r="F30" s="86"/>
      <c r="G30" s="86"/>
    </row>
    <row r="31" spans="1:7" ht="15">
      <c r="A31" s="6"/>
      <c r="B31" s="181"/>
      <c r="C31" s="185"/>
      <c r="D31" s="185"/>
      <c r="E31" s="185"/>
      <c r="F31" s="189"/>
      <c r="G31" s="86"/>
    </row>
    <row r="32" spans="1:7" ht="15">
      <c r="A32" s="6"/>
      <c r="B32" s="181"/>
      <c r="C32" s="186"/>
      <c r="D32" s="186"/>
      <c r="E32" s="186"/>
      <c r="F32" s="86"/>
      <c r="G32" s="86"/>
    </row>
    <row r="33" spans="1:7" ht="15">
      <c r="A33" s="6"/>
      <c r="B33" s="181"/>
      <c r="C33" s="187" t="s">
        <v>26</v>
      </c>
      <c r="D33" s="187" t="s">
        <v>26</v>
      </c>
      <c r="E33" s="187" t="s">
        <v>26</v>
      </c>
      <c r="F33" s="187" t="s">
        <v>26</v>
      </c>
      <c r="G33" s="187" t="s">
        <v>26</v>
      </c>
    </row>
    <row r="34" spans="1:7" ht="15">
      <c r="A34" s="6"/>
      <c r="B34" s="167" t="s">
        <v>23</v>
      </c>
      <c r="C34" s="179">
        <f>C26/(1-C13)</f>
        <v>0</v>
      </c>
      <c r="D34" s="179">
        <f>D26/(1-D13)</f>
        <v>813.5514694630872</v>
      </c>
      <c r="E34" s="179">
        <f>E26/(1-E13)</f>
        <v>1640.9322</v>
      </c>
      <c r="F34" s="179">
        <f>F26/(1-F13)</f>
        <v>1749.6596159999997</v>
      </c>
      <c r="G34" s="179">
        <f>G26/(1-G13)</f>
        <v>1850.5305993600002</v>
      </c>
    </row>
    <row r="35" spans="1:7" ht="15">
      <c r="A35" s="6"/>
      <c r="B35" s="172" t="s">
        <v>24</v>
      </c>
      <c r="C35" s="179">
        <f>C21</f>
        <v>0</v>
      </c>
      <c r="D35" s="179">
        <f>D21</f>
        <v>0</v>
      </c>
      <c r="E35" s="179">
        <f>E21</f>
        <v>0</v>
      </c>
      <c r="F35" s="179">
        <f>F21</f>
        <v>0</v>
      </c>
      <c r="G35" s="179">
        <f>G21</f>
        <v>0</v>
      </c>
    </row>
    <row r="36" spans="1:7" ht="15">
      <c r="A36" s="6"/>
      <c r="B36" s="172" t="s">
        <v>25</v>
      </c>
      <c r="C36" s="188">
        <f>SUM(C34:C35)</f>
        <v>0</v>
      </c>
      <c r="D36" s="188">
        <f>SUM(D34:D35)</f>
        <v>813.5514694630872</v>
      </c>
      <c r="E36" s="188">
        <f>SUM(E34:E35)</f>
        <v>1640.9322</v>
      </c>
      <c r="F36" s="188">
        <f>SUM(F34:F35)</f>
        <v>1749.6596159999997</v>
      </c>
      <c r="G36" s="188">
        <f>SUM(G34:G35)</f>
        <v>1850.5305993600002</v>
      </c>
    </row>
  </sheetData>
  <sheetProtection formatColumns="0" selectLockedCells="1"/>
  <mergeCells count="1">
    <mergeCell ref="B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6" r:id="rId1"/>
  <headerFooter alignWithMargins="0">
    <oddFooter>&amp;L&amp;Z&amp;F&amp;CPage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6"/>
  <sheetViews>
    <sheetView zoomScalePageLayoutView="0" workbookViewId="0" topLeftCell="A76">
      <selection activeCell="E27" sqref="E27"/>
    </sheetView>
  </sheetViews>
  <sheetFormatPr defaultColWidth="8.88671875" defaultRowHeight="15"/>
  <cols>
    <col min="1" max="1" width="8.88671875" style="3" customWidth="1"/>
    <col min="2" max="2" width="39.21484375" style="3" bestFit="1" customWidth="1"/>
    <col min="3" max="3" width="7.3359375" style="3" customWidth="1"/>
    <col min="4" max="4" width="9.6640625" style="11" bestFit="1" customWidth="1"/>
    <col min="5" max="6" width="10.3359375" style="11" bestFit="1" customWidth="1"/>
    <col min="7" max="7" width="10.99609375" style="3" bestFit="1" customWidth="1"/>
    <col min="8" max="8" width="9.99609375" style="3" bestFit="1" customWidth="1"/>
    <col min="9" max="16384" width="8.88671875" style="3" customWidth="1"/>
  </cols>
  <sheetData>
    <row r="3" spans="1:6" ht="15">
      <c r="A3" s="7"/>
      <c r="B3" s="7"/>
      <c r="C3" s="7"/>
      <c r="D3" s="12"/>
      <c r="E3" s="12"/>
      <c r="F3" s="12"/>
    </row>
    <row r="4" spans="1:6" ht="24">
      <c r="A4" s="7"/>
      <c r="B4" s="8" t="s">
        <v>33</v>
      </c>
      <c r="C4" s="8"/>
      <c r="D4" s="12"/>
      <c r="E4" s="12"/>
      <c r="F4" s="12"/>
    </row>
    <row r="5" spans="1:8" ht="15">
      <c r="A5" s="7"/>
      <c r="B5" s="7"/>
      <c r="C5" s="7"/>
      <c r="D5" s="19">
        <v>2012</v>
      </c>
      <c r="E5" s="19">
        <v>2013</v>
      </c>
      <c r="F5" s="19">
        <v>2014</v>
      </c>
      <c r="G5" s="19">
        <v>2015</v>
      </c>
      <c r="H5" s="19">
        <v>2016</v>
      </c>
    </row>
    <row r="6" spans="1:6" ht="17.25">
      <c r="A6" s="7"/>
      <c r="B6" s="9" t="s">
        <v>45</v>
      </c>
      <c r="C6" s="9"/>
      <c r="D6" s="13"/>
      <c r="E6" s="13"/>
      <c r="F6" s="13"/>
    </row>
    <row r="7" spans="1:6" ht="15">
      <c r="A7" s="7"/>
      <c r="B7" s="7"/>
      <c r="C7" s="7"/>
      <c r="D7" s="12"/>
      <c r="E7" s="12"/>
      <c r="F7" s="12"/>
    </row>
    <row r="8" spans="1:8" ht="15">
      <c r="A8" s="7"/>
      <c r="B8" s="7" t="s">
        <v>27</v>
      </c>
      <c r="C8" s="7"/>
      <c r="D8" s="14">
        <v>0</v>
      </c>
      <c r="E8" s="14">
        <f>D10</f>
        <v>0</v>
      </c>
      <c r="F8" s="14">
        <f>E10</f>
        <v>0</v>
      </c>
      <c r="G8" s="14">
        <f>F10</f>
        <v>0</v>
      </c>
      <c r="H8" s="14">
        <f>G10</f>
        <v>0</v>
      </c>
    </row>
    <row r="9" spans="1:8" ht="15">
      <c r="A9" s="7"/>
      <c r="B9" s="10" t="s">
        <v>46</v>
      </c>
      <c r="C9" s="10"/>
      <c r="D9" s="15">
        <f>+'Weighted Avg Direct Benefit'!C4</f>
        <v>0</v>
      </c>
      <c r="E9" s="15">
        <f>+'Weighted Avg Direct Benefit'!D4</f>
        <v>0</v>
      </c>
      <c r="F9" s="15">
        <f>+'Weighted Avg Direct Benefit'!E4</f>
        <v>0</v>
      </c>
      <c r="G9" s="15">
        <f>+'Weighted Avg Direct Benefit'!F4</f>
        <v>0</v>
      </c>
      <c r="H9" s="15">
        <f>+'Weighted Avg Direct Benefit'!G4</f>
        <v>0</v>
      </c>
    </row>
    <row r="10" spans="1:8" ht="15">
      <c r="A10" s="7"/>
      <c r="B10" s="7" t="s">
        <v>28</v>
      </c>
      <c r="C10" s="7"/>
      <c r="D10" s="14">
        <f>SUM(D8:D9)</f>
        <v>0</v>
      </c>
      <c r="E10" s="14">
        <f>SUM(E8:E9)</f>
        <v>0</v>
      </c>
      <c r="F10" s="14">
        <f>SUM(F8:F9)</f>
        <v>0</v>
      </c>
      <c r="G10" s="14">
        <f>SUM(G8:G9)</f>
        <v>0</v>
      </c>
      <c r="H10" s="14">
        <f>SUM(H8:H9)</f>
        <v>0</v>
      </c>
    </row>
    <row r="11" spans="1:6" ht="15">
      <c r="A11" s="7"/>
      <c r="B11" s="7"/>
      <c r="C11" s="7"/>
      <c r="D11" s="16"/>
      <c r="E11" s="16"/>
      <c r="F11" s="12"/>
    </row>
    <row r="12" spans="1:8" ht="15">
      <c r="A12" s="7"/>
      <c r="B12" s="7" t="s">
        <v>29</v>
      </c>
      <c r="C12" s="7"/>
      <c r="D12" s="14">
        <v>0</v>
      </c>
      <c r="E12" s="14">
        <f>D15</f>
        <v>0</v>
      </c>
      <c r="F12" s="14">
        <f>E15</f>
        <v>0</v>
      </c>
      <c r="G12" s="14">
        <f>F15</f>
        <v>0</v>
      </c>
      <c r="H12" s="14">
        <f>G15</f>
        <v>0</v>
      </c>
    </row>
    <row r="13" spans="1:8" ht="15">
      <c r="A13" s="7"/>
      <c r="B13" s="10" t="s">
        <v>48</v>
      </c>
      <c r="C13" s="21"/>
      <c r="D13" s="12">
        <f>D9/15/2</f>
        <v>0</v>
      </c>
      <c r="E13" s="12">
        <f>E9/15/2</f>
        <v>0</v>
      </c>
      <c r="F13" s="12">
        <f>F9/15/2</f>
        <v>0</v>
      </c>
      <c r="G13" s="12">
        <f>G9/15/2</f>
        <v>0</v>
      </c>
      <c r="H13" s="12">
        <f>H9/15/2</f>
        <v>0</v>
      </c>
    </row>
    <row r="14" spans="1:8" ht="15">
      <c r="A14" s="7"/>
      <c r="B14" s="10" t="s">
        <v>49</v>
      </c>
      <c r="C14"/>
      <c r="D14" s="12">
        <f>D8/40</f>
        <v>0</v>
      </c>
      <c r="E14" s="12">
        <f>E8/40</f>
        <v>0</v>
      </c>
      <c r="F14" s="12">
        <f>F8/40</f>
        <v>0</v>
      </c>
      <c r="G14" s="12">
        <f>G8/40</f>
        <v>0</v>
      </c>
      <c r="H14" s="12">
        <f>H8/40</f>
        <v>0</v>
      </c>
    </row>
    <row r="15" spans="1:8" ht="15">
      <c r="A15" s="7"/>
      <c r="B15" s="7" t="s">
        <v>30</v>
      </c>
      <c r="C15" s="7"/>
      <c r="D15" s="14">
        <f>SUM(D12:D14)</f>
        <v>0</v>
      </c>
      <c r="E15" s="14">
        <f>SUM(E12:E14)</f>
        <v>0</v>
      </c>
      <c r="F15" s="14">
        <f>SUM(F12:F14)</f>
        <v>0</v>
      </c>
      <c r="G15" s="14">
        <f>SUM(G12:G14)</f>
        <v>0</v>
      </c>
      <c r="H15" s="14">
        <f>SUM(H12:H14)</f>
        <v>0</v>
      </c>
    </row>
    <row r="16" spans="1:6" ht="15">
      <c r="A16" s="7"/>
      <c r="B16" s="7"/>
      <c r="C16" s="7"/>
      <c r="D16" s="17"/>
      <c r="E16" s="17"/>
      <c r="F16" s="12"/>
    </row>
    <row r="17" spans="1:8" ht="15">
      <c r="A17" s="7"/>
      <c r="B17" s="7" t="s">
        <v>31</v>
      </c>
      <c r="C17" s="7"/>
      <c r="D17" s="12">
        <f>D8-D12</f>
        <v>0</v>
      </c>
      <c r="E17" s="12">
        <f>E8-E12</f>
        <v>0</v>
      </c>
      <c r="F17" s="12">
        <f>F8-F12</f>
        <v>0</v>
      </c>
      <c r="G17" s="12">
        <f>G8-G12</f>
        <v>0</v>
      </c>
      <c r="H17" s="12">
        <f>H8-H12</f>
        <v>0</v>
      </c>
    </row>
    <row r="18" spans="1:8" ht="15">
      <c r="A18" s="7"/>
      <c r="B18" s="7" t="s">
        <v>32</v>
      </c>
      <c r="C18" s="7"/>
      <c r="D18" s="14">
        <f>D10-D15</f>
        <v>0</v>
      </c>
      <c r="E18" s="14">
        <f>E10-E15</f>
        <v>0</v>
      </c>
      <c r="F18" s="14">
        <f>F10-F15</f>
        <v>0</v>
      </c>
      <c r="G18" s="14">
        <f>G10-G15</f>
        <v>0</v>
      </c>
      <c r="H18" s="14">
        <f>H10-H15</f>
        <v>0</v>
      </c>
    </row>
    <row r="19" spans="1:8" ht="15" thickBot="1">
      <c r="A19" s="7"/>
      <c r="B19" s="7" t="s">
        <v>33</v>
      </c>
      <c r="C19" s="7"/>
      <c r="D19" s="18">
        <f>SUM(D17:D18)/2</f>
        <v>0</v>
      </c>
      <c r="E19" s="18">
        <f>SUM(E17:E18)/2</f>
        <v>0</v>
      </c>
      <c r="F19" s="18">
        <f>SUM(F17:F18)/2</f>
        <v>0</v>
      </c>
      <c r="G19" s="18">
        <f>SUM(G17:G18)/2</f>
        <v>0</v>
      </c>
      <c r="H19" s="18">
        <f>SUM(H17:H18)/2</f>
        <v>0</v>
      </c>
    </row>
    <row r="20" spans="1:6" ht="15">
      <c r="A20" s="7"/>
      <c r="B20" s="7"/>
      <c r="C20" s="7"/>
      <c r="D20" s="16"/>
      <c r="E20" s="16"/>
      <c r="F20" s="16"/>
    </row>
    <row r="21" spans="1:6" ht="15">
      <c r="A21" s="7"/>
      <c r="B21" s="7"/>
      <c r="C21" s="7"/>
      <c r="D21" s="13"/>
      <c r="E21" s="13"/>
      <c r="F21" s="13"/>
    </row>
    <row r="22" spans="1:8" ht="15">
      <c r="A22" s="7"/>
      <c r="B22" s="7"/>
      <c r="C22" s="7"/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</row>
    <row r="23" spans="1:6" ht="17.25">
      <c r="A23" s="7"/>
      <c r="B23" s="9" t="s">
        <v>45</v>
      </c>
      <c r="C23" s="9"/>
      <c r="D23" s="13"/>
      <c r="E23" s="13"/>
      <c r="F23" s="13"/>
    </row>
    <row r="24" spans="1:6" ht="15">
      <c r="A24" s="7"/>
      <c r="B24" s="7"/>
      <c r="C24" s="7"/>
      <c r="D24" s="12"/>
      <c r="E24" s="12"/>
      <c r="F24" s="12"/>
    </row>
    <row r="25" spans="1:8" ht="15">
      <c r="A25" s="7"/>
      <c r="B25" s="7" t="s">
        <v>27</v>
      </c>
      <c r="C25" s="7"/>
      <c r="D25" s="14">
        <v>0</v>
      </c>
      <c r="E25" s="14">
        <f>D27</f>
        <v>0</v>
      </c>
      <c r="F25" s="14">
        <f>E27</f>
        <v>375786</v>
      </c>
      <c r="G25" s="14">
        <f>F27</f>
        <v>375786</v>
      </c>
      <c r="H25" s="14">
        <f>G27</f>
        <v>375786</v>
      </c>
    </row>
    <row r="26" spans="1:9" ht="15">
      <c r="A26" s="7"/>
      <c r="B26" s="10" t="s">
        <v>46</v>
      </c>
      <c r="C26" s="10"/>
      <c r="D26" s="15">
        <v>0</v>
      </c>
      <c r="E26" s="15">
        <v>375786</v>
      </c>
      <c r="F26" s="15">
        <v>0</v>
      </c>
      <c r="G26" s="15">
        <v>0</v>
      </c>
      <c r="H26" s="15">
        <v>0</v>
      </c>
      <c r="I26" s="41"/>
    </row>
    <row r="27" spans="1:8" ht="15">
      <c r="A27" s="7"/>
      <c r="B27" s="7" t="s">
        <v>28</v>
      </c>
      <c r="C27" s="7"/>
      <c r="D27" s="14">
        <f>SUM(D25:D26)</f>
        <v>0</v>
      </c>
      <c r="E27" s="14">
        <f>SUM(E25:E26)</f>
        <v>375786</v>
      </c>
      <c r="F27" s="14">
        <f>SUM(F25:F26)</f>
        <v>375786</v>
      </c>
      <c r="G27" s="14">
        <f>SUM(G25:G26)</f>
        <v>375786</v>
      </c>
      <c r="H27" s="14">
        <f>SUM(H25:H26)</f>
        <v>375786</v>
      </c>
    </row>
    <row r="28" spans="1:6" ht="15">
      <c r="A28" s="7"/>
      <c r="B28" s="7"/>
      <c r="C28" s="7"/>
      <c r="D28" s="16"/>
      <c r="E28" s="16"/>
      <c r="F28" s="12"/>
    </row>
    <row r="29" spans="1:8" ht="15">
      <c r="A29" s="7"/>
      <c r="B29" s="7" t="s">
        <v>29</v>
      </c>
      <c r="C29" s="7"/>
      <c r="D29" s="14">
        <v>0</v>
      </c>
      <c r="E29" s="14">
        <f>D32</f>
        <v>0</v>
      </c>
      <c r="F29" s="14">
        <f>E32</f>
        <v>4697.325</v>
      </c>
      <c r="G29" s="14">
        <f>F32</f>
        <v>14091.974999999999</v>
      </c>
      <c r="H29" s="14">
        <f>G32</f>
        <v>23486.625</v>
      </c>
    </row>
    <row r="30" spans="1:9" ht="15">
      <c r="A30" s="7"/>
      <c r="B30" s="10" t="s">
        <v>48</v>
      </c>
      <c r="C30" s="21" t="s">
        <v>75</v>
      </c>
      <c r="D30" s="12">
        <f>D26/$I$30/2</f>
        <v>0</v>
      </c>
      <c r="E30" s="12">
        <f>E26/$I$30/2</f>
        <v>4697.325</v>
      </c>
      <c r="F30" s="12">
        <f>F26/$I$30/2</f>
        <v>0</v>
      </c>
      <c r="G30" s="12">
        <f>G26/$I$30/2</f>
        <v>0</v>
      </c>
      <c r="H30" s="12">
        <f>H26/$I$30/2</f>
        <v>0</v>
      </c>
      <c r="I30" s="3">
        <v>40</v>
      </c>
    </row>
    <row r="31" spans="1:8" ht="15">
      <c r="A31" s="7"/>
      <c r="B31" s="10" t="s">
        <v>49</v>
      </c>
      <c r="C31"/>
      <c r="D31" s="12">
        <f>D25/$I$30</f>
        <v>0</v>
      </c>
      <c r="E31" s="12">
        <f>E25/$I$30</f>
        <v>0</v>
      </c>
      <c r="F31" s="12">
        <f>F25/$I$30</f>
        <v>9394.65</v>
      </c>
      <c r="G31" s="12">
        <f>G25/$I$30</f>
        <v>9394.65</v>
      </c>
      <c r="H31" s="12">
        <f>H25/$I$30</f>
        <v>9394.65</v>
      </c>
    </row>
    <row r="32" spans="1:8" ht="15">
      <c r="A32" s="7"/>
      <c r="B32" s="7" t="s">
        <v>30</v>
      </c>
      <c r="C32" s="7"/>
      <c r="D32" s="14">
        <f>SUM(D29:D31)</f>
        <v>0</v>
      </c>
      <c r="E32" s="14">
        <f>SUM(E29:E31)</f>
        <v>4697.325</v>
      </c>
      <c r="F32" s="14">
        <f>SUM(F29:F31)</f>
        <v>14091.974999999999</v>
      </c>
      <c r="G32" s="14">
        <f>SUM(G29:G31)</f>
        <v>23486.625</v>
      </c>
      <c r="H32" s="14">
        <f>SUM(H29:H31)</f>
        <v>32881.275</v>
      </c>
    </row>
    <row r="33" spans="1:8" ht="15">
      <c r="A33" s="7"/>
      <c r="B33" s="7"/>
      <c r="C33" s="7"/>
      <c r="D33" s="17"/>
      <c r="E33" s="17"/>
      <c r="F33" s="12"/>
      <c r="G33" s="12"/>
      <c r="H33" s="12"/>
    </row>
    <row r="34" spans="1:8" ht="15">
      <c r="A34" s="7"/>
      <c r="B34" s="7" t="s">
        <v>31</v>
      </c>
      <c r="C34" s="7"/>
      <c r="D34" s="12">
        <f>D25-D29</f>
        <v>0</v>
      </c>
      <c r="E34" s="12">
        <f>E25-E29</f>
        <v>0</v>
      </c>
      <c r="F34" s="12">
        <f>F25-F29</f>
        <v>371088.675</v>
      </c>
      <c r="G34" s="12">
        <f>G25-G29</f>
        <v>361694.025</v>
      </c>
      <c r="H34" s="12">
        <f>H25-H29</f>
        <v>352299.375</v>
      </c>
    </row>
    <row r="35" spans="1:8" ht="15">
      <c r="A35" s="7"/>
      <c r="B35" s="7" t="s">
        <v>32</v>
      </c>
      <c r="C35" s="7"/>
      <c r="D35" s="14">
        <f>D27-D32</f>
        <v>0</v>
      </c>
      <c r="E35" s="14">
        <f>E27-E32</f>
        <v>371088.675</v>
      </c>
      <c r="F35" s="14">
        <f>F27-F32</f>
        <v>361694.025</v>
      </c>
      <c r="G35" s="14">
        <f>G27-G32</f>
        <v>352299.375</v>
      </c>
      <c r="H35" s="14">
        <f>H27-H32</f>
        <v>342904.725</v>
      </c>
    </row>
    <row r="36" spans="1:8" ht="15" thickBot="1">
      <c r="A36" s="7"/>
      <c r="B36" s="7" t="s">
        <v>33</v>
      </c>
      <c r="C36" s="7"/>
      <c r="D36" s="18">
        <f>SUM(D34:D35)/2</f>
        <v>0</v>
      </c>
      <c r="E36" s="18">
        <f>SUM(E34:E35)/2</f>
        <v>185544.3375</v>
      </c>
      <c r="F36" s="18">
        <f>SUM(F34:F35)/2</f>
        <v>366391.35</v>
      </c>
      <c r="G36" s="18">
        <f>SUM(G34:G35)/2</f>
        <v>356996.7</v>
      </c>
      <c r="H36" s="18">
        <f>SUM(H34:H35)/2</f>
        <v>347602.05</v>
      </c>
    </row>
    <row r="37" spans="1:6" ht="15">
      <c r="A37" s="7"/>
      <c r="B37" s="7"/>
      <c r="C37" s="7"/>
      <c r="D37" s="12"/>
      <c r="E37" s="12"/>
      <c r="F37" s="12"/>
    </row>
    <row r="38" spans="1:6" ht="15">
      <c r="A38" s="7"/>
      <c r="B38" s="7"/>
      <c r="C38" s="7"/>
      <c r="D38" s="12"/>
      <c r="E38" s="12"/>
      <c r="F38" s="12"/>
    </row>
    <row r="39" spans="1:6" ht="15">
      <c r="A39" s="7"/>
      <c r="B39" s="7"/>
      <c r="C39" s="7"/>
      <c r="D39" s="12"/>
      <c r="E39" s="12"/>
      <c r="F39" s="12"/>
    </row>
    <row r="40" spans="1:6" ht="15">
      <c r="A40" s="7"/>
      <c r="B40" s="7"/>
      <c r="C40" s="7"/>
      <c r="D40" s="12"/>
      <c r="E40" s="12"/>
      <c r="F40" s="12"/>
    </row>
    <row r="41" spans="1:6" ht="15">
      <c r="A41" s="7"/>
      <c r="B41" s="7"/>
      <c r="C41" s="7"/>
      <c r="D41" s="12"/>
      <c r="E41" s="12"/>
      <c r="F41" s="12"/>
    </row>
    <row r="42" spans="1:6" ht="15">
      <c r="A42" s="7"/>
      <c r="B42" s="7"/>
      <c r="C42" s="7"/>
      <c r="D42" s="12"/>
      <c r="E42" s="12"/>
      <c r="F42" s="12"/>
    </row>
    <row r="43" spans="1:6" ht="15">
      <c r="A43" s="7"/>
      <c r="B43" s="7"/>
      <c r="C43" s="7"/>
      <c r="D43" s="12"/>
      <c r="E43" s="12"/>
      <c r="F43" s="12"/>
    </row>
    <row r="44" spans="1:6" ht="15">
      <c r="A44" s="7"/>
      <c r="B44" s="7"/>
      <c r="C44" s="7"/>
      <c r="D44" s="12"/>
      <c r="E44" s="12"/>
      <c r="F44" s="12"/>
    </row>
    <row r="45" spans="1:6" ht="24">
      <c r="A45" s="7"/>
      <c r="B45" s="8" t="s">
        <v>34</v>
      </c>
      <c r="C45" s="8"/>
      <c r="D45" s="12"/>
      <c r="E45" s="12"/>
      <c r="F45" s="12"/>
    </row>
    <row r="46" spans="1:6" ht="15">
      <c r="A46" s="7"/>
      <c r="B46" s="7"/>
      <c r="C46" s="7"/>
      <c r="D46" s="12"/>
      <c r="E46" s="12"/>
      <c r="F46" s="12"/>
    </row>
    <row r="47" spans="1:6" ht="17.25">
      <c r="A47" s="7"/>
      <c r="B47" s="9" t="s">
        <v>47</v>
      </c>
      <c r="C47" s="9"/>
      <c r="D47" s="19"/>
      <c r="E47" s="19"/>
      <c r="F47" s="19"/>
    </row>
    <row r="48" spans="1:6" ht="15">
      <c r="A48" s="7"/>
      <c r="B48" s="7"/>
      <c r="C48" s="7"/>
      <c r="D48" s="13"/>
      <c r="E48" s="13"/>
      <c r="F48" s="13"/>
    </row>
    <row r="49" spans="1:6" ht="15">
      <c r="A49" s="7"/>
      <c r="B49" s="7"/>
      <c r="C49" s="7"/>
      <c r="D49" s="12"/>
      <c r="E49" s="12"/>
      <c r="F49" s="12"/>
    </row>
    <row r="50" spans="1:6" ht="15">
      <c r="A50" s="7"/>
      <c r="B50" s="7" t="s">
        <v>35</v>
      </c>
      <c r="C50" s="7"/>
      <c r="D50" s="14">
        <v>0</v>
      </c>
      <c r="E50" s="14">
        <f>D58</f>
        <v>0</v>
      </c>
      <c r="F50" s="14">
        <f>E58</f>
        <v>0</v>
      </c>
    </row>
    <row r="51" spans="1:6" ht="15">
      <c r="A51" s="7"/>
      <c r="B51" s="7" t="s">
        <v>36</v>
      </c>
      <c r="C51" s="7"/>
      <c r="D51" s="12">
        <f>D9</f>
        <v>0</v>
      </c>
      <c r="E51" s="12">
        <f>E9</f>
        <v>0</v>
      </c>
      <c r="F51" s="12">
        <f>F9</f>
        <v>0</v>
      </c>
    </row>
    <row r="52" spans="1:6" ht="15">
      <c r="A52" s="7"/>
      <c r="B52" s="7" t="s">
        <v>37</v>
      </c>
      <c r="C52" s="7"/>
      <c r="D52" s="14">
        <f>SUM(D50:D51)</f>
        <v>0</v>
      </c>
      <c r="E52" s="14">
        <f>SUM(E50:E51)</f>
        <v>0</v>
      </c>
      <c r="F52" s="14">
        <f>SUM(F50:F51)</f>
        <v>0</v>
      </c>
    </row>
    <row r="53" spans="1:6" ht="15">
      <c r="A53" s="7"/>
      <c r="B53" s="7" t="s">
        <v>38</v>
      </c>
      <c r="C53" s="7"/>
      <c r="D53" s="12">
        <f>D51/2</f>
        <v>0</v>
      </c>
      <c r="E53" s="12">
        <f>E51/2</f>
        <v>0</v>
      </c>
      <c r="F53" s="12">
        <f>F51/2</f>
        <v>0</v>
      </c>
    </row>
    <row r="54" spans="1:6" ht="15">
      <c r="A54" s="7"/>
      <c r="B54" s="7" t="s">
        <v>39</v>
      </c>
      <c r="C54" s="7"/>
      <c r="D54" s="14">
        <f>D52-D53</f>
        <v>0</v>
      </c>
      <c r="E54" s="14">
        <f>E52-E53</f>
        <v>0</v>
      </c>
      <c r="F54" s="14">
        <f>F52-F53</f>
        <v>0</v>
      </c>
    </row>
    <row r="55" spans="1:6" ht="15">
      <c r="A55" s="7"/>
      <c r="B55" s="7" t="s">
        <v>42</v>
      </c>
      <c r="C55" s="20"/>
      <c r="D55" s="20"/>
      <c r="E55" s="20"/>
      <c r="F55" s="20"/>
    </row>
    <row r="56" spans="1:6" ht="15">
      <c r="A56" s="7"/>
      <c r="B56" s="7" t="s">
        <v>43</v>
      </c>
      <c r="C56" s="21"/>
      <c r="D56" s="21"/>
      <c r="E56" s="21"/>
      <c r="F56" s="21"/>
    </row>
    <row r="57" spans="1:6" ht="15">
      <c r="A57" s="7"/>
      <c r="B57" s="7" t="s">
        <v>40</v>
      </c>
      <c r="C57" s="7"/>
      <c r="D57" s="14">
        <f>D54*$C$56</f>
        <v>0</v>
      </c>
      <c r="E57" s="14">
        <f>E54*$C$56</f>
        <v>0</v>
      </c>
      <c r="F57" s="14">
        <f>F54*$C$56</f>
        <v>0</v>
      </c>
    </row>
    <row r="58" spans="1:6" ht="15" thickBot="1">
      <c r="A58" s="7"/>
      <c r="B58" s="7" t="s">
        <v>41</v>
      </c>
      <c r="C58" s="7"/>
      <c r="D58" s="18">
        <f>D52-D57</f>
        <v>0</v>
      </c>
      <c r="E58" s="18">
        <f>E52-E57</f>
        <v>0</v>
      </c>
      <c r="F58" s="18">
        <f>F52-F57</f>
        <v>0</v>
      </c>
    </row>
    <row r="59" spans="1:6" ht="15">
      <c r="A59" s="7"/>
      <c r="B59" s="7"/>
      <c r="C59" s="7"/>
      <c r="D59" s="12"/>
      <c r="E59" s="12"/>
      <c r="F59" s="12"/>
    </row>
    <row r="64" spans="2:8" ht="17.25">
      <c r="B64" s="9" t="s">
        <v>47</v>
      </c>
      <c r="C64" s="9"/>
      <c r="D64" s="19">
        <v>2012</v>
      </c>
      <c r="E64" s="19">
        <v>2013</v>
      </c>
      <c r="F64" s="19">
        <v>2014</v>
      </c>
      <c r="G64" s="19">
        <v>2015</v>
      </c>
      <c r="H64" s="19">
        <v>2016</v>
      </c>
    </row>
    <row r="65" spans="2:6" ht="15">
      <c r="B65" s="7"/>
      <c r="C65" s="7"/>
      <c r="D65" s="13"/>
      <c r="E65" s="13"/>
      <c r="F65" s="13"/>
    </row>
    <row r="66" spans="2:6" ht="15">
      <c r="B66" s="7"/>
      <c r="C66" s="7"/>
      <c r="D66" s="12"/>
      <c r="E66" s="12"/>
      <c r="F66" s="12"/>
    </row>
    <row r="67" spans="2:8" ht="15">
      <c r="B67" s="7" t="s">
        <v>35</v>
      </c>
      <c r="C67" s="7"/>
      <c r="D67" s="14">
        <v>0</v>
      </c>
      <c r="E67" s="14">
        <f>D75</f>
        <v>0</v>
      </c>
      <c r="F67" s="14">
        <f>E75</f>
        <v>368270.28</v>
      </c>
      <c r="G67" s="14">
        <f>F75</f>
        <v>353539.46880000003</v>
      </c>
      <c r="H67" s="14">
        <f>G75</f>
        <v>339397.89004800003</v>
      </c>
    </row>
    <row r="68" spans="2:8" ht="15">
      <c r="B68" s="7" t="s">
        <v>36</v>
      </c>
      <c r="C68" s="7"/>
      <c r="D68" s="12">
        <f>D26</f>
        <v>0</v>
      </c>
      <c r="E68" s="12">
        <f>E26</f>
        <v>375786</v>
      </c>
      <c r="F68" s="12">
        <f>F26</f>
        <v>0</v>
      </c>
      <c r="G68" s="12">
        <f>G26</f>
        <v>0</v>
      </c>
      <c r="H68" s="12">
        <f>H26</f>
        <v>0</v>
      </c>
    </row>
    <row r="69" spans="2:8" ht="15">
      <c r="B69" s="7" t="s">
        <v>37</v>
      </c>
      <c r="C69" s="7"/>
      <c r="D69" s="14">
        <f>SUM(D67:D68)</f>
        <v>0</v>
      </c>
      <c r="E69" s="14">
        <f>SUM(E67:E68)</f>
        <v>375786</v>
      </c>
      <c r="F69" s="14">
        <f>SUM(F67:F68)</f>
        <v>368270.28</v>
      </c>
      <c r="G69" s="14">
        <f>SUM(G67:G68)</f>
        <v>353539.46880000003</v>
      </c>
      <c r="H69" s="14">
        <f>SUM(H67:H68)</f>
        <v>339397.89004800003</v>
      </c>
    </row>
    <row r="70" spans="2:8" ht="15">
      <c r="B70" s="7" t="s">
        <v>38</v>
      </c>
      <c r="C70" s="7"/>
      <c r="D70" s="12">
        <f>D68/2</f>
        <v>0</v>
      </c>
      <c r="E70" s="12">
        <f>E68/2</f>
        <v>187893</v>
      </c>
      <c r="F70" s="12">
        <f>F68/2</f>
        <v>0</v>
      </c>
      <c r="G70" s="12">
        <f>G68/2</f>
        <v>0</v>
      </c>
      <c r="H70" s="12">
        <f>H68/2</f>
        <v>0</v>
      </c>
    </row>
    <row r="71" spans="2:8" ht="15">
      <c r="B71" s="7" t="s">
        <v>39</v>
      </c>
      <c r="C71" s="7"/>
      <c r="D71" s="14">
        <f>D69-D70</f>
        <v>0</v>
      </c>
      <c r="E71" s="14">
        <f>E69-E70</f>
        <v>187893</v>
      </c>
      <c r="F71" s="14">
        <f>F69-F70</f>
        <v>368270.28</v>
      </c>
      <c r="G71" s="14">
        <f>G69-G70</f>
        <v>353539.46880000003</v>
      </c>
      <c r="H71" s="14">
        <f>H69-H70</f>
        <v>339397.89004800003</v>
      </c>
    </row>
    <row r="72" spans="2:8" ht="15">
      <c r="B72" s="7" t="s">
        <v>42</v>
      </c>
      <c r="C72" s="20">
        <v>1</v>
      </c>
      <c r="D72" s="20">
        <v>1</v>
      </c>
      <c r="E72" s="20">
        <v>1</v>
      </c>
      <c r="F72" s="20">
        <v>1</v>
      </c>
      <c r="G72" s="20">
        <v>1</v>
      </c>
      <c r="H72" s="20">
        <v>1</v>
      </c>
    </row>
    <row r="73" spans="2:8" ht="15">
      <c r="B73" s="7" t="s">
        <v>43</v>
      </c>
      <c r="C73" s="21">
        <v>0.04</v>
      </c>
      <c r="D73" s="21">
        <v>0.04</v>
      </c>
      <c r="E73" s="21">
        <v>0.04</v>
      </c>
      <c r="F73" s="21">
        <v>0.04</v>
      </c>
      <c r="G73" s="21">
        <v>0.04</v>
      </c>
      <c r="H73" s="21">
        <v>0.04</v>
      </c>
    </row>
    <row r="74" spans="2:8" ht="15">
      <c r="B74" s="7" t="s">
        <v>40</v>
      </c>
      <c r="C74" s="7"/>
      <c r="D74" s="14">
        <f>D71*$C$73</f>
        <v>0</v>
      </c>
      <c r="E74" s="14">
        <f>E71*$C$73</f>
        <v>7515.72</v>
      </c>
      <c r="F74" s="14">
        <f>F71*$C$73</f>
        <v>14730.811200000002</v>
      </c>
      <c r="G74" s="14">
        <f>G71*$C$73</f>
        <v>14141.578752000001</v>
      </c>
      <c r="H74" s="14">
        <f>H71*$C$73</f>
        <v>13575.915601920002</v>
      </c>
    </row>
    <row r="75" spans="2:8" ht="15" thickBot="1">
      <c r="B75" s="7" t="s">
        <v>41</v>
      </c>
      <c r="C75" s="7"/>
      <c r="D75" s="18">
        <f>D69-D74</f>
        <v>0</v>
      </c>
      <c r="E75" s="18">
        <f>E69-E74</f>
        <v>368270.28</v>
      </c>
      <c r="F75" s="18">
        <f>F69-F74</f>
        <v>353539.46880000003</v>
      </c>
      <c r="G75" s="18">
        <f>G69-G74</f>
        <v>339397.89004800003</v>
      </c>
      <c r="H75" s="18">
        <f>H69-H74</f>
        <v>325821.97444608004</v>
      </c>
    </row>
    <row r="76" spans="2:6" ht="15">
      <c r="B76" s="7"/>
      <c r="C76" s="7"/>
      <c r="D76" s="12"/>
      <c r="E76" s="12"/>
      <c r="F76" s="12"/>
    </row>
  </sheetData>
  <sheetProtection formatColumns="0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6" r:id="rId1"/>
  <headerFooter alignWithMargins="0">
    <oddFooter>&amp;L&amp;Z&amp;F&amp;CPage &amp;P of &amp;N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78"/>
  <sheetViews>
    <sheetView showGridLines="0" zoomScalePageLayoutView="0" workbookViewId="0" topLeftCell="A1">
      <selection activeCell="B39" sqref="B39"/>
    </sheetView>
  </sheetViews>
  <sheetFormatPr defaultColWidth="8.88671875" defaultRowHeight="15"/>
  <cols>
    <col min="1" max="1" width="30.5546875" style="0" bestFit="1" customWidth="1"/>
    <col min="2" max="2" width="11.21484375" style="0" bestFit="1" customWidth="1"/>
    <col min="3" max="3" width="8.5546875" style="0" customWidth="1"/>
    <col min="4" max="4" width="9.3359375" style="0" customWidth="1"/>
    <col min="5" max="5" width="10.21484375" style="0" customWidth="1"/>
    <col min="6" max="6" width="9.99609375" style="0" bestFit="1" customWidth="1"/>
    <col min="7" max="7" width="10.99609375" style="0" bestFit="1" customWidth="1"/>
    <col min="8" max="8" width="9.99609375" style="0" bestFit="1" customWidth="1"/>
  </cols>
  <sheetData>
    <row r="2" ht="15" thickBot="1"/>
    <row r="3" spans="1:7" ht="15">
      <c r="A3" s="23" t="s">
        <v>55</v>
      </c>
      <c r="B3" s="27"/>
      <c r="C3" s="27">
        <v>2012</v>
      </c>
      <c r="D3" s="40">
        <v>2013</v>
      </c>
      <c r="E3" s="27">
        <v>2014</v>
      </c>
      <c r="F3" s="40">
        <v>2015</v>
      </c>
      <c r="G3" s="40">
        <v>2016</v>
      </c>
    </row>
    <row r="4" spans="1:8" ht="15">
      <c r="A4" s="24" t="s">
        <v>62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 t="s">
        <v>69</v>
      </c>
    </row>
    <row r="5" spans="1:8" ht="26.25">
      <c r="A5" s="25" t="s">
        <v>63</v>
      </c>
      <c r="B5" s="28">
        <v>0</v>
      </c>
      <c r="C5" s="29">
        <f>C30</f>
        <v>0</v>
      </c>
      <c r="D5" s="29">
        <f>D30</f>
        <v>375786</v>
      </c>
      <c r="E5" s="29">
        <f>E30</f>
        <v>0</v>
      </c>
      <c r="F5" s="29">
        <f>F30</f>
        <v>0</v>
      </c>
      <c r="G5" s="29">
        <f>H30</f>
        <v>0</v>
      </c>
      <c r="H5" s="43">
        <f>SUM(B5:G5)</f>
        <v>375786</v>
      </c>
    </row>
    <row r="6" spans="1:8" ht="15">
      <c r="A6" s="26" t="s">
        <v>64</v>
      </c>
      <c r="B6" s="28"/>
      <c r="C6" s="28">
        <v>0</v>
      </c>
      <c r="D6" s="28">
        <v>0</v>
      </c>
      <c r="E6" s="44">
        <v>0</v>
      </c>
      <c r="F6" s="44">
        <v>0</v>
      </c>
      <c r="G6" s="44">
        <v>0</v>
      </c>
      <c r="H6" s="43">
        <f>SUM(B6:G6)</f>
        <v>0</v>
      </c>
    </row>
    <row r="7" spans="1:8" ht="15">
      <c r="A7" s="26" t="s">
        <v>56</v>
      </c>
      <c r="B7" s="28">
        <v>0</v>
      </c>
      <c r="C7" s="29">
        <f>+C5+C4</f>
        <v>0</v>
      </c>
      <c r="D7" s="29">
        <f>+D5+D4</f>
        <v>375786</v>
      </c>
      <c r="E7" s="42">
        <f>+E6+E5+E4</f>
        <v>0</v>
      </c>
      <c r="F7" s="42">
        <f>+F6+F5+F4</f>
        <v>0</v>
      </c>
      <c r="G7" s="42">
        <f>+G6+G5+G4</f>
        <v>0</v>
      </c>
      <c r="H7" s="43">
        <f>SUM(B7:G7)</f>
        <v>375786</v>
      </c>
    </row>
    <row r="9" ht="15" hidden="1"/>
    <row r="10" spans="1:7" ht="15" hidden="1">
      <c r="A10" s="7"/>
      <c r="B10" s="7"/>
      <c r="C10" s="19">
        <v>2012</v>
      </c>
      <c r="D10" s="19">
        <v>2013</v>
      </c>
      <c r="E10" s="19">
        <v>2014</v>
      </c>
      <c r="F10" s="19">
        <v>2015</v>
      </c>
      <c r="G10" s="19">
        <v>2016</v>
      </c>
    </row>
    <row r="11" spans="1:5" ht="17.25" hidden="1">
      <c r="A11" s="30" t="str">
        <f>+A4</f>
        <v>Renewable Connections Capital - Expansions</v>
      </c>
      <c r="B11" s="9"/>
      <c r="C11" s="13"/>
      <c r="D11" s="13"/>
      <c r="E11" s="13"/>
    </row>
    <row r="12" spans="1:5" ht="15" hidden="1">
      <c r="A12" s="7"/>
      <c r="B12" s="7"/>
      <c r="C12" s="12"/>
      <c r="D12" s="12"/>
      <c r="E12" s="12"/>
    </row>
    <row r="13" spans="1:7" ht="15" hidden="1">
      <c r="A13" s="7" t="s">
        <v>27</v>
      </c>
      <c r="B13" s="7"/>
      <c r="C13" s="14">
        <v>0</v>
      </c>
      <c r="D13" s="14">
        <f>C15</f>
        <v>0</v>
      </c>
      <c r="E13" s="14">
        <f>D15</f>
        <v>0</v>
      </c>
      <c r="F13" s="14">
        <f>E15</f>
        <v>0</v>
      </c>
      <c r="G13" s="14">
        <f>F15</f>
        <v>0</v>
      </c>
    </row>
    <row r="14" spans="1:7" ht="15" hidden="1">
      <c r="A14" s="10" t="s">
        <v>46</v>
      </c>
      <c r="B14" s="10"/>
      <c r="C14" s="15">
        <f>+C4</f>
        <v>0</v>
      </c>
      <c r="D14" s="15">
        <f>+D4</f>
        <v>0</v>
      </c>
      <c r="E14" s="15">
        <f>+E4</f>
        <v>0</v>
      </c>
      <c r="F14" s="15">
        <f>+F4</f>
        <v>0</v>
      </c>
      <c r="G14" s="15">
        <f>+G4</f>
        <v>0</v>
      </c>
    </row>
    <row r="15" spans="1:7" ht="15" hidden="1">
      <c r="A15" s="7" t="s">
        <v>28</v>
      </c>
      <c r="B15" s="7"/>
      <c r="C15" s="14">
        <f>SUM(C13:C14)</f>
        <v>0</v>
      </c>
      <c r="D15" s="14">
        <f>SUM(D13:D14)</f>
        <v>0</v>
      </c>
      <c r="E15" s="14">
        <f>SUM(E13:E14)</f>
        <v>0</v>
      </c>
      <c r="F15" s="14">
        <f>SUM(F13:F14)</f>
        <v>0</v>
      </c>
      <c r="G15" s="14">
        <f>SUM(G13:G14)</f>
        <v>0</v>
      </c>
    </row>
    <row r="16" spans="1:7" ht="15" hidden="1">
      <c r="A16" s="7"/>
      <c r="B16" s="7"/>
      <c r="C16" s="16"/>
      <c r="D16" s="16"/>
      <c r="E16" s="12"/>
      <c r="F16" s="12"/>
      <c r="G16" s="12"/>
    </row>
    <row r="17" spans="1:7" ht="15" hidden="1">
      <c r="A17" s="7" t="s">
        <v>29</v>
      </c>
      <c r="B17" s="7"/>
      <c r="C17" s="14">
        <v>0</v>
      </c>
      <c r="D17" s="14">
        <f>C20</f>
        <v>0</v>
      </c>
      <c r="E17" s="14">
        <f>D20</f>
        <v>0</v>
      </c>
      <c r="F17" s="14">
        <f>E20</f>
        <v>0</v>
      </c>
      <c r="G17" s="14">
        <f>F20</f>
        <v>0</v>
      </c>
    </row>
    <row r="18" spans="1:7" ht="15" hidden="1">
      <c r="A18" s="10" t="s">
        <v>48</v>
      </c>
      <c r="B18" s="21"/>
      <c r="C18" s="12">
        <f>C14/15/2</f>
        <v>0</v>
      </c>
      <c r="D18" s="12">
        <f>D14/15/2</f>
        <v>0</v>
      </c>
      <c r="E18" s="12">
        <f>E14/15/2</f>
        <v>0</v>
      </c>
      <c r="F18" s="12">
        <f>F14/15/2</f>
        <v>0</v>
      </c>
      <c r="G18" s="12">
        <f>G14/15/2</f>
        <v>0</v>
      </c>
    </row>
    <row r="19" spans="1:7" ht="15" hidden="1">
      <c r="A19" s="10" t="s">
        <v>49</v>
      </c>
      <c r="C19" s="12">
        <f>C13/47</f>
        <v>0</v>
      </c>
      <c r="D19" s="12">
        <f>D13/47</f>
        <v>0</v>
      </c>
      <c r="E19" s="12">
        <f>E13/47</f>
        <v>0</v>
      </c>
      <c r="F19" s="12">
        <f>F13/47</f>
        <v>0</v>
      </c>
      <c r="G19" s="12">
        <f>G13/47</f>
        <v>0</v>
      </c>
    </row>
    <row r="20" spans="1:7" ht="15" hidden="1">
      <c r="A20" s="7" t="s">
        <v>30</v>
      </c>
      <c r="B20" s="7"/>
      <c r="C20" s="14">
        <f>SUM(C17:C19)</f>
        <v>0</v>
      </c>
      <c r="D20" s="14">
        <f>SUM(D17:D19)</f>
        <v>0</v>
      </c>
      <c r="E20" s="14">
        <f>SUM(E17:E19)</f>
        <v>0</v>
      </c>
      <c r="F20" s="14">
        <f>SUM(F17:F19)</f>
        <v>0</v>
      </c>
      <c r="G20" s="14">
        <f>SUM(G17:G19)</f>
        <v>0</v>
      </c>
    </row>
    <row r="21" spans="1:7" ht="15" hidden="1">
      <c r="A21" s="7"/>
      <c r="B21" s="7"/>
      <c r="C21" s="17"/>
      <c r="D21" s="17"/>
      <c r="E21" s="12"/>
      <c r="F21" s="12"/>
      <c r="G21" s="12"/>
    </row>
    <row r="22" spans="1:7" ht="15" hidden="1">
      <c r="A22" s="7" t="s">
        <v>31</v>
      </c>
      <c r="B22" s="7"/>
      <c r="C22" s="12">
        <f>C13-C17</f>
        <v>0</v>
      </c>
      <c r="D22" s="12">
        <f>D13-D17</f>
        <v>0</v>
      </c>
      <c r="E22" s="12">
        <f>E13-E17</f>
        <v>0</v>
      </c>
      <c r="F22" s="12">
        <f>F13-F17</f>
        <v>0</v>
      </c>
      <c r="G22" s="12">
        <f>G13-G17</f>
        <v>0</v>
      </c>
    </row>
    <row r="23" spans="1:7" ht="15" hidden="1">
      <c r="A23" s="7" t="s">
        <v>32</v>
      </c>
      <c r="B23" s="7"/>
      <c r="C23" s="14">
        <f>C15-C20</f>
        <v>0</v>
      </c>
      <c r="D23" s="14">
        <f>D15-D20</f>
        <v>0</v>
      </c>
      <c r="E23" s="14">
        <f>E15-E20</f>
        <v>0</v>
      </c>
      <c r="F23" s="14">
        <f>F15-F20</f>
        <v>0</v>
      </c>
      <c r="G23" s="14">
        <f>G15-G20</f>
        <v>0</v>
      </c>
    </row>
    <row r="24" spans="1:7" ht="15" hidden="1" thickBot="1">
      <c r="A24" s="7" t="s">
        <v>33</v>
      </c>
      <c r="B24" s="7"/>
      <c r="C24" s="18">
        <f>SUM(C22:C23)/2</f>
        <v>0</v>
      </c>
      <c r="D24" s="18">
        <f>SUM(D22:D23)/2</f>
        <v>0</v>
      </c>
      <c r="E24" s="18">
        <f>SUM(E22:E23)/2</f>
        <v>0</v>
      </c>
      <c r="F24" s="18">
        <f>SUM(F22:F23)/2</f>
        <v>0</v>
      </c>
      <c r="G24" s="18">
        <f>SUM(G22:G23)/2</f>
        <v>0</v>
      </c>
    </row>
    <row r="25" ht="15" hidden="1"/>
    <row r="26" spans="1:7" ht="15">
      <c r="A26" s="7"/>
      <c r="B26" s="7"/>
      <c r="C26" s="19">
        <v>2012</v>
      </c>
      <c r="D26" s="19">
        <v>2013</v>
      </c>
      <c r="E26" s="19">
        <v>2014</v>
      </c>
      <c r="F26" s="19">
        <v>2015</v>
      </c>
      <c r="G26" s="19">
        <v>2016</v>
      </c>
    </row>
    <row r="27" spans="1:5" ht="46.5">
      <c r="A27" s="31" t="str">
        <f>+A5</f>
        <v>Renewable Connections Capital - Renewable Enabling Improvements</v>
      </c>
      <c r="B27" s="9"/>
      <c r="C27" s="13"/>
      <c r="D27" s="13"/>
      <c r="E27" s="13"/>
    </row>
    <row r="28" spans="1:5" ht="15">
      <c r="A28" s="7"/>
      <c r="B28" s="7"/>
      <c r="C28" s="12"/>
      <c r="D28" s="12"/>
      <c r="E28" s="12"/>
    </row>
    <row r="29" spans="1:7" ht="15">
      <c r="A29" s="7" t="s">
        <v>27</v>
      </c>
      <c r="B29" s="7"/>
      <c r="C29" s="14">
        <v>0</v>
      </c>
      <c r="D29" s="14">
        <f>C31</f>
        <v>0</v>
      </c>
      <c r="E29" s="14">
        <f>D31</f>
        <v>375786</v>
      </c>
      <c r="F29" s="14">
        <f>E31</f>
        <v>375786</v>
      </c>
      <c r="G29" s="14">
        <f>F31</f>
        <v>375786</v>
      </c>
    </row>
    <row r="30" spans="1:7" ht="15">
      <c r="A30" s="10" t="s">
        <v>46</v>
      </c>
      <c r="B30" s="10"/>
      <c r="C30" s="15">
        <v>0</v>
      </c>
      <c r="D30" s="15">
        <v>375786</v>
      </c>
      <c r="E30" s="15">
        <v>0</v>
      </c>
      <c r="F30" s="15">
        <v>0</v>
      </c>
      <c r="G30" s="15">
        <v>0</v>
      </c>
    </row>
    <row r="31" spans="1:7" ht="15">
      <c r="A31" s="7" t="s">
        <v>28</v>
      </c>
      <c r="B31" s="7"/>
      <c r="C31" s="14">
        <f>SUM(C29:C30)</f>
        <v>0</v>
      </c>
      <c r="D31" s="14">
        <f>SUM(D29:D30)</f>
        <v>375786</v>
      </c>
      <c r="E31" s="14">
        <f>SUM(E29:E30)</f>
        <v>375786</v>
      </c>
      <c r="F31" s="14">
        <f>SUM(F29:F30)</f>
        <v>375786</v>
      </c>
      <c r="G31" s="14">
        <f>SUM(G29:G30)</f>
        <v>375786</v>
      </c>
    </row>
    <row r="32" spans="1:7" ht="15">
      <c r="A32" s="7"/>
      <c r="B32" s="7"/>
      <c r="C32" s="16"/>
      <c r="D32" s="16"/>
      <c r="E32" s="12"/>
      <c r="F32" s="12"/>
      <c r="G32" s="12"/>
    </row>
    <row r="33" spans="1:7" ht="15">
      <c r="A33" s="7" t="s">
        <v>29</v>
      </c>
      <c r="B33" s="7"/>
      <c r="C33" s="14">
        <v>0</v>
      </c>
      <c r="D33" s="14">
        <f>C36</f>
        <v>0</v>
      </c>
      <c r="E33" s="14">
        <f>D36</f>
        <v>4697.325</v>
      </c>
      <c r="F33" s="14">
        <f>E36</f>
        <v>14091.974999999999</v>
      </c>
      <c r="G33" s="14">
        <f>F36</f>
        <v>23486.625</v>
      </c>
    </row>
    <row r="34" spans="1:8" ht="15">
      <c r="A34" s="10" t="s">
        <v>48</v>
      </c>
      <c r="B34" s="21" t="s">
        <v>75</v>
      </c>
      <c r="C34" s="12">
        <f>C30/$H$34/2</f>
        <v>0</v>
      </c>
      <c r="D34" s="12">
        <f>D30/$H$34/2</f>
        <v>4697.325</v>
      </c>
      <c r="E34" s="12">
        <f>E30/$H$34/2</f>
        <v>0</v>
      </c>
      <c r="F34" s="12">
        <f>F30/$H$34/2</f>
        <v>0</v>
      </c>
      <c r="G34" s="12">
        <f>G30/$H$34/2</f>
        <v>0</v>
      </c>
      <c r="H34">
        <v>40</v>
      </c>
    </row>
    <row r="35" spans="1:7" ht="15">
      <c r="A35" s="10" t="s">
        <v>49</v>
      </c>
      <c r="C35" s="12">
        <f>C29/$H$34</f>
        <v>0</v>
      </c>
      <c r="D35" s="12">
        <f>D29/$H$34</f>
        <v>0</v>
      </c>
      <c r="E35" s="12">
        <f>E29/$H$34</f>
        <v>9394.65</v>
      </c>
      <c r="F35" s="12">
        <f>F29/$H$34</f>
        <v>9394.65</v>
      </c>
      <c r="G35" s="12">
        <f>G29/$H$34</f>
        <v>9394.65</v>
      </c>
    </row>
    <row r="36" spans="1:7" ht="15">
      <c r="A36" s="7" t="s">
        <v>30</v>
      </c>
      <c r="B36" s="7"/>
      <c r="C36" s="14">
        <f>SUM(C33:C35)</f>
        <v>0</v>
      </c>
      <c r="D36" s="14">
        <f>SUM(D33:D35)</f>
        <v>4697.325</v>
      </c>
      <c r="E36" s="14">
        <f>SUM(E33:E35)</f>
        <v>14091.974999999999</v>
      </c>
      <c r="F36" s="14">
        <f>SUM(F33:F35)</f>
        <v>23486.625</v>
      </c>
      <c r="G36" s="14">
        <f>SUM(G33:G35)</f>
        <v>32881.275</v>
      </c>
    </row>
    <row r="37" spans="1:7" ht="15">
      <c r="A37" s="7"/>
      <c r="B37" s="7"/>
      <c r="C37" s="17"/>
      <c r="D37" s="17"/>
      <c r="E37" s="12"/>
      <c r="F37" s="12"/>
      <c r="G37" s="12"/>
    </row>
    <row r="38" spans="1:7" ht="15">
      <c r="A38" s="7" t="s">
        <v>31</v>
      </c>
      <c r="B38" s="7"/>
      <c r="C38" s="12">
        <f>C29-C33</f>
        <v>0</v>
      </c>
      <c r="D38" s="12">
        <f>D29-D33</f>
        <v>0</v>
      </c>
      <c r="E38" s="12">
        <f>E29-E33</f>
        <v>371088.675</v>
      </c>
      <c r="F38" s="12">
        <f>F29-F33</f>
        <v>361694.025</v>
      </c>
      <c r="G38" s="12">
        <f>G29-G33</f>
        <v>352299.375</v>
      </c>
    </row>
    <row r="39" spans="1:7" ht="15">
      <c r="A39" s="7" t="s">
        <v>32</v>
      </c>
      <c r="B39" s="7"/>
      <c r="C39" s="14">
        <f>C31-C36</f>
        <v>0</v>
      </c>
      <c r="D39" s="14">
        <f>D31-D36</f>
        <v>371088.675</v>
      </c>
      <c r="E39" s="14">
        <f>E31-E36</f>
        <v>361694.025</v>
      </c>
      <c r="F39" s="14">
        <f>F31-F36</f>
        <v>352299.375</v>
      </c>
      <c r="G39" s="14">
        <f>G31-G36</f>
        <v>342904.725</v>
      </c>
    </row>
    <row r="40" spans="1:7" ht="15" thickBot="1">
      <c r="A40" s="7" t="s">
        <v>33</v>
      </c>
      <c r="B40" s="7"/>
      <c r="C40" s="18">
        <f>SUM(C38:C39)/2</f>
        <v>0</v>
      </c>
      <c r="D40" s="18">
        <f>SUM(D38:D39)/2</f>
        <v>185544.3375</v>
      </c>
      <c r="E40" s="18">
        <f>SUM(E38:E39)/2</f>
        <v>366391.35</v>
      </c>
      <c r="F40" s="18">
        <f>SUM(F38:F39)/2</f>
        <v>356996.7</v>
      </c>
      <c r="G40" s="18">
        <f>SUM(G38:G39)/2</f>
        <v>347602.05</v>
      </c>
    </row>
    <row r="42" spans="1:6" ht="15" hidden="1">
      <c r="A42" s="7"/>
      <c r="B42" s="7"/>
      <c r="C42" s="19">
        <v>2012</v>
      </c>
      <c r="D42" s="19">
        <v>2013</v>
      </c>
      <c r="E42" s="19">
        <v>2014</v>
      </c>
      <c r="F42" s="19">
        <v>2015</v>
      </c>
    </row>
    <row r="43" spans="1:5" ht="17.25" hidden="1">
      <c r="A43" s="31" t="str">
        <f>+A6</f>
        <v>Feeder Automation Projects</v>
      </c>
      <c r="B43" s="9"/>
      <c r="C43" s="13"/>
      <c r="D43" s="13"/>
      <c r="E43" s="13"/>
    </row>
    <row r="44" spans="1:5" ht="15" hidden="1">
      <c r="A44" s="7"/>
      <c r="B44" s="7"/>
      <c r="C44" s="12"/>
      <c r="D44" s="12"/>
      <c r="E44" s="12"/>
    </row>
    <row r="45" spans="1:6" ht="15" hidden="1">
      <c r="A45" s="7" t="s">
        <v>27</v>
      </c>
      <c r="B45" s="7"/>
      <c r="C45" s="14">
        <v>0</v>
      </c>
      <c r="D45" s="14">
        <f>C47</f>
        <v>0</v>
      </c>
      <c r="E45" s="14">
        <f>D47</f>
        <v>0</v>
      </c>
      <c r="F45" s="14">
        <f>E47</f>
        <v>0</v>
      </c>
    </row>
    <row r="46" spans="1:6" ht="15" hidden="1">
      <c r="A46" s="10" t="s">
        <v>46</v>
      </c>
      <c r="B46" s="10"/>
      <c r="C46" s="15">
        <v>0</v>
      </c>
      <c r="D46" s="15">
        <v>0</v>
      </c>
      <c r="E46" s="15">
        <f>E6</f>
        <v>0</v>
      </c>
      <c r="F46" s="15">
        <f>F6</f>
        <v>0</v>
      </c>
    </row>
    <row r="47" spans="1:6" ht="15" hidden="1">
      <c r="A47" s="7" t="s">
        <v>28</v>
      </c>
      <c r="B47" s="7"/>
      <c r="C47" s="14">
        <f>SUM(C45:C46)</f>
        <v>0</v>
      </c>
      <c r="D47" s="14">
        <f>SUM(D45:D46)</f>
        <v>0</v>
      </c>
      <c r="E47" s="14">
        <f>SUM(E45:E46)</f>
        <v>0</v>
      </c>
      <c r="F47" s="14">
        <f>SUM(F45:F46)</f>
        <v>0</v>
      </c>
    </row>
    <row r="48" spans="1:6" ht="15" hidden="1">
      <c r="A48" s="7"/>
      <c r="B48" s="7"/>
      <c r="C48" s="16"/>
      <c r="D48" s="16"/>
      <c r="E48" s="12"/>
      <c r="F48" s="12"/>
    </row>
    <row r="49" spans="1:6" ht="15" hidden="1">
      <c r="A49" s="7" t="s">
        <v>29</v>
      </c>
      <c r="B49" s="7"/>
      <c r="C49" s="14">
        <v>0</v>
      </c>
      <c r="D49" s="14">
        <f>C52</f>
        <v>0</v>
      </c>
      <c r="E49" s="14">
        <f>D52</f>
        <v>0</v>
      </c>
      <c r="F49" s="14">
        <f>E52</f>
        <v>0</v>
      </c>
    </row>
    <row r="50" spans="1:6" ht="15" hidden="1">
      <c r="A50" s="10" t="s">
        <v>48</v>
      </c>
      <c r="B50" s="21"/>
      <c r="C50" s="12">
        <f>C46/25/2</f>
        <v>0</v>
      </c>
      <c r="D50" s="12">
        <f>D46/25/2</f>
        <v>0</v>
      </c>
      <c r="E50" s="12">
        <f>E46/25/2</f>
        <v>0</v>
      </c>
      <c r="F50" s="12">
        <f>F46/25/2</f>
        <v>0</v>
      </c>
    </row>
    <row r="51" spans="1:6" ht="15" hidden="1">
      <c r="A51" s="10" t="s">
        <v>49</v>
      </c>
      <c r="C51" s="12">
        <f>C45/25</f>
        <v>0</v>
      </c>
      <c r="D51" s="12">
        <f>D45/25</f>
        <v>0</v>
      </c>
      <c r="E51" s="12">
        <f>E45/25</f>
        <v>0</v>
      </c>
      <c r="F51" s="12">
        <f>F45/25</f>
        <v>0</v>
      </c>
    </row>
    <row r="52" spans="1:6" ht="15" hidden="1">
      <c r="A52" s="7" t="s">
        <v>30</v>
      </c>
      <c r="B52" s="7"/>
      <c r="C52" s="14">
        <f>SUM(C49:C51)</f>
        <v>0</v>
      </c>
      <c r="D52" s="14">
        <f>SUM(D49:D51)</f>
        <v>0</v>
      </c>
      <c r="E52" s="14">
        <f>SUM(E49:E51)</f>
        <v>0</v>
      </c>
      <c r="F52" s="14">
        <f>SUM(F49:F51)</f>
        <v>0</v>
      </c>
    </row>
    <row r="53" spans="1:6" ht="15" hidden="1">
      <c r="A53" s="7"/>
      <c r="B53" s="7"/>
      <c r="C53" s="17"/>
      <c r="D53" s="17"/>
      <c r="E53" s="12"/>
      <c r="F53" s="12"/>
    </row>
    <row r="54" spans="1:6" ht="15" hidden="1">
      <c r="A54" s="7" t="s">
        <v>31</v>
      </c>
      <c r="B54" s="7"/>
      <c r="C54" s="12">
        <f>C45-C49</f>
        <v>0</v>
      </c>
      <c r="D54" s="12">
        <f>D45-D49</f>
        <v>0</v>
      </c>
      <c r="E54" s="12">
        <f>E45-E49</f>
        <v>0</v>
      </c>
      <c r="F54" s="12">
        <f>F45-F49</f>
        <v>0</v>
      </c>
    </row>
    <row r="55" spans="1:6" ht="15" hidden="1">
      <c r="A55" s="7" t="s">
        <v>32</v>
      </c>
      <c r="B55" s="7"/>
      <c r="C55" s="14">
        <f>C47-C52</f>
        <v>0</v>
      </c>
      <c r="D55" s="14">
        <f>D47-D52</f>
        <v>0</v>
      </c>
      <c r="E55" s="14">
        <f>E47-E52</f>
        <v>0</v>
      </c>
      <c r="F55" s="14">
        <f>F47-F52</f>
        <v>0</v>
      </c>
    </row>
    <row r="56" spans="1:6" ht="15" hidden="1" thickBot="1">
      <c r="A56" s="7" t="s">
        <v>33</v>
      </c>
      <c r="B56" s="7"/>
      <c r="C56" s="18">
        <f>SUM(C54:C55)/2</f>
        <v>0</v>
      </c>
      <c r="D56" s="18">
        <f>SUM(D54:D55)/2</f>
        <v>0</v>
      </c>
      <c r="E56" s="18">
        <f>SUM(E54:E55)/2</f>
        <v>0</v>
      </c>
      <c r="F56" s="18">
        <f>SUM(F54:F55)/2</f>
        <v>0</v>
      </c>
    </row>
    <row r="58" spans="1:7" ht="15">
      <c r="A58" s="32" t="s">
        <v>33</v>
      </c>
      <c r="B58" s="33" t="s">
        <v>52</v>
      </c>
      <c r="C58" s="33">
        <v>2012</v>
      </c>
      <c r="D58" s="33">
        <v>2013</v>
      </c>
      <c r="E58" s="33">
        <v>2014</v>
      </c>
      <c r="F58" s="33">
        <v>2015</v>
      </c>
      <c r="G58" s="33">
        <v>2016</v>
      </c>
    </row>
    <row r="59" spans="1:9" ht="15">
      <c r="A59" s="24" t="s">
        <v>62</v>
      </c>
      <c r="B59" s="38"/>
      <c r="C59" s="34">
        <f>+D24</f>
        <v>0</v>
      </c>
      <c r="D59" s="34">
        <f>+E24</f>
        <v>0</v>
      </c>
      <c r="E59" s="34">
        <f>+F24</f>
        <v>0</v>
      </c>
      <c r="F59" s="34">
        <f>+G24</f>
        <v>0</v>
      </c>
      <c r="G59" s="34">
        <f>+H24</f>
        <v>0</v>
      </c>
      <c r="H59" s="39"/>
      <c r="I59" s="39"/>
    </row>
    <row r="60" spans="1:9" ht="26.25">
      <c r="A60" s="25" t="s">
        <v>63</v>
      </c>
      <c r="B60" s="38">
        <v>0.06</v>
      </c>
      <c r="C60" s="34">
        <f>+C40</f>
        <v>0</v>
      </c>
      <c r="D60" s="34">
        <f>+D40</f>
        <v>185544.3375</v>
      </c>
      <c r="E60" s="34">
        <f>+E40</f>
        <v>366391.35</v>
      </c>
      <c r="F60" s="34">
        <f>+F40</f>
        <v>356996.7</v>
      </c>
      <c r="G60" s="34">
        <f>+G40</f>
        <v>347602.05</v>
      </c>
      <c r="H60" s="39"/>
      <c r="I60" s="39"/>
    </row>
    <row r="61" spans="1:7" ht="15">
      <c r="A61" s="24" t="s">
        <v>64</v>
      </c>
      <c r="B61" s="38"/>
      <c r="C61" s="34">
        <f>+C56</f>
        <v>0</v>
      </c>
      <c r="D61" s="34">
        <f>+D56</f>
        <v>0</v>
      </c>
      <c r="E61" s="34">
        <f>+E56</f>
        <v>0</v>
      </c>
      <c r="F61" s="34">
        <f>+F56</f>
        <v>0</v>
      </c>
      <c r="G61" s="34">
        <f>+G56</f>
        <v>0</v>
      </c>
    </row>
    <row r="62" spans="1:7" ht="15">
      <c r="A62" s="35"/>
      <c r="B62" s="36"/>
      <c r="C62" s="34">
        <f>SUM(C59:C61)</f>
        <v>0</v>
      </c>
      <c r="D62" s="34">
        <f>SUM(D59:D61)</f>
        <v>185544.3375</v>
      </c>
      <c r="E62" s="34">
        <f>SUM(E59:E61)</f>
        <v>366391.35</v>
      </c>
      <c r="F62" s="34">
        <f>SUM(F59:F61)</f>
        <v>356996.7</v>
      </c>
      <c r="G62" s="34">
        <f>SUM(G59:G61)</f>
        <v>347602.05</v>
      </c>
    </row>
    <row r="63" spans="1:7" ht="15">
      <c r="A63" s="24" t="s">
        <v>65</v>
      </c>
      <c r="B63" s="36"/>
      <c r="C63" s="34">
        <f>C62*C64</f>
        <v>0</v>
      </c>
      <c r="D63" s="34">
        <f>D62*D64</f>
        <v>11132.660249999999</v>
      </c>
      <c r="E63" s="34">
        <f>E62*E64</f>
        <v>21983.480999999996</v>
      </c>
      <c r="F63" s="34">
        <f>F62*F64</f>
        <v>21419.802</v>
      </c>
      <c r="G63" s="34">
        <f>G62*G64</f>
        <v>20856.123</v>
      </c>
    </row>
    <row r="64" spans="1:7" ht="15">
      <c r="A64" s="24" t="s">
        <v>52</v>
      </c>
      <c r="B64" s="36"/>
      <c r="C64" s="48">
        <f>C75</f>
        <v>0</v>
      </c>
      <c r="D64" s="48">
        <f>+E75</f>
        <v>0.06</v>
      </c>
      <c r="E64" s="48">
        <f>+D64</f>
        <v>0.06</v>
      </c>
      <c r="F64" s="48">
        <f>+E64</f>
        <v>0.06</v>
      </c>
      <c r="G64" s="48">
        <f>+F64</f>
        <v>0.06</v>
      </c>
    </row>
    <row r="65" spans="1:7" ht="15">
      <c r="A65" s="24" t="s">
        <v>66</v>
      </c>
      <c r="B65" s="36"/>
      <c r="C65" s="37" t="e">
        <f>+C63/C62</f>
        <v>#DIV/0!</v>
      </c>
      <c r="D65" s="37">
        <f>+D63/D62</f>
        <v>0.06</v>
      </c>
      <c r="E65" s="37">
        <f>+E63/E62</f>
        <v>0.05999999999999999</v>
      </c>
      <c r="F65" s="37">
        <f>+F63/F62</f>
        <v>0.06</v>
      </c>
      <c r="G65" s="37">
        <f>+G63/G62</f>
        <v>0.06</v>
      </c>
    </row>
    <row r="67" spans="3:5" ht="15">
      <c r="C67" s="47"/>
      <c r="D67" s="47"/>
      <c r="E67" s="47"/>
    </row>
    <row r="69" spans="1:6" ht="15">
      <c r="A69" s="22"/>
      <c r="C69" s="53"/>
      <c r="D69" s="53"/>
      <c r="E69" s="53">
        <v>2013</v>
      </c>
      <c r="F69" s="57"/>
    </row>
    <row r="70" spans="1:6" ht="15">
      <c r="A70" s="22" t="s">
        <v>71</v>
      </c>
      <c r="C70" s="52"/>
      <c r="D70" s="52"/>
      <c r="E70" s="52" t="s">
        <v>72</v>
      </c>
      <c r="F70" s="58"/>
    </row>
    <row r="71" spans="1:7" ht="15">
      <c r="A71" s="22"/>
      <c r="C71" s="45"/>
      <c r="D71" s="45"/>
      <c r="E71" s="45"/>
      <c r="F71" s="59"/>
      <c r="G71" s="50"/>
    </row>
    <row r="72" spans="1:7" ht="15">
      <c r="A72" s="22" t="s">
        <v>73</v>
      </c>
      <c r="C72" s="45"/>
      <c r="D72" s="45"/>
      <c r="E72" s="45">
        <f>E74*0.06</f>
        <v>22547.16</v>
      </c>
      <c r="F72" s="59"/>
      <c r="G72" s="55"/>
    </row>
    <row r="73" spans="1:7" ht="15">
      <c r="A73" s="22" t="s">
        <v>74</v>
      </c>
      <c r="C73" s="45"/>
      <c r="D73" s="45"/>
      <c r="E73" s="45">
        <f>E74-E72</f>
        <v>353238.84</v>
      </c>
      <c r="F73" s="59"/>
      <c r="G73" s="51"/>
    </row>
    <row r="74" spans="1:8" ht="15" thickBot="1">
      <c r="A74" s="22" t="s">
        <v>70</v>
      </c>
      <c r="C74" s="59"/>
      <c r="D74" s="59"/>
      <c r="E74" s="46">
        <f>+D30</f>
        <v>375786</v>
      </c>
      <c r="F74" s="59"/>
      <c r="G74" s="55"/>
      <c r="H74" s="56"/>
    </row>
    <row r="75" spans="1:7" ht="15">
      <c r="A75" s="22" t="s">
        <v>52</v>
      </c>
      <c r="C75" s="51"/>
      <c r="D75" s="51"/>
      <c r="E75" s="49">
        <f>E72/E74</f>
        <v>0.06</v>
      </c>
      <c r="F75" s="51"/>
      <c r="G75" s="50"/>
    </row>
    <row r="76" ht="15">
      <c r="G76" s="56"/>
    </row>
    <row r="77" ht="15">
      <c r="G77" s="22"/>
    </row>
    <row r="78" ht="15">
      <c r="G78" s="22"/>
    </row>
  </sheetData>
  <sheetProtection/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Jeff O'Brien</cp:lastModifiedBy>
  <cp:lastPrinted>2012-10-30T16:45:42Z</cp:lastPrinted>
  <dcterms:created xsi:type="dcterms:W3CDTF">2009-03-31T14:51:00Z</dcterms:created>
  <dcterms:modified xsi:type="dcterms:W3CDTF">2012-11-01T17:38:33Z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