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7100" windowHeight="9855"/>
  </bookViews>
  <sheets>
    <sheet name="Lost RR" sheetId="4" r:id="rId1"/>
    <sheet name="2nd Method" sheetId="1" state="hidden" r:id="rId2"/>
    <sheet name="Sheet1" sheetId="8" state="hidden" r:id="rId3"/>
    <sheet name="Rate Rider" sheetId="9" r:id="rId4"/>
  </sheets>
  <externalReferences>
    <externalReference r:id="rId5"/>
  </externalReferences>
  <definedNames>
    <definedName name="_xlnm.Print_Area" localSheetId="0">'Lost RR'!$B$3:$F$36</definedName>
    <definedName name="_xlnm.Print_Area" localSheetId="3">'Rate Rider'!$C$1:$IY$21</definedName>
  </definedNames>
  <calcPr calcId="125725"/>
</workbook>
</file>

<file path=xl/calcChain.xml><?xml version="1.0" encoding="utf-8"?>
<calcChain xmlns="http://schemas.openxmlformats.org/spreadsheetml/2006/main">
  <c r="N18" i="9"/>
  <c r="N17"/>
  <c r="N16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N19" l="1"/>
  <c r="N21" s="1"/>
  <c r="N14" s="1"/>
  <c r="L13" l="1"/>
  <c r="U13" s="1"/>
  <c r="IX13" s="1"/>
  <c r="L12"/>
  <c r="U12" s="1"/>
  <c r="IX12" s="1"/>
  <c r="L11"/>
  <c r="L10"/>
  <c r="L9"/>
  <c r="L8"/>
  <c r="L7"/>
  <c r="U7" s="1"/>
  <c r="IX7" s="1"/>
  <c r="L6"/>
  <c r="U6" s="1"/>
  <c r="IX6" s="1"/>
  <c r="L5"/>
  <c r="M13"/>
  <c r="V13" s="1"/>
  <c r="K13"/>
  <c r="M12"/>
  <c r="V12" s="1"/>
  <c r="K12"/>
  <c r="M11"/>
  <c r="V11" s="1"/>
  <c r="IY11" s="1"/>
  <c r="K11"/>
  <c r="M10"/>
  <c r="V10" s="1"/>
  <c r="IY10" s="1"/>
  <c r="K10"/>
  <c r="M9"/>
  <c r="V9" s="1"/>
  <c r="IY9" s="1"/>
  <c r="K9"/>
  <c r="M8"/>
  <c r="V8" s="1"/>
  <c r="IY8" s="1"/>
  <c r="K8"/>
  <c r="M7"/>
  <c r="V7" s="1"/>
  <c r="K7"/>
  <c r="M6"/>
  <c r="V6" s="1"/>
  <c r="K6"/>
  <c r="M5"/>
  <c r="K5"/>
  <c r="M14" l="1"/>
  <c r="V5"/>
  <c r="K14"/>
  <c r="N5"/>
  <c r="T5"/>
  <c r="IW5" s="1"/>
  <c r="N6"/>
  <c r="T6"/>
  <c r="IW6" s="1"/>
  <c r="N7"/>
  <c r="T7"/>
  <c r="IW7" s="1"/>
  <c r="N8"/>
  <c r="T8"/>
  <c r="IW8" s="1"/>
  <c r="N9"/>
  <c r="T9"/>
  <c r="IW9" s="1"/>
  <c r="N10"/>
  <c r="T10"/>
  <c r="IW10" s="1"/>
  <c r="N11"/>
  <c r="T11"/>
  <c r="IW11" s="1"/>
  <c r="N12"/>
  <c r="T12"/>
  <c r="IW12" s="1"/>
  <c r="N13"/>
  <c r="T13"/>
  <c r="IW13" s="1"/>
  <c r="U5"/>
  <c r="IX5" s="1"/>
  <c r="L14"/>
  <c r="D7" i="4" l="1"/>
  <c r="D8" s="1"/>
  <c r="D9" s="1"/>
  <c r="C12" s="1"/>
  <c r="C13" l="1"/>
  <c r="C14" s="1"/>
  <c r="C15" l="1"/>
  <c r="D12"/>
  <c r="C18"/>
  <c r="D13"/>
  <c r="C27" l="1"/>
  <c r="C21"/>
  <c r="C20"/>
  <c r="D18"/>
  <c r="F18" s="1"/>
  <c r="E13"/>
  <c r="E18" s="1"/>
  <c r="D14"/>
  <c r="H6" i="1"/>
  <c r="I6" s="1"/>
  <c r="J6" s="1"/>
  <c r="G6"/>
  <c r="D6"/>
  <c r="E6" s="1"/>
  <c r="C6"/>
  <c r="B6"/>
  <c r="L32"/>
  <c r="G32"/>
  <c r="M32"/>
  <c r="N32" s="1"/>
  <c r="O32" s="1"/>
  <c r="H32"/>
  <c r="I32" s="1"/>
  <c r="J32" s="1"/>
  <c r="D32"/>
  <c r="E32" s="1"/>
  <c r="C32"/>
  <c r="J24"/>
  <c r="J25" s="1"/>
  <c r="I24"/>
  <c r="I25" s="1"/>
  <c r="H24"/>
  <c r="H25" s="1"/>
  <c r="G24"/>
  <c r="G25" s="1"/>
  <c r="J23"/>
  <c r="J26" s="1"/>
  <c r="J27" s="1"/>
  <c r="J28" s="1"/>
  <c r="J18" s="1"/>
  <c r="J20" s="1"/>
  <c r="I23"/>
  <c r="I26" s="1"/>
  <c r="I27" s="1"/>
  <c r="I28" s="1"/>
  <c r="I18" s="1"/>
  <c r="I20" s="1"/>
  <c r="H23"/>
  <c r="H26" s="1"/>
  <c r="H27" s="1"/>
  <c r="H28" s="1"/>
  <c r="H18" s="1"/>
  <c r="H20" s="1"/>
  <c r="G23"/>
  <c r="G26" s="1"/>
  <c r="G27" s="1"/>
  <c r="G28" s="1"/>
  <c r="G18" s="1"/>
  <c r="G20" s="1"/>
  <c r="L24"/>
  <c r="L25" s="1"/>
  <c r="N31"/>
  <c r="O31" s="1"/>
  <c r="E27" i="4" l="1"/>
  <c r="E28" s="1"/>
  <c r="C28"/>
  <c r="D15"/>
  <c r="E12"/>
  <c r="E14" s="1"/>
  <c r="E15" s="1"/>
  <c r="D27"/>
  <c r="D28" s="1"/>
  <c r="C26"/>
  <c r="H8" i="1"/>
  <c r="O9"/>
  <c r="N9"/>
  <c r="M9"/>
  <c r="L9"/>
  <c r="O5"/>
  <c r="N5"/>
  <c r="M5"/>
  <c r="L5"/>
  <c r="L4"/>
  <c r="C24"/>
  <c r="C25" s="1"/>
  <c r="B24"/>
  <c r="B25" s="1"/>
  <c r="B7"/>
  <c r="B8" s="1"/>
  <c r="B10" s="1"/>
  <c r="E21" i="4" l="1"/>
  <c r="E26" s="1"/>
  <c r="E29" s="1"/>
  <c r="E30" s="1"/>
  <c r="E31" s="1"/>
  <c r="E22" s="1"/>
  <c r="E20"/>
  <c r="E23" s="1"/>
  <c r="F28"/>
  <c r="C29"/>
  <c r="D21"/>
  <c r="D20"/>
  <c r="F27"/>
  <c r="I8" i="1"/>
  <c r="J8"/>
  <c r="E24"/>
  <c r="E25" s="1"/>
  <c r="D24"/>
  <c r="D25" s="1"/>
  <c r="G7"/>
  <c r="B23"/>
  <c r="B26" s="1"/>
  <c r="B27" s="1"/>
  <c r="B28" s="1"/>
  <c r="B18" s="1"/>
  <c r="C4"/>
  <c r="C7" s="1"/>
  <c r="C8" s="1"/>
  <c r="C10" s="1"/>
  <c r="L7"/>
  <c r="L6"/>
  <c r="G8"/>
  <c r="D4"/>
  <c r="D7" s="1"/>
  <c r="D8" s="1"/>
  <c r="D10" s="1"/>
  <c r="F20" i="4" l="1"/>
  <c r="D26"/>
  <c r="F21"/>
  <c r="C30"/>
  <c r="E4" i="1"/>
  <c r="E7" s="1"/>
  <c r="E8" s="1"/>
  <c r="E10" s="1"/>
  <c r="B20"/>
  <c r="D23"/>
  <c r="D26" s="1"/>
  <c r="D27" s="1"/>
  <c r="D28" s="1"/>
  <c r="D18" s="1"/>
  <c r="C23"/>
  <c r="C26" s="1"/>
  <c r="C27" s="1"/>
  <c r="C28" s="1"/>
  <c r="C18" s="1"/>
  <c r="G10"/>
  <c r="L8"/>
  <c r="M6"/>
  <c r="M12" s="1"/>
  <c r="M24" s="1"/>
  <c r="M25" s="1"/>
  <c r="E23"/>
  <c r="E26" s="1"/>
  <c r="E27" s="1"/>
  <c r="E28" s="1"/>
  <c r="E18" s="1"/>
  <c r="C31" i="4" l="1"/>
  <c r="D29"/>
  <c r="F26"/>
  <c r="D20" i="1"/>
  <c r="C20"/>
  <c r="E20"/>
  <c r="N6"/>
  <c r="N12" s="1"/>
  <c r="L10"/>
  <c r="H10"/>
  <c r="D30" i="4" l="1"/>
  <c r="F29"/>
  <c r="C22"/>
  <c r="O6" i="1"/>
  <c r="O12" s="1"/>
  <c r="O24" s="1"/>
  <c r="O25" s="1"/>
  <c r="L16"/>
  <c r="L23" s="1"/>
  <c r="L26" s="1"/>
  <c r="L27" s="1"/>
  <c r="L28" s="1"/>
  <c r="L18" s="1"/>
  <c r="L15"/>
  <c r="I10"/>
  <c r="M10"/>
  <c r="N24"/>
  <c r="N25" s="1"/>
  <c r="C23" i="4" l="1"/>
  <c r="D31"/>
  <c r="F30"/>
  <c r="N10" i="1"/>
  <c r="J10"/>
  <c r="M15"/>
  <c r="M16"/>
  <c r="M23" s="1"/>
  <c r="M26" s="1"/>
  <c r="M27" s="1"/>
  <c r="M28" s="1"/>
  <c r="M18" s="1"/>
  <c r="L20"/>
  <c r="D22" i="4" l="1"/>
  <c r="F31"/>
  <c r="M20" i="1"/>
  <c r="O10"/>
  <c r="N15"/>
  <c r="N16"/>
  <c r="N23" s="1"/>
  <c r="N26" s="1"/>
  <c r="N27" s="1"/>
  <c r="N28" s="1"/>
  <c r="N18" s="1"/>
  <c r="D23" i="4" l="1"/>
  <c r="F23" s="1"/>
  <c r="F22"/>
  <c r="N20" i="1"/>
  <c r="O15"/>
  <c r="O16"/>
  <c r="O23" s="1"/>
  <c r="O26" s="1"/>
  <c r="O27" s="1"/>
  <c r="O28" s="1"/>
  <c r="O18" s="1"/>
  <c r="O20" l="1"/>
</calcChain>
</file>

<file path=xl/sharedStrings.xml><?xml version="1.0" encoding="utf-8"?>
<sst xmlns="http://schemas.openxmlformats.org/spreadsheetml/2006/main" count="108" uniqueCount="80">
  <si>
    <t>Capital Spending Approved</t>
  </si>
  <si>
    <t>Rate Base</t>
  </si>
  <si>
    <t>Opening Balance</t>
  </si>
  <si>
    <t>Depreciation for the year</t>
  </si>
  <si>
    <t>Closing Balance</t>
  </si>
  <si>
    <t>Average Fixed Assets</t>
  </si>
  <si>
    <t>Working Capital Allowance</t>
  </si>
  <si>
    <t>Depreciation</t>
  </si>
  <si>
    <t>Cost of capital (6.94%)</t>
  </si>
  <si>
    <t>Interest (5.18% x 60%)</t>
  </si>
  <si>
    <t>Return on Equity (9.58% x 40%)</t>
  </si>
  <si>
    <t>PILs</t>
  </si>
  <si>
    <t>Target Net Income</t>
  </si>
  <si>
    <t>Add: Depreciation</t>
  </si>
  <si>
    <t>Less: CCA</t>
  </si>
  <si>
    <t>Depreciation vs CCA ratio</t>
  </si>
  <si>
    <t>Incone for PILs purpose</t>
  </si>
  <si>
    <t>Tax rate</t>
  </si>
  <si>
    <t>Gross-up PILs</t>
  </si>
  <si>
    <t>Total Revenue Requirment</t>
  </si>
  <si>
    <t>Average life of Assets</t>
  </si>
  <si>
    <t>CapEx Approved 2011</t>
  </si>
  <si>
    <t>Funded through Depreciation</t>
  </si>
  <si>
    <t>Opening Rate Base</t>
  </si>
  <si>
    <t>PILs Calculation</t>
  </si>
  <si>
    <t>Assumptions</t>
  </si>
  <si>
    <t>Cost of Service Method</t>
  </si>
  <si>
    <t>IRM Method</t>
  </si>
  <si>
    <t>Variance</t>
  </si>
  <si>
    <t>Fixed Assets Impact</t>
  </si>
  <si>
    <t>Total</t>
  </si>
  <si>
    <t>Control</t>
  </si>
  <si>
    <t>Rate Class</t>
  </si>
  <si>
    <t>Fixed Metric</t>
  </si>
  <si>
    <t>Vol Metric</t>
  </si>
  <si>
    <t>Service Charge % Revenue</t>
  </si>
  <si>
    <t>Distribution Volumetric Rate % Revenue 
kWh</t>
  </si>
  <si>
    <t>Distribution Volumetric Rate % Revenue 
kW</t>
  </si>
  <si>
    <t>Service Charge Revenue</t>
  </si>
  <si>
    <t>Distribution Volumetric Rate Revenue 
kWh</t>
  </si>
  <si>
    <t>Total Revenue by Rate Class</t>
  </si>
  <si>
    <t>Billed Customers or Connections</t>
  </si>
  <si>
    <t>Billed kWh</t>
  </si>
  <si>
    <t>A</t>
  </si>
  <si>
    <t>B</t>
  </si>
  <si>
    <t>C</t>
  </si>
  <si>
    <t>D = $N * A</t>
  </si>
  <si>
    <t>E = $N * B</t>
  </si>
  <si>
    <t>F = $N * C</t>
  </si>
  <si>
    <t>G = D + E + F</t>
  </si>
  <si>
    <t>H</t>
  </si>
  <si>
    <t xml:space="preserve">I </t>
  </si>
  <si>
    <t xml:space="preserve">J </t>
  </si>
  <si>
    <t>K = D / H / 12</t>
  </si>
  <si>
    <t>L = E / I</t>
  </si>
  <si>
    <t>M = F / J</t>
  </si>
  <si>
    <t xml:space="preserve"> </t>
  </si>
  <si>
    <t>APPENDIX 1 TO MANAGER'S SUMMARY</t>
  </si>
  <si>
    <t>($ millions)</t>
  </si>
  <si>
    <t>Closing Rate Base in 2011</t>
  </si>
  <si>
    <t>Opening Rate Base in 2012</t>
  </si>
  <si>
    <t>Average Balance</t>
  </si>
  <si>
    <t>Revenue Requirement</t>
  </si>
  <si>
    <t>Total Revenue Requirement</t>
  </si>
  <si>
    <t>Income for PILs purposes</t>
  </si>
  <si>
    <t>Service Charge Rate Adder</t>
  </si>
  <si>
    <t>Distribution Volumetric Rate kWh Rate Adder</t>
  </si>
  <si>
    <t>Service Charge Rate Adder (DOS)</t>
  </si>
  <si>
    <t>Distribution Volumetric Rate kWh Adder Rider</t>
  </si>
  <si>
    <t>2011 Unfunded Capex Rate Rider</t>
  </si>
  <si>
    <t>Incremental Revenue Requirement for 2012</t>
  </si>
  <si>
    <t>Incremental Revenue Requirement for 2013</t>
  </si>
  <si>
    <t>Incremental Revenue Requirement for 2014</t>
  </si>
  <si>
    <t>Total Revenue Requirement 2012-2014</t>
  </si>
  <si>
    <t>Annual Recovery over 2013-2014</t>
  </si>
  <si>
    <t>B = A / 2</t>
  </si>
  <si>
    <t>Distribution Volumetric Rate kVA Rate Adder</t>
  </si>
  <si>
    <t>Distribution Volumetric Rate kVA Rate Adder (DOS)</t>
  </si>
  <si>
    <t>Billed kVA</t>
  </si>
  <si>
    <t>Distribution Volumetric Rate Revenue 
kVA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</si>
</sst>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,,_ ;[Red]\-#,##0.0,,"/>
    <numFmt numFmtId="167" formatCode="_-* #,##0.0,,_-;[Red]\-#,##0.0,,_-;_-* &quot;-&quot;??_-;_-@_-"/>
    <numFmt numFmtId="168" formatCode="0\ &quot;years&quot;"/>
    <numFmt numFmtId="169" formatCode="&quot;$&quot;#,##0.000000"/>
    <numFmt numFmtId="170" formatCode="&quot;$&quot;#,##0.00000"/>
    <numFmt numFmtId="171" formatCode="&quot;$&quot;#,##0.0000"/>
    <numFmt numFmtId="172" formatCode="&quot;$&quot;#,##0.00"/>
    <numFmt numFmtId="173" formatCode="0.0%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 val="singleAccounting"/>
      <sz val="11"/>
      <color theme="1"/>
      <name val="Calibri"/>
      <family val="2"/>
    </font>
    <font>
      <sz val="12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Up">
        <fgColor theme="0" tint="-0.34998626667073579"/>
        <bgColor indexed="65"/>
      </patternFill>
    </fill>
    <fill>
      <patternFill patternType="darkUp">
        <fgColor theme="0" tint="-0.34998626667073579"/>
        <bgColor theme="0" tint="-4.9989318521683403E-2"/>
      </patternFill>
    </fill>
    <fill>
      <patternFill patternType="lightDown">
        <fgColor theme="0" tint="-0.149967955565050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10" fontId="0" fillId="0" borderId="0" xfId="2" applyNumberFormat="1" applyFont="1"/>
    <xf numFmtId="0" fontId="0" fillId="2" borderId="1" xfId="0" applyFill="1" applyBorder="1" applyAlignment="1">
      <alignment shrinkToFit="1"/>
    </xf>
    <xf numFmtId="0" fontId="0" fillId="2" borderId="2" xfId="0" applyFill="1" applyBorder="1" applyAlignment="1">
      <alignment shrinkToFit="1"/>
    </xf>
    <xf numFmtId="0" fontId="0" fillId="0" borderId="4" xfId="0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0" borderId="6" xfId="0" applyBorder="1"/>
    <xf numFmtId="0" fontId="0" fillId="0" borderId="5" xfId="0" applyBorder="1"/>
    <xf numFmtId="10" fontId="0" fillId="0" borderId="5" xfId="2" applyNumberFormat="1" applyFont="1" applyBorder="1"/>
    <xf numFmtId="166" fontId="0" fillId="0" borderId="0" xfId="1" applyNumberFormat="1" applyFont="1" applyBorder="1" applyAlignment="1">
      <alignment shrinkToFit="1"/>
    </xf>
    <xf numFmtId="0" fontId="0" fillId="0" borderId="0" xfId="0" applyBorder="1"/>
    <xf numFmtId="167" fontId="0" fillId="0" borderId="0" xfId="1" applyNumberFormat="1" applyFont="1" applyBorder="1" applyAlignment="1">
      <alignment shrinkToFit="1"/>
    </xf>
    <xf numFmtId="167" fontId="0" fillId="0" borderId="0" xfId="1" applyNumberFormat="1" applyFont="1" applyAlignment="1">
      <alignment shrinkToFit="1"/>
    </xf>
    <xf numFmtId="167" fontId="0" fillId="3" borderId="1" xfId="1" applyNumberFormat="1" applyFont="1" applyFill="1" applyBorder="1" applyAlignment="1">
      <alignment shrinkToFit="1"/>
    </xf>
    <xf numFmtId="167" fontId="0" fillId="0" borderId="0" xfId="1" applyNumberFormat="1" applyFont="1"/>
    <xf numFmtId="167" fontId="0" fillId="0" borderId="6" xfId="1" applyNumberFormat="1" applyFont="1" applyBorder="1"/>
    <xf numFmtId="0" fontId="0" fillId="3" borderId="4" xfId="0" applyFill="1" applyBorder="1" applyAlignment="1">
      <alignment shrinkToFit="1"/>
    </xf>
    <xf numFmtId="167" fontId="0" fillId="3" borderId="0" xfId="1" applyNumberFormat="1" applyFont="1" applyFill="1" applyBorder="1" applyAlignment="1">
      <alignment shrinkToFit="1"/>
    </xf>
    <xf numFmtId="167" fontId="0" fillId="4" borderId="0" xfId="1" applyNumberFormat="1" applyFont="1" applyFill="1"/>
    <xf numFmtId="167" fontId="0" fillId="5" borderId="1" xfId="1" applyNumberFormat="1" applyFont="1" applyFill="1" applyBorder="1" applyAlignment="1">
      <alignment shrinkToFit="1"/>
    </xf>
    <xf numFmtId="167" fontId="0" fillId="4" borderId="6" xfId="1" applyNumberFormat="1" applyFont="1" applyFill="1" applyBorder="1"/>
    <xf numFmtId="0" fontId="0" fillId="4" borderId="0" xfId="0" applyFill="1"/>
    <xf numFmtId="0" fontId="0" fillId="4" borderId="6" xfId="0" applyFill="1" applyBorder="1"/>
    <xf numFmtId="10" fontId="0" fillId="4" borderId="5" xfId="2" applyNumberFormat="1" applyFont="1" applyFill="1" applyBorder="1"/>
    <xf numFmtId="166" fontId="4" fillId="3" borderId="1" xfId="1" applyNumberFormat="1" applyFont="1" applyFill="1" applyBorder="1" applyAlignment="1">
      <alignment shrinkToFit="1"/>
    </xf>
    <xf numFmtId="168" fontId="0" fillId="0" borderId="0" xfId="0" applyNumberFormat="1" applyBorder="1"/>
    <xf numFmtId="168" fontId="0" fillId="4" borderId="0" xfId="0" applyNumberFormat="1" applyFill="1" applyBorder="1"/>
    <xf numFmtId="168" fontId="0" fillId="0" borderId="0" xfId="0" applyNumberFormat="1"/>
    <xf numFmtId="0" fontId="0" fillId="0" borderId="0" xfId="0" applyProtection="1"/>
    <xf numFmtId="0" fontId="6" fillId="0" borderId="0" xfId="4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6" fillId="7" borderId="0" xfId="4" applyFill="1" applyAlignment="1" applyProtection="1">
      <alignment horizontal="center"/>
    </xf>
    <xf numFmtId="0" fontId="0" fillId="8" borderId="0" xfId="0" applyFill="1" applyProtection="1"/>
    <xf numFmtId="164" fontId="6" fillId="8" borderId="0" xfId="3" applyNumberFormat="1" applyFont="1" applyFill="1" applyProtection="1"/>
    <xf numFmtId="3" fontId="6" fillId="8" borderId="0" xfId="4" applyNumberFormat="1" applyFill="1" applyProtection="1"/>
    <xf numFmtId="169" fontId="6" fillId="8" borderId="0" xfId="4" applyNumberFormat="1" applyFill="1" applyProtection="1"/>
    <xf numFmtId="164" fontId="6" fillId="8" borderId="7" xfId="3" applyNumberFormat="1" applyFont="1" applyFill="1" applyBorder="1" applyProtection="1"/>
    <xf numFmtId="164" fontId="6" fillId="9" borderId="7" xfId="3" applyNumberFormat="1" applyFont="1" applyFill="1" applyBorder="1" applyProtection="1"/>
    <xf numFmtId="0" fontId="0" fillId="0" borderId="0" xfId="0" applyProtection="1">
      <protection locked="0"/>
    </xf>
    <xf numFmtId="0" fontId="0" fillId="0" borderId="0" xfId="0" applyBorder="1" applyAlignment="1">
      <alignment shrinkToFit="1"/>
    </xf>
    <xf numFmtId="0" fontId="0" fillId="0" borderId="0" xfId="0" applyBorder="1"/>
    <xf numFmtId="0" fontId="0" fillId="0" borderId="5" xfId="0" applyFill="1" applyBorder="1" applyAlignment="1">
      <alignment shrinkToFit="1"/>
    </xf>
    <xf numFmtId="166" fontId="0" fillId="0" borderId="0" xfId="0" applyNumberFormat="1" applyBorder="1" applyAlignment="1">
      <alignment shrinkToFit="1"/>
    </xf>
    <xf numFmtId="166" fontId="0" fillId="0" borderId="6" xfId="0" applyNumberFormat="1" applyBorder="1"/>
    <xf numFmtId="166" fontId="0" fillId="0" borderId="0" xfId="0" applyNumberFormat="1" applyBorder="1"/>
    <xf numFmtId="166" fontId="4" fillId="3" borderId="1" xfId="1" applyNumberFormat="1" applyFont="1" applyFill="1" applyBorder="1" applyAlignment="1">
      <alignment shrinkToFit="1"/>
    </xf>
    <xf numFmtId="166" fontId="0" fillId="0" borderId="5" xfId="0" applyNumberFormat="1" applyBorder="1"/>
    <xf numFmtId="0" fontId="0" fillId="0" borderId="6" xfId="0" applyBorder="1"/>
    <xf numFmtId="168" fontId="0" fillId="0" borderId="0" xfId="0" applyNumberFormat="1" applyBorder="1"/>
    <xf numFmtId="0" fontId="3" fillId="0" borderId="0" xfId="0" applyFont="1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3" fillId="0" borderId="13" xfId="0" applyFont="1" applyBorder="1" applyAlignment="1">
      <alignment shrinkToFit="1"/>
    </xf>
    <xf numFmtId="0" fontId="0" fillId="0" borderId="14" xfId="0" applyFill="1" applyBorder="1" applyAlignment="1">
      <alignment horizontal="right" shrinkToFit="1"/>
    </xf>
    <xf numFmtId="0" fontId="0" fillId="0" borderId="15" xfId="0" applyBorder="1" applyAlignment="1">
      <alignment shrinkToFit="1"/>
    </xf>
    <xf numFmtId="0" fontId="0" fillId="0" borderId="13" xfId="0" applyBorder="1" applyAlignment="1">
      <alignment shrinkToFit="1"/>
    </xf>
    <xf numFmtId="166" fontId="0" fillId="0" borderId="12" xfId="0" applyNumberFormat="1" applyBorder="1" applyAlignment="1">
      <alignment shrinkToFit="1"/>
    </xf>
    <xf numFmtId="0" fontId="3" fillId="0" borderId="11" xfId="0" applyFont="1" applyBorder="1" applyAlignment="1">
      <alignment shrinkToFit="1"/>
    </xf>
    <xf numFmtId="166" fontId="0" fillId="0" borderId="16" xfId="0" applyNumberFormat="1" applyBorder="1"/>
    <xf numFmtId="166" fontId="0" fillId="0" borderId="12" xfId="0" applyNumberFormat="1" applyBorder="1"/>
    <xf numFmtId="0" fontId="0" fillId="0" borderId="11" xfId="0" applyBorder="1" applyAlignment="1">
      <alignment horizontal="left" indent="3"/>
    </xf>
    <xf numFmtId="0" fontId="0" fillId="0" borderId="11" xfId="0" applyBorder="1" applyAlignment="1">
      <alignment horizontal="left"/>
    </xf>
    <xf numFmtId="0" fontId="0" fillId="3" borderId="17" xfId="0" applyFill="1" applyBorder="1" applyAlignment="1">
      <alignment shrinkToFit="1"/>
    </xf>
    <xf numFmtId="0" fontId="0" fillId="0" borderId="11" xfId="0" applyBorder="1"/>
    <xf numFmtId="0" fontId="0" fillId="0" borderId="15" xfId="0" applyBorder="1"/>
    <xf numFmtId="0" fontId="0" fillId="0" borderId="13" xfId="0" applyBorder="1"/>
    <xf numFmtId="166" fontId="0" fillId="0" borderId="14" xfId="0" applyNumberFormat="1" applyBorder="1"/>
    <xf numFmtId="0" fontId="0" fillId="0" borderId="12" xfId="0" applyBorder="1"/>
    <xf numFmtId="0" fontId="0" fillId="0" borderId="19" xfId="0" applyBorder="1"/>
    <xf numFmtId="0" fontId="3" fillId="11" borderId="0" xfId="0" applyFont="1" applyFill="1" applyBorder="1" applyAlignment="1">
      <alignment shrinkToFit="1"/>
    </xf>
    <xf numFmtId="0" fontId="0" fillId="11" borderId="0" xfId="0" applyFill="1" applyBorder="1" applyAlignment="1">
      <alignment shrinkToFit="1"/>
    </xf>
    <xf numFmtId="0" fontId="0" fillId="11" borderId="0" xfId="0" applyFill="1" applyBorder="1" applyAlignment="1">
      <alignment horizontal="left" indent="3"/>
    </xf>
    <xf numFmtId="0" fontId="0" fillId="11" borderId="0" xfId="0" applyFill="1" applyBorder="1" applyAlignment="1">
      <alignment horizontal="left"/>
    </xf>
    <xf numFmtId="0" fontId="0" fillId="11" borderId="0" xfId="0" applyFill="1" applyBorder="1"/>
    <xf numFmtId="166" fontId="2" fillId="0" borderId="0" xfId="1" applyNumberFormat="1" applyFont="1" applyBorder="1" applyAlignment="1">
      <alignment shrinkToFit="1"/>
    </xf>
    <xf numFmtId="166" fontId="2" fillId="6" borderId="12" xfId="1" applyNumberFormat="1" applyFont="1" applyFill="1" applyBorder="1" applyAlignment="1">
      <alignment shrinkToFit="1"/>
    </xf>
    <xf numFmtId="166" fontId="2" fillId="0" borderId="5" xfId="1" applyNumberFormat="1" applyFont="1" applyBorder="1" applyAlignment="1">
      <alignment shrinkToFit="1"/>
    </xf>
    <xf numFmtId="166" fontId="2" fillId="6" borderId="14" xfId="1" applyNumberFormat="1" applyFont="1" applyFill="1" applyBorder="1" applyAlignment="1">
      <alignment shrinkToFit="1"/>
    </xf>
    <xf numFmtId="166" fontId="4" fillId="3" borderId="18" xfId="1" applyNumberFormat="1" applyFont="1" applyFill="1" applyBorder="1" applyAlignment="1">
      <alignment shrinkToFit="1"/>
    </xf>
    <xf numFmtId="166" fontId="2" fillId="3" borderId="1" xfId="1" applyNumberFormat="1" applyFont="1" applyFill="1" applyBorder="1" applyAlignment="1">
      <alignment shrinkToFit="1"/>
    </xf>
    <xf numFmtId="166" fontId="2" fillId="3" borderId="18" xfId="1" applyNumberFormat="1" applyFont="1" applyFill="1" applyBorder="1" applyAlignment="1">
      <alignment shrinkToFit="1"/>
    </xf>
    <xf numFmtId="10" fontId="2" fillId="11" borderId="20" xfId="2" applyNumberFormat="1" applyFont="1" applyFill="1" applyBorder="1"/>
    <xf numFmtId="166" fontId="2" fillId="6" borderId="21" xfId="1" applyNumberFormat="1" applyFont="1" applyFill="1" applyBorder="1" applyAlignment="1">
      <alignment shrinkToFit="1"/>
    </xf>
    <xf numFmtId="0" fontId="9" fillId="0" borderId="0" xfId="0" applyFont="1" applyProtection="1"/>
    <xf numFmtId="169" fontId="5" fillId="12" borderId="0" xfId="0" applyNumberFormat="1" applyFont="1" applyFill="1" applyProtection="1"/>
    <xf numFmtId="0" fontId="6" fillId="0" borderId="0" xfId="4" applyProtection="1"/>
    <xf numFmtId="165" fontId="10" fillId="0" borderId="0" xfId="1" applyNumberFormat="1" applyFont="1" applyProtection="1"/>
    <xf numFmtId="0" fontId="8" fillId="0" borderId="0" xfId="0" applyFont="1" applyBorder="1" applyAlignment="1" applyProtection="1">
      <alignment horizontal="left"/>
    </xf>
    <xf numFmtId="0" fontId="0" fillId="0" borderId="0" xfId="0" applyFill="1" applyAlignment="1" applyProtection="1">
      <alignment horizontal="right" vertical="center"/>
    </xf>
    <xf numFmtId="164" fontId="0" fillId="10" borderId="0" xfId="0" applyNumberFormat="1" applyFill="1" applyProtection="1"/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left"/>
    </xf>
    <xf numFmtId="170" fontId="5" fillId="12" borderId="0" xfId="0" applyNumberFormat="1" applyFont="1" applyFill="1" applyProtection="1"/>
    <xf numFmtId="171" fontId="5" fillId="12" borderId="0" xfId="0" applyNumberFormat="1" applyFont="1" applyFill="1" applyProtection="1"/>
    <xf numFmtId="172" fontId="5" fillId="12" borderId="0" xfId="0" applyNumberFormat="1" applyFont="1" applyFill="1" applyProtection="1"/>
    <xf numFmtId="164" fontId="11" fillId="10" borderId="0" xfId="0" applyNumberFormat="1" applyFont="1" applyFill="1" applyProtection="1"/>
    <xf numFmtId="0" fontId="0" fillId="0" borderId="0" xfId="0" applyAlignment="1" applyProtection="1">
      <alignment horizontal="center"/>
    </xf>
    <xf numFmtId="164" fontId="6" fillId="9" borderId="22" xfId="3" applyNumberFormat="1" applyFont="1" applyFill="1" applyBorder="1" applyProtection="1"/>
    <xf numFmtId="173" fontId="6" fillId="8" borderId="0" xfId="10" applyNumberFormat="1" applyFont="1" applyFill="1" applyProtection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</cellXfs>
  <cellStyles count="11">
    <cellStyle name="Comma" xfId="1" builtinId="3"/>
    <cellStyle name="Comma 2" xfId="8"/>
    <cellStyle name="Currency" xfId="3" builtinId="4"/>
    <cellStyle name="Currency 2" xfId="6"/>
    <cellStyle name="Currency 3" xfId="9"/>
    <cellStyle name="Normal" xfId="0" builtinId="0"/>
    <cellStyle name="Normal 2" xfId="5"/>
    <cellStyle name="Normal 3" xfId="7"/>
    <cellStyle name="Normal_Core Model Version 0.1" xfId="4"/>
    <cellStyle name="Percent" xfId="2" builtinId="5"/>
    <cellStyle name="Percent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12%20IRM/IRM%20MODELS%20for%20Filings/For%20Project%20Wise%20(Refile%20-%20V4.0)/2012%20ICM/2012%20IRM3%20IncrementalCapitalWorkform%20v4.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1.1 LDC Information"/>
      <sheetName val="A2.1 Table of Contents"/>
      <sheetName val="B1.1 Re-Based Bill Det &amp; Rates"/>
      <sheetName val="B1.2 Removal of Rate Adders"/>
      <sheetName val="B1.3 Re-Based Rev From Rates"/>
      <sheetName val="B1.4 Re-Based Rev Req"/>
      <sheetName val="C1.1 Ld Act-Mst Rcent Yr"/>
      <sheetName val="F1.2 CalcTaxChg RRider OptA FV"/>
      <sheetName val="D1.1 Current Revenue from Rates"/>
      <sheetName val="E1.1 Threshold Parameters"/>
      <sheetName val="E2.1 Threshold Test"/>
      <sheetName val="E3.1 Summary of I C Projects"/>
      <sheetName val="E4.1 IncrementalCapitalAdjust"/>
      <sheetName val="F1.1 Incr Cap RRider Opt A FV"/>
      <sheetName val="F1.2 Incr Cap RRider Opt B Var"/>
      <sheetName val="Z1.0 OEB Control Sheet"/>
    </sheetNames>
    <sheetDataSet>
      <sheetData sheetId="0"/>
      <sheetData sheetId="1"/>
      <sheetData sheetId="2">
        <row r="22">
          <cell r="D22" t="str">
            <v>Residential</v>
          </cell>
          <cell r="E22" t="str">
            <v>Customer</v>
          </cell>
          <cell r="F22" t="str">
            <v>kWh</v>
          </cell>
        </row>
        <row r="23">
          <cell r="D23" t="str">
            <v>Residential Urban</v>
          </cell>
          <cell r="E23" t="str">
            <v>Customer</v>
          </cell>
          <cell r="F23" t="str">
            <v>kWh</v>
          </cell>
        </row>
        <row r="24">
          <cell r="D24" t="str">
            <v>General Service Less Than 50 kW</v>
          </cell>
          <cell r="E24" t="str">
            <v>Customer</v>
          </cell>
          <cell r="F24" t="str">
            <v>kWh</v>
          </cell>
        </row>
        <row r="25">
          <cell r="D25" t="str">
            <v>General Service 50 to 999 kW</v>
          </cell>
          <cell r="E25" t="str">
            <v>Customer</v>
          </cell>
          <cell r="F25" t="str">
            <v>kW</v>
          </cell>
        </row>
        <row r="26">
          <cell r="D26" t="str">
            <v>General Service 1,000 to 4,999 kW</v>
          </cell>
          <cell r="E26" t="str">
            <v>Customer</v>
          </cell>
          <cell r="F26" t="str">
            <v>kW</v>
          </cell>
        </row>
        <row r="27">
          <cell r="D27" t="str">
            <v>Large Use</v>
          </cell>
          <cell r="E27" t="str">
            <v>Customer</v>
          </cell>
          <cell r="F27" t="str">
            <v>kW</v>
          </cell>
        </row>
        <row r="28">
          <cell r="D28" t="str">
            <v>Street Lighting</v>
          </cell>
          <cell r="E28" t="str">
            <v>Connection</v>
          </cell>
          <cell r="F28" t="str">
            <v>kW</v>
          </cell>
        </row>
        <row r="29">
          <cell r="D29" t="str">
            <v>Unmetered Scattered Load</v>
          </cell>
          <cell r="E29" t="str">
            <v>Connection</v>
          </cell>
          <cell r="F29" t="str">
            <v>kWh</v>
          </cell>
        </row>
        <row r="30">
          <cell r="D30" t="str">
            <v>Unmetered Scattered Load</v>
          </cell>
          <cell r="E30" t="str">
            <v>Connection</v>
          </cell>
          <cell r="F30" t="str">
            <v>kWh</v>
          </cell>
        </row>
      </sheetData>
      <sheetData sheetId="3"/>
      <sheetData sheetId="4"/>
      <sheetData sheetId="5"/>
      <sheetData sheetId="6"/>
      <sheetData sheetId="7"/>
      <sheetData sheetId="8">
        <row r="31">
          <cell r="T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15">
          <cell r="C15" t="str">
            <v>Calculation of Incremental Capital Rate Rider - Option A Fixed and Variable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408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showGridLines="0" tabSelected="1" view="pageBreakPreview" zoomScale="60" zoomScaleNormal="100" workbookViewId="0">
      <selection activeCell="K31" sqref="K31"/>
    </sheetView>
  </sheetViews>
  <sheetFormatPr defaultRowHeight="15"/>
  <cols>
    <col min="1" max="1" width="6.7109375" style="44" customWidth="1"/>
    <col min="2" max="2" width="36.140625" bestFit="1" customWidth="1"/>
    <col min="3" max="5" width="11.7109375" customWidth="1"/>
  </cols>
  <sheetData>
    <row r="1" spans="1:6">
      <c r="A1" s="43"/>
      <c r="B1" s="1"/>
      <c r="C1" s="1"/>
      <c r="D1" s="1"/>
      <c r="E1" s="1"/>
    </row>
    <row r="2" spans="1:6">
      <c r="A2" s="43"/>
      <c r="C2" s="12"/>
      <c r="D2" s="1"/>
      <c r="E2" s="1"/>
    </row>
    <row r="3" spans="1:6" ht="21">
      <c r="A3" s="43"/>
      <c r="B3" s="103" t="s">
        <v>57</v>
      </c>
      <c r="C3" s="104"/>
      <c r="D3" s="104"/>
      <c r="E3" s="104"/>
      <c r="F3" s="105"/>
    </row>
    <row r="4" spans="1:6">
      <c r="A4" s="43"/>
      <c r="B4" s="106" t="s">
        <v>58</v>
      </c>
      <c r="C4" s="107"/>
      <c r="D4" s="107"/>
      <c r="E4" s="107"/>
      <c r="F4" s="108"/>
    </row>
    <row r="5" spans="1:6">
      <c r="A5" s="43"/>
      <c r="B5" s="54" t="s">
        <v>21</v>
      </c>
      <c r="C5" s="44"/>
      <c r="D5" s="78">
        <v>378800000</v>
      </c>
      <c r="E5" s="43"/>
      <c r="F5" s="55"/>
    </row>
    <row r="6" spans="1:6">
      <c r="A6" s="43"/>
      <c r="B6" s="54" t="s">
        <v>22</v>
      </c>
      <c r="C6" s="44"/>
      <c r="D6" s="78">
        <v>-138800000</v>
      </c>
      <c r="E6" s="43"/>
      <c r="F6" s="55"/>
    </row>
    <row r="7" spans="1:6">
      <c r="A7" s="43"/>
      <c r="B7" s="54" t="s">
        <v>29</v>
      </c>
      <c r="C7" s="44"/>
      <c r="D7" s="78">
        <f>D5+D6</f>
        <v>240000000</v>
      </c>
      <c r="E7" s="43"/>
      <c r="F7" s="55"/>
    </row>
    <row r="8" spans="1:6">
      <c r="A8" s="53"/>
      <c r="B8" s="54" t="s">
        <v>59</v>
      </c>
      <c r="C8" s="44"/>
      <c r="D8" s="78">
        <f>D7/2</f>
        <v>120000000</v>
      </c>
      <c r="E8" s="43"/>
      <c r="F8" s="55"/>
    </row>
    <row r="9" spans="1:6">
      <c r="A9" s="43"/>
      <c r="B9" s="54" t="s">
        <v>60</v>
      </c>
      <c r="C9" s="44"/>
      <c r="D9" s="78">
        <f>D8</f>
        <v>120000000</v>
      </c>
      <c r="E9" s="43"/>
      <c r="F9" s="55"/>
    </row>
    <row r="10" spans="1:6">
      <c r="A10" s="43"/>
      <c r="B10" s="54"/>
      <c r="C10" s="43"/>
      <c r="D10" s="43"/>
      <c r="E10" s="43"/>
      <c r="F10" s="55"/>
    </row>
    <row r="11" spans="1:6">
      <c r="A11" s="43"/>
      <c r="B11" s="56" t="s">
        <v>1</v>
      </c>
      <c r="C11" s="45">
        <v>2012</v>
      </c>
      <c r="D11" s="45">
        <v>2013</v>
      </c>
      <c r="E11" s="45">
        <v>2014</v>
      </c>
      <c r="F11" s="57" t="s">
        <v>30</v>
      </c>
    </row>
    <row r="12" spans="1:6">
      <c r="A12" s="43"/>
      <c r="B12" s="58" t="s">
        <v>23</v>
      </c>
      <c r="C12" s="78">
        <f>D9</f>
        <v>120000000</v>
      </c>
      <c r="D12" s="78">
        <f>C14</f>
        <v>116250000</v>
      </c>
      <c r="E12" s="78">
        <f>D14</f>
        <v>112500000</v>
      </c>
      <c r="F12" s="79"/>
    </row>
    <row r="13" spans="1:6">
      <c r="A13" s="73"/>
      <c r="B13" s="54" t="s">
        <v>3</v>
      </c>
      <c r="C13" s="78">
        <f>-C12/C35</f>
        <v>-3750000</v>
      </c>
      <c r="D13" s="78">
        <f>C13</f>
        <v>-3750000</v>
      </c>
      <c r="E13" s="78">
        <f>D13</f>
        <v>-3750000</v>
      </c>
      <c r="F13" s="79"/>
    </row>
    <row r="14" spans="1:6">
      <c r="A14" s="74"/>
      <c r="B14" s="54" t="s">
        <v>4</v>
      </c>
      <c r="C14" s="78">
        <f>C12+C13</f>
        <v>116250000</v>
      </c>
      <c r="D14" s="78">
        <f>D12+D13</f>
        <v>112500000</v>
      </c>
      <c r="E14" s="78">
        <f>E12+E13</f>
        <v>108750000</v>
      </c>
      <c r="F14" s="79"/>
    </row>
    <row r="15" spans="1:6">
      <c r="A15" s="74"/>
      <c r="B15" s="59" t="s">
        <v>61</v>
      </c>
      <c r="C15" s="80">
        <f>AVERAGE(C14,C12)</f>
        <v>118125000</v>
      </c>
      <c r="D15" s="80">
        <f>AVERAGE(D14,D12)</f>
        <v>114375000</v>
      </c>
      <c r="E15" s="80">
        <f>AVERAGE(E14,E12)</f>
        <v>110625000</v>
      </c>
      <c r="F15" s="81"/>
    </row>
    <row r="16" spans="1:6">
      <c r="A16" s="75"/>
      <c r="B16" s="54"/>
      <c r="C16" s="46"/>
      <c r="D16" s="46"/>
      <c r="E16" s="46"/>
      <c r="F16" s="60"/>
    </row>
    <row r="17" spans="1:6">
      <c r="A17" s="75"/>
      <c r="B17" s="61" t="s">
        <v>62</v>
      </c>
      <c r="C17" s="46"/>
      <c r="D17" s="46"/>
      <c r="E17" s="46"/>
      <c r="F17" s="60"/>
    </row>
    <row r="18" spans="1:6">
      <c r="A18" s="76"/>
      <c r="B18" s="58" t="s">
        <v>7</v>
      </c>
      <c r="C18" s="47">
        <f>-C13</f>
        <v>3750000</v>
      </c>
      <c r="D18" s="47">
        <f>-D13</f>
        <v>3750000</v>
      </c>
      <c r="E18" s="47">
        <f>-E13</f>
        <v>3750000</v>
      </c>
      <c r="F18" s="62">
        <f>SUM(C18:E18)</f>
        <v>11250000</v>
      </c>
    </row>
    <row r="19" spans="1:6">
      <c r="A19" s="74"/>
      <c r="B19" s="54" t="s">
        <v>8</v>
      </c>
      <c r="C19" s="48"/>
      <c r="D19" s="48"/>
      <c r="E19" s="48"/>
      <c r="F19" s="63"/>
    </row>
    <row r="20" spans="1:6">
      <c r="A20" s="77"/>
      <c r="B20" s="64" t="s">
        <v>9</v>
      </c>
      <c r="C20" s="48">
        <f>C15*0.6*5.18%</f>
        <v>3671325</v>
      </c>
      <c r="D20" s="48">
        <f>D15*0.6*5.18%</f>
        <v>3554775</v>
      </c>
      <c r="E20" s="48">
        <f>E15*0.6*5.18%</f>
        <v>3438225</v>
      </c>
      <c r="F20" s="63">
        <f>SUM(C20:E20)</f>
        <v>10664325</v>
      </c>
    </row>
    <row r="21" spans="1:6">
      <c r="A21" s="73"/>
      <c r="B21" s="64" t="s">
        <v>10</v>
      </c>
      <c r="C21" s="48">
        <f>C15*0.4*9.58%</f>
        <v>4526550</v>
      </c>
      <c r="D21" s="48">
        <f>D15*0.4*9.58%</f>
        <v>4382850</v>
      </c>
      <c r="E21" s="48">
        <f>E15*0.4*9.58%</f>
        <v>4239150</v>
      </c>
      <c r="F21" s="63">
        <f>SUM(C21:E21)</f>
        <v>13148550</v>
      </c>
    </row>
    <row r="22" spans="1:6">
      <c r="A22" s="77"/>
      <c r="B22" s="65" t="s">
        <v>11</v>
      </c>
      <c r="C22" s="48">
        <f>C31</f>
        <v>1045257.0652173915</v>
      </c>
      <c r="D22" s="48">
        <f>D31</f>
        <v>993712.5</v>
      </c>
      <c r="E22" s="48">
        <f>E31</f>
        <v>942167.93478260865</v>
      </c>
      <c r="F22" s="63">
        <f>SUM(C22:E22)</f>
        <v>2981137.5</v>
      </c>
    </row>
    <row r="23" spans="1:6" ht="21">
      <c r="A23" s="77"/>
      <c r="B23" s="66" t="s">
        <v>63</v>
      </c>
      <c r="C23" s="49">
        <f>SUM(C18:C22)</f>
        <v>12993132.065217391</v>
      </c>
      <c r="D23" s="49">
        <f>SUM(D18:D22)</f>
        <v>12681337.5</v>
      </c>
      <c r="E23" s="49">
        <f>SUM(E18:E22)</f>
        <v>12369542.934782609</v>
      </c>
      <c r="F23" s="82">
        <f>SUM(C23:E23)</f>
        <v>38044012.5</v>
      </c>
    </row>
    <row r="24" spans="1:6">
      <c r="A24" s="77"/>
      <c r="B24" s="67"/>
      <c r="C24" s="48"/>
      <c r="D24" s="48"/>
      <c r="E24" s="48"/>
      <c r="F24" s="63"/>
    </row>
    <row r="25" spans="1:6">
      <c r="A25" s="77"/>
      <c r="B25" s="61" t="s">
        <v>24</v>
      </c>
      <c r="C25" s="48"/>
      <c r="D25" s="48"/>
      <c r="E25" s="48"/>
      <c r="F25" s="63"/>
    </row>
    <row r="26" spans="1:6">
      <c r="A26" s="77"/>
      <c r="B26" s="68" t="s">
        <v>12</v>
      </c>
      <c r="C26" s="47">
        <f>C21</f>
        <v>4526550</v>
      </c>
      <c r="D26" s="47">
        <f>D21</f>
        <v>4382850</v>
      </c>
      <c r="E26" s="47">
        <f>E21</f>
        <v>4239150</v>
      </c>
      <c r="F26" s="62">
        <f t="shared" ref="F26:F31" si="0">SUM(C26:E26)</f>
        <v>13148550</v>
      </c>
    </row>
    <row r="27" spans="1:6">
      <c r="A27" s="74"/>
      <c r="B27" s="67" t="s">
        <v>13</v>
      </c>
      <c r="C27" s="48">
        <f>C18</f>
        <v>3750000</v>
      </c>
      <c r="D27" s="48">
        <f>D18</f>
        <v>3750000</v>
      </c>
      <c r="E27" s="48">
        <f>E18</f>
        <v>3750000</v>
      </c>
      <c r="F27" s="63">
        <f t="shared" si="0"/>
        <v>11250000</v>
      </c>
    </row>
    <row r="28" spans="1:6">
      <c r="A28" s="77"/>
      <c r="B28" s="69" t="s">
        <v>14</v>
      </c>
      <c r="C28" s="50">
        <f>-C27*C34</f>
        <v>-5362500</v>
      </c>
      <c r="D28" s="50">
        <f>-D27*D34</f>
        <v>-5362500</v>
      </c>
      <c r="E28" s="50">
        <f>-E27*E34</f>
        <v>-5362500</v>
      </c>
      <c r="F28" s="70">
        <f t="shared" si="0"/>
        <v>-16087500</v>
      </c>
    </row>
    <row r="29" spans="1:6">
      <c r="A29" s="73"/>
      <c r="B29" s="68" t="s">
        <v>64</v>
      </c>
      <c r="C29" s="47">
        <f>SUM(C26:C28)</f>
        <v>2914050</v>
      </c>
      <c r="D29" s="47">
        <f>SUM(D26:D28)</f>
        <v>2770350</v>
      </c>
      <c r="E29" s="47">
        <f>SUM(E26:E28)</f>
        <v>2626650</v>
      </c>
      <c r="F29" s="62">
        <f t="shared" si="0"/>
        <v>8311050</v>
      </c>
    </row>
    <row r="30" spans="1:6">
      <c r="A30" s="77"/>
      <c r="B30" s="67" t="s">
        <v>11</v>
      </c>
      <c r="C30" s="48">
        <f>C29*C36</f>
        <v>769309.20000000007</v>
      </c>
      <c r="D30" s="48">
        <f>D29*D36</f>
        <v>731372.4</v>
      </c>
      <c r="E30" s="48">
        <f>E29*E36</f>
        <v>693435.6</v>
      </c>
      <c r="F30" s="63">
        <f t="shared" si="0"/>
        <v>2194117.2000000002</v>
      </c>
    </row>
    <row r="31" spans="1:6">
      <c r="A31" s="77"/>
      <c r="B31" s="66" t="s">
        <v>18</v>
      </c>
      <c r="C31" s="83">
        <f>C30/(1-C36)</f>
        <v>1045257.0652173915</v>
      </c>
      <c r="D31" s="83">
        <f>D30/(1-D36)</f>
        <v>993712.5</v>
      </c>
      <c r="E31" s="83">
        <f>E30/(1-E36)</f>
        <v>942167.93478260865</v>
      </c>
      <c r="F31" s="84">
        <f t="shared" si="0"/>
        <v>2981137.5</v>
      </c>
    </row>
    <row r="32" spans="1:6">
      <c r="A32" s="77"/>
      <c r="B32" s="67"/>
      <c r="C32" s="44"/>
      <c r="D32" s="44"/>
      <c r="E32" s="44"/>
      <c r="F32" s="71"/>
    </row>
    <row r="33" spans="1:6">
      <c r="A33" s="77"/>
      <c r="B33" s="61" t="s">
        <v>25</v>
      </c>
      <c r="C33" s="44"/>
      <c r="D33" s="44"/>
      <c r="E33" s="44"/>
      <c r="F33" s="71"/>
    </row>
    <row r="34" spans="1:6">
      <c r="B34" s="68" t="s">
        <v>15</v>
      </c>
      <c r="C34" s="51">
        <v>1.43</v>
      </c>
      <c r="D34" s="51">
        <v>1.43</v>
      </c>
      <c r="E34" s="51">
        <v>1.43</v>
      </c>
      <c r="F34" s="79"/>
    </row>
    <row r="35" spans="1:6">
      <c r="B35" s="67" t="s">
        <v>20</v>
      </c>
      <c r="C35" s="52">
        <v>32</v>
      </c>
      <c r="D35" s="52">
        <v>32</v>
      </c>
      <c r="E35" s="52">
        <v>32</v>
      </c>
      <c r="F35" s="79"/>
    </row>
    <row r="36" spans="1:6">
      <c r="B36" s="72" t="s">
        <v>17</v>
      </c>
      <c r="C36" s="85">
        <v>0.26400000000000001</v>
      </c>
      <c r="D36" s="85">
        <v>0.26400000000000001</v>
      </c>
      <c r="E36" s="85">
        <v>0.26400000000000001</v>
      </c>
      <c r="F36" s="86"/>
    </row>
  </sheetData>
  <mergeCells count="2">
    <mergeCell ref="B3:F3"/>
    <mergeCell ref="B4:F4"/>
  </mergeCells>
  <printOptions horizontalCentered="1"/>
  <pageMargins left="0.35433070866141736" right="0.31496062992125984" top="1.7716535433070868" bottom="0.74803149606299213" header="0.31496062992125984" footer="0.31496062992125984"/>
  <pageSetup orientation="portrait" r:id="rId1"/>
  <headerFooter>
    <oddHeader>&amp;RToronto Hydro-Electric System Limited
EB-2012-0064
Tab 2
Appendix 1
Filed:  2012 May 10
Corrected and Updated:  2012 Oct 31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showGridLines="0" zoomScale="80" zoomScaleNormal="80" workbookViewId="0">
      <selection activeCell="B5" sqref="B5:B6"/>
    </sheetView>
  </sheetViews>
  <sheetFormatPr defaultRowHeight="15"/>
  <cols>
    <col min="1" max="1" width="29.85546875" bestFit="1" customWidth="1"/>
    <col min="2" max="5" width="8.85546875" customWidth="1"/>
    <col min="6" max="6" width="3.5703125" customWidth="1"/>
    <col min="7" max="10" width="8.85546875" customWidth="1"/>
    <col min="11" max="11" width="2.7109375" customWidth="1"/>
    <col min="12" max="15" width="8.855468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09" t="s">
        <v>26</v>
      </c>
      <c r="C2" s="110"/>
      <c r="D2" s="110"/>
      <c r="E2" s="111"/>
      <c r="F2" s="1"/>
      <c r="G2" s="109" t="s">
        <v>27</v>
      </c>
      <c r="H2" s="110"/>
      <c r="I2" s="110"/>
      <c r="J2" s="111"/>
      <c r="K2" s="1"/>
      <c r="L2" s="109" t="s">
        <v>28</v>
      </c>
      <c r="M2" s="110"/>
      <c r="N2" s="110"/>
      <c r="O2" s="111"/>
    </row>
    <row r="3" spans="1:15">
      <c r="A3" s="6"/>
      <c r="B3" s="5">
        <v>2011</v>
      </c>
      <c r="C3" s="5">
        <v>2012</v>
      </c>
      <c r="D3" s="5">
        <v>2013</v>
      </c>
      <c r="E3" s="5">
        <v>2014</v>
      </c>
      <c r="F3" s="1"/>
      <c r="G3" s="5">
        <v>2011</v>
      </c>
      <c r="H3" s="5">
        <v>2012</v>
      </c>
      <c r="I3" s="5">
        <v>2013</v>
      </c>
      <c r="J3" s="5">
        <v>2014</v>
      </c>
      <c r="K3" s="1"/>
      <c r="L3" s="5">
        <v>2011</v>
      </c>
      <c r="M3" s="5">
        <v>2012</v>
      </c>
      <c r="N3" s="5">
        <v>2013</v>
      </c>
      <c r="O3" s="5">
        <v>2014</v>
      </c>
    </row>
    <row r="4" spans="1:15">
      <c r="A4" s="19" t="s">
        <v>2</v>
      </c>
      <c r="B4" s="20">
        <v>0</v>
      </c>
      <c r="C4" s="20">
        <f>+B7</f>
        <v>372881250</v>
      </c>
      <c r="D4" s="20">
        <f>+C7</f>
        <v>361043750</v>
      </c>
      <c r="E4" s="20">
        <f>+D7</f>
        <v>349206250</v>
      </c>
      <c r="F4" s="15"/>
      <c r="G4" s="20">
        <v>0</v>
      </c>
      <c r="H4" s="20">
        <v>0</v>
      </c>
      <c r="I4" s="20">
        <v>0</v>
      </c>
      <c r="J4" s="20">
        <v>0</v>
      </c>
      <c r="K4" s="15"/>
      <c r="L4" s="20">
        <f>+B4-G4</f>
        <v>0</v>
      </c>
      <c r="M4" s="20">
        <v>0</v>
      </c>
      <c r="N4" s="20">
        <v>0</v>
      </c>
      <c r="O4" s="20">
        <v>0</v>
      </c>
    </row>
    <row r="5" spans="1:15">
      <c r="A5" s="7" t="s">
        <v>0</v>
      </c>
      <c r="B5" s="14">
        <v>378800000</v>
      </c>
      <c r="C5" s="14">
        <v>0</v>
      </c>
      <c r="D5" s="14">
        <v>0</v>
      </c>
      <c r="E5" s="14">
        <v>0</v>
      </c>
      <c r="F5" s="15"/>
      <c r="G5" s="14">
        <v>378800000</v>
      </c>
      <c r="H5" s="14">
        <v>0</v>
      </c>
      <c r="I5" s="14">
        <v>0</v>
      </c>
      <c r="J5" s="14">
        <v>0</v>
      </c>
      <c r="K5" s="15"/>
      <c r="L5" s="14">
        <f t="shared" ref="L5:L10" si="0">+B5-G5</f>
        <v>0</v>
      </c>
      <c r="M5" s="14">
        <f t="shared" ref="M5:M10" si="1">+C5-H5</f>
        <v>0</v>
      </c>
      <c r="N5" s="14">
        <f t="shared" ref="N5:N10" si="2">+D5-I5</f>
        <v>0</v>
      </c>
      <c r="O5" s="14">
        <f t="shared" ref="O5:O10" si="3">+E5-J5</f>
        <v>0</v>
      </c>
    </row>
    <row r="6" spans="1:15">
      <c r="A6" s="7" t="s">
        <v>3</v>
      </c>
      <c r="B6" s="14">
        <f>-B5/B32/2</f>
        <v>-5918750</v>
      </c>
      <c r="C6" s="14">
        <f>-+B5/C32</f>
        <v>-11837500</v>
      </c>
      <c r="D6" s="14">
        <f>+C6</f>
        <v>-11837500</v>
      </c>
      <c r="E6" s="14">
        <f>+D6</f>
        <v>-11837500</v>
      </c>
      <c r="F6" s="15"/>
      <c r="G6" s="14">
        <f>-G5/G32/2</f>
        <v>-5918750</v>
      </c>
      <c r="H6" s="14">
        <f>+G6</f>
        <v>-5918750</v>
      </c>
      <c r="I6" s="14">
        <f>+H6</f>
        <v>-5918750</v>
      </c>
      <c r="J6" s="14">
        <f>+I6</f>
        <v>-5918750</v>
      </c>
      <c r="K6" s="15"/>
      <c r="L6" s="14">
        <f t="shared" si="0"/>
        <v>0</v>
      </c>
      <c r="M6" s="14">
        <f t="shared" si="1"/>
        <v>-5918750</v>
      </c>
      <c r="N6" s="14">
        <f t="shared" si="2"/>
        <v>-5918750</v>
      </c>
      <c r="O6" s="14">
        <f t="shared" si="3"/>
        <v>-5918750</v>
      </c>
    </row>
    <row r="7" spans="1:15">
      <c r="A7" s="19" t="s">
        <v>4</v>
      </c>
      <c r="B7" s="20">
        <f>SUM(B4:B6)</f>
        <v>372881250</v>
      </c>
      <c r="C7" s="20">
        <f>SUM(C4:C6)</f>
        <v>361043750</v>
      </c>
      <c r="D7" s="20">
        <f>SUM(D4:D6)</f>
        <v>349206250</v>
      </c>
      <c r="E7" s="20">
        <f>SUM(E4:E6)</f>
        <v>337368750</v>
      </c>
      <c r="F7" s="15"/>
      <c r="G7" s="20">
        <f>SUM(G4:G6)</f>
        <v>372881250</v>
      </c>
      <c r="H7" s="20">
        <v>0</v>
      </c>
      <c r="I7" s="20">
        <v>0</v>
      </c>
      <c r="J7" s="20">
        <v>0</v>
      </c>
      <c r="K7" s="15"/>
      <c r="L7" s="20">
        <f t="shared" si="0"/>
        <v>0</v>
      </c>
      <c r="M7" s="20">
        <v>0</v>
      </c>
      <c r="N7" s="20">
        <v>0</v>
      </c>
      <c r="O7" s="20">
        <v>0</v>
      </c>
    </row>
    <row r="8" spans="1:15">
      <c r="A8" s="8" t="s">
        <v>5</v>
      </c>
      <c r="B8" s="16">
        <f>AVERAGE(B7,B4)</f>
        <v>186440625</v>
      </c>
      <c r="C8" s="16">
        <f>AVERAGE(C7,C4)</f>
        <v>366962500</v>
      </c>
      <c r="D8" s="16">
        <f>AVERAGE(D7,D4)</f>
        <v>355125000</v>
      </c>
      <c r="E8" s="16">
        <f>AVERAGE(E7,E4)</f>
        <v>343287500</v>
      </c>
      <c r="F8" s="15"/>
      <c r="G8" s="16">
        <f>AVERAGE(G7,G4)</f>
        <v>186440625</v>
      </c>
      <c r="H8" s="16">
        <f>AVERAGE(H7,H4)</f>
        <v>0</v>
      </c>
      <c r="I8" s="16">
        <f>AVERAGE(I7,I4)</f>
        <v>0</v>
      </c>
      <c r="J8" s="16">
        <f>AVERAGE(J7,J4)</f>
        <v>0</v>
      </c>
      <c r="K8" s="15"/>
      <c r="L8" s="16">
        <f t="shared" si="0"/>
        <v>0</v>
      </c>
      <c r="M8" s="16">
        <v>0</v>
      </c>
      <c r="N8" s="16">
        <v>0</v>
      </c>
      <c r="O8" s="16">
        <v>0</v>
      </c>
    </row>
    <row r="9" spans="1:15">
      <c r="A9" s="1" t="s">
        <v>6</v>
      </c>
      <c r="B9" s="15">
        <v>0</v>
      </c>
      <c r="C9" s="15">
        <v>0</v>
      </c>
      <c r="D9" s="15">
        <v>0</v>
      </c>
      <c r="E9" s="15">
        <v>0</v>
      </c>
      <c r="F9" s="15"/>
      <c r="G9" s="15">
        <v>0</v>
      </c>
      <c r="H9" s="15">
        <v>0</v>
      </c>
      <c r="I9" s="15">
        <v>0</v>
      </c>
      <c r="J9" s="15">
        <v>0</v>
      </c>
      <c r="K9" s="15"/>
      <c r="L9" s="15">
        <f t="shared" si="0"/>
        <v>0</v>
      </c>
      <c r="M9" s="15">
        <f t="shared" si="1"/>
        <v>0</v>
      </c>
      <c r="N9" s="15">
        <f t="shared" si="2"/>
        <v>0</v>
      </c>
      <c r="O9" s="15">
        <f t="shared" si="3"/>
        <v>0</v>
      </c>
    </row>
    <row r="10" spans="1:15">
      <c r="A10" s="8" t="s">
        <v>1</v>
      </c>
      <c r="B10" s="16">
        <f>+SUM(B8:B9)</f>
        <v>186440625</v>
      </c>
      <c r="C10" s="16">
        <f>+SUM(C8:C9)</f>
        <v>366962500</v>
      </c>
      <c r="D10" s="16">
        <f>+SUM(D8:D9)</f>
        <v>355125000</v>
      </c>
      <c r="E10" s="16">
        <f>+SUM(E8:E9)</f>
        <v>343287500</v>
      </c>
      <c r="G10" s="16">
        <f>+SUM(G8:G9)</f>
        <v>186440625</v>
      </c>
      <c r="H10" s="16">
        <f>+G10</f>
        <v>186440625</v>
      </c>
      <c r="I10" s="16">
        <f>+H10</f>
        <v>186440625</v>
      </c>
      <c r="J10" s="16">
        <f>+I10</f>
        <v>186440625</v>
      </c>
      <c r="K10" s="15"/>
      <c r="L10" s="16">
        <f t="shared" si="0"/>
        <v>0</v>
      </c>
      <c r="M10" s="16">
        <f t="shared" si="1"/>
        <v>180521875</v>
      </c>
      <c r="N10" s="16">
        <f t="shared" si="2"/>
        <v>168684375</v>
      </c>
      <c r="O10" s="16">
        <f t="shared" si="3"/>
        <v>156846875</v>
      </c>
    </row>
    <row r="11" spans="1:15">
      <c r="A11" s="1"/>
      <c r="B11" s="15"/>
      <c r="C11" s="15"/>
      <c r="D11" s="15"/>
      <c r="E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>
      <c r="A12" s="1" t="s">
        <v>7</v>
      </c>
      <c r="B12" s="21">
        <v>0</v>
      </c>
      <c r="C12" s="21">
        <v>0</v>
      </c>
      <c r="D12" s="21">
        <v>0</v>
      </c>
      <c r="E12" s="21">
        <v>0</v>
      </c>
      <c r="G12" s="21">
        <v>0</v>
      </c>
      <c r="H12" s="21">
        <v>0</v>
      </c>
      <c r="I12" s="21">
        <v>0</v>
      </c>
      <c r="J12" s="21">
        <v>0</v>
      </c>
      <c r="K12" s="17"/>
      <c r="L12" s="17">
        <v>0</v>
      </c>
      <c r="M12" s="17">
        <f>-M6</f>
        <v>5918750</v>
      </c>
      <c r="N12" s="17">
        <f t="shared" ref="N12:O12" si="4">-N6</f>
        <v>5918750</v>
      </c>
      <c r="O12" s="17">
        <f t="shared" si="4"/>
        <v>5918750</v>
      </c>
    </row>
    <row r="13" spans="1:15">
      <c r="B13" s="21"/>
      <c r="C13" s="21"/>
      <c r="D13" s="21"/>
      <c r="E13" s="21"/>
      <c r="G13" s="21"/>
      <c r="H13" s="21"/>
      <c r="I13" s="21"/>
      <c r="J13" s="21"/>
      <c r="K13" s="17"/>
      <c r="L13" s="17"/>
      <c r="M13" s="17"/>
      <c r="N13" s="17"/>
      <c r="O13" s="17"/>
    </row>
    <row r="14" spans="1:15">
      <c r="A14" s="1" t="s">
        <v>8</v>
      </c>
      <c r="B14" s="21"/>
      <c r="C14" s="21"/>
      <c r="D14" s="21"/>
      <c r="E14" s="21"/>
      <c r="G14" s="21"/>
      <c r="H14" s="21"/>
      <c r="I14" s="21"/>
      <c r="J14" s="21"/>
      <c r="K14" s="17"/>
      <c r="L14" s="17"/>
      <c r="M14" s="17"/>
      <c r="N14" s="17"/>
      <c r="O14" s="17"/>
    </row>
    <row r="15" spans="1:15">
      <c r="A15" s="2" t="s">
        <v>9</v>
      </c>
      <c r="B15" s="21">
        <v>0</v>
      </c>
      <c r="C15" s="21">
        <v>0</v>
      </c>
      <c r="D15" s="21">
        <v>0</v>
      </c>
      <c r="E15" s="21">
        <v>0</v>
      </c>
      <c r="G15" s="21">
        <v>0</v>
      </c>
      <c r="H15" s="21">
        <v>0</v>
      </c>
      <c r="I15" s="21">
        <v>0</v>
      </c>
      <c r="J15" s="21">
        <v>0</v>
      </c>
      <c r="K15" s="17"/>
      <c r="L15" s="17">
        <f t="shared" ref="L15" si="5">+L10*5.18%*60%</f>
        <v>0</v>
      </c>
      <c r="M15" s="17">
        <f>+M10*5.18%*60%</f>
        <v>5610619.875</v>
      </c>
      <c r="N15" s="17">
        <f t="shared" ref="N15:O15" si="6">+N10*5.18%*60%</f>
        <v>5242710.375</v>
      </c>
      <c r="O15" s="17">
        <f t="shared" si="6"/>
        <v>4874800.875</v>
      </c>
    </row>
    <row r="16" spans="1:15">
      <c r="A16" s="2" t="s">
        <v>10</v>
      </c>
      <c r="B16" s="21">
        <v>0</v>
      </c>
      <c r="C16" s="21">
        <v>0</v>
      </c>
      <c r="D16" s="21">
        <v>0</v>
      </c>
      <c r="E16" s="21">
        <v>0</v>
      </c>
      <c r="G16" s="21">
        <v>0</v>
      </c>
      <c r="H16" s="21">
        <v>0</v>
      </c>
      <c r="I16" s="21">
        <v>0</v>
      </c>
      <c r="J16" s="21">
        <v>0</v>
      </c>
      <c r="K16" s="17"/>
      <c r="L16" s="17">
        <f t="shared" ref="L16" si="7">+L10*9.58%*40%</f>
        <v>0</v>
      </c>
      <c r="M16" s="17">
        <f>+M10*9.58%*40%</f>
        <v>6917598.25</v>
      </c>
      <c r="N16" s="17">
        <f t="shared" ref="N16:O16" si="8">+N10*9.58%*40%</f>
        <v>6463985.25</v>
      </c>
      <c r="O16" s="17">
        <f t="shared" si="8"/>
        <v>6010372.25</v>
      </c>
    </row>
    <row r="17" spans="1:15">
      <c r="A17" s="2"/>
      <c r="B17" s="21"/>
      <c r="C17" s="21"/>
      <c r="D17" s="21"/>
      <c r="E17" s="21"/>
      <c r="G17" s="21"/>
      <c r="H17" s="21"/>
      <c r="I17" s="21"/>
      <c r="J17" s="21"/>
      <c r="K17" s="17"/>
      <c r="L17" s="17"/>
      <c r="M17" s="17"/>
      <c r="N17" s="17"/>
      <c r="O17" s="17"/>
    </row>
    <row r="18" spans="1:15">
      <c r="A18" s="3" t="s">
        <v>11</v>
      </c>
      <c r="B18" s="21">
        <f t="shared" ref="B18:L18" si="9">+B28</f>
        <v>0</v>
      </c>
      <c r="C18" s="21">
        <f t="shared" si="9"/>
        <v>0</v>
      </c>
      <c r="D18" s="21">
        <f t="shared" si="9"/>
        <v>0</v>
      </c>
      <c r="E18" s="21">
        <f t="shared" si="9"/>
        <v>0</v>
      </c>
      <c r="G18" s="21">
        <f t="shared" ref="G18:J18" si="10">+G28</f>
        <v>0</v>
      </c>
      <c r="H18" s="21">
        <f t="shared" si="10"/>
        <v>0</v>
      </c>
      <c r="I18" s="21">
        <f t="shared" si="10"/>
        <v>0</v>
      </c>
      <c r="J18" s="21">
        <f t="shared" si="10"/>
        <v>0</v>
      </c>
      <c r="K18" s="17"/>
      <c r="L18" s="17">
        <f t="shared" si="9"/>
        <v>0</v>
      </c>
      <c r="M18" s="17">
        <f>+M28</f>
        <v>1556326.2838983051</v>
      </c>
      <c r="N18" s="17">
        <f t="shared" ref="N18:O18" si="11">+N28</f>
        <v>1341376.2432885906</v>
      </c>
      <c r="O18" s="17">
        <f t="shared" si="11"/>
        <v>1155103.25</v>
      </c>
    </row>
    <row r="19" spans="1:15">
      <c r="B19" s="21"/>
      <c r="C19" s="21"/>
      <c r="D19" s="21"/>
      <c r="E19" s="21"/>
      <c r="G19" s="21"/>
      <c r="H19" s="21"/>
      <c r="I19" s="21"/>
      <c r="J19" s="21"/>
      <c r="K19" s="17"/>
      <c r="L19" s="17"/>
      <c r="M19" s="17"/>
      <c r="N19" s="17"/>
      <c r="O19" s="17"/>
    </row>
    <row r="20" spans="1:15" ht="21">
      <c r="A20" s="8" t="s">
        <v>19</v>
      </c>
      <c r="B20" s="22">
        <f t="shared" ref="B20:L20" si="12">SUM(B12:B18)</f>
        <v>0</v>
      </c>
      <c r="C20" s="22">
        <f t="shared" si="12"/>
        <v>0</v>
      </c>
      <c r="D20" s="22">
        <f t="shared" si="12"/>
        <v>0</v>
      </c>
      <c r="E20" s="22">
        <f t="shared" si="12"/>
        <v>0</v>
      </c>
      <c r="G20" s="22">
        <f t="shared" ref="G20:J20" si="13">SUM(G12:G18)</f>
        <v>0</v>
      </c>
      <c r="H20" s="22">
        <f t="shared" si="13"/>
        <v>0</v>
      </c>
      <c r="I20" s="22">
        <f t="shared" si="13"/>
        <v>0</v>
      </c>
      <c r="J20" s="22">
        <f t="shared" si="13"/>
        <v>0</v>
      </c>
      <c r="K20" s="17"/>
      <c r="L20" s="16">
        <f t="shared" si="12"/>
        <v>0</v>
      </c>
      <c r="M20" s="27">
        <f>SUM(M12:M18)</f>
        <v>20003294.408898305</v>
      </c>
      <c r="N20" s="27">
        <f t="shared" ref="N20:O20" si="14">SUM(N12:N18)</f>
        <v>18966821.868288592</v>
      </c>
      <c r="O20" s="27">
        <f t="shared" si="14"/>
        <v>17959026.375</v>
      </c>
    </row>
    <row r="21" spans="1:15">
      <c r="B21" s="21"/>
      <c r="C21" s="21"/>
      <c r="D21" s="21"/>
      <c r="E21" s="21"/>
      <c r="G21" s="21"/>
      <c r="H21" s="21"/>
      <c r="I21" s="21"/>
      <c r="J21" s="21"/>
      <c r="K21" s="17"/>
      <c r="L21" s="17"/>
      <c r="M21" s="17"/>
      <c r="N21" s="17"/>
      <c r="O21" s="17"/>
    </row>
    <row r="22" spans="1:15">
      <c r="A22" t="s">
        <v>11</v>
      </c>
      <c r="B22" s="21"/>
      <c r="C22" s="21"/>
      <c r="D22" s="21"/>
      <c r="E22" s="21"/>
      <c r="G22" s="21"/>
      <c r="H22" s="21"/>
      <c r="I22" s="21"/>
      <c r="J22" s="21"/>
      <c r="K22" s="17"/>
      <c r="L22" s="17"/>
      <c r="M22" s="17"/>
      <c r="N22" s="17"/>
      <c r="O22" s="17"/>
    </row>
    <row r="23" spans="1:15">
      <c r="A23" s="9" t="s">
        <v>12</v>
      </c>
      <c r="B23" s="23">
        <f t="shared" ref="B23:L23" si="15">+B16</f>
        <v>0</v>
      </c>
      <c r="C23" s="23">
        <f t="shared" si="15"/>
        <v>0</v>
      </c>
      <c r="D23" s="23">
        <f t="shared" si="15"/>
        <v>0</v>
      </c>
      <c r="E23" s="23">
        <f t="shared" si="15"/>
        <v>0</v>
      </c>
      <c r="G23" s="23">
        <f t="shared" ref="G23:J23" si="16">+G16</f>
        <v>0</v>
      </c>
      <c r="H23" s="23">
        <f t="shared" si="16"/>
        <v>0</v>
      </c>
      <c r="I23" s="23">
        <f t="shared" si="16"/>
        <v>0</v>
      </c>
      <c r="J23" s="23">
        <f t="shared" si="16"/>
        <v>0</v>
      </c>
      <c r="K23" s="17"/>
      <c r="L23" s="18">
        <f t="shared" si="15"/>
        <v>0</v>
      </c>
      <c r="M23" s="18">
        <f>+M16</f>
        <v>6917598.25</v>
      </c>
      <c r="N23" s="18">
        <f t="shared" ref="N23:O23" si="17">+N16</f>
        <v>6463985.25</v>
      </c>
      <c r="O23" s="18">
        <f t="shared" si="17"/>
        <v>6010372.25</v>
      </c>
    </row>
    <row r="24" spans="1:15">
      <c r="A24" t="s">
        <v>13</v>
      </c>
      <c r="B24" s="21">
        <f t="shared" ref="B24:L24" si="18">B12</f>
        <v>0</v>
      </c>
      <c r="C24" s="21">
        <f t="shared" si="18"/>
        <v>0</v>
      </c>
      <c r="D24" s="21">
        <f t="shared" si="18"/>
        <v>0</v>
      </c>
      <c r="E24" s="21">
        <f t="shared" si="18"/>
        <v>0</v>
      </c>
      <c r="G24" s="21">
        <f t="shared" ref="G24:J24" si="19">G12</f>
        <v>0</v>
      </c>
      <c r="H24" s="21">
        <f t="shared" si="19"/>
        <v>0</v>
      </c>
      <c r="I24" s="21">
        <f t="shared" si="19"/>
        <v>0</v>
      </c>
      <c r="J24" s="21">
        <f t="shared" si="19"/>
        <v>0</v>
      </c>
      <c r="K24" s="17"/>
      <c r="L24" s="17">
        <f t="shared" si="18"/>
        <v>0</v>
      </c>
      <c r="M24" s="17">
        <f>M12</f>
        <v>5918750</v>
      </c>
      <c r="N24" s="17">
        <f t="shared" ref="N24:O24" si="20">N12</f>
        <v>5918750</v>
      </c>
      <c r="O24" s="17">
        <f t="shared" si="20"/>
        <v>5918750</v>
      </c>
    </row>
    <row r="25" spans="1:15">
      <c r="A25" t="s">
        <v>14</v>
      </c>
      <c r="B25" s="21">
        <f>-B24*B31</f>
        <v>0</v>
      </c>
      <c r="C25" s="21">
        <f>-C24*C31</f>
        <v>0</v>
      </c>
      <c r="D25" s="21">
        <f>-D24*D31</f>
        <v>0</v>
      </c>
      <c r="E25" s="21">
        <f>-E24*E31</f>
        <v>0</v>
      </c>
      <c r="G25" s="21">
        <f>-G24*G31</f>
        <v>0</v>
      </c>
      <c r="H25" s="21">
        <f>-H24*H31</f>
        <v>0</v>
      </c>
      <c r="I25" s="21">
        <f>-I24*I31</f>
        <v>0</v>
      </c>
      <c r="J25" s="21">
        <f>-J24*J31</f>
        <v>0</v>
      </c>
      <c r="K25" s="17"/>
      <c r="L25" s="17">
        <f>-L24*L31</f>
        <v>0</v>
      </c>
      <c r="M25" s="17">
        <f>-M24*M31</f>
        <v>-8463812.5</v>
      </c>
      <c r="N25" s="17">
        <f>-N24*N31</f>
        <v>-8463812.5</v>
      </c>
      <c r="O25" s="17">
        <f>-O24*O31</f>
        <v>-8463812.5</v>
      </c>
    </row>
    <row r="26" spans="1:15">
      <c r="A26" s="9" t="s">
        <v>16</v>
      </c>
      <c r="B26" s="23">
        <f t="shared" ref="B26:L26" si="21">SUM(B23:B25)</f>
        <v>0</v>
      </c>
      <c r="C26" s="23">
        <f t="shared" si="21"/>
        <v>0</v>
      </c>
      <c r="D26" s="23">
        <f t="shared" si="21"/>
        <v>0</v>
      </c>
      <c r="E26" s="23">
        <f t="shared" si="21"/>
        <v>0</v>
      </c>
      <c r="G26" s="23">
        <f t="shared" ref="G26" si="22">SUM(G23:G25)</f>
        <v>0</v>
      </c>
      <c r="H26" s="23">
        <f t="shared" ref="H26" si="23">SUM(H23:H25)</f>
        <v>0</v>
      </c>
      <c r="I26" s="23">
        <f t="shared" ref="I26" si="24">SUM(I23:I25)</f>
        <v>0</v>
      </c>
      <c r="J26" s="23">
        <f t="shared" ref="J26" si="25">SUM(J23:J25)</f>
        <v>0</v>
      </c>
      <c r="K26" s="17"/>
      <c r="L26" s="18">
        <f t="shared" si="21"/>
        <v>0</v>
      </c>
      <c r="M26" s="18">
        <f>SUM(M23:M25)</f>
        <v>4372535.75</v>
      </c>
      <c r="N26" s="18">
        <f t="shared" ref="N26:O26" si="26">SUM(N23:N25)</f>
        <v>3918922.75</v>
      </c>
      <c r="O26" s="18">
        <f t="shared" si="26"/>
        <v>3465309.75</v>
      </c>
    </row>
    <row r="27" spans="1:15">
      <c r="A27" t="s">
        <v>11</v>
      </c>
      <c r="B27" s="21">
        <f>+B26*B33</f>
        <v>0</v>
      </c>
      <c r="C27" s="21">
        <f>+C26*C33</f>
        <v>0</v>
      </c>
      <c r="D27" s="21">
        <f>+D26*D33</f>
        <v>0</v>
      </c>
      <c r="E27" s="21">
        <f>+E26*E33</f>
        <v>0</v>
      </c>
      <c r="G27" s="21">
        <f>+G26*G33</f>
        <v>0</v>
      </c>
      <c r="H27" s="21">
        <f>+H26*H33</f>
        <v>0</v>
      </c>
      <c r="I27" s="21">
        <f>+I26*I33</f>
        <v>0</v>
      </c>
      <c r="J27" s="21">
        <f>+J26*J33</f>
        <v>0</v>
      </c>
      <c r="K27" s="17"/>
      <c r="L27" s="17">
        <f>+L26*L33</f>
        <v>0</v>
      </c>
      <c r="M27" s="17">
        <f>+M26*M33</f>
        <v>1147790.6343750001</v>
      </c>
      <c r="N27" s="17">
        <f>+N26*N33</f>
        <v>999325.30125000002</v>
      </c>
      <c r="O27" s="17">
        <f>+O26*O33</f>
        <v>866327.4375</v>
      </c>
    </row>
    <row r="28" spans="1:15">
      <c r="A28" s="8" t="s">
        <v>18</v>
      </c>
      <c r="B28" s="22">
        <f>+B27/(1-B33)</f>
        <v>0</v>
      </c>
      <c r="C28" s="22">
        <f>+C27/(1-C33)</f>
        <v>0</v>
      </c>
      <c r="D28" s="22">
        <f>+D27/(1-D33)</f>
        <v>0</v>
      </c>
      <c r="E28" s="22">
        <f>+E27/(1-E33)</f>
        <v>0</v>
      </c>
      <c r="G28" s="22">
        <f>+G27/(1-G33)</f>
        <v>0</v>
      </c>
      <c r="H28" s="22">
        <f>+H27/(1-H33)</f>
        <v>0</v>
      </c>
      <c r="I28" s="22">
        <f>+I27/(1-I33)</f>
        <v>0</v>
      </c>
      <c r="J28" s="22">
        <f>+J27/(1-J33)</f>
        <v>0</v>
      </c>
      <c r="K28" s="17"/>
      <c r="L28" s="16">
        <f>+L27/(1-L33)</f>
        <v>0</v>
      </c>
      <c r="M28" s="16">
        <f>+M27/(1-M33)</f>
        <v>1556326.2838983051</v>
      </c>
      <c r="N28" s="16">
        <f>+N27/(1-N33)</f>
        <v>1341376.2432885906</v>
      </c>
      <c r="O28" s="16">
        <f>+O27/(1-O33)</f>
        <v>1155103.25</v>
      </c>
    </row>
    <row r="29" spans="1:15">
      <c r="B29" s="24"/>
      <c r="C29" s="24"/>
      <c r="D29" s="24"/>
      <c r="E29" s="24"/>
      <c r="G29" s="24"/>
      <c r="H29" s="24"/>
      <c r="I29" s="24"/>
      <c r="J29" s="24"/>
    </row>
    <row r="30" spans="1:15">
      <c r="A30" t="s">
        <v>25</v>
      </c>
      <c r="B30" s="24"/>
      <c r="C30" s="24"/>
      <c r="D30" s="24"/>
      <c r="E30" s="24"/>
      <c r="G30" s="24"/>
      <c r="H30" s="24"/>
      <c r="I30" s="24"/>
      <c r="J30" s="24"/>
    </row>
    <row r="31" spans="1:15">
      <c r="A31" s="9" t="s">
        <v>15</v>
      </c>
      <c r="B31" s="25">
        <v>0</v>
      </c>
      <c r="C31" s="25">
        <v>0</v>
      </c>
      <c r="D31" s="25">
        <v>0</v>
      </c>
      <c r="E31" s="25">
        <v>0</v>
      </c>
      <c r="G31" s="25">
        <v>0</v>
      </c>
      <c r="H31" s="25">
        <v>0</v>
      </c>
      <c r="I31" s="25">
        <v>0</v>
      </c>
      <c r="J31" s="25">
        <v>0</v>
      </c>
      <c r="L31" s="9">
        <v>1.43</v>
      </c>
      <c r="M31" s="9">
        <v>1.43</v>
      </c>
      <c r="N31" s="9">
        <f>+M31</f>
        <v>1.43</v>
      </c>
      <c r="O31" s="9">
        <f>+N31</f>
        <v>1.43</v>
      </c>
    </row>
    <row r="32" spans="1:15">
      <c r="A32" s="13" t="s">
        <v>20</v>
      </c>
      <c r="B32" s="29">
        <v>32</v>
      </c>
      <c r="C32" s="29">
        <f>+B32</f>
        <v>32</v>
      </c>
      <c r="D32" s="29">
        <f t="shared" ref="D32:E32" si="27">+C32</f>
        <v>32</v>
      </c>
      <c r="E32" s="29">
        <f t="shared" si="27"/>
        <v>32</v>
      </c>
      <c r="F32" s="30"/>
      <c r="G32" s="29">
        <f>+E32</f>
        <v>32</v>
      </c>
      <c r="H32" s="29">
        <f t="shared" ref="H32:J32" si="28">+G32</f>
        <v>32</v>
      </c>
      <c r="I32" s="29">
        <f t="shared" si="28"/>
        <v>32</v>
      </c>
      <c r="J32" s="29">
        <f t="shared" si="28"/>
        <v>32</v>
      </c>
      <c r="K32" s="30"/>
      <c r="L32" s="28">
        <f>+J32</f>
        <v>32</v>
      </c>
      <c r="M32" s="28">
        <f t="shared" ref="M32:O32" si="29">+L32</f>
        <v>32</v>
      </c>
      <c r="N32" s="28">
        <f t="shared" si="29"/>
        <v>32</v>
      </c>
      <c r="O32" s="28">
        <f t="shared" si="29"/>
        <v>32</v>
      </c>
    </row>
    <row r="33" spans="1:15">
      <c r="A33" s="10" t="s">
        <v>17</v>
      </c>
      <c r="B33" s="26">
        <v>0</v>
      </c>
      <c r="C33" s="26">
        <v>0</v>
      </c>
      <c r="D33" s="26">
        <v>0</v>
      </c>
      <c r="E33" s="26">
        <v>0</v>
      </c>
      <c r="G33" s="26">
        <v>0</v>
      </c>
      <c r="H33" s="26">
        <v>0</v>
      </c>
      <c r="I33" s="26">
        <v>0</v>
      </c>
      <c r="J33" s="26">
        <v>0</v>
      </c>
      <c r="K33" s="4"/>
      <c r="L33" s="11">
        <v>0.26250000000000001</v>
      </c>
      <c r="M33" s="11">
        <v>0.26250000000000001</v>
      </c>
      <c r="N33" s="11">
        <v>0.255</v>
      </c>
      <c r="O33" s="11">
        <v>0.25</v>
      </c>
    </row>
  </sheetData>
  <mergeCells count="3">
    <mergeCell ref="B2:E2"/>
    <mergeCell ref="G2:J2"/>
    <mergeCell ref="L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Y70"/>
  <sheetViews>
    <sheetView view="pageBreakPreview" topLeftCell="F1" zoomScale="60" zoomScaleNormal="100" workbookViewId="0">
      <selection activeCell="JC3" sqref="JC3"/>
    </sheetView>
  </sheetViews>
  <sheetFormatPr defaultRowHeight="15" customHeight="1" zeroHeight="1"/>
  <cols>
    <col min="1" max="1" width="6.7109375" style="42" customWidth="1"/>
    <col min="2" max="2" width="0" style="42" hidden="1" customWidth="1"/>
    <col min="3" max="3" width="39.5703125" style="42" customWidth="1"/>
    <col min="4" max="4" width="12.5703125" style="42" hidden="1" customWidth="1"/>
    <col min="5" max="5" width="12" style="42" hidden="1" customWidth="1"/>
    <col min="6" max="6" width="3.5703125" style="42" customWidth="1"/>
    <col min="7" max="7" width="12.28515625" style="42" bestFit="1" customWidth="1"/>
    <col min="8" max="9" width="14.140625" style="42" bestFit="1" customWidth="1"/>
    <col min="10" max="10" width="3.5703125" style="42" customWidth="1"/>
    <col min="11" max="11" width="14.85546875" style="42" bestFit="1" customWidth="1"/>
    <col min="12" max="12" width="16.7109375" style="42" bestFit="1" customWidth="1"/>
    <col min="13" max="13" width="18.85546875" style="42" bestFit="1" customWidth="1"/>
    <col min="14" max="14" width="20.42578125" style="42" bestFit="1" customWidth="1"/>
    <col min="15" max="15" width="3.5703125" style="42" customWidth="1"/>
    <col min="16" max="16" width="15.28515625" style="42" bestFit="1" customWidth="1"/>
    <col min="17" max="17" width="13.7109375" style="42" bestFit="1" customWidth="1"/>
    <col min="18" max="18" width="11.42578125" style="42" bestFit="1" customWidth="1"/>
    <col min="19" max="19" width="3.5703125" style="42" customWidth="1"/>
    <col min="20" max="20" width="14.85546875" style="42" bestFit="1" customWidth="1"/>
    <col min="21" max="21" width="14" style="42" bestFit="1" customWidth="1"/>
    <col min="22" max="22" width="15.85546875" style="42" bestFit="1" customWidth="1"/>
    <col min="23" max="256" width="0" style="42" hidden="1"/>
    <col min="257" max="259" width="13.7109375" style="42" customWidth="1"/>
    <col min="260" max="261" width="0" style="42" hidden="1" customWidth="1"/>
    <col min="262" max="262" width="3.5703125" style="42" customWidth="1"/>
    <col min="263" max="263" width="12.140625" style="42" bestFit="1" customWidth="1"/>
    <col min="264" max="265" width="14" style="42" bestFit="1" customWidth="1"/>
    <col min="266" max="266" width="3.5703125" style="42" customWidth="1"/>
    <col min="267" max="267" width="13.85546875" style="42" bestFit="1" customWidth="1"/>
    <col min="268" max="268" width="16.5703125" style="42" bestFit="1" customWidth="1"/>
    <col min="269" max="269" width="18.7109375" style="42" bestFit="1" customWidth="1"/>
    <col min="270" max="270" width="20.42578125" style="42" bestFit="1" customWidth="1"/>
    <col min="271" max="271" width="3.5703125" style="42" customWidth="1"/>
    <col min="272" max="272" width="15.28515625" style="42" bestFit="1" customWidth="1"/>
    <col min="273" max="273" width="13.7109375" style="42" bestFit="1" customWidth="1"/>
    <col min="274" max="274" width="11.42578125" style="42" bestFit="1" customWidth="1"/>
    <col min="275" max="275" width="3.5703125" style="42" customWidth="1"/>
    <col min="276" max="276" width="14.85546875" style="42" bestFit="1" customWidth="1"/>
    <col min="277" max="277" width="14" style="42" bestFit="1" customWidth="1"/>
    <col min="278" max="278" width="15.85546875" style="42" bestFit="1" customWidth="1"/>
    <col min="279" max="512" width="0" style="42" hidden="1"/>
    <col min="513" max="513" width="20.28515625" style="42" customWidth="1"/>
    <col min="514" max="514" width="0" style="42" hidden="1" customWidth="1"/>
    <col min="515" max="515" width="39.5703125" style="42" customWidth="1"/>
    <col min="516" max="517" width="0" style="42" hidden="1" customWidth="1"/>
    <col min="518" max="518" width="3.5703125" style="42" customWidth="1"/>
    <col min="519" max="519" width="12.140625" style="42" bestFit="1" customWidth="1"/>
    <col min="520" max="521" width="14" style="42" bestFit="1" customWidth="1"/>
    <col min="522" max="522" width="3.5703125" style="42" customWidth="1"/>
    <col min="523" max="523" width="13.85546875" style="42" bestFit="1" customWidth="1"/>
    <col min="524" max="524" width="16.5703125" style="42" bestFit="1" customWidth="1"/>
    <col min="525" max="525" width="18.7109375" style="42" bestFit="1" customWidth="1"/>
    <col min="526" max="526" width="20.42578125" style="42" bestFit="1" customWidth="1"/>
    <col min="527" max="527" width="3.5703125" style="42" customWidth="1"/>
    <col min="528" max="528" width="15.28515625" style="42" bestFit="1" customWidth="1"/>
    <col min="529" max="529" width="13.7109375" style="42" bestFit="1" customWidth="1"/>
    <col min="530" max="530" width="11.42578125" style="42" bestFit="1" customWidth="1"/>
    <col min="531" max="531" width="3.5703125" style="42" customWidth="1"/>
    <col min="532" max="532" width="14.85546875" style="42" bestFit="1" customWidth="1"/>
    <col min="533" max="533" width="14" style="42" bestFit="1" customWidth="1"/>
    <col min="534" max="534" width="15.85546875" style="42" bestFit="1" customWidth="1"/>
    <col min="535" max="768" width="0" style="42" hidden="1"/>
    <col min="769" max="769" width="20.28515625" style="42" customWidth="1"/>
    <col min="770" max="770" width="0" style="42" hidden="1" customWidth="1"/>
    <col min="771" max="771" width="39.5703125" style="42" customWidth="1"/>
    <col min="772" max="773" width="0" style="42" hidden="1" customWidth="1"/>
    <col min="774" max="774" width="3.5703125" style="42" customWidth="1"/>
    <col min="775" max="775" width="12.140625" style="42" bestFit="1" customWidth="1"/>
    <col min="776" max="777" width="14" style="42" bestFit="1" customWidth="1"/>
    <col min="778" max="778" width="3.5703125" style="42" customWidth="1"/>
    <col min="779" max="779" width="13.85546875" style="42" bestFit="1" customWidth="1"/>
    <col min="780" max="780" width="16.5703125" style="42" bestFit="1" customWidth="1"/>
    <col min="781" max="781" width="18.7109375" style="42" bestFit="1" customWidth="1"/>
    <col min="782" max="782" width="20.42578125" style="42" bestFit="1" customWidth="1"/>
    <col min="783" max="783" width="3.5703125" style="42" customWidth="1"/>
    <col min="784" max="784" width="15.28515625" style="42" bestFit="1" customWidth="1"/>
    <col min="785" max="785" width="13.7109375" style="42" bestFit="1" customWidth="1"/>
    <col min="786" max="786" width="11.42578125" style="42" bestFit="1" customWidth="1"/>
    <col min="787" max="787" width="3.5703125" style="42" customWidth="1"/>
    <col min="788" max="788" width="14.85546875" style="42" bestFit="1" customWidth="1"/>
    <col min="789" max="789" width="14" style="42" bestFit="1" customWidth="1"/>
    <col min="790" max="790" width="15.85546875" style="42" bestFit="1" customWidth="1"/>
    <col min="791" max="1024" width="9.140625" style="42"/>
    <col min="1025" max="1025" width="20.28515625" style="42" customWidth="1"/>
    <col min="1026" max="1026" width="0" style="42" hidden="1" customWidth="1"/>
    <col min="1027" max="1027" width="39.5703125" style="42" customWidth="1"/>
    <col min="1028" max="1029" width="0" style="42" hidden="1" customWidth="1"/>
    <col min="1030" max="1030" width="3.5703125" style="42" customWidth="1"/>
    <col min="1031" max="1031" width="12.140625" style="42" bestFit="1" customWidth="1"/>
    <col min="1032" max="1033" width="14" style="42" bestFit="1" customWidth="1"/>
    <col min="1034" max="1034" width="3.5703125" style="42" customWidth="1"/>
    <col min="1035" max="1035" width="13.85546875" style="42" bestFit="1" customWidth="1"/>
    <col min="1036" max="1036" width="16.5703125" style="42" bestFit="1" customWidth="1"/>
    <col min="1037" max="1037" width="18.7109375" style="42" bestFit="1" customWidth="1"/>
    <col min="1038" max="1038" width="20.42578125" style="42" bestFit="1" customWidth="1"/>
    <col min="1039" max="1039" width="3.5703125" style="42" customWidth="1"/>
    <col min="1040" max="1040" width="15.28515625" style="42" bestFit="1" customWidth="1"/>
    <col min="1041" max="1041" width="13.7109375" style="42" bestFit="1" customWidth="1"/>
    <col min="1042" max="1042" width="11.42578125" style="42" bestFit="1" customWidth="1"/>
    <col min="1043" max="1043" width="3.5703125" style="42" customWidth="1"/>
    <col min="1044" max="1044" width="14.85546875" style="42" bestFit="1" customWidth="1"/>
    <col min="1045" max="1045" width="14" style="42" bestFit="1" customWidth="1"/>
    <col min="1046" max="1046" width="15.85546875" style="42" bestFit="1" customWidth="1"/>
    <col min="1047" max="1280" width="0" style="42" hidden="1"/>
    <col min="1281" max="1281" width="20.28515625" style="42" customWidth="1"/>
    <col min="1282" max="1282" width="0" style="42" hidden="1" customWidth="1"/>
    <col min="1283" max="1283" width="39.5703125" style="42" customWidth="1"/>
    <col min="1284" max="1285" width="0" style="42" hidden="1" customWidth="1"/>
    <col min="1286" max="1286" width="3.5703125" style="42" customWidth="1"/>
    <col min="1287" max="1287" width="12.140625" style="42" bestFit="1" customWidth="1"/>
    <col min="1288" max="1289" width="14" style="42" bestFit="1" customWidth="1"/>
    <col min="1290" max="1290" width="3.5703125" style="42" customWidth="1"/>
    <col min="1291" max="1291" width="13.85546875" style="42" bestFit="1" customWidth="1"/>
    <col min="1292" max="1292" width="16.5703125" style="42" bestFit="1" customWidth="1"/>
    <col min="1293" max="1293" width="18.7109375" style="42" bestFit="1" customWidth="1"/>
    <col min="1294" max="1294" width="20.42578125" style="42" bestFit="1" customWidth="1"/>
    <col min="1295" max="1295" width="3.5703125" style="42" customWidth="1"/>
    <col min="1296" max="1296" width="15.28515625" style="42" bestFit="1" customWidth="1"/>
    <col min="1297" max="1297" width="13.7109375" style="42" bestFit="1" customWidth="1"/>
    <col min="1298" max="1298" width="11.42578125" style="42" bestFit="1" customWidth="1"/>
    <col min="1299" max="1299" width="3.5703125" style="42" customWidth="1"/>
    <col min="1300" max="1300" width="14.85546875" style="42" bestFit="1" customWidth="1"/>
    <col min="1301" max="1301" width="14" style="42" bestFit="1" customWidth="1"/>
    <col min="1302" max="1302" width="15.85546875" style="42" bestFit="1" customWidth="1"/>
    <col min="1303" max="1536" width="0" style="42" hidden="1"/>
    <col min="1537" max="1537" width="20.28515625" style="42" customWidth="1"/>
    <col min="1538" max="1538" width="0" style="42" hidden="1" customWidth="1"/>
    <col min="1539" max="1539" width="39.5703125" style="42" customWidth="1"/>
    <col min="1540" max="1541" width="0" style="42" hidden="1" customWidth="1"/>
    <col min="1542" max="1542" width="3.5703125" style="42" customWidth="1"/>
    <col min="1543" max="1543" width="12.140625" style="42" bestFit="1" customWidth="1"/>
    <col min="1544" max="1545" width="14" style="42" bestFit="1" customWidth="1"/>
    <col min="1546" max="1546" width="3.5703125" style="42" customWidth="1"/>
    <col min="1547" max="1547" width="13.85546875" style="42" bestFit="1" customWidth="1"/>
    <col min="1548" max="1548" width="16.5703125" style="42" bestFit="1" customWidth="1"/>
    <col min="1549" max="1549" width="18.7109375" style="42" bestFit="1" customWidth="1"/>
    <col min="1550" max="1550" width="20.42578125" style="42" bestFit="1" customWidth="1"/>
    <col min="1551" max="1551" width="3.5703125" style="42" customWidth="1"/>
    <col min="1552" max="1552" width="15.28515625" style="42" bestFit="1" customWidth="1"/>
    <col min="1553" max="1553" width="13.7109375" style="42" bestFit="1" customWidth="1"/>
    <col min="1554" max="1554" width="11.42578125" style="42" bestFit="1" customWidth="1"/>
    <col min="1555" max="1555" width="3.5703125" style="42" customWidth="1"/>
    <col min="1556" max="1556" width="14.85546875" style="42" bestFit="1" customWidth="1"/>
    <col min="1557" max="1557" width="14" style="42" bestFit="1" customWidth="1"/>
    <col min="1558" max="1558" width="15.85546875" style="42" bestFit="1" customWidth="1"/>
    <col min="1559" max="1792" width="0" style="42" hidden="1"/>
    <col min="1793" max="1793" width="20.28515625" style="42" customWidth="1"/>
    <col min="1794" max="1794" width="0" style="42" hidden="1" customWidth="1"/>
    <col min="1795" max="1795" width="39.5703125" style="42" customWidth="1"/>
    <col min="1796" max="1797" width="0" style="42" hidden="1" customWidth="1"/>
    <col min="1798" max="1798" width="3.5703125" style="42" customWidth="1"/>
    <col min="1799" max="1799" width="12.140625" style="42" bestFit="1" customWidth="1"/>
    <col min="1800" max="1801" width="14" style="42" bestFit="1" customWidth="1"/>
    <col min="1802" max="1802" width="3.5703125" style="42" customWidth="1"/>
    <col min="1803" max="1803" width="13.85546875" style="42" bestFit="1" customWidth="1"/>
    <col min="1804" max="1804" width="16.5703125" style="42" bestFit="1" customWidth="1"/>
    <col min="1805" max="1805" width="18.7109375" style="42" bestFit="1" customWidth="1"/>
    <col min="1806" max="1806" width="20.42578125" style="42" bestFit="1" customWidth="1"/>
    <col min="1807" max="1807" width="3.5703125" style="42" customWidth="1"/>
    <col min="1808" max="1808" width="15.28515625" style="42" bestFit="1" customWidth="1"/>
    <col min="1809" max="1809" width="13.7109375" style="42" bestFit="1" customWidth="1"/>
    <col min="1810" max="1810" width="11.42578125" style="42" bestFit="1" customWidth="1"/>
    <col min="1811" max="1811" width="3.5703125" style="42" customWidth="1"/>
    <col min="1812" max="1812" width="14.85546875" style="42" bestFit="1" customWidth="1"/>
    <col min="1813" max="1813" width="14" style="42" bestFit="1" customWidth="1"/>
    <col min="1814" max="1814" width="15.85546875" style="42" bestFit="1" customWidth="1"/>
    <col min="1815" max="2048" width="9.140625" style="42"/>
    <col min="2049" max="2049" width="20.28515625" style="42" customWidth="1"/>
    <col min="2050" max="2050" width="0" style="42" hidden="1" customWidth="1"/>
    <col min="2051" max="2051" width="39.5703125" style="42" customWidth="1"/>
    <col min="2052" max="2053" width="0" style="42" hidden="1" customWidth="1"/>
    <col min="2054" max="2054" width="3.5703125" style="42" customWidth="1"/>
    <col min="2055" max="2055" width="12.140625" style="42" bestFit="1" customWidth="1"/>
    <col min="2056" max="2057" width="14" style="42" bestFit="1" customWidth="1"/>
    <col min="2058" max="2058" width="3.5703125" style="42" customWidth="1"/>
    <col min="2059" max="2059" width="13.85546875" style="42" bestFit="1" customWidth="1"/>
    <col min="2060" max="2060" width="16.5703125" style="42" bestFit="1" customWidth="1"/>
    <col min="2061" max="2061" width="18.7109375" style="42" bestFit="1" customWidth="1"/>
    <col min="2062" max="2062" width="20.42578125" style="42" bestFit="1" customWidth="1"/>
    <col min="2063" max="2063" width="3.5703125" style="42" customWidth="1"/>
    <col min="2064" max="2064" width="15.28515625" style="42" bestFit="1" customWidth="1"/>
    <col min="2065" max="2065" width="13.7109375" style="42" bestFit="1" customWidth="1"/>
    <col min="2066" max="2066" width="11.42578125" style="42" bestFit="1" customWidth="1"/>
    <col min="2067" max="2067" width="3.5703125" style="42" customWidth="1"/>
    <col min="2068" max="2068" width="14.85546875" style="42" bestFit="1" customWidth="1"/>
    <col min="2069" max="2069" width="14" style="42" bestFit="1" customWidth="1"/>
    <col min="2070" max="2070" width="15.85546875" style="42" bestFit="1" customWidth="1"/>
    <col min="2071" max="2304" width="0" style="42" hidden="1"/>
    <col min="2305" max="2305" width="20.28515625" style="42" customWidth="1"/>
    <col min="2306" max="2306" width="0" style="42" hidden="1" customWidth="1"/>
    <col min="2307" max="2307" width="39.5703125" style="42" customWidth="1"/>
    <col min="2308" max="2309" width="0" style="42" hidden="1" customWidth="1"/>
    <col min="2310" max="2310" width="3.5703125" style="42" customWidth="1"/>
    <col min="2311" max="2311" width="12.140625" style="42" bestFit="1" customWidth="1"/>
    <col min="2312" max="2313" width="14" style="42" bestFit="1" customWidth="1"/>
    <col min="2314" max="2314" width="3.5703125" style="42" customWidth="1"/>
    <col min="2315" max="2315" width="13.85546875" style="42" bestFit="1" customWidth="1"/>
    <col min="2316" max="2316" width="16.5703125" style="42" bestFit="1" customWidth="1"/>
    <col min="2317" max="2317" width="18.7109375" style="42" bestFit="1" customWidth="1"/>
    <col min="2318" max="2318" width="20.42578125" style="42" bestFit="1" customWidth="1"/>
    <col min="2319" max="2319" width="3.5703125" style="42" customWidth="1"/>
    <col min="2320" max="2320" width="15.28515625" style="42" bestFit="1" customWidth="1"/>
    <col min="2321" max="2321" width="13.7109375" style="42" bestFit="1" customWidth="1"/>
    <col min="2322" max="2322" width="11.42578125" style="42" bestFit="1" customWidth="1"/>
    <col min="2323" max="2323" width="3.5703125" style="42" customWidth="1"/>
    <col min="2324" max="2324" width="14.85546875" style="42" bestFit="1" customWidth="1"/>
    <col min="2325" max="2325" width="14" style="42" bestFit="1" customWidth="1"/>
    <col min="2326" max="2326" width="15.85546875" style="42" bestFit="1" customWidth="1"/>
    <col min="2327" max="2560" width="0" style="42" hidden="1"/>
    <col min="2561" max="2561" width="20.28515625" style="42" customWidth="1"/>
    <col min="2562" max="2562" width="0" style="42" hidden="1" customWidth="1"/>
    <col min="2563" max="2563" width="39.5703125" style="42" customWidth="1"/>
    <col min="2564" max="2565" width="0" style="42" hidden="1" customWidth="1"/>
    <col min="2566" max="2566" width="3.5703125" style="42" customWidth="1"/>
    <col min="2567" max="2567" width="12.140625" style="42" bestFit="1" customWidth="1"/>
    <col min="2568" max="2569" width="14" style="42" bestFit="1" customWidth="1"/>
    <col min="2570" max="2570" width="3.5703125" style="42" customWidth="1"/>
    <col min="2571" max="2571" width="13.85546875" style="42" bestFit="1" customWidth="1"/>
    <col min="2572" max="2572" width="16.5703125" style="42" bestFit="1" customWidth="1"/>
    <col min="2573" max="2573" width="18.7109375" style="42" bestFit="1" customWidth="1"/>
    <col min="2574" max="2574" width="20.42578125" style="42" bestFit="1" customWidth="1"/>
    <col min="2575" max="2575" width="3.5703125" style="42" customWidth="1"/>
    <col min="2576" max="2576" width="15.28515625" style="42" bestFit="1" customWidth="1"/>
    <col min="2577" max="2577" width="13.7109375" style="42" bestFit="1" customWidth="1"/>
    <col min="2578" max="2578" width="11.42578125" style="42" bestFit="1" customWidth="1"/>
    <col min="2579" max="2579" width="3.5703125" style="42" customWidth="1"/>
    <col min="2580" max="2580" width="14.85546875" style="42" bestFit="1" customWidth="1"/>
    <col min="2581" max="2581" width="14" style="42" bestFit="1" customWidth="1"/>
    <col min="2582" max="2582" width="15.85546875" style="42" bestFit="1" customWidth="1"/>
    <col min="2583" max="2816" width="0" style="42" hidden="1"/>
    <col min="2817" max="2817" width="20.28515625" style="42" customWidth="1"/>
    <col min="2818" max="2818" width="0" style="42" hidden="1" customWidth="1"/>
    <col min="2819" max="2819" width="39.5703125" style="42" customWidth="1"/>
    <col min="2820" max="2821" width="0" style="42" hidden="1" customWidth="1"/>
    <col min="2822" max="2822" width="3.5703125" style="42" customWidth="1"/>
    <col min="2823" max="2823" width="12.140625" style="42" bestFit="1" customWidth="1"/>
    <col min="2824" max="2825" width="14" style="42" bestFit="1" customWidth="1"/>
    <col min="2826" max="2826" width="3.5703125" style="42" customWidth="1"/>
    <col min="2827" max="2827" width="13.85546875" style="42" bestFit="1" customWidth="1"/>
    <col min="2828" max="2828" width="16.5703125" style="42" bestFit="1" customWidth="1"/>
    <col min="2829" max="2829" width="18.7109375" style="42" bestFit="1" customWidth="1"/>
    <col min="2830" max="2830" width="20.42578125" style="42" bestFit="1" customWidth="1"/>
    <col min="2831" max="2831" width="3.5703125" style="42" customWidth="1"/>
    <col min="2832" max="2832" width="15.28515625" style="42" bestFit="1" customWidth="1"/>
    <col min="2833" max="2833" width="13.7109375" style="42" bestFit="1" customWidth="1"/>
    <col min="2834" max="2834" width="11.42578125" style="42" bestFit="1" customWidth="1"/>
    <col min="2835" max="2835" width="3.5703125" style="42" customWidth="1"/>
    <col min="2836" max="2836" width="14.85546875" style="42" bestFit="1" customWidth="1"/>
    <col min="2837" max="2837" width="14" style="42" bestFit="1" customWidth="1"/>
    <col min="2838" max="2838" width="15.85546875" style="42" bestFit="1" customWidth="1"/>
    <col min="2839" max="3072" width="9.140625" style="42"/>
    <col min="3073" max="3073" width="20.28515625" style="42" customWidth="1"/>
    <col min="3074" max="3074" width="0" style="42" hidden="1" customWidth="1"/>
    <col min="3075" max="3075" width="39.5703125" style="42" customWidth="1"/>
    <col min="3076" max="3077" width="0" style="42" hidden="1" customWidth="1"/>
    <col min="3078" max="3078" width="3.5703125" style="42" customWidth="1"/>
    <col min="3079" max="3079" width="12.140625" style="42" bestFit="1" customWidth="1"/>
    <col min="3080" max="3081" width="14" style="42" bestFit="1" customWidth="1"/>
    <col min="3082" max="3082" width="3.5703125" style="42" customWidth="1"/>
    <col min="3083" max="3083" width="13.85546875" style="42" bestFit="1" customWidth="1"/>
    <col min="3084" max="3084" width="16.5703125" style="42" bestFit="1" customWidth="1"/>
    <col min="3085" max="3085" width="18.7109375" style="42" bestFit="1" customWidth="1"/>
    <col min="3086" max="3086" width="20.42578125" style="42" bestFit="1" customWidth="1"/>
    <col min="3087" max="3087" width="3.5703125" style="42" customWidth="1"/>
    <col min="3088" max="3088" width="15.28515625" style="42" bestFit="1" customWidth="1"/>
    <col min="3089" max="3089" width="13.7109375" style="42" bestFit="1" customWidth="1"/>
    <col min="3090" max="3090" width="11.42578125" style="42" bestFit="1" customWidth="1"/>
    <col min="3091" max="3091" width="3.5703125" style="42" customWidth="1"/>
    <col min="3092" max="3092" width="14.85546875" style="42" bestFit="1" customWidth="1"/>
    <col min="3093" max="3093" width="14" style="42" bestFit="1" customWidth="1"/>
    <col min="3094" max="3094" width="15.85546875" style="42" bestFit="1" customWidth="1"/>
    <col min="3095" max="3328" width="0" style="42" hidden="1"/>
    <col min="3329" max="3329" width="20.28515625" style="42" customWidth="1"/>
    <col min="3330" max="3330" width="0" style="42" hidden="1" customWidth="1"/>
    <col min="3331" max="3331" width="39.5703125" style="42" customWidth="1"/>
    <col min="3332" max="3333" width="0" style="42" hidden="1" customWidth="1"/>
    <col min="3334" max="3334" width="3.5703125" style="42" customWidth="1"/>
    <col min="3335" max="3335" width="12.140625" style="42" bestFit="1" customWidth="1"/>
    <col min="3336" max="3337" width="14" style="42" bestFit="1" customWidth="1"/>
    <col min="3338" max="3338" width="3.5703125" style="42" customWidth="1"/>
    <col min="3339" max="3339" width="13.85546875" style="42" bestFit="1" customWidth="1"/>
    <col min="3340" max="3340" width="16.5703125" style="42" bestFit="1" customWidth="1"/>
    <col min="3341" max="3341" width="18.7109375" style="42" bestFit="1" customWidth="1"/>
    <col min="3342" max="3342" width="20.42578125" style="42" bestFit="1" customWidth="1"/>
    <col min="3343" max="3343" width="3.5703125" style="42" customWidth="1"/>
    <col min="3344" max="3344" width="15.28515625" style="42" bestFit="1" customWidth="1"/>
    <col min="3345" max="3345" width="13.7109375" style="42" bestFit="1" customWidth="1"/>
    <col min="3346" max="3346" width="11.42578125" style="42" bestFit="1" customWidth="1"/>
    <col min="3347" max="3347" width="3.5703125" style="42" customWidth="1"/>
    <col min="3348" max="3348" width="14.85546875" style="42" bestFit="1" customWidth="1"/>
    <col min="3349" max="3349" width="14" style="42" bestFit="1" customWidth="1"/>
    <col min="3350" max="3350" width="15.85546875" style="42" bestFit="1" customWidth="1"/>
    <col min="3351" max="3584" width="0" style="42" hidden="1"/>
    <col min="3585" max="3585" width="20.28515625" style="42" customWidth="1"/>
    <col min="3586" max="3586" width="0" style="42" hidden="1" customWidth="1"/>
    <col min="3587" max="3587" width="39.5703125" style="42" customWidth="1"/>
    <col min="3588" max="3589" width="0" style="42" hidden="1" customWidth="1"/>
    <col min="3590" max="3590" width="3.5703125" style="42" customWidth="1"/>
    <col min="3591" max="3591" width="12.140625" style="42" bestFit="1" customWidth="1"/>
    <col min="3592" max="3593" width="14" style="42" bestFit="1" customWidth="1"/>
    <col min="3594" max="3594" width="3.5703125" style="42" customWidth="1"/>
    <col min="3595" max="3595" width="13.85546875" style="42" bestFit="1" customWidth="1"/>
    <col min="3596" max="3596" width="16.5703125" style="42" bestFit="1" customWidth="1"/>
    <col min="3597" max="3597" width="18.7109375" style="42" bestFit="1" customWidth="1"/>
    <col min="3598" max="3598" width="20.42578125" style="42" bestFit="1" customWidth="1"/>
    <col min="3599" max="3599" width="3.5703125" style="42" customWidth="1"/>
    <col min="3600" max="3600" width="15.28515625" style="42" bestFit="1" customWidth="1"/>
    <col min="3601" max="3601" width="13.7109375" style="42" bestFit="1" customWidth="1"/>
    <col min="3602" max="3602" width="11.42578125" style="42" bestFit="1" customWidth="1"/>
    <col min="3603" max="3603" width="3.5703125" style="42" customWidth="1"/>
    <col min="3604" max="3604" width="14.85546875" style="42" bestFit="1" customWidth="1"/>
    <col min="3605" max="3605" width="14" style="42" bestFit="1" customWidth="1"/>
    <col min="3606" max="3606" width="15.85546875" style="42" bestFit="1" customWidth="1"/>
    <col min="3607" max="3840" width="0" style="42" hidden="1"/>
    <col min="3841" max="3841" width="20.28515625" style="42" customWidth="1"/>
    <col min="3842" max="3842" width="0" style="42" hidden="1" customWidth="1"/>
    <col min="3843" max="3843" width="39.5703125" style="42" customWidth="1"/>
    <col min="3844" max="3845" width="0" style="42" hidden="1" customWidth="1"/>
    <col min="3846" max="3846" width="3.5703125" style="42" customWidth="1"/>
    <col min="3847" max="3847" width="12.140625" style="42" bestFit="1" customWidth="1"/>
    <col min="3848" max="3849" width="14" style="42" bestFit="1" customWidth="1"/>
    <col min="3850" max="3850" width="3.5703125" style="42" customWidth="1"/>
    <col min="3851" max="3851" width="13.85546875" style="42" bestFit="1" customWidth="1"/>
    <col min="3852" max="3852" width="16.5703125" style="42" bestFit="1" customWidth="1"/>
    <col min="3853" max="3853" width="18.7109375" style="42" bestFit="1" customWidth="1"/>
    <col min="3854" max="3854" width="20.42578125" style="42" bestFit="1" customWidth="1"/>
    <col min="3855" max="3855" width="3.5703125" style="42" customWidth="1"/>
    <col min="3856" max="3856" width="15.28515625" style="42" bestFit="1" customWidth="1"/>
    <col min="3857" max="3857" width="13.7109375" style="42" bestFit="1" customWidth="1"/>
    <col min="3858" max="3858" width="11.42578125" style="42" bestFit="1" customWidth="1"/>
    <col min="3859" max="3859" width="3.5703125" style="42" customWidth="1"/>
    <col min="3860" max="3860" width="14.85546875" style="42" bestFit="1" customWidth="1"/>
    <col min="3861" max="3861" width="14" style="42" bestFit="1" customWidth="1"/>
    <col min="3862" max="3862" width="15.85546875" style="42" bestFit="1" customWidth="1"/>
    <col min="3863" max="4096" width="9.140625" style="42"/>
    <col min="4097" max="4097" width="20.28515625" style="42" customWidth="1"/>
    <col min="4098" max="4098" width="0" style="42" hidden="1" customWidth="1"/>
    <col min="4099" max="4099" width="39.5703125" style="42" customWidth="1"/>
    <col min="4100" max="4101" width="0" style="42" hidden="1" customWidth="1"/>
    <col min="4102" max="4102" width="3.5703125" style="42" customWidth="1"/>
    <col min="4103" max="4103" width="12.140625" style="42" bestFit="1" customWidth="1"/>
    <col min="4104" max="4105" width="14" style="42" bestFit="1" customWidth="1"/>
    <col min="4106" max="4106" width="3.5703125" style="42" customWidth="1"/>
    <col min="4107" max="4107" width="13.85546875" style="42" bestFit="1" customWidth="1"/>
    <col min="4108" max="4108" width="16.5703125" style="42" bestFit="1" customWidth="1"/>
    <col min="4109" max="4109" width="18.7109375" style="42" bestFit="1" customWidth="1"/>
    <col min="4110" max="4110" width="20.42578125" style="42" bestFit="1" customWidth="1"/>
    <col min="4111" max="4111" width="3.5703125" style="42" customWidth="1"/>
    <col min="4112" max="4112" width="15.28515625" style="42" bestFit="1" customWidth="1"/>
    <col min="4113" max="4113" width="13.7109375" style="42" bestFit="1" customWidth="1"/>
    <col min="4114" max="4114" width="11.42578125" style="42" bestFit="1" customWidth="1"/>
    <col min="4115" max="4115" width="3.5703125" style="42" customWidth="1"/>
    <col min="4116" max="4116" width="14.85546875" style="42" bestFit="1" customWidth="1"/>
    <col min="4117" max="4117" width="14" style="42" bestFit="1" customWidth="1"/>
    <col min="4118" max="4118" width="15.85546875" style="42" bestFit="1" customWidth="1"/>
    <col min="4119" max="4352" width="0" style="42" hidden="1"/>
    <col min="4353" max="4353" width="20.28515625" style="42" customWidth="1"/>
    <col min="4354" max="4354" width="0" style="42" hidden="1" customWidth="1"/>
    <col min="4355" max="4355" width="39.5703125" style="42" customWidth="1"/>
    <col min="4356" max="4357" width="0" style="42" hidden="1" customWidth="1"/>
    <col min="4358" max="4358" width="3.5703125" style="42" customWidth="1"/>
    <col min="4359" max="4359" width="12.140625" style="42" bestFit="1" customWidth="1"/>
    <col min="4360" max="4361" width="14" style="42" bestFit="1" customWidth="1"/>
    <col min="4362" max="4362" width="3.5703125" style="42" customWidth="1"/>
    <col min="4363" max="4363" width="13.85546875" style="42" bestFit="1" customWidth="1"/>
    <col min="4364" max="4364" width="16.5703125" style="42" bestFit="1" customWidth="1"/>
    <col min="4365" max="4365" width="18.7109375" style="42" bestFit="1" customWidth="1"/>
    <col min="4366" max="4366" width="20.42578125" style="42" bestFit="1" customWidth="1"/>
    <col min="4367" max="4367" width="3.5703125" style="42" customWidth="1"/>
    <col min="4368" max="4368" width="15.28515625" style="42" bestFit="1" customWidth="1"/>
    <col min="4369" max="4369" width="13.7109375" style="42" bestFit="1" customWidth="1"/>
    <col min="4370" max="4370" width="11.42578125" style="42" bestFit="1" customWidth="1"/>
    <col min="4371" max="4371" width="3.5703125" style="42" customWidth="1"/>
    <col min="4372" max="4372" width="14.85546875" style="42" bestFit="1" customWidth="1"/>
    <col min="4373" max="4373" width="14" style="42" bestFit="1" customWidth="1"/>
    <col min="4374" max="4374" width="15.85546875" style="42" bestFit="1" customWidth="1"/>
    <col min="4375" max="4608" width="0" style="42" hidden="1"/>
    <col min="4609" max="4609" width="20.28515625" style="42" customWidth="1"/>
    <col min="4610" max="4610" width="0" style="42" hidden="1" customWidth="1"/>
    <col min="4611" max="4611" width="39.5703125" style="42" customWidth="1"/>
    <col min="4612" max="4613" width="0" style="42" hidden="1" customWidth="1"/>
    <col min="4614" max="4614" width="3.5703125" style="42" customWidth="1"/>
    <col min="4615" max="4615" width="12.140625" style="42" bestFit="1" customWidth="1"/>
    <col min="4616" max="4617" width="14" style="42" bestFit="1" customWidth="1"/>
    <col min="4618" max="4618" width="3.5703125" style="42" customWidth="1"/>
    <col min="4619" max="4619" width="13.85546875" style="42" bestFit="1" customWidth="1"/>
    <col min="4620" max="4620" width="16.5703125" style="42" bestFit="1" customWidth="1"/>
    <col min="4621" max="4621" width="18.7109375" style="42" bestFit="1" customWidth="1"/>
    <col min="4622" max="4622" width="20.42578125" style="42" bestFit="1" customWidth="1"/>
    <col min="4623" max="4623" width="3.5703125" style="42" customWidth="1"/>
    <col min="4624" max="4624" width="15.28515625" style="42" bestFit="1" customWidth="1"/>
    <col min="4625" max="4625" width="13.7109375" style="42" bestFit="1" customWidth="1"/>
    <col min="4626" max="4626" width="11.42578125" style="42" bestFit="1" customWidth="1"/>
    <col min="4627" max="4627" width="3.5703125" style="42" customWidth="1"/>
    <col min="4628" max="4628" width="14.85546875" style="42" bestFit="1" customWidth="1"/>
    <col min="4629" max="4629" width="14" style="42" bestFit="1" customWidth="1"/>
    <col min="4630" max="4630" width="15.85546875" style="42" bestFit="1" customWidth="1"/>
    <col min="4631" max="4864" width="0" style="42" hidden="1"/>
    <col min="4865" max="4865" width="20.28515625" style="42" customWidth="1"/>
    <col min="4866" max="4866" width="0" style="42" hidden="1" customWidth="1"/>
    <col min="4867" max="4867" width="39.5703125" style="42" customWidth="1"/>
    <col min="4868" max="4869" width="0" style="42" hidden="1" customWidth="1"/>
    <col min="4870" max="4870" width="3.5703125" style="42" customWidth="1"/>
    <col min="4871" max="4871" width="12.140625" style="42" bestFit="1" customWidth="1"/>
    <col min="4872" max="4873" width="14" style="42" bestFit="1" customWidth="1"/>
    <col min="4874" max="4874" width="3.5703125" style="42" customWidth="1"/>
    <col min="4875" max="4875" width="13.85546875" style="42" bestFit="1" customWidth="1"/>
    <col min="4876" max="4876" width="16.5703125" style="42" bestFit="1" customWidth="1"/>
    <col min="4877" max="4877" width="18.7109375" style="42" bestFit="1" customWidth="1"/>
    <col min="4878" max="4878" width="20.42578125" style="42" bestFit="1" customWidth="1"/>
    <col min="4879" max="4879" width="3.5703125" style="42" customWidth="1"/>
    <col min="4880" max="4880" width="15.28515625" style="42" bestFit="1" customWidth="1"/>
    <col min="4881" max="4881" width="13.7109375" style="42" bestFit="1" customWidth="1"/>
    <col min="4882" max="4882" width="11.42578125" style="42" bestFit="1" customWidth="1"/>
    <col min="4883" max="4883" width="3.5703125" style="42" customWidth="1"/>
    <col min="4884" max="4884" width="14.85546875" style="42" bestFit="1" customWidth="1"/>
    <col min="4885" max="4885" width="14" style="42" bestFit="1" customWidth="1"/>
    <col min="4886" max="4886" width="15.85546875" style="42" bestFit="1" customWidth="1"/>
    <col min="4887" max="5120" width="9.140625" style="42"/>
    <col min="5121" max="5121" width="20.28515625" style="42" customWidth="1"/>
    <col min="5122" max="5122" width="0" style="42" hidden="1" customWidth="1"/>
    <col min="5123" max="5123" width="39.5703125" style="42" customWidth="1"/>
    <col min="5124" max="5125" width="0" style="42" hidden="1" customWidth="1"/>
    <col min="5126" max="5126" width="3.5703125" style="42" customWidth="1"/>
    <col min="5127" max="5127" width="12.140625" style="42" bestFit="1" customWidth="1"/>
    <col min="5128" max="5129" width="14" style="42" bestFit="1" customWidth="1"/>
    <col min="5130" max="5130" width="3.5703125" style="42" customWidth="1"/>
    <col min="5131" max="5131" width="13.85546875" style="42" bestFit="1" customWidth="1"/>
    <col min="5132" max="5132" width="16.5703125" style="42" bestFit="1" customWidth="1"/>
    <col min="5133" max="5133" width="18.7109375" style="42" bestFit="1" customWidth="1"/>
    <col min="5134" max="5134" width="20.42578125" style="42" bestFit="1" customWidth="1"/>
    <col min="5135" max="5135" width="3.5703125" style="42" customWidth="1"/>
    <col min="5136" max="5136" width="15.28515625" style="42" bestFit="1" customWidth="1"/>
    <col min="5137" max="5137" width="13.7109375" style="42" bestFit="1" customWidth="1"/>
    <col min="5138" max="5138" width="11.42578125" style="42" bestFit="1" customWidth="1"/>
    <col min="5139" max="5139" width="3.5703125" style="42" customWidth="1"/>
    <col min="5140" max="5140" width="14.85546875" style="42" bestFit="1" customWidth="1"/>
    <col min="5141" max="5141" width="14" style="42" bestFit="1" customWidth="1"/>
    <col min="5142" max="5142" width="15.85546875" style="42" bestFit="1" customWidth="1"/>
    <col min="5143" max="5376" width="0" style="42" hidden="1"/>
    <col min="5377" max="5377" width="20.28515625" style="42" customWidth="1"/>
    <col min="5378" max="5378" width="0" style="42" hidden="1" customWidth="1"/>
    <col min="5379" max="5379" width="39.5703125" style="42" customWidth="1"/>
    <col min="5380" max="5381" width="0" style="42" hidden="1" customWidth="1"/>
    <col min="5382" max="5382" width="3.5703125" style="42" customWidth="1"/>
    <col min="5383" max="5383" width="12.140625" style="42" bestFit="1" customWidth="1"/>
    <col min="5384" max="5385" width="14" style="42" bestFit="1" customWidth="1"/>
    <col min="5386" max="5386" width="3.5703125" style="42" customWidth="1"/>
    <col min="5387" max="5387" width="13.85546875" style="42" bestFit="1" customWidth="1"/>
    <col min="5388" max="5388" width="16.5703125" style="42" bestFit="1" customWidth="1"/>
    <col min="5389" max="5389" width="18.7109375" style="42" bestFit="1" customWidth="1"/>
    <col min="5390" max="5390" width="20.42578125" style="42" bestFit="1" customWidth="1"/>
    <col min="5391" max="5391" width="3.5703125" style="42" customWidth="1"/>
    <col min="5392" max="5392" width="15.28515625" style="42" bestFit="1" customWidth="1"/>
    <col min="5393" max="5393" width="13.7109375" style="42" bestFit="1" customWidth="1"/>
    <col min="5394" max="5394" width="11.42578125" style="42" bestFit="1" customWidth="1"/>
    <col min="5395" max="5395" width="3.5703125" style="42" customWidth="1"/>
    <col min="5396" max="5396" width="14.85546875" style="42" bestFit="1" customWidth="1"/>
    <col min="5397" max="5397" width="14" style="42" bestFit="1" customWidth="1"/>
    <col min="5398" max="5398" width="15.85546875" style="42" bestFit="1" customWidth="1"/>
    <col min="5399" max="5632" width="0" style="42" hidden="1"/>
    <col min="5633" max="5633" width="20.28515625" style="42" customWidth="1"/>
    <col min="5634" max="5634" width="0" style="42" hidden="1" customWidth="1"/>
    <col min="5635" max="5635" width="39.5703125" style="42" customWidth="1"/>
    <col min="5636" max="5637" width="0" style="42" hidden="1" customWidth="1"/>
    <col min="5638" max="5638" width="3.5703125" style="42" customWidth="1"/>
    <col min="5639" max="5639" width="12.140625" style="42" bestFit="1" customWidth="1"/>
    <col min="5640" max="5641" width="14" style="42" bestFit="1" customWidth="1"/>
    <col min="5642" max="5642" width="3.5703125" style="42" customWidth="1"/>
    <col min="5643" max="5643" width="13.85546875" style="42" bestFit="1" customWidth="1"/>
    <col min="5644" max="5644" width="16.5703125" style="42" bestFit="1" customWidth="1"/>
    <col min="5645" max="5645" width="18.7109375" style="42" bestFit="1" customWidth="1"/>
    <col min="5646" max="5646" width="20.42578125" style="42" bestFit="1" customWidth="1"/>
    <col min="5647" max="5647" width="3.5703125" style="42" customWidth="1"/>
    <col min="5648" max="5648" width="15.28515625" style="42" bestFit="1" customWidth="1"/>
    <col min="5649" max="5649" width="13.7109375" style="42" bestFit="1" customWidth="1"/>
    <col min="5650" max="5650" width="11.42578125" style="42" bestFit="1" customWidth="1"/>
    <col min="5651" max="5651" width="3.5703125" style="42" customWidth="1"/>
    <col min="5652" max="5652" width="14.85546875" style="42" bestFit="1" customWidth="1"/>
    <col min="5653" max="5653" width="14" style="42" bestFit="1" customWidth="1"/>
    <col min="5654" max="5654" width="15.85546875" style="42" bestFit="1" customWidth="1"/>
    <col min="5655" max="5888" width="0" style="42" hidden="1"/>
    <col min="5889" max="5889" width="20.28515625" style="42" customWidth="1"/>
    <col min="5890" max="5890" width="0" style="42" hidden="1" customWidth="1"/>
    <col min="5891" max="5891" width="39.5703125" style="42" customWidth="1"/>
    <col min="5892" max="5893" width="0" style="42" hidden="1" customWidth="1"/>
    <col min="5894" max="5894" width="3.5703125" style="42" customWidth="1"/>
    <col min="5895" max="5895" width="12.140625" style="42" bestFit="1" customWidth="1"/>
    <col min="5896" max="5897" width="14" style="42" bestFit="1" customWidth="1"/>
    <col min="5898" max="5898" width="3.5703125" style="42" customWidth="1"/>
    <col min="5899" max="5899" width="13.85546875" style="42" bestFit="1" customWidth="1"/>
    <col min="5900" max="5900" width="16.5703125" style="42" bestFit="1" customWidth="1"/>
    <col min="5901" max="5901" width="18.7109375" style="42" bestFit="1" customWidth="1"/>
    <col min="5902" max="5902" width="20.42578125" style="42" bestFit="1" customWidth="1"/>
    <col min="5903" max="5903" width="3.5703125" style="42" customWidth="1"/>
    <col min="5904" max="5904" width="15.28515625" style="42" bestFit="1" customWidth="1"/>
    <col min="5905" max="5905" width="13.7109375" style="42" bestFit="1" customWidth="1"/>
    <col min="5906" max="5906" width="11.42578125" style="42" bestFit="1" customWidth="1"/>
    <col min="5907" max="5907" width="3.5703125" style="42" customWidth="1"/>
    <col min="5908" max="5908" width="14.85546875" style="42" bestFit="1" customWidth="1"/>
    <col min="5909" max="5909" width="14" style="42" bestFit="1" customWidth="1"/>
    <col min="5910" max="5910" width="15.85546875" style="42" bestFit="1" customWidth="1"/>
    <col min="5911" max="6144" width="9.140625" style="42"/>
    <col min="6145" max="6145" width="20.28515625" style="42" customWidth="1"/>
    <col min="6146" max="6146" width="0" style="42" hidden="1" customWidth="1"/>
    <col min="6147" max="6147" width="39.5703125" style="42" customWidth="1"/>
    <col min="6148" max="6149" width="0" style="42" hidden="1" customWidth="1"/>
    <col min="6150" max="6150" width="3.5703125" style="42" customWidth="1"/>
    <col min="6151" max="6151" width="12.140625" style="42" bestFit="1" customWidth="1"/>
    <col min="6152" max="6153" width="14" style="42" bestFit="1" customWidth="1"/>
    <col min="6154" max="6154" width="3.5703125" style="42" customWidth="1"/>
    <col min="6155" max="6155" width="13.85546875" style="42" bestFit="1" customWidth="1"/>
    <col min="6156" max="6156" width="16.5703125" style="42" bestFit="1" customWidth="1"/>
    <col min="6157" max="6157" width="18.7109375" style="42" bestFit="1" customWidth="1"/>
    <col min="6158" max="6158" width="20.42578125" style="42" bestFit="1" customWidth="1"/>
    <col min="6159" max="6159" width="3.5703125" style="42" customWidth="1"/>
    <col min="6160" max="6160" width="15.28515625" style="42" bestFit="1" customWidth="1"/>
    <col min="6161" max="6161" width="13.7109375" style="42" bestFit="1" customWidth="1"/>
    <col min="6162" max="6162" width="11.42578125" style="42" bestFit="1" customWidth="1"/>
    <col min="6163" max="6163" width="3.5703125" style="42" customWidth="1"/>
    <col min="6164" max="6164" width="14.85546875" style="42" bestFit="1" customWidth="1"/>
    <col min="6165" max="6165" width="14" style="42" bestFit="1" customWidth="1"/>
    <col min="6166" max="6166" width="15.85546875" style="42" bestFit="1" customWidth="1"/>
    <col min="6167" max="6400" width="0" style="42" hidden="1"/>
    <col min="6401" max="6401" width="20.28515625" style="42" customWidth="1"/>
    <col min="6402" max="6402" width="0" style="42" hidden="1" customWidth="1"/>
    <col min="6403" max="6403" width="39.5703125" style="42" customWidth="1"/>
    <col min="6404" max="6405" width="0" style="42" hidden="1" customWidth="1"/>
    <col min="6406" max="6406" width="3.5703125" style="42" customWidth="1"/>
    <col min="6407" max="6407" width="12.140625" style="42" bestFit="1" customWidth="1"/>
    <col min="6408" max="6409" width="14" style="42" bestFit="1" customWidth="1"/>
    <col min="6410" max="6410" width="3.5703125" style="42" customWidth="1"/>
    <col min="6411" max="6411" width="13.85546875" style="42" bestFit="1" customWidth="1"/>
    <col min="6412" max="6412" width="16.5703125" style="42" bestFit="1" customWidth="1"/>
    <col min="6413" max="6413" width="18.7109375" style="42" bestFit="1" customWidth="1"/>
    <col min="6414" max="6414" width="20.42578125" style="42" bestFit="1" customWidth="1"/>
    <col min="6415" max="6415" width="3.5703125" style="42" customWidth="1"/>
    <col min="6416" max="6416" width="15.28515625" style="42" bestFit="1" customWidth="1"/>
    <col min="6417" max="6417" width="13.7109375" style="42" bestFit="1" customWidth="1"/>
    <col min="6418" max="6418" width="11.42578125" style="42" bestFit="1" customWidth="1"/>
    <col min="6419" max="6419" width="3.5703125" style="42" customWidth="1"/>
    <col min="6420" max="6420" width="14.85546875" style="42" bestFit="1" customWidth="1"/>
    <col min="6421" max="6421" width="14" style="42" bestFit="1" customWidth="1"/>
    <col min="6422" max="6422" width="15.85546875" style="42" bestFit="1" customWidth="1"/>
    <col min="6423" max="6656" width="0" style="42" hidden="1"/>
    <col min="6657" max="6657" width="20.28515625" style="42" customWidth="1"/>
    <col min="6658" max="6658" width="0" style="42" hidden="1" customWidth="1"/>
    <col min="6659" max="6659" width="39.5703125" style="42" customWidth="1"/>
    <col min="6660" max="6661" width="0" style="42" hidden="1" customWidth="1"/>
    <col min="6662" max="6662" width="3.5703125" style="42" customWidth="1"/>
    <col min="6663" max="6663" width="12.140625" style="42" bestFit="1" customWidth="1"/>
    <col min="6664" max="6665" width="14" style="42" bestFit="1" customWidth="1"/>
    <col min="6666" max="6666" width="3.5703125" style="42" customWidth="1"/>
    <col min="6667" max="6667" width="13.85546875" style="42" bestFit="1" customWidth="1"/>
    <col min="6668" max="6668" width="16.5703125" style="42" bestFit="1" customWidth="1"/>
    <col min="6669" max="6669" width="18.7109375" style="42" bestFit="1" customWidth="1"/>
    <col min="6670" max="6670" width="20.42578125" style="42" bestFit="1" customWidth="1"/>
    <col min="6671" max="6671" width="3.5703125" style="42" customWidth="1"/>
    <col min="6672" max="6672" width="15.28515625" style="42" bestFit="1" customWidth="1"/>
    <col min="6673" max="6673" width="13.7109375" style="42" bestFit="1" customWidth="1"/>
    <col min="6674" max="6674" width="11.42578125" style="42" bestFit="1" customWidth="1"/>
    <col min="6675" max="6675" width="3.5703125" style="42" customWidth="1"/>
    <col min="6676" max="6676" width="14.85546875" style="42" bestFit="1" customWidth="1"/>
    <col min="6677" max="6677" width="14" style="42" bestFit="1" customWidth="1"/>
    <col min="6678" max="6678" width="15.85546875" style="42" bestFit="1" customWidth="1"/>
    <col min="6679" max="6912" width="0" style="42" hidden="1"/>
    <col min="6913" max="6913" width="20.28515625" style="42" customWidth="1"/>
    <col min="6914" max="6914" width="0" style="42" hidden="1" customWidth="1"/>
    <col min="6915" max="6915" width="39.5703125" style="42" customWidth="1"/>
    <col min="6916" max="6917" width="0" style="42" hidden="1" customWidth="1"/>
    <col min="6918" max="6918" width="3.5703125" style="42" customWidth="1"/>
    <col min="6919" max="6919" width="12.140625" style="42" bestFit="1" customWidth="1"/>
    <col min="6920" max="6921" width="14" style="42" bestFit="1" customWidth="1"/>
    <col min="6922" max="6922" width="3.5703125" style="42" customWidth="1"/>
    <col min="6923" max="6923" width="13.85546875" style="42" bestFit="1" customWidth="1"/>
    <col min="6924" max="6924" width="16.5703125" style="42" bestFit="1" customWidth="1"/>
    <col min="6925" max="6925" width="18.7109375" style="42" bestFit="1" customWidth="1"/>
    <col min="6926" max="6926" width="20.42578125" style="42" bestFit="1" customWidth="1"/>
    <col min="6927" max="6927" width="3.5703125" style="42" customWidth="1"/>
    <col min="6928" max="6928" width="15.28515625" style="42" bestFit="1" customWidth="1"/>
    <col min="6929" max="6929" width="13.7109375" style="42" bestFit="1" customWidth="1"/>
    <col min="6930" max="6930" width="11.42578125" style="42" bestFit="1" customWidth="1"/>
    <col min="6931" max="6931" width="3.5703125" style="42" customWidth="1"/>
    <col min="6932" max="6932" width="14.85546875" style="42" bestFit="1" customWidth="1"/>
    <col min="6933" max="6933" width="14" style="42" bestFit="1" customWidth="1"/>
    <col min="6934" max="6934" width="15.85546875" style="42" bestFit="1" customWidth="1"/>
    <col min="6935" max="7168" width="9.140625" style="42"/>
    <col min="7169" max="7169" width="20.28515625" style="42" customWidth="1"/>
    <col min="7170" max="7170" width="0" style="42" hidden="1" customWidth="1"/>
    <col min="7171" max="7171" width="39.5703125" style="42" customWidth="1"/>
    <col min="7172" max="7173" width="0" style="42" hidden="1" customWidth="1"/>
    <col min="7174" max="7174" width="3.5703125" style="42" customWidth="1"/>
    <col min="7175" max="7175" width="12.140625" style="42" bestFit="1" customWidth="1"/>
    <col min="7176" max="7177" width="14" style="42" bestFit="1" customWidth="1"/>
    <col min="7178" max="7178" width="3.5703125" style="42" customWidth="1"/>
    <col min="7179" max="7179" width="13.85546875" style="42" bestFit="1" customWidth="1"/>
    <col min="7180" max="7180" width="16.5703125" style="42" bestFit="1" customWidth="1"/>
    <col min="7181" max="7181" width="18.7109375" style="42" bestFit="1" customWidth="1"/>
    <col min="7182" max="7182" width="20.42578125" style="42" bestFit="1" customWidth="1"/>
    <col min="7183" max="7183" width="3.5703125" style="42" customWidth="1"/>
    <col min="7184" max="7184" width="15.28515625" style="42" bestFit="1" customWidth="1"/>
    <col min="7185" max="7185" width="13.7109375" style="42" bestFit="1" customWidth="1"/>
    <col min="7186" max="7186" width="11.42578125" style="42" bestFit="1" customWidth="1"/>
    <col min="7187" max="7187" width="3.5703125" style="42" customWidth="1"/>
    <col min="7188" max="7188" width="14.85546875" style="42" bestFit="1" customWidth="1"/>
    <col min="7189" max="7189" width="14" style="42" bestFit="1" customWidth="1"/>
    <col min="7190" max="7190" width="15.85546875" style="42" bestFit="1" customWidth="1"/>
    <col min="7191" max="7424" width="0" style="42" hidden="1"/>
    <col min="7425" max="7425" width="20.28515625" style="42" customWidth="1"/>
    <col min="7426" max="7426" width="0" style="42" hidden="1" customWidth="1"/>
    <col min="7427" max="7427" width="39.5703125" style="42" customWidth="1"/>
    <col min="7428" max="7429" width="0" style="42" hidden="1" customWidth="1"/>
    <col min="7430" max="7430" width="3.5703125" style="42" customWidth="1"/>
    <col min="7431" max="7431" width="12.140625" style="42" bestFit="1" customWidth="1"/>
    <col min="7432" max="7433" width="14" style="42" bestFit="1" customWidth="1"/>
    <col min="7434" max="7434" width="3.5703125" style="42" customWidth="1"/>
    <col min="7435" max="7435" width="13.85546875" style="42" bestFit="1" customWidth="1"/>
    <col min="7436" max="7436" width="16.5703125" style="42" bestFit="1" customWidth="1"/>
    <col min="7437" max="7437" width="18.7109375" style="42" bestFit="1" customWidth="1"/>
    <col min="7438" max="7438" width="20.42578125" style="42" bestFit="1" customWidth="1"/>
    <col min="7439" max="7439" width="3.5703125" style="42" customWidth="1"/>
    <col min="7440" max="7440" width="15.28515625" style="42" bestFit="1" customWidth="1"/>
    <col min="7441" max="7441" width="13.7109375" style="42" bestFit="1" customWidth="1"/>
    <col min="7442" max="7442" width="11.42578125" style="42" bestFit="1" customWidth="1"/>
    <col min="7443" max="7443" width="3.5703125" style="42" customWidth="1"/>
    <col min="7444" max="7444" width="14.85546875" style="42" bestFit="1" customWidth="1"/>
    <col min="7445" max="7445" width="14" style="42" bestFit="1" customWidth="1"/>
    <col min="7446" max="7446" width="15.85546875" style="42" bestFit="1" customWidth="1"/>
    <col min="7447" max="7680" width="0" style="42" hidden="1"/>
    <col min="7681" max="7681" width="20.28515625" style="42" customWidth="1"/>
    <col min="7682" max="7682" width="0" style="42" hidden="1" customWidth="1"/>
    <col min="7683" max="7683" width="39.5703125" style="42" customWidth="1"/>
    <col min="7684" max="7685" width="0" style="42" hidden="1" customWidth="1"/>
    <col min="7686" max="7686" width="3.5703125" style="42" customWidth="1"/>
    <col min="7687" max="7687" width="12.140625" style="42" bestFit="1" customWidth="1"/>
    <col min="7688" max="7689" width="14" style="42" bestFit="1" customWidth="1"/>
    <col min="7690" max="7690" width="3.5703125" style="42" customWidth="1"/>
    <col min="7691" max="7691" width="13.85546875" style="42" bestFit="1" customWidth="1"/>
    <col min="7692" max="7692" width="16.5703125" style="42" bestFit="1" customWidth="1"/>
    <col min="7693" max="7693" width="18.7109375" style="42" bestFit="1" customWidth="1"/>
    <col min="7694" max="7694" width="20.42578125" style="42" bestFit="1" customWidth="1"/>
    <col min="7695" max="7695" width="3.5703125" style="42" customWidth="1"/>
    <col min="7696" max="7696" width="15.28515625" style="42" bestFit="1" customWidth="1"/>
    <col min="7697" max="7697" width="13.7109375" style="42" bestFit="1" customWidth="1"/>
    <col min="7698" max="7698" width="11.42578125" style="42" bestFit="1" customWidth="1"/>
    <col min="7699" max="7699" width="3.5703125" style="42" customWidth="1"/>
    <col min="7700" max="7700" width="14.85546875" style="42" bestFit="1" customWidth="1"/>
    <col min="7701" max="7701" width="14" style="42" bestFit="1" customWidth="1"/>
    <col min="7702" max="7702" width="15.85546875" style="42" bestFit="1" customWidth="1"/>
    <col min="7703" max="7936" width="0" style="42" hidden="1"/>
    <col min="7937" max="7937" width="20.28515625" style="42" customWidth="1"/>
    <col min="7938" max="7938" width="0" style="42" hidden="1" customWidth="1"/>
    <col min="7939" max="7939" width="39.5703125" style="42" customWidth="1"/>
    <col min="7940" max="7941" width="0" style="42" hidden="1" customWidth="1"/>
    <col min="7942" max="7942" width="3.5703125" style="42" customWidth="1"/>
    <col min="7943" max="7943" width="12.140625" style="42" bestFit="1" customWidth="1"/>
    <col min="7944" max="7945" width="14" style="42" bestFit="1" customWidth="1"/>
    <col min="7946" max="7946" width="3.5703125" style="42" customWidth="1"/>
    <col min="7947" max="7947" width="13.85546875" style="42" bestFit="1" customWidth="1"/>
    <col min="7948" max="7948" width="16.5703125" style="42" bestFit="1" customWidth="1"/>
    <col min="7949" max="7949" width="18.7109375" style="42" bestFit="1" customWidth="1"/>
    <col min="7950" max="7950" width="20.42578125" style="42" bestFit="1" customWidth="1"/>
    <col min="7951" max="7951" width="3.5703125" style="42" customWidth="1"/>
    <col min="7952" max="7952" width="15.28515625" style="42" bestFit="1" customWidth="1"/>
    <col min="7953" max="7953" width="13.7109375" style="42" bestFit="1" customWidth="1"/>
    <col min="7954" max="7954" width="11.42578125" style="42" bestFit="1" customWidth="1"/>
    <col min="7955" max="7955" width="3.5703125" style="42" customWidth="1"/>
    <col min="7956" max="7956" width="14.85546875" style="42" bestFit="1" customWidth="1"/>
    <col min="7957" max="7957" width="14" style="42" bestFit="1" customWidth="1"/>
    <col min="7958" max="7958" width="15.85546875" style="42" bestFit="1" customWidth="1"/>
    <col min="7959" max="8192" width="9.140625" style="42"/>
    <col min="8193" max="8193" width="20.28515625" style="42" customWidth="1"/>
    <col min="8194" max="8194" width="0" style="42" hidden="1" customWidth="1"/>
    <col min="8195" max="8195" width="39.5703125" style="42" customWidth="1"/>
    <col min="8196" max="8197" width="0" style="42" hidden="1" customWidth="1"/>
    <col min="8198" max="8198" width="3.5703125" style="42" customWidth="1"/>
    <col min="8199" max="8199" width="12.140625" style="42" bestFit="1" customWidth="1"/>
    <col min="8200" max="8201" width="14" style="42" bestFit="1" customWidth="1"/>
    <col min="8202" max="8202" width="3.5703125" style="42" customWidth="1"/>
    <col min="8203" max="8203" width="13.85546875" style="42" bestFit="1" customWidth="1"/>
    <col min="8204" max="8204" width="16.5703125" style="42" bestFit="1" customWidth="1"/>
    <col min="8205" max="8205" width="18.7109375" style="42" bestFit="1" customWidth="1"/>
    <col min="8206" max="8206" width="20.42578125" style="42" bestFit="1" customWidth="1"/>
    <col min="8207" max="8207" width="3.5703125" style="42" customWidth="1"/>
    <col min="8208" max="8208" width="15.28515625" style="42" bestFit="1" customWidth="1"/>
    <col min="8209" max="8209" width="13.7109375" style="42" bestFit="1" customWidth="1"/>
    <col min="8210" max="8210" width="11.42578125" style="42" bestFit="1" customWidth="1"/>
    <col min="8211" max="8211" width="3.5703125" style="42" customWidth="1"/>
    <col min="8212" max="8212" width="14.85546875" style="42" bestFit="1" customWidth="1"/>
    <col min="8213" max="8213" width="14" style="42" bestFit="1" customWidth="1"/>
    <col min="8214" max="8214" width="15.85546875" style="42" bestFit="1" customWidth="1"/>
    <col min="8215" max="8448" width="0" style="42" hidden="1"/>
    <col min="8449" max="8449" width="20.28515625" style="42" customWidth="1"/>
    <col min="8450" max="8450" width="0" style="42" hidden="1" customWidth="1"/>
    <col min="8451" max="8451" width="39.5703125" style="42" customWidth="1"/>
    <col min="8452" max="8453" width="0" style="42" hidden="1" customWidth="1"/>
    <col min="8454" max="8454" width="3.5703125" style="42" customWidth="1"/>
    <col min="8455" max="8455" width="12.140625" style="42" bestFit="1" customWidth="1"/>
    <col min="8456" max="8457" width="14" style="42" bestFit="1" customWidth="1"/>
    <col min="8458" max="8458" width="3.5703125" style="42" customWidth="1"/>
    <col min="8459" max="8459" width="13.85546875" style="42" bestFit="1" customWidth="1"/>
    <col min="8460" max="8460" width="16.5703125" style="42" bestFit="1" customWidth="1"/>
    <col min="8461" max="8461" width="18.7109375" style="42" bestFit="1" customWidth="1"/>
    <col min="8462" max="8462" width="20.42578125" style="42" bestFit="1" customWidth="1"/>
    <col min="8463" max="8463" width="3.5703125" style="42" customWidth="1"/>
    <col min="8464" max="8464" width="15.28515625" style="42" bestFit="1" customWidth="1"/>
    <col min="8465" max="8465" width="13.7109375" style="42" bestFit="1" customWidth="1"/>
    <col min="8466" max="8466" width="11.42578125" style="42" bestFit="1" customWidth="1"/>
    <col min="8467" max="8467" width="3.5703125" style="42" customWidth="1"/>
    <col min="8468" max="8468" width="14.85546875" style="42" bestFit="1" customWidth="1"/>
    <col min="8469" max="8469" width="14" style="42" bestFit="1" customWidth="1"/>
    <col min="8470" max="8470" width="15.85546875" style="42" bestFit="1" customWidth="1"/>
    <col min="8471" max="8704" width="0" style="42" hidden="1"/>
    <col min="8705" max="8705" width="20.28515625" style="42" customWidth="1"/>
    <col min="8706" max="8706" width="0" style="42" hidden="1" customWidth="1"/>
    <col min="8707" max="8707" width="39.5703125" style="42" customWidth="1"/>
    <col min="8708" max="8709" width="0" style="42" hidden="1" customWidth="1"/>
    <col min="8710" max="8710" width="3.5703125" style="42" customWidth="1"/>
    <col min="8711" max="8711" width="12.140625" style="42" bestFit="1" customWidth="1"/>
    <col min="8712" max="8713" width="14" style="42" bestFit="1" customWidth="1"/>
    <col min="8714" max="8714" width="3.5703125" style="42" customWidth="1"/>
    <col min="8715" max="8715" width="13.85546875" style="42" bestFit="1" customWidth="1"/>
    <col min="8716" max="8716" width="16.5703125" style="42" bestFit="1" customWidth="1"/>
    <col min="8717" max="8717" width="18.7109375" style="42" bestFit="1" customWidth="1"/>
    <col min="8718" max="8718" width="20.42578125" style="42" bestFit="1" customWidth="1"/>
    <col min="8719" max="8719" width="3.5703125" style="42" customWidth="1"/>
    <col min="8720" max="8720" width="15.28515625" style="42" bestFit="1" customWidth="1"/>
    <col min="8721" max="8721" width="13.7109375" style="42" bestFit="1" customWidth="1"/>
    <col min="8722" max="8722" width="11.42578125" style="42" bestFit="1" customWidth="1"/>
    <col min="8723" max="8723" width="3.5703125" style="42" customWidth="1"/>
    <col min="8724" max="8724" width="14.85546875" style="42" bestFit="1" customWidth="1"/>
    <col min="8725" max="8725" width="14" style="42" bestFit="1" customWidth="1"/>
    <col min="8726" max="8726" width="15.85546875" style="42" bestFit="1" customWidth="1"/>
    <col min="8727" max="8960" width="0" style="42" hidden="1"/>
    <col min="8961" max="8961" width="20.28515625" style="42" customWidth="1"/>
    <col min="8962" max="8962" width="0" style="42" hidden="1" customWidth="1"/>
    <col min="8963" max="8963" width="39.5703125" style="42" customWidth="1"/>
    <col min="8964" max="8965" width="0" style="42" hidden="1" customWidth="1"/>
    <col min="8966" max="8966" width="3.5703125" style="42" customWidth="1"/>
    <col min="8967" max="8967" width="12.140625" style="42" bestFit="1" customWidth="1"/>
    <col min="8968" max="8969" width="14" style="42" bestFit="1" customWidth="1"/>
    <col min="8970" max="8970" width="3.5703125" style="42" customWidth="1"/>
    <col min="8971" max="8971" width="13.85546875" style="42" bestFit="1" customWidth="1"/>
    <col min="8972" max="8972" width="16.5703125" style="42" bestFit="1" customWidth="1"/>
    <col min="8973" max="8973" width="18.7109375" style="42" bestFit="1" customWidth="1"/>
    <col min="8974" max="8974" width="20.42578125" style="42" bestFit="1" customWidth="1"/>
    <col min="8975" max="8975" width="3.5703125" style="42" customWidth="1"/>
    <col min="8976" max="8976" width="15.28515625" style="42" bestFit="1" customWidth="1"/>
    <col min="8977" max="8977" width="13.7109375" style="42" bestFit="1" customWidth="1"/>
    <col min="8978" max="8978" width="11.42578125" style="42" bestFit="1" customWidth="1"/>
    <col min="8979" max="8979" width="3.5703125" style="42" customWidth="1"/>
    <col min="8980" max="8980" width="14.85546875" style="42" bestFit="1" customWidth="1"/>
    <col min="8981" max="8981" width="14" style="42" bestFit="1" customWidth="1"/>
    <col min="8982" max="8982" width="15.85546875" style="42" bestFit="1" customWidth="1"/>
    <col min="8983" max="9216" width="9.140625" style="42"/>
    <col min="9217" max="9217" width="20.28515625" style="42" customWidth="1"/>
    <col min="9218" max="9218" width="0" style="42" hidden="1" customWidth="1"/>
    <col min="9219" max="9219" width="39.5703125" style="42" customWidth="1"/>
    <col min="9220" max="9221" width="0" style="42" hidden="1" customWidth="1"/>
    <col min="9222" max="9222" width="3.5703125" style="42" customWidth="1"/>
    <col min="9223" max="9223" width="12.140625" style="42" bestFit="1" customWidth="1"/>
    <col min="9224" max="9225" width="14" style="42" bestFit="1" customWidth="1"/>
    <col min="9226" max="9226" width="3.5703125" style="42" customWidth="1"/>
    <col min="9227" max="9227" width="13.85546875" style="42" bestFit="1" customWidth="1"/>
    <col min="9228" max="9228" width="16.5703125" style="42" bestFit="1" customWidth="1"/>
    <col min="9229" max="9229" width="18.7109375" style="42" bestFit="1" customWidth="1"/>
    <col min="9230" max="9230" width="20.42578125" style="42" bestFit="1" customWidth="1"/>
    <col min="9231" max="9231" width="3.5703125" style="42" customWidth="1"/>
    <col min="9232" max="9232" width="15.28515625" style="42" bestFit="1" customWidth="1"/>
    <col min="9233" max="9233" width="13.7109375" style="42" bestFit="1" customWidth="1"/>
    <col min="9234" max="9234" width="11.42578125" style="42" bestFit="1" customWidth="1"/>
    <col min="9235" max="9235" width="3.5703125" style="42" customWidth="1"/>
    <col min="9236" max="9236" width="14.85546875" style="42" bestFit="1" customWidth="1"/>
    <col min="9237" max="9237" width="14" style="42" bestFit="1" customWidth="1"/>
    <col min="9238" max="9238" width="15.85546875" style="42" bestFit="1" customWidth="1"/>
    <col min="9239" max="9472" width="0" style="42" hidden="1"/>
    <col min="9473" max="9473" width="20.28515625" style="42" customWidth="1"/>
    <col min="9474" max="9474" width="0" style="42" hidden="1" customWidth="1"/>
    <col min="9475" max="9475" width="39.5703125" style="42" customWidth="1"/>
    <col min="9476" max="9477" width="0" style="42" hidden="1" customWidth="1"/>
    <col min="9478" max="9478" width="3.5703125" style="42" customWidth="1"/>
    <col min="9479" max="9479" width="12.140625" style="42" bestFit="1" customWidth="1"/>
    <col min="9480" max="9481" width="14" style="42" bestFit="1" customWidth="1"/>
    <col min="9482" max="9482" width="3.5703125" style="42" customWidth="1"/>
    <col min="9483" max="9483" width="13.85546875" style="42" bestFit="1" customWidth="1"/>
    <col min="9484" max="9484" width="16.5703125" style="42" bestFit="1" customWidth="1"/>
    <col min="9485" max="9485" width="18.7109375" style="42" bestFit="1" customWidth="1"/>
    <col min="9486" max="9486" width="20.42578125" style="42" bestFit="1" customWidth="1"/>
    <col min="9487" max="9487" width="3.5703125" style="42" customWidth="1"/>
    <col min="9488" max="9488" width="15.28515625" style="42" bestFit="1" customWidth="1"/>
    <col min="9489" max="9489" width="13.7109375" style="42" bestFit="1" customWidth="1"/>
    <col min="9490" max="9490" width="11.42578125" style="42" bestFit="1" customWidth="1"/>
    <col min="9491" max="9491" width="3.5703125" style="42" customWidth="1"/>
    <col min="9492" max="9492" width="14.85546875" style="42" bestFit="1" customWidth="1"/>
    <col min="9493" max="9493" width="14" style="42" bestFit="1" customWidth="1"/>
    <col min="9494" max="9494" width="15.85546875" style="42" bestFit="1" customWidth="1"/>
    <col min="9495" max="9728" width="0" style="42" hidden="1"/>
    <col min="9729" max="9729" width="20.28515625" style="42" customWidth="1"/>
    <col min="9730" max="9730" width="0" style="42" hidden="1" customWidth="1"/>
    <col min="9731" max="9731" width="39.5703125" style="42" customWidth="1"/>
    <col min="9732" max="9733" width="0" style="42" hidden="1" customWidth="1"/>
    <col min="9734" max="9734" width="3.5703125" style="42" customWidth="1"/>
    <col min="9735" max="9735" width="12.140625" style="42" bestFit="1" customWidth="1"/>
    <col min="9736" max="9737" width="14" style="42" bestFit="1" customWidth="1"/>
    <col min="9738" max="9738" width="3.5703125" style="42" customWidth="1"/>
    <col min="9739" max="9739" width="13.85546875" style="42" bestFit="1" customWidth="1"/>
    <col min="9740" max="9740" width="16.5703125" style="42" bestFit="1" customWidth="1"/>
    <col min="9741" max="9741" width="18.7109375" style="42" bestFit="1" customWidth="1"/>
    <col min="9742" max="9742" width="20.42578125" style="42" bestFit="1" customWidth="1"/>
    <col min="9743" max="9743" width="3.5703125" style="42" customWidth="1"/>
    <col min="9744" max="9744" width="15.28515625" style="42" bestFit="1" customWidth="1"/>
    <col min="9745" max="9745" width="13.7109375" style="42" bestFit="1" customWidth="1"/>
    <col min="9746" max="9746" width="11.42578125" style="42" bestFit="1" customWidth="1"/>
    <col min="9747" max="9747" width="3.5703125" style="42" customWidth="1"/>
    <col min="9748" max="9748" width="14.85546875" style="42" bestFit="1" customWidth="1"/>
    <col min="9749" max="9749" width="14" style="42" bestFit="1" customWidth="1"/>
    <col min="9750" max="9750" width="15.85546875" style="42" bestFit="1" customWidth="1"/>
    <col min="9751" max="9984" width="0" style="42" hidden="1"/>
    <col min="9985" max="9985" width="20.28515625" style="42" customWidth="1"/>
    <col min="9986" max="9986" width="0" style="42" hidden="1" customWidth="1"/>
    <col min="9987" max="9987" width="39.5703125" style="42" customWidth="1"/>
    <col min="9988" max="9989" width="0" style="42" hidden="1" customWidth="1"/>
    <col min="9990" max="9990" width="3.5703125" style="42" customWidth="1"/>
    <col min="9991" max="9991" width="12.140625" style="42" bestFit="1" customWidth="1"/>
    <col min="9992" max="9993" width="14" style="42" bestFit="1" customWidth="1"/>
    <col min="9994" max="9994" width="3.5703125" style="42" customWidth="1"/>
    <col min="9995" max="9995" width="13.85546875" style="42" bestFit="1" customWidth="1"/>
    <col min="9996" max="9996" width="16.5703125" style="42" bestFit="1" customWidth="1"/>
    <col min="9997" max="9997" width="18.7109375" style="42" bestFit="1" customWidth="1"/>
    <col min="9998" max="9998" width="20.42578125" style="42" bestFit="1" customWidth="1"/>
    <col min="9999" max="9999" width="3.5703125" style="42" customWidth="1"/>
    <col min="10000" max="10000" width="15.28515625" style="42" bestFit="1" customWidth="1"/>
    <col min="10001" max="10001" width="13.7109375" style="42" bestFit="1" customWidth="1"/>
    <col min="10002" max="10002" width="11.42578125" style="42" bestFit="1" customWidth="1"/>
    <col min="10003" max="10003" width="3.5703125" style="42" customWidth="1"/>
    <col min="10004" max="10004" width="14.85546875" style="42" bestFit="1" customWidth="1"/>
    <col min="10005" max="10005" width="14" style="42" bestFit="1" customWidth="1"/>
    <col min="10006" max="10006" width="15.85546875" style="42" bestFit="1" customWidth="1"/>
    <col min="10007" max="10240" width="9.140625" style="42"/>
    <col min="10241" max="10241" width="20.28515625" style="42" customWidth="1"/>
    <col min="10242" max="10242" width="0" style="42" hidden="1" customWidth="1"/>
    <col min="10243" max="10243" width="39.5703125" style="42" customWidth="1"/>
    <col min="10244" max="10245" width="0" style="42" hidden="1" customWidth="1"/>
    <col min="10246" max="10246" width="3.5703125" style="42" customWidth="1"/>
    <col min="10247" max="10247" width="12.140625" style="42" bestFit="1" customWidth="1"/>
    <col min="10248" max="10249" width="14" style="42" bestFit="1" customWidth="1"/>
    <col min="10250" max="10250" width="3.5703125" style="42" customWidth="1"/>
    <col min="10251" max="10251" width="13.85546875" style="42" bestFit="1" customWidth="1"/>
    <col min="10252" max="10252" width="16.5703125" style="42" bestFit="1" customWidth="1"/>
    <col min="10253" max="10253" width="18.7109375" style="42" bestFit="1" customWidth="1"/>
    <col min="10254" max="10254" width="20.42578125" style="42" bestFit="1" customWidth="1"/>
    <col min="10255" max="10255" width="3.5703125" style="42" customWidth="1"/>
    <col min="10256" max="10256" width="15.28515625" style="42" bestFit="1" customWidth="1"/>
    <col min="10257" max="10257" width="13.7109375" style="42" bestFit="1" customWidth="1"/>
    <col min="10258" max="10258" width="11.42578125" style="42" bestFit="1" customWidth="1"/>
    <col min="10259" max="10259" width="3.5703125" style="42" customWidth="1"/>
    <col min="10260" max="10260" width="14.85546875" style="42" bestFit="1" customWidth="1"/>
    <col min="10261" max="10261" width="14" style="42" bestFit="1" customWidth="1"/>
    <col min="10262" max="10262" width="15.85546875" style="42" bestFit="1" customWidth="1"/>
    <col min="10263" max="10496" width="0" style="42" hidden="1"/>
    <col min="10497" max="10497" width="20.28515625" style="42" customWidth="1"/>
    <col min="10498" max="10498" width="0" style="42" hidden="1" customWidth="1"/>
    <col min="10499" max="10499" width="39.5703125" style="42" customWidth="1"/>
    <col min="10500" max="10501" width="0" style="42" hidden="1" customWidth="1"/>
    <col min="10502" max="10502" width="3.5703125" style="42" customWidth="1"/>
    <col min="10503" max="10503" width="12.140625" style="42" bestFit="1" customWidth="1"/>
    <col min="10504" max="10505" width="14" style="42" bestFit="1" customWidth="1"/>
    <col min="10506" max="10506" width="3.5703125" style="42" customWidth="1"/>
    <col min="10507" max="10507" width="13.85546875" style="42" bestFit="1" customWidth="1"/>
    <col min="10508" max="10508" width="16.5703125" style="42" bestFit="1" customWidth="1"/>
    <col min="10509" max="10509" width="18.7109375" style="42" bestFit="1" customWidth="1"/>
    <col min="10510" max="10510" width="20.42578125" style="42" bestFit="1" customWidth="1"/>
    <col min="10511" max="10511" width="3.5703125" style="42" customWidth="1"/>
    <col min="10512" max="10512" width="15.28515625" style="42" bestFit="1" customWidth="1"/>
    <col min="10513" max="10513" width="13.7109375" style="42" bestFit="1" customWidth="1"/>
    <col min="10514" max="10514" width="11.42578125" style="42" bestFit="1" customWidth="1"/>
    <col min="10515" max="10515" width="3.5703125" style="42" customWidth="1"/>
    <col min="10516" max="10516" width="14.85546875" style="42" bestFit="1" customWidth="1"/>
    <col min="10517" max="10517" width="14" style="42" bestFit="1" customWidth="1"/>
    <col min="10518" max="10518" width="15.85546875" style="42" bestFit="1" customWidth="1"/>
    <col min="10519" max="10752" width="0" style="42" hidden="1"/>
    <col min="10753" max="10753" width="20.28515625" style="42" customWidth="1"/>
    <col min="10754" max="10754" width="0" style="42" hidden="1" customWidth="1"/>
    <col min="10755" max="10755" width="39.5703125" style="42" customWidth="1"/>
    <col min="10756" max="10757" width="0" style="42" hidden="1" customWidth="1"/>
    <col min="10758" max="10758" width="3.5703125" style="42" customWidth="1"/>
    <col min="10759" max="10759" width="12.140625" style="42" bestFit="1" customWidth="1"/>
    <col min="10760" max="10761" width="14" style="42" bestFit="1" customWidth="1"/>
    <col min="10762" max="10762" width="3.5703125" style="42" customWidth="1"/>
    <col min="10763" max="10763" width="13.85546875" style="42" bestFit="1" customWidth="1"/>
    <col min="10764" max="10764" width="16.5703125" style="42" bestFit="1" customWidth="1"/>
    <col min="10765" max="10765" width="18.7109375" style="42" bestFit="1" customWidth="1"/>
    <col min="10766" max="10766" width="20.42578125" style="42" bestFit="1" customWidth="1"/>
    <col min="10767" max="10767" width="3.5703125" style="42" customWidth="1"/>
    <col min="10768" max="10768" width="15.28515625" style="42" bestFit="1" customWidth="1"/>
    <col min="10769" max="10769" width="13.7109375" style="42" bestFit="1" customWidth="1"/>
    <col min="10770" max="10770" width="11.42578125" style="42" bestFit="1" customWidth="1"/>
    <col min="10771" max="10771" width="3.5703125" style="42" customWidth="1"/>
    <col min="10772" max="10772" width="14.85546875" style="42" bestFit="1" customWidth="1"/>
    <col min="10773" max="10773" width="14" style="42" bestFit="1" customWidth="1"/>
    <col min="10774" max="10774" width="15.85546875" style="42" bestFit="1" customWidth="1"/>
    <col min="10775" max="11008" width="0" style="42" hidden="1"/>
    <col min="11009" max="11009" width="20.28515625" style="42" customWidth="1"/>
    <col min="11010" max="11010" width="0" style="42" hidden="1" customWidth="1"/>
    <col min="11011" max="11011" width="39.5703125" style="42" customWidth="1"/>
    <col min="11012" max="11013" width="0" style="42" hidden="1" customWidth="1"/>
    <col min="11014" max="11014" width="3.5703125" style="42" customWidth="1"/>
    <col min="11015" max="11015" width="12.140625" style="42" bestFit="1" customWidth="1"/>
    <col min="11016" max="11017" width="14" style="42" bestFit="1" customWidth="1"/>
    <col min="11018" max="11018" width="3.5703125" style="42" customWidth="1"/>
    <col min="11019" max="11019" width="13.85546875" style="42" bestFit="1" customWidth="1"/>
    <col min="11020" max="11020" width="16.5703125" style="42" bestFit="1" customWidth="1"/>
    <col min="11021" max="11021" width="18.7109375" style="42" bestFit="1" customWidth="1"/>
    <col min="11022" max="11022" width="20.42578125" style="42" bestFit="1" customWidth="1"/>
    <col min="11023" max="11023" width="3.5703125" style="42" customWidth="1"/>
    <col min="11024" max="11024" width="15.28515625" style="42" bestFit="1" customWidth="1"/>
    <col min="11025" max="11025" width="13.7109375" style="42" bestFit="1" customWidth="1"/>
    <col min="11026" max="11026" width="11.42578125" style="42" bestFit="1" customWidth="1"/>
    <col min="11027" max="11027" width="3.5703125" style="42" customWidth="1"/>
    <col min="11028" max="11028" width="14.85546875" style="42" bestFit="1" customWidth="1"/>
    <col min="11029" max="11029" width="14" style="42" bestFit="1" customWidth="1"/>
    <col min="11030" max="11030" width="15.85546875" style="42" bestFit="1" customWidth="1"/>
    <col min="11031" max="11264" width="9.140625" style="42"/>
    <col min="11265" max="11265" width="20.28515625" style="42" customWidth="1"/>
    <col min="11266" max="11266" width="0" style="42" hidden="1" customWidth="1"/>
    <col min="11267" max="11267" width="39.5703125" style="42" customWidth="1"/>
    <col min="11268" max="11269" width="0" style="42" hidden="1" customWidth="1"/>
    <col min="11270" max="11270" width="3.5703125" style="42" customWidth="1"/>
    <col min="11271" max="11271" width="12.140625" style="42" bestFit="1" customWidth="1"/>
    <col min="11272" max="11273" width="14" style="42" bestFit="1" customWidth="1"/>
    <col min="11274" max="11274" width="3.5703125" style="42" customWidth="1"/>
    <col min="11275" max="11275" width="13.85546875" style="42" bestFit="1" customWidth="1"/>
    <col min="11276" max="11276" width="16.5703125" style="42" bestFit="1" customWidth="1"/>
    <col min="11277" max="11277" width="18.7109375" style="42" bestFit="1" customWidth="1"/>
    <col min="11278" max="11278" width="20.42578125" style="42" bestFit="1" customWidth="1"/>
    <col min="11279" max="11279" width="3.5703125" style="42" customWidth="1"/>
    <col min="11280" max="11280" width="15.28515625" style="42" bestFit="1" customWidth="1"/>
    <col min="11281" max="11281" width="13.7109375" style="42" bestFit="1" customWidth="1"/>
    <col min="11282" max="11282" width="11.42578125" style="42" bestFit="1" customWidth="1"/>
    <col min="11283" max="11283" width="3.5703125" style="42" customWidth="1"/>
    <col min="11284" max="11284" width="14.85546875" style="42" bestFit="1" customWidth="1"/>
    <col min="11285" max="11285" width="14" style="42" bestFit="1" customWidth="1"/>
    <col min="11286" max="11286" width="15.85546875" style="42" bestFit="1" customWidth="1"/>
    <col min="11287" max="11520" width="0" style="42" hidden="1"/>
    <col min="11521" max="11521" width="20.28515625" style="42" customWidth="1"/>
    <col min="11522" max="11522" width="0" style="42" hidden="1" customWidth="1"/>
    <col min="11523" max="11523" width="39.5703125" style="42" customWidth="1"/>
    <col min="11524" max="11525" width="0" style="42" hidden="1" customWidth="1"/>
    <col min="11526" max="11526" width="3.5703125" style="42" customWidth="1"/>
    <col min="11527" max="11527" width="12.140625" style="42" bestFit="1" customWidth="1"/>
    <col min="11528" max="11529" width="14" style="42" bestFit="1" customWidth="1"/>
    <col min="11530" max="11530" width="3.5703125" style="42" customWidth="1"/>
    <col min="11531" max="11531" width="13.85546875" style="42" bestFit="1" customWidth="1"/>
    <col min="11532" max="11532" width="16.5703125" style="42" bestFit="1" customWidth="1"/>
    <col min="11533" max="11533" width="18.7109375" style="42" bestFit="1" customWidth="1"/>
    <col min="11534" max="11534" width="20.42578125" style="42" bestFit="1" customWidth="1"/>
    <col min="11535" max="11535" width="3.5703125" style="42" customWidth="1"/>
    <col min="11536" max="11536" width="15.28515625" style="42" bestFit="1" customWidth="1"/>
    <col min="11537" max="11537" width="13.7109375" style="42" bestFit="1" customWidth="1"/>
    <col min="11538" max="11538" width="11.42578125" style="42" bestFit="1" customWidth="1"/>
    <col min="11539" max="11539" width="3.5703125" style="42" customWidth="1"/>
    <col min="11540" max="11540" width="14.85546875" style="42" bestFit="1" customWidth="1"/>
    <col min="11541" max="11541" width="14" style="42" bestFit="1" customWidth="1"/>
    <col min="11542" max="11542" width="15.85546875" style="42" bestFit="1" customWidth="1"/>
    <col min="11543" max="11776" width="0" style="42" hidden="1"/>
    <col min="11777" max="11777" width="20.28515625" style="42" customWidth="1"/>
    <col min="11778" max="11778" width="0" style="42" hidden="1" customWidth="1"/>
    <col min="11779" max="11779" width="39.5703125" style="42" customWidth="1"/>
    <col min="11780" max="11781" width="0" style="42" hidden="1" customWidth="1"/>
    <col min="11782" max="11782" width="3.5703125" style="42" customWidth="1"/>
    <col min="11783" max="11783" width="12.140625" style="42" bestFit="1" customWidth="1"/>
    <col min="11784" max="11785" width="14" style="42" bestFit="1" customWidth="1"/>
    <col min="11786" max="11786" width="3.5703125" style="42" customWidth="1"/>
    <col min="11787" max="11787" width="13.85546875" style="42" bestFit="1" customWidth="1"/>
    <col min="11788" max="11788" width="16.5703125" style="42" bestFit="1" customWidth="1"/>
    <col min="11789" max="11789" width="18.7109375" style="42" bestFit="1" customWidth="1"/>
    <col min="11790" max="11790" width="20.42578125" style="42" bestFit="1" customWidth="1"/>
    <col min="11791" max="11791" width="3.5703125" style="42" customWidth="1"/>
    <col min="11792" max="11792" width="15.28515625" style="42" bestFit="1" customWidth="1"/>
    <col min="11793" max="11793" width="13.7109375" style="42" bestFit="1" customWidth="1"/>
    <col min="11794" max="11794" width="11.42578125" style="42" bestFit="1" customWidth="1"/>
    <col min="11795" max="11795" width="3.5703125" style="42" customWidth="1"/>
    <col min="11796" max="11796" width="14.85546875" style="42" bestFit="1" customWidth="1"/>
    <col min="11797" max="11797" width="14" style="42" bestFit="1" customWidth="1"/>
    <col min="11798" max="11798" width="15.85546875" style="42" bestFit="1" customWidth="1"/>
    <col min="11799" max="12032" width="0" style="42" hidden="1"/>
    <col min="12033" max="12033" width="20.28515625" style="42" customWidth="1"/>
    <col min="12034" max="12034" width="0" style="42" hidden="1" customWidth="1"/>
    <col min="12035" max="12035" width="39.5703125" style="42" customWidth="1"/>
    <col min="12036" max="12037" width="0" style="42" hidden="1" customWidth="1"/>
    <col min="12038" max="12038" width="3.5703125" style="42" customWidth="1"/>
    <col min="12039" max="12039" width="12.140625" style="42" bestFit="1" customWidth="1"/>
    <col min="12040" max="12041" width="14" style="42" bestFit="1" customWidth="1"/>
    <col min="12042" max="12042" width="3.5703125" style="42" customWidth="1"/>
    <col min="12043" max="12043" width="13.85546875" style="42" bestFit="1" customWidth="1"/>
    <col min="12044" max="12044" width="16.5703125" style="42" bestFit="1" customWidth="1"/>
    <col min="12045" max="12045" width="18.7109375" style="42" bestFit="1" customWidth="1"/>
    <col min="12046" max="12046" width="20.42578125" style="42" bestFit="1" customWidth="1"/>
    <col min="12047" max="12047" width="3.5703125" style="42" customWidth="1"/>
    <col min="12048" max="12048" width="15.28515625" style="42" bestFit="1" customWidth="1"/>
    <col min="12049" max="12049" width="13.7109375" style="42" bestFit="1" customWidth="1"/>
    <col min="12050" max="12050" width="11.42578125" style="42" bestFit="1" customWidth="1"/>
    <col min="12051" max="12051" width="3.5703125" style="42" customWidth="1"/>
    <col min="12052" max="12052" width="14.85546875" style="42" bestFit="1" customWidth="1"/>
    <col min="12053" max="12053" width="14" style="42" bestFit="1" customWidth="1"/>
    <col min="12054" max="12054" width="15.85546875" style="42" bestFit="1" customWidth="1"/>
    <col min="12055" max="12288" width="9.140625" style="42"/>
    <col min="12289" max="12289" width="20.28515625" style="42" customWidth="1"/>
    <col min="12290" max="12290" width="0" style="42" hidden="1" customWidth="1"/>
    <col min="12291" max="12291" width="39.5703125" style="42" customWidth="1"/>
    <col min="12292" max="12293" width="0" style="42" hidden="1" customWidth="1"/>
    <col min="12294" max="12294" width="3.5703125" style="42" customWidth="1"/>
    <col min="12295" max="12295" width="12.140625" style="42" bestFit="1" customWidth="1"/>
    <col min="12296" max="12297" width="14" style="42" bestFit="1" customWidth="1"/>
    <col min="12298" max="12298" width="3.5703125" style="42" customWidth="1"/>
    <col min="12299" max="12299" width="13.85546875" style="42" bestFit="1" customWidth="1"/>
    <col min="12300" max="12300" width="16.5703125" style="42" bestFit="1" customWidth="1"/>
    <col min="12301" max="12301" width="18.7109375" style="42" bestFit="1" customWidth="1"/>
    <col min="12302" max="12302" width="20.42578125" style="42" bestFit="1" customWidth="1"/>
    <col min="12303" max="12303" width="3.5703125" style="42" customWidth="1"/>
    <col min="12304" max="12304" width="15.28515625" style="42" bestFit="1" customWidth="1"/>
    <col min="12305" max="12305" width="13.7109375" style="42" bestFit="1" customWidth="1"/>
    <col min="12306" max="12306" width="11.42578125" style="42" bestFit="1" customWidth="1"/>
    <col min="12307" max="12307" width="3.5703125" style="42" customWidth="1"/>
    <col min="12308" max="12308" width="14.85546875" style="42" bestFit="1" customWidth="1"/>
    <col min="12309" max="12309" width="14" style="42" bestFit="1" customWidth="1"/>
    <col min="12310" max="12310" width="15.85546875" style="42" bestFit="1" customWidth="1"/>
    <col min="12311" max="12544" width="0" style="42" hidden="1"/>
    <col min="12545" max="12545" width="20.28515625" style="42" customWidth="1"/>
    <col min="12546" max="12546" width="0" style="42" hidden="1" customWidth="1"/>
    <col min="12547" max="12547" width="39.5703125" style="42" customWidth="1"/>
    <col min="12548" max="12549" width="0" style="42" hidden="1" customWidth="1"/>
    <col min="12550" max="12550" width="3.5703125" style="42" customWidth="1"/>
    <col min="12551" max="12551" width="12.140625" style="42" bestFit="1" customWidth="1"/>
    <col min="12552" max="12553" width="14" style="42" bestFit="1" customWidth="1"/>
    <col min="12554" max="12554" width="3.5703125" style="42" customWidth="1"/>
    <col min="12555" max="12555" width="13.85546875" style="42" bestFit="1" customWidth="1"/>
    <col min="12556" max="12556" width="16.5703125" style="42" bestFit="1" customWidth="1"/>
    <col min="12557" max="12557" width="18.7109375" style="42" bestFit="1" customWidth="1"/>
    <col min="12558" max="12558" width="20.42578125" style="42" bestFit="1" customWidth="1"/>
    <col min="12559" max="12559" width="3.5703125" style="42" customWidth="1"/>
    <col min="12560" max="12560" width="15.28515625" style="42" bestFit="1" customWidth="1"/>
    <col min="12561" max="12561" width="13.7109375" style="42" bestFit="1" customWidth="1"/>
    <col min="12562" max="12562" width="11.42578125" style="42" bestFit="1" customWidth="1"/>
    <col min="12563" max="12563" width="3.5703125" style="42" customWidth="1"/>
    <col min="12564" max="12564" width="14.85546875" style="42" bestFit="1" customWidth="1"/>
    <col min="12565" max="12565" width="14" style="42" bestFit="1" customWidth="1"/>
    <col min="12566" max="12566" width="15.85546875" style="42" bestFit="1" customWidth="1"/>
    <col min="12567" max="12800" width="0" style="42" hidden="1"/>
    <col min="12801" max="12801" width="20.28515625" style="42" customWidth="1"/>
    <col min="12802" max="12802" width="0" style="42" hidden="1" customWidth="1"/>
    <col min="12803" max="12803" width="39.5703125" style="42" customWidth="1"/>
    <col min="12804" max="12805" width="0" style="42" hidden="1" customWidth="1"/>
    <col min="12806" max="12806" width="3.5703125" style="42" customWidth="1"/>
    <col min="12807" max="12807" width="12.140625" style="42" bestFit="1" customWidth="1"/>
    <col min="12808" max="12809" width="14" style="42" bestFit="1" customWidth="1"/>
    <col min="12810" max="12810" width="3.5703125" style="42" customWidth="1"/>
    <col min="12811" max="12811" width="13.85546875" style="42" bestFit="1" customWidth="1"/>
    <col min="12812" max="12812" width="16.5703125" style="42" bestFit="1" customWidth="1"/>
    <col min="12813" max="12813" width="18.7109375" style="42" bestFit="1" customWidth="1"/>
    <col min="12814" max="12814" width="20.42578125" style="42" bestFit="1" customWidth="1"/>
    <col min="12815" max="12815" width="3.5703125" style="42" customWidth="1"/>
    <col min="12816" max="12816" width="15.28515625" style="42" bestFit="1" customWidth="1"/>
    <col min="12817" max="12817" width="13.7109375" style="42" bestFit="1" customWidth="1"/>
    <col min="12818" max="12818" width="11.42578125" style="42" bestFit="1" customWidth="1"/>
    <col min="12819" max="12819" width="3.5703125" style="42" customWidth="1"/>
    <col min="12820" max="12820" width="14.85546875" style="42" bestFit="1" customWidth="1"/>
    <col min="12821" max="12821" width="14" style="42" bestFit="1" customWidth="1"/>
    <col min="12822" max="12822" width="15.85546875" style="42" bestFit="1" customWidth="1"/>
    <col min="12823" max="13056" width="0" style="42" hidden="1"/>
    <col min="13057" max="13057" width="20.28515625" style="42" customWidth="1"/>
    <col min="13058" max="13058" width="0" style="42" hidden="1" customWidth="1"/>
    <col min="13059" max="13059" width="39.5703125" style="42" customWidth="1"/>
    <col min="13060" max="13061" width="0" style="42" hidden="1" customWidth="1"/>
    <col min="13062" max="13062" width="3.5703125" style="42" customWidth="1"/>
    <col min="13063" max="13063" width="12.140625" style="42" bestFit="1" customWidth="1"/>
    <col min="13064" max="13065" width="14" style="42" bestFit="1" customWidth="1"/>
    <col min="13066" max="13066" width="3.5703125" style="42" customWidth="1"/>
    <col min="13067" max="13067" width="13.85546875" style="42" bestFit="1" customWidth="1"/>
    <col min="13068" max="13068" width="16.5703125" style="42" bestFit="1" customWidth="1"/>
    <col min="13069" max="13069" width="18.7109375" style="42" bestFit="1" customWidth="1"/>
    <col min="13070" max="13070" width="20.42578125" style="42" bestFit="1" customWidth="1"/>
    <col min="13071" max="13071" width="3.5703125" style="42" customWidth="1"/>
    <col min="13072" max="13072" width="15.28515625" style="42" bestFit="1" customWidth="1"/>
    <col min="13073" max="13073" width="13.7109375" style="42" bestFit="1" customWidth="1"/>
    <col min="13074" max="13074" width="11.42578125" style="42" bestFit="1" customWidth="1"/>
    <col min="13075" max="13075" width="3.5703125" style="42" customWidth="1"/>
    <col min="13076" max="13076" width="14.85546875" style="42" bestFit="1" customWidth="1"/>
    <col min="13077" max="13077" width="14" style="42" bestFit="1" customWidth="1"/>
    <col min="13078" max="13078" width="15.85546875" style="42" bestFit="1" customWidth="1"/>
    <col min="13079" max="13312" width="9.140625" style="42"/>
    <col min="13313" max="13313" width="20.28515625" style="42" customWidth="1"/>
    <col min="13314" max="13314" width="0" style="42" hidden="1" customWidth="1"/>
    <col min="13315" max="13315" width="39.5703125" style="42" customWidth="1"/>
    <col min="13316" max="13317" width="0" style="42" hidden="1" customWidth="1"/>
    <col min="13318" max="13318" width="3.5703125" style="42" customWidth="1"/>
    <col min="13319" max="13319" width="12.140625" style="42" bestFit="1" customWidth="1"/>
    <col min="13320" max="13321" width="14" style="42" bestFit="1" customWidth="1"/>
    <col min="13322" max="13322" width="3.5703125" style="42" customWidth="1"/>
    <col min="13323" max="13323" width="13.85546875" style="42" bestFit="1" customWidth="1"/>
    <col min="13324" max="13324" width="16.5703125" style="42" bestFit="1" customWidth="1"/>
    <col min="13325" max="13325" width="18.7109375" style="42" bestFit="1" customWidth="1"/>
    <col min="13326" max="13326" width="20.42578125" style="42" bestFit="1" customWidth="1"/>
    <col min="13327" max="13327" width="3.5703125" style="42" customWidth="1"/>
    <col min="13328" max="13328" width="15.28515625" style="42" bestFit="1" customWidth="1"/>
    <col min="13329" max="13329" width="13.7109375" style="42" bestFit="1" customWidth="1"/>
    <col min="13330" max="13330" width="11.42578125" style="42" bestFit="1" customWidth="1"/>
    <col min="13331" max="13331" width="3.5703125" style="42" customWidth="1"/>
    <col min="13332" max="13332" width="14.85546875" style="42" bestFit="1" customWidth="1"/>
    <col min="13333" max="13333" width="14" style="42" bestFit="1" customWidth="1"/>
    <col min="13334" max="13334" width="15.85546875" style="42" bestFit="1" customWidth="1"/>
    <col min="13335" max="13568" width="0" style="42" hidden="1"/>
    <col min="13569" max="13569" width="20.28515625" style="42" customWidth="1"/>
    <col min="13570" max="13570" width="0" style="42" hidden="1" customWidth="1"/>
    <col min="13571" max="13571" width="39.5703125" style="42" customWidth="1"/>
    <col min="13572" max="13573" width="0" style="42" hidden="1" customWidth="1"/>
    <col min="13574" max="13574" width="3.5703125" style="42" customWidth="1"/>
    <col min="13575" max="13575" width="12.140625" style="42" bestFit="1" customWidth="1"/>
    <col min="13576" max="13577" width="14" style="42" bestFit="1" customWidth="1"/>
    <col min="13578" max="13578" width="3.5703125" style="42" customWidth="1"/>
    <col min="13579" max="13579" width="13.85546875" style="42" bestFit="1" customWidth="1"/>
    <col min="13580" max="13580" width="16.5703125" style="42" bestFit="1" customWidth="1"/>
    <col min="13581" max="13581" width="18.7109375" style="42" bestFit="1" customWidth="1"/>
    <col min="13582" max="13582" width="20.42578125" style="42" bestFit="1" customWidth="1"/>
    <col min="13583" max="13583" width="3.5703125" style="42" customWidth="1"/>
    <col min="13584" max="13584" width="15.28515625" style="42" bestFit="1" customWidth="1"/>
    <col min="13585" max="13585" width="13.7109375" style="42" bestFit="1" customWidth="1"/>
    <col min="13586" max="13586" width="11.42578125" style="42" bestFit="1" customWidth="1"/>
    <col min="13587" max="13587" width="3.5703125" style="42" customWidth="1"/>
    <col min="13588" max="13588" width="14.85546875" style="42" bestFit="1" customWidth="1"/>
    <col min="13589" max="13589" width="14" style="42" bestFit="1" customWidth="1"/>
    <col min="13590" max="13590" width="15.85546875" style="42" bestFit="1" customWidth="1"/>
    <col min="13591" max="13824" width="0" style="42" hidden="1"/>
    <col min="13825" max="13825" width="20.28515625" style="42" customWidth="1"/>
    <col min="13826" max="13826" width="0" style="42" hidden="1" customWidth="1"/>
    <col min="13827" max="13827" width="39.5703125" style="42" customWidth="1"/>
    <col min="13828" max="13829" width="0" style="42" hidden="1" customWidth="1"/>
    <col min="13830" max="13830" width="3.5703125" style="42" customWidth="1"/>
    <col min="13831" max="13831" width="12.140625" style="42" bestFit="1" customWidth="1"/>
    <col min="13832" max="13833" width="14" style="42" bestFit="1" customWidth="1"/>
    <col min="13834" max="13834" width="3.5703125" style="42" customWidth="1"/>
    <col min="13835" max="13835" width="13.85546875" style="42" bestFit="1" customWidth="1"/>
    <col min="13836" max="13836" width="16.5703125" style="42" bestFit="1" customWidth="1"/>
    <col min="13837" max="13837" width="18.7109375" style="42" bestFit="1" customWidth="1"/>
    <col min="13838" max="13838" width="20.42578125" style="42" bestFit="1" customWidth="1"/>
    <col min="13839" max="13839" width="3.5703125" style="42" customWidth="1"/>
    <col min="13840" max="13840" width="15.28515625" style="42" bestFit="1" customWidth="1"/>
    <col min="13841" max="13841" width="13.7109375" style="42" bestFit="1" customWidth="1"/>
    <col min="13842" max="13842" width="11.42578125" style="42" bestFit="1" customWidth="1"/>
    <col min="13843" max="13843" width="3.5703125" style="42" customWidth="1"/>
    <col min="13844" max="13844" width="14.85546875" style="42" bestFit="1" customWidth="1"/>
    <col min="13845" max="13845" width="14" style="42" bestFit="1" customWidth="1"/>
    <col min="13846" max="13846" width="15.85546875" style="42" bestFit="1" customWidth="1"/>
    <col min="13847" max="14080" width="0" style="42" hidden="1"/>
    <col min="14081" max="14081" width="20.28515625" style="42" customWidth="1"/>
    <col min="14082" max="14082" width="0" style="42" hidden="1" customWidth="1"/>
    <col min="14083" max="14083" width="39.5703125" style="42" customWidth="1"/>
    <col min="14084" max="14085" width="0" style="42" hidden="1" customWidth="1"/>
    <col min="14086" max="14086" width="3.5703125" style="42" customWidth="1"/>
    <col min="14087" max="14087" width="12.140625" style="42" bestFit="1" customWidth="1"/>
    <col min="14088" max="14089" width="14" style="42" bestFit="1" customWidth="1"/>
    <col min="14090" max="14090" width="3.5703125" style="42" customWidth="1"/>
    <col min="14091" max="14091" width="13.85546875" style="42" bestFit="1" customWidth="1"/>
    <col min="14092" max="14092" width="16.5703125" style="42" bestFit="1" customWidth="1"/>
    <col min="14093" max="14093" width="18.7109375" style="42" bestFit="1" customWidth="1"/>
    <col min="14094" max="14094" width="20.42578125" style="42" bestFit="1" customWidth="1"/>
    <col min="14095" max="14095" width="3.5703125" style="42" customWidth="1"/>
    <col min="14096" max="14096" width="15.28515625" style="42" bestFit="1" customWidth="1"/>
    <col min="14097" max="14097" width="13.7109375" style="42" bestFit="1" customWidth="1"/>
    <col min="14098" max="14098" width="11.42578125" style="42" bestFit="1" customWidth="1"/>
    <col min="14099" max="14099" width="3.5703125" style="42" customWidth="1"/>
    <col min="14100" max="14100" width="14.85546875" style="42" bestFit="1" customWidth="1"/>
    <col min="14101" max="14101" width="14" style="42" bestFit="1" customWidth="1"/>
    <col min="14102" max="14102" width="15.85546875" style="42" bestFit="1" customWidth="1"/>
    <col min="14103" max="14336" width="9.140625" style="42"/>
    <col min="14337" max="14337" width="20.28515625" style="42" customWidth="1"/>
    <col min="14338" max="14338" width="0" style="42" hidden="1" customWidth="1"/>
    <col min="14339" max="14339" width="39.5703125" style="42" customWidth="1"/>
    <col min="14340" max="14341" width="0" style="42" hidden="1" customWidth="1"/>
    <col min="14342" max="14342" width="3.5703125" style="42" customWidth="1"/>
    <col min="14343" max="14343" width="12.140625" style="42" bestFit="1" customWidth="1"/>
    <col min="14344" max="14345" width="14" style="42" bestFit="1" customWidth="1"/>
    <col min="14346" max="14346" width="3.5703125" style="42" customWidth="1"/>
    <col min="14347" max="14347" width="13.85546875" style="42" bestFit="1" customWidth="1"/>
    <col min="14348" max="14348" width="16.5703125" style="42" bestFit="1" customWidth="1"/>
    <col min="14349" max="14349" width="18.7109375" style="42" bestFit="1" customWidth="1"/>
    <col min="14350" max="14350" width="20.42578125" style="42" bestFit="1" customWidth="1"/>
    <col min="14351" max="14351" width="3.5703125" style="42" customWidth="1"/>
    <col min="14352" max="14352" width="15.28515625" style="42" bestFit="1" customWidth="1"/>
    <col min="14353" max="14353" width="13.7109375" style="42" bestFit="1" customWidth="1"/>
    <col min="14354" max="14354" width="11.42578125" style="42" bestFit="1" customWidth="1"/>
    <col min="14355" max="14355" width="3.5703125" style="42" customWidth="1"/>
    <col min="14356" max="14356" width="14.85546875" style="42" bestFit="1" customWidth="1"/>
    <col min="14357" max="14357" width="14" style="42" bestFit="1" customWidth="1"/>
    <col min="14358" max="14358" width="15.85546875" style="42" bestFit="1" customWidth="1"/>
    <col min="14359" max="14592" width="0" style="42" hidden="1"/>
    <col min="14593" max="14593" width="20.28515625" style="42" customWidth="1"/>
    <col min="14594" max="14594" width="0" style="42" hidden="1" customWidth="1"/>
    <col min="14595" max="14595" width="39.5703125" style="42" customWidth="1"/>
    <col min="14596" max="14597" width="0" style="42" hidden="1" customWidth="1"/>
    <col min="14598" max="14598" width="3.5703125" style="42" customWidth="1"/>
    <col min="14599" max="14599" width="12.140625" style="42" bestFit="1" customWidth="1"/>
    <col min="14600" max="14601" width="14" style="42" bestFit="1" customWidth="1"/>
    <col min="14602" max="14602" width="3.5703125" style="42" customWidth="1"/>
    <col min="14603" max="14603" width="13.85546875" style="42" bestFit="1" customWidth="1"/>
    <col min="14604" max="14604" width="16.5703125" style="42" bestFit="1" customWidth="1"/>
    <col min="14605" max="14605" width="18.7109375" style="42" bestFit="1" customWidth="1"/>
    <col min="14606" max="14606" width="20.42578125" style="42" bestFit="1" customWidth="1"/>
    <col min="14607" max="14607" width="3.5703125" style="42" customWidth="1"/>
    <col min="14608" max="14608" width="15.28515625" style="42" bestFit="1" customWidth="1"/>
    <col min="14609" max="14609" width="13.7109375" style="42" bestFit="1" customWidth="1"/>
    <col min="14610" max="14610" width="11.42578125" style="42" bestFit="1" customWidth="1"/>
    <col min="14611" max="14611" width="3.5703125" style="42" customWidth="1"/>
    <col min="14612" max="14612" width="14.85546875" style="42" bestFit="1" customWidth="1"/>
    <col min="14613" max="14613" width="14" style="42" bestFit="1" customWidth="1"/>
    <col min="14614" max="14614" width="15.85546875" style="42" bestFit="1" customWidth="1"/>
    <col min="14615" max="14848" width="0" style="42" hidden="1"/>
    <col min="14849" max="14849" width="20.28515625" style="42" customWidth="1"/>
    <col min="14850" max="14850" width="0" style="42" hidden="1" customWidth="1"/>
    <col min="14851" max="14851" width="39.5703125" style="42" customWidth="1"/>
    <col min="14852" max="14853" width="0" style="42" hidden="1" customWidth="1"/>
    <col min="14854" max="14854" width="3.5703125" style="42" customWidth="1"/>
    <col min="14855" max="14855" width="12.140625" style="42" bestFit="1" customWidth="1"/>
    <col min="14856" max="14857" width="14" style="42" bestFit="1" customWidth="1"/>
    <col min="14858" max="14858" width="3.5703125" style="42" customWidth="1"/>
    <col min="14859" max="14859" width="13.85546875" style="42" bestFit="1" customWidth="1"/>
    <col min="14860" max="14860" width="16.5703125" style="42" bestFit="1" customWidth="1"/>
    <col min="14861" max="14861" width="18.7109375" style="42" bestFit="1" customWidth="1"/>
    <col min="14862" max="14862" width="20.42578125" style="42" bestFit="1" customWidth="1"/>
    <col min="14863" max="14863" width="3.5703125" style="42" customWidth="1"/>
    <col min="14864" max="14864" width="15.28515625" style="42" bestFit="1" customWidth="1"/>
    <col min="14865" max="14865" width="13.7109375" style="42" bestFit="1" customWidth="1"/>
    <col min="14866" max="14866" width="11.42578125" style="42" bestFit="1" customWidth="1"/>
    <col min="14867" max="14867" width="3.5703125" style="42" customWidth="1"/>
    <col min="14868" max="14868" width="14.85546875" style="42" bestFit="1" customWidth="1"/>
    <col min="14869" max="14869" width="14" style="42" bestFit="1" customWidth="1"/>
    <col min="14870" max="14870" width="15.85546875" style="42" bestFit="1" customWidth="1"/>
    <col min="14871" max="15104" width="0" style="42" hidden="1"/>
    <col min="15105" max="15105" width="20.28515625" style="42" customWidth="1"/>
    <col min="15106" max="15106" width="0" style="42" hidden="1" customWidth="1"/>
    <col min="15107" max="15107" width="39.5703125" style="42" customWidth="1"/>
    <col min="15108" max="15109" width="0" style="42" hidden="1" customWidth="1"/>
    <col min="15110" max="15110" width="3.5703125" style="42" customWidth="1"/>
    <col min="15111" max="15111" width="12.140625" style="42" bestFit="1" customWidth="1"/>
    <col min="15112" max="15113" width="14" style="42" bestFit="1" customWidth="1"/>
    <col min="15114" max="15114" width="3.5703125" style="42" customWidth="1"/>
    <col min="15115" max="15115" width="13.85546875" style="42" bestFit="1" customWidth="1"/>
    <col min="15116" max="15116" width="16.5703125" style="42" bestFit="1" customWidth="1"/>
    <col min="15117" max="15117" width="18.7109375" style="42" bestFit="1" customWidth="1"/>
    <col min="15118" max="15118" width="20.42578125" style="42" bestFit="1" customWidth="1"/>
    <col min="15119" max="15119" width="3.5703125" style="42" customWidth="1"/>
    <col min="15120" max="15120" width="15.28515625" style="42" bestFit="1" customWidth="1"/>
    <col min="15121" max="15121" width="13.7109375" style="42" bestFit="1" customWidth="1"/>
    <col min="15122" max="15122" width="11.42578125" style="42" bestFit="1" customWidth="1"/>
    <col min="15123" max="15123" width="3.5703125" style="42" customWidth="1"/>
    <col min="15124" max="15124" width="14.85546875" style="42" bestFit="1" customWidth="1"/>
    <col min="15125" max="15125" width="14" style="42" bestFit="1" customWidth="1"/>
    <col min="15126" max="15126" width="15.85546875" style="42" bestFit="1" customWidth="1"/>
    <col min="15127" max="15360" width="9.140625" style="42"/>
    <col min="15361" max="15361" width="20.28515625" style="42" customWidth="1"/>
    <col min="15362" max="15362" width="0" style="42" hidden="1" customWidth="1"/>
    <col min="15363" max="15363" width="39.5703125" style="42" customWidth="1"/>
    <col min="15364" max="15365" width="0" style="42" hidden="1" customWidth="1"/>
    <col min="15366" max="15366" width="3.5703125" style="42" customWidth="1"/>
    <col min="15367" max="15367" width="12.140625" style="42" bestFit="1" customWidth="1"/>
    <col min="15368" max="15369" width="14" style="42" bestFit="1" customWidth="1"/>
    <col min="15370" max="15370" width="3.5703125" style="42" customWidth="1"/>
    <col min="15371" max="15371" width="13.85546875" style="42" bestFit="1" customWidth="1"/>
    <col min="15372" max="15372" width="16.5703125" style="42" bestFit="1" customWidth="1"/>
    <col min="15373" max="15373" width="18.7109375" style="42" bestFit="1" customWidth="1"/>
    <col min="15374" max="15374" width="20.42578125" style="42" bestFit="1" customWidth="1"/>
    <col min="15375" max="15375" width="3.5703125" style="42" customWidth="1"/>
    <col min="15376" max="15376" width="15.28515625" style="42" bestFit="1" customWidth="1"/>
    <col min="15377" max="15377" width="13.7109375" style="42" bestFit="1" customWidth="1"/>
    <col min="15378" max="15378" width="11.42578125" style="42" bestFit="1" customWidth="1"/>
    <col min="15379" max="15379" width="3.5703125" style="42" customWidth="1"/>
    <col min="15380" max="15380" width="14.85546875" style="42" bestFit="1" customWidth="1"/>
    <col min="15381" max="15381" width="14" style="42" bestFit="1" customWidth="1"/>
    <col min="15382" max="15382" width="15.85546875" style="42" bestFit="1" customWidth="1"/>
    <col min="15383" max="15616" width="0" style="42" hidden="1"/>
    <col min="15617" max="15617" width="20.28515625" style="42" customWidth="1"/>
    <col min="15618" max="15618" width="0" style="42" hidden="1" customWidth="1"/>
    <col min="15619" max="15619" width="39.5703125" style="42" customWidth="1"/>
    <col min="15620" max="15621" width="0" style="42" hidden="1" customWidth="1"/>
    <col min="15622" max="15622" width="3.5703125" style="42" customWidth="1"/>
    <col min="15623" max="15623" width="12.140625" style="42" bestFit="1" customWidth="1"/>
    <col min="15624" max="15625" width="14" style="42" bestFit="1" customWidth="1"/>
    <col min="15626" max="15626" width="3.5703125" style="42" customWidth="1"/>
    <col min="15627" max="15627" width="13.85546875" style="42" bestFit="1" customWidth="1"/>
    <col min="15628" max="15628" width="16.5703125" style="42" bestFit="1" customWidth="1"/>
    <col min="15629" max="15629" width="18.7109375" style="42" bestFit="1" customWidth="1"/>
    <col min="15630" max="15630" width="20.42578125" style="42" bestFit="1" customWidth="1"/>
    <col min="15631" max="15631" width="3.5703125" style="42" customWidth="1"/>
    <col min="15632" max="15632" width="15.28515625" style="42" bestFit="1" customWidth="1"/>
    <col min="15633" max="15633" width="13.7109375" style="42" bestFit="1" customWidth="1"/>
    <col min="15634" max="15634" width="11.42578125" style="42" bestFit="1" customWidth="1"/>
    <col min="15635" max="15635" width="3.5703125" style="42" customWidth="1"/>
    <col min="15636" max="15636" width="14.85546875" style="42" bestFit="1" customWidth="1"/>
    <col min="15637" max="15637" width="14" style="42" bestFit="1" customWidth="1"/>
    <col min="15638" max="15638" width="15.85546875" style="42" bestFit="1" customWidth="1"/>
    <col min="15639" max="15872" width="0" style="42" hidden="1"/>
    <col min="15873" max="15873" width="20.28515625" style="42" customWidth="1"/>
    <col min="15874" max="15874" width="0" style="42" hidden="1" customWidth="1"/>
    <col min="15875" max="15875" width="39.5703125" style="42" customWidth="1"/>
    <col min="15876" max="15877" width="0" style="42" hidden="1" customWidth="1"/>
    <col min="15878" max="15878" width="3.5703125" style="42" customWidth="1"/>
    <col min="15879" max="15879" width="12.140625" style="42" bestFit="1" customWidth="1"/>
    <col min="15880" max="15881" width="14" style="42" bestFit="1" customWidth="1"/>
    <col min="15882" max="15882" width="3.5703125" style="42" customWidth="1"/>
    <col min="15883" max="15883" width="13.85546875" style="42" bestFit="1" customWidth="1"/>
    <col min="15884" max="15884" width="16.5703125" style="42" bestFit="1" customWidth="1"/>
    <col min="15885" max="15885" width="18.7109375" style="42" bestFit="1" customWidth="1"/>
    <col min="15886" max="15886" width="20.42578125" style="42" bestFit="1" customWidth="1"/>
    <col min="15887" max="15887" width="3.5703125" style="42" customWidth="1"/>
    <col min="15888" max="15888" width="15.28515625" style="42" bestFit="1" customWidth="1"/>
    <col min="15889" max="15889" width="13.7109375" style="42" bestFit="1" customWidth="1"/>
    <col min="15890" max="15890" width="11.42578125" style="42" bestFit="1" customWidth="1"/>
    <col min="15891" max="15891" width="3.5703125" style="42" customWidth="1"/>
    <col min="15892" max="15892" width="14.85546875" style="42" bestFit="1" customWidth="1"/>
    <col min="15893" max="15893" width="14" style="42" bestFit="1" customWidth="1"/>
    <col min="15894" max="15894" width="15.85546875" style="42" bestFit="1" customWidth="1"/>
    <col min="15895" max="16128" width="0" style="42" hidden="1"/>
    <col min="16129" max="16129" width="20.28515625" style="42" customWidth="1"/>
    <col min="16130" max="16130" width="0" style="42" hidden="1" customWidth="1"/>
    <col min="16131" max="16131" width="39.5703125" style="42" customWidth="1"/>
    <col min="16132" max="16133" width="0" style="42" hidden="1" customWidth="1"/>
    <col min="16134" max="16134" width="3.5703125" style="42" customWidth="1"/>
    <col min="16135" max="16135" width="12.140625" style="42" bestFit="1" customWidth="1"/>
    <col min="16136" max="16137" width="14" style="42" bestFit="1" customWidth="1"/>
    <col min="16138" max="16138" width="3.5703125" style="42" customWidth="1"/>
    <col min="16139" max="16139" width="13.85546875" style="42" bestFit="1" customWidth="1"/>
    <col min="16140" max="16140" width="16.5703125" style="42" bestFit="1" customWidth="1"/>
    <col min="16141" max="16141" width="18.7109375" style="42" bestFit="1" customWidth="1"/>
    <col min="16142" max="16142" width="20.42578125" style="42" bestFit="1" customWidth="1"/>
    <col min="16143" max="16143" width="3.5703125" style="42" customWidth="1"/>
    <col min="16144" max="16144" width="15.28515625" style="42" bestFit="1" customWidth="1"/>
    <col min="16145" max="16145" width="13.7109375" style="42" bestFit="1" customWidth="1"/>
    <col min="16146" max="16146" width="11.42578125" style="42" bestFit="1" customWidth="1"/>
    <col min="16147" max="16147" width="3.5703125" style="42" customWidth="1"/>
    <col min="16148" max="16148" width="14.85546875" style="42" bestFit="1" customWidth="1"/>
    <col min="16149" max="16149" width="14" style="42" bestFit="1" customWidth="1"/>
    <col min="16150" max="16150" width="15.85546875" style="42" bestFit="1" customWidth="1"/>
    <col min="16151" max="16384" width="9.140625" style="42"/>
  </cols>
  <sheetData>
    <row r="1" spans="2:259" s="31" customFormat="1" ht="26.25">
      <c r="C1" s="87" t="s">
        <v>69</v>
      </c>
    </row>
    <row r="2" spans="2:259" s="31" customFormat="1" ht="12.75" customHeight="1">
      <c r="C2" s="87"/>
    </row>
    <row r="3" spans="2:259" s="31" customFormat="1" ht="94.5">
      <c r="B3" s="32" t="s">
        <v>31</v>
      </c>
      <c r="C3" s="33" t="s">
        <v>32</v>
      </c>
      <c r="D3" s="33" t="s">
        <v>33</v>
      </c>
      <c r="E3" s="33" t="s">
        <v>34</v>
      </c>
      <c r="F3" s="33"/>
      <c r="G3" s="33" t="s">
        <v>35</v>
      </c>
      <c r="H3" s="33" t="s">
        <v>36</v>
      </c>
      <c r="I3" s="33" t="s">
        <v>37</v>
      </c>
      <c r="J3" s="33"/>
      <c r="K3" s="33" t="s">
        <v>38</v>
      </c>
      <c r="L3" s="33" t="s">
        <v>39</v>
      </c>
      <c r="M3" s="33" t="s">
        <v>79</v>
      </c>
      <c r="N3" s="33" t="s">
        <v>40</v>
      </c>
      <c r="P3" s="33" t="s">
        <v>41</v>
      </c>
      <c r="Q3" s="33" t="s">
        <v>42</v>
      </c>
      <c r="R3" s="33" t="s">
        <v>78</v>
      </c>
      <c r="T3" s="33" t="s">
        <v>65</v>
      </c>
      <c r="U3" s="33" t="s">
        <v>66</v>
      </c>
      <c r="V3" s="33" t="s">
        <v>76</v>
      </c>
      <c r="IW3" s="33" t="s">
        <v>67</v>
      </c>
      <c r="IX3" s="33" t="s">
        <v>68</v>
      </c>
      <c r="IY3" s="33" t="s">
        <v>77</v>
      </c>
    </row>
    <row r="4" spans="2:259" s="31" customFormat="1" ht="15.75">
      <c r="B4" s="32"/>
      <c r="C4" s="33"/>
      <c r="D4" s="33"/>
      <c r="E4" s="33"/>
      <c r="F4" s="33"/>
      <c r="G4" s="33" t="s">
        <v>43</v>
      </c>
      <c r="H4" s="33" t="s">
        <v>44</v>
      </c>
      <c r="I4" s="33" t="s">
        <v>45</v>
      </c>
      <c r="J4" s="33"/>
      <c r="K4" s="33" t="s">
        <v>46</v>
      </c>
      <c r="L4" s="33" t="s">
        <v>47</v>
      </c>
      <c r="M4" s="33" t="s">
        <v>48</v>
      </c>
      <c r="N4" s="33" t="s">
        <v>49</v>
      </c>
      <c r="P4" s="33" t="s">
        <v>50</v>
      </c>
      <c r="Q4" s="33" t="s">
        <v>51</v>
      </c>
      <c r="R4" s="33" t="s">
        <v>52</v>
      </c>
      <c r="T4" s="34" t="s">
        <v>53</v>
      </c>
      <c r="U4" s="34" t="s">
        <v>54</v>
      </c>
      <c r="V4" s="34" t="s">
        <v>55</v>
      </c>
      <c r="IW4" s="31" t="s">
        <v>56</v>
      </c>
    </row>
    <row r="5" spans="2:259" s="31" customFormat="1">
      <c r="B5" s="35">
        <v>1</v>
      </c>
      <c r="C5" s="36" t="str">
        <f>'[1]B1.1 Re-Based Bill Det &amp; Rates'!D22</f>
        <v>Residential</v>
      </c>
      <c r="D5" s="36" t="str">
        <f>'[1]B1.1 Re-Based Bill Det &amp; Rates'!E22</f>
        <v>Customer</v>
      </c>
      <c r="E5" s="36" t="str">
        <f>'[1]B1.1 Re-Based Bill Det &amp; Rates'!F22</f>
        <v>kWh</v>
      </c>
      <c r="G5" s="102">
        <v>0.24823603115277421</v>
      </c>
      <c r="H5" s="102">
        <v>0.13947755805867101</v>
      </c>
      <c r="I5" s="102">
        <v>0</v>
      </c>
      <c r="K5" s="37">
        <f t="shared" ref="K5:K13" si="0">IF(ISERROR($N$14*G5),"",$N$14*G5)</f>
        <v>4721947.3360632658</v>
      </c>
      <c r="L5" s="37">
        <f t="shared" ref="L5:L13" si="1">IF(ISERROR($N$14*H5),"",$N$14*H5)</f>
        <v>2653142.9811267778</v>
      </c>
      <c r="M5" s="37">
        <f t="shared" ref="M5:M13" si="2">IF(ISERROR($N$14*I5),"",$N$14*I5)</f>
        <v>0</v>
      </c>
      <c r="N5" s="37">
        <f t="shared" ref="N5:N13" si="3">SUM(K5:M5)</f>
        <v>7375090.3171900436</v>
      </c>
      <c r="P5" s="38">
        <v>598508</v>
      </c>
      <c r="Q5" s="38">
        <v>4886977489</v>
      </c>
      <c r="R5" s="38">
        <v>0</v>
      </c>
      <c r="T5" s="39">
        <f>IF(ISERROR(K5/P5/12),"",ROUND(K5/P5/12,6))</f>
        <v>0.65746099999999996</v>
      </c>
      <c r="U5" s="39">
        <f>IF(ISERROR(L5/Q5),"",ROUND(L5/Q5,6))</f>
        <v>5.4299999999999997E-4</v>
      </c>
      <c r="V5" s="39" t="str">
        <f>IF(ISERROR(M5/R5),"",ROUND(M5/R5,6))</f>
        <v/>
      </c>
      <c r="IW5" s="98">
        <f>ROUND(((+T5*12)/365)*30,2)</f>
        <v>0.65</v>
      </c>
      <c r="IX5" s="96">
        <f>ROUND(+U5,5)</f>
        <v>5.4000000000000001E-4</v>
      </c>
      <c r="IY5" s="88" t="s">
        <v>56</v>
      </c>
    </row>
    <row r="6" spans="2:259" s="31" customFormat="1">
      <c r="B6" s="35">
        <v>2</v>
      </c>
      <c r="C6" s="36" t="str">
        <f>'[1]B1.1 Re-Based Bill Det &amp; Rates'!D23</f>
        <v>Residential Urban</v>
      </c>
      <c r="D6" s="36" t="str">
        <f>'[1]B1.1 Re-Based Bill Det &amp; Rates'!E23</f>
        <v>Customer</v>
      </c>
      <c r="E6" s="36" t="str">
        <f>'[1]B1.1 Re-Based Bill Det &amp; Rates'!F23</f>
        <v>kWh</v>
      </c>
      <c r="G6" s="102">
        <v>9.6193421945685881E-3</v>
      </c>
      <c r="H6" s="102">
        <v>4.8476392067699145E-3</v>
      </c>
      <c r="I6" s="102">
        <v>0</v>
      </c>
      <c r="K6" s="37">
        <f t="shared" si="0"/>
        <v>182979.1873459724</v>
      </c>
      <c r="L6" s="37">
        <f t="shared" si="1"/>
        <v>92211.823288922358</v>
      </c>
      <c r="M6" s="37">
        <f t="shared" si="2"/>
        <v>0</v>
      </c>
      <c r="N6" s="37">
        <f t="shared" si="3"/>
        <v>275191.01063489477</v>
      </c>
      <c r="P6" s="38">
        <v>24898</v>
      </c>
      <c r="Q6" s="38">
        <v>99791184</v>
      </c>
      <c r="R6" s="38">
        <v>0</v>
      </c>
      <c r="T6" s="39">
        <f t="shared" ref="T6:T13" si="4">IF(ISERROR(K6/P6/12),"",ROUND(K6/P6/12,6))</f>
        <v>0.612429</v>
      </c>
      <c r="U6" s="39">
        <f t="shared" ref="U6:V13" si="5">IF(ISERROR(L6/Q6),"",ROUND(L6/Q6,6))</f>
        <v>9.2400000000000002E-4</v>
      </c>
      <c r="V6" s="39" t="str">
        <f t="shared" si="5"/>
        <v/>
      </c>
      <c r="IW6" s="98">
        <f t="shared" ref="IW6:IW13" si="6">ROUND(((+T6*12)/365)*30,2)</f>
        <v>0.6</v>
      </c>
      <c r="IX6" s="96">
        <f t="shared" ref="IX6:IX7" si="7">ROUND(+U6,5)</f>
        <v>9.2000000000000003E-4</v>
      </c>
      <c r="IY6" s="88" t="s">
        <v>56</v>
      </c>
    </row>
    <row r="7" spans="2:259" s="31" customFormat="1">
      <c r="B7" s="35">
        <v>3</v>
      </c>
      <c r="C7" s="36" t="str">
        <f>'[1]B1.1 Re-Based Bill Det &amp; Rates'!D24</f>
        <v>General Service Less Than 50 kW</v>
      </c>
      <c r="D7" s="36" t="str">
        <f>'[1]B1.1 Re-Based Bill Det &amp; Rates'!E24</f>
        <v>Customer</v>
      </c>
      <c r="E7" s="36" t="str">
        <f>'[1]B1.1 Re-Based Bill Det &amp; Rates'!F24</f>
        <v>kWh</v>
      </c>
      <c r="G7" s="102">
        <v>3.6333930537200208E-2</v>
      </c>
      <c r="H7" s="102">
        <v>9.1039356117978698E-2</v>
      </c>
      <c r="I7" s="102">
        <v>0</v>
      </c>
      <c r="K7" s="37">
        <f t="shared" si="0"/>
        <v>691144.25376568828</v>
      </c>
      <c r="L7" s="37">
        <f t="shared" si="1"/>
        <v>1731751.2010721664</v>
      </c>
      <c r="M7" s="37">
        <f t="shared" si="2"/>
        <v>0</v>
      </c>
      <c r="N7" s="37">
        <f t="shared" si="3"/>
        <v>2422895.454837855</v>
      </c>
      <c r="P7" s="38">
        <v>65792.15586864308</v>
      </c>
      <c r="Q7" s="38">
        <v>2139318075.755229</v>
      </c>
      <c r="R7" s="38">
        <v>0</v>
      </c>
      <c r="T7" s="39">
        <f t="shared" si="4"/>
        <v>0.87541400000000003</v>
      </c>
      <c r="U7" s="39">
        <f t="shared" si="5"/>
        <v>8.0900000000000004E-4</v>
      </c>
      <c r="V7" s="39" t="str">
        <f t="shared" si="5"/>
        <v/>
      </c>
      <c r="IW7" s="98">
        <f t="shared" si="6"/>
        <v>0.86</v>
      </c>
      <c r="IX7" s="96">
        <f t="shared" si="7"/>
        <v>8.0999999999999996E-4</v>
      </c>
      <c r="IY7" s="88"/>
    </row>
    <row r="8" spans="2:259" s="31" customFormat="1">
      <c r="B8" s="35">
        <v>4</v>
      </c>
      <c r="C8" s="36" t="str">
        <f>'[1]B1.1 Re-Based Bill Det &amp; Rates'!D25</f>
        <v>General Service 50 to 999 kW</v>
      </c>
      <c r="D8" s="36" t="str">
        <f>'[1]B1.1 Re-Based Bill Det &amp; Rates'!E25</f>
        <v>Customer</v>
      </c>
      <c r="E8" s="36" t="str">
        <f>'[1]B1.1 Re-Based Bill Det &amp; Rates'!F25</f>
        <v>kW</v>
      </c>
      <c r="G8" s="102">
        <v>1.0559774501360763E-2</v>
      </c>
      <c r="H8" s="102">
        <v>0</v>
      </c>
      <c r="I8" s="102">
        <v>0.28544173328627076</v>
      </c>
      <c r="K8" s="37">
        <f t="shared" si="0"/>
        <v>200868.09656347506</v>
      </c>
      <c r="L8" s="37">
        <f t="shared" si="1"/>
        <v>0</v>
      </c>
      <c r="M8" s="37">
        <f t="shared" si="2"/>
        <v>5429674.4345822753</v>
      </c>
      <c r="N8" s="37">
        <f t="shared" si="3"/>
        <v>5630542.5311457505</v>
      </c>
      <c r="P8" s="38">
        <v>13066.548999999999</v>
      </c>
      <c r="Q8" s="38">
        <v>10116374153.130848</v>
      </c>
      <c r="R8" s="38">
        <v>26935191.276266973</v>
      </c>
      <c r="T8" s="39">
        <f t="shared" si="4"/>
        <v>1.281058</v>
      </c>
      <c r="U8" s="39"/>
      <c r="V8" s="39">
        <f t="shared" si="5"/>
        <v>0.20158300000000001</v>
      </c>
      <c r="IW8" s="98">
        <f t="shared" si="6"/>
        <v>1.26</v>
      </c>
      <c r="IX8" s="88" t="s">
        <v>56</v>
      </c>
      <c r="IY8" s="97">
        <f>ROUND(((+V8*12)/365)*30,4)</f>
        <v>0.1988</v>
      </c>
    </row>
    <row r="9" spans="2:259" s="31" customFormat="1">
      <c r="B9" s="35">
        <v>5</v>
      </c>
      <c r="C9" s="36" t="str">
        <f>'[1]B1.1 Re-Based Bill Det &amp; Rates'!D26</f>
        <v>General Service 1,000 to 4,999 kW</v>
      </c>
      <c r="D9" s="36" t="str">
        <f>'[1]B1.1 Re-Based Bill Det &amp; Rates'!E26</f>
        <v>Customer</v>
      </c>
      <c r="E9" s="36" t="str">
        <f>'[1]B1.1 Re-Based Bill Det &amp; Rates'!F26</f>
        <v>kW</v>
      </c>
      <c r="G9" s="102">
        <v>8.0188177941109048E-3</v>
      </c>
      <c r="H9" s="102">
        <v>0</v>
      </c>
      <c r="I9" s="102">
        <v>8.9219396640103907E-2</v>
      </c>
      <c r="K9" s="37">
        <f t="shared" si="0"/>
        <v>152534.00219718885</v>
      </c>
      <c r="L9" s="37">
        <f t="shared" si="1"/>
        <v>0</v>
      </c>
      <c r="M9" s="37">
        <f t="shared" si="2"/>
        <v>1697131.9205092855</v>
      </c>
      <c r="N9" s="37">
        <f t="shared" si="3"/>
        <v>1849665.9227064743</v>
      </c>
      <c r="P9" s="38">
        <v>514</v>
      </c>
      <c r="Q9" s="38">
        <v>4626928262.1698751</v>
      </c>
      <c r="R9" s="38">
        <v>10587119.273365011</v>
      </c>
      <c r="T9" s="39">
        <f t="shared" si="4"/>
        <v>24.729897000000001</v>
      </c>
      <c r="U9" s="39"/>
      <c r="V9" s="39">
        <f t="shared" si="5"/>
        <v>0.160302</v>
      </c>
      <c r="IW9" s="98">
        <f t="shared" si="6"/>
        <v>24.39</v>
      </c>
      <c r="IX9" s="88" t="s">
        <v>56</v>
      </c>
      <c r="IY9" s="97">
        <f t="shared" ref="IY9:IY11" si="8">ROUND(((+V9*12)/365)*30,4)</f>
        <v>0.15809999999999999</v>
      </c>
    </row>
    <row r="10" spans="2:259" s="31" customFormat="1">
      <c r="B10" s="35">
        <v>6</v>
      </c>
      <c r="C10" s="36" t="str">
        <f>'[1]B1.1 Re-Based Bill Det &amp; Rates'!D27</f>
        <v>Large Use</v>
      </c>
      <c r="D10" s="36" t="str">
        <f>'[1]B1.1 Re-Based Bill Det &amp; Rates'!E27</f>
        <v>Customer</v>
      </c>
      <c r="E10" s="36" t="str">
        <f>'[1]B1.1 Re-Based Bill Det &amp; Rates'!F27</f>
        <v>kW</v>
      </c>
      <c r="G10" s="102">
        <v>3.2141631106245702E-3</v>
      </c>
      <c r="H10" s="102">
        <v>0</v>
      </c>
      <c r="I10" s="102">
        <v>4.483419759013435E-2</v>
      </c>
      <c r="K10" s="37">
        <f t="shared" si="0"/>
        <v>61139.830778820018</v>
      </c>
      <c r="L10" s="37">
        <f t="shared" si="1"/>
        <v>0</v>
      </c>
      <c r="M10" s="37">
        <f t="shared" si="2"/>
        <v>852836.38677327055</v>
      </c>
      <c r="N10" s="37">
        <f t="shared" si="3"/>
        <v>913976.21755209053</v>
      </c>
      <c r="P10" s="38">
        <v>47</v>
      </c>
      <c r="Q10" s="38">
        <v>2376778322.9494872</v>
      </c>
      <c r="R10" s="38">
        <v>4993733.3069667304</v>
      </c>
      <c r="T10" s="39">
        <f t="shared" si="4"/>
        <v>108.403955</v>
      </c>
      <c r="U10" s="39"/>
      <c r="V10" s="39">
        <f t="shared" si="5"/>
        <v>0.17078099999999999</v>
      </c>
      <c r="IW10" s="98">
        <f t="shared" si="6"/>
        <v>106.92</v>
      </c>
      <c r="IX10" s="88" t="s">
        <v>56</v>
      </c>
      <c r="IY10" s="97">
        <f t="shared" si="8"/>
        <v>0.16839999999999999</v>
      </c>
    </row>
    <row r="11" spans="2:259" s="31" customFormat="1">
      <c r="B11" s="35">
        <v>7</v>
      </c>
      <c r="C11" s="36" t="str">
        <f>'[1]B1.1 Re-Based Bill Det &amp; Rates'!D28</f>
        <v>Street Lighting</v>
      </c>
      <c r="D11" s="36" t="str">
        <f>'[1]B1.1 Re-Based Bill Det &amp; Rates'!E28</f>
        <v>Connection</v>
      </c>
      <c r="E11" s="36" t="str">
        <f>'[1]B1.1 Re-Based Bill Det &amp; Rates'!F28</f>
        <v>kW</v>
      </c>
      <c r="G11" s="102">
        <v>4.8091516360791054E-3</v>
      </c>
      <c r="H11" s="102">
        <v>0</v>
      </c>
      <c r="I11" s="102">
        <v>1.7518400878747991E-2</v>
      </c>
      <c r="K11" s="37">
        <f t="shared" si="0"/>
        <v>91479.712478694462</v>
      </c>
      <c r="L11" s="37">
        <f t="shared" si="1"/>
        <v>0</v>
      </c>
      <c r="M11" s="37">
        <f t="shared" si="2"/>
        <v>333235.1310055498</v>
      </c>
      <c r="N11" s="37">
        <f t="shared" si="3"/>
        <v>424714.84348424425</v>
      </c>
      <c r="P11" s="38">
        <v>162777.033</v>
      </c>
      <c r="Q11" s="38">
        <v>110165015.81603143</v>
      </c>
      <c r="R11" s="38">
        <v>322022.85960000003</v>
      </c>
      <c r="T11" s="39">
        <f t="shared" si="4"/>
        <v>4.6833E-2</v>
      </c>
      <c r="U11" s="39"/>
      <c r="V11" s="39">
        <f t="shared" si="5"/>
        <v>1.034818</v>
      </c>
      <c r="IW11" s="98">
        <f t="shared" si="6"/>
        <v>0.05</v>
      </c>
      <c r="IX11" s="88"/>
      <c r="IY11" s="97">
        <f t="shared" si="8"/>
        <v>1.0206</v>
      </c>
    </row>
    <row r="12" spans="2:259" s="31" customFormat="1">
      <c r="B12" s="35">
        <v>8</v>
      </c>
      <c r="C12" s="36" t="str">
        <f>'[1]B1.1 Re-Based Bill Det &amp; Rates'!D29</f>
        <v>Unmetered Scattered Load</v>
      </c>
      <c r="D12" s="36" t="str">
        <f>'[1]B1.1 Re-Based Bill Det &amp; Rates'!E29</f>
        <v>Connection</v>
      </c>
      <c r="E12" s="36" t="str">
        <f>'[1]B1.1 Re-Based Bill Det &amp; Rates'!F29</f>
        <v>kWh</v>
      </c>
      <c r="G12" s="102">
        <v>1.2425877675088039E-4</v>
      </c>
      <c r="H12" s="102">
        <v>6.4642740574795019E-3</v>
      </c>
      <c r="I12" s="102">
        <v>0</v>
      </c>
      <c r="K12" s="37">
        <f t="shared" si="0"/>
        <v>2363.6512279726016</v>
      </c>
      <c r="L12" s="37">
        <f t="shared" si="1"/>
        <v>122963.46152308794</v>
      </c>
      <c r="M12" s="37">
        <f t="shared" si="2"/>
        <v>0</v>
      </c>
      <c r="N12" s="37">
        <f t="shared" si="3"/>
        <v>125327.11275106054</v>
      </c>
      <c r="P12" s="38">
        <v>1129.6651261047787</v>
      </c>
      <c r="Q12" s="38">
        <v>56231584.969683953</v>
      </c>
      <c r="R12" s="38">
        <v>0</v>
      </c>
      <c r="T12" s="39">
        <f t="shared" si="4"/>
        <v>0.17436199999999999</v>
      </c>
      <c r="U12" s="39">
        <f t="shared" si="5"/>
        <v>2.1870000000000001E-3</v>
      </c>
      <c r="V12" s="39" t="str">
        <f t="shared" si="5"/>
        <v/>
      </c>
      <c r="IW12" s="98">
        <f t="shared" si="6"/>
        <v>0.17</v>
      </c>
      <c r="IX12" s="96">
        <f>ROUND(+U12,5)</f>
        <v>2.1900000000000001E-3</v>
      </c>
      <c r="IY12" s="88" t="s">
        <v>56</v>
      </c>
    </row>
    <row r="13" spans="2:259" s="31" customFormat="1">
      <c r="B13" s="35">
        <v>9</v>
      </c>
      <c r="C13" s="36" t="str">
        <f>'[1]B1.1 Re-Based Bill Det &amp; Rates'!D30</f>
        <v>Unmetered Scattered Load</v>
      </c>
      <c r="D13" s="36" t="str">
        <f>'[1]B1.1 Re-Based Bill Det &amp; Rates'!E30</f>
        <v>Connection</v>
      </c>
      <c r="E13" s="36" t="str">
        <f>'[1]B1.1 Re-Based Bill Det &amp; Rates'!F30</f>
        <v>kWh</v>
      </c>
      <c r="G13" s="102">
        <v>2.4197446037475505E-4</v>
      </c>
      <c r="H13" s="102">
        <v>0</v>
      </c>
      <c r="I13" s="102">
        <v>0</v>
      </c>
      <c r="K13" s="37">
        <f t="shared" si="0"/>
        <v>4602.8396975889682</v>
      </c>
      <c r="L13" s="37">
        <f t="shared" si="1"/>
        <v>0</v>
      </c>
      <c r="M13" s="37">
        <f t="shared" si="2"/>
        <v>0</v>
      </c>
      <c r="N13" s="37">
        <f t="shared" si="3"/>
        <v>4602.8396975889682</v>
      </c>
      <c r="P13" s="38">
        <v>21729.086037863421</v>
      </c>
      <c r="Q13" s="38">
        <v>0</v>
      </c>
      <c r="R13" s="38">
        <v>0</v>
      </c>
      <c r="T13" s="39">
        <f t="shared" si="4"/>
        <v>1.7652000000000001E-2</v>
      </c>
      <c r="U13" s="39" t="str">
        <f t="shared" si="5"/>
        <v/>
      </c>
      <c r="V13" s="39" t="str">
        <f t="shared" si="5"/>
        <v/>
      </c>
      <c r="IW13" s="98">
        <f t="shared" si="6"/>
        <v>0.02</v>
      </c>
      <c r="IX13" s="88" t="str">
        <f t="shared" ref="IX13" si="9">+U13</f>
        <v/>
      </c>
      <c r="IY13" s="88" t="s">
        <v>56</v>
      </c>
    </row>
    <row r="14" spans="2:259" s="31" customFormat="1" ht="15.75" thickBot="1">
      <c r="K14" s="40">
        <f>SUM(K5:K13)</f>
        <v>6109058.9101186674</v>
      </c>
      <c r="L14" s="40">
        <f>SUM(L5:L13)</f>
        <v>4600069.4670109544</v>
      </c>
      <c r="M14" s="40">
        <f>SUM(M5:M13)</f>
        <v>8312877.872870381</v>
      </c>
      <c r="N14" s="41">
        <f>+N21</f>
        <v>19022006.25</v>
      </c>
      <c r="P14" s="89"/>
      <c r="Q14" s="89"/>
      <c r="R14" s="89"/>
      <c r="T14" s="89"/>
      <c r="U14" s="89"/>
      <c r="V14" s="89"/>
    </row>
    <row r="15" spans="2:259" s="31" customFormat="1" ht="15.75">
      <c r="N15" s="90"/>
    </row>
    <row r="16" spans="2:259" s="31" customFormat="1" ht="18">
      <c r="C16" s="91" t="s">
        <v>70</v>
      </c>
      <c r="N16" s="93">
        <f>+'Lost RR'!C23</f>
        <v>12993132.065217391</v>
      </c>
      <c r="R16" s="92" t="s">
        <v>56</v>
      </c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  <c r="IY16" s="92"/>
    </row>
    <row r="17" spans="3:259" s="31" customFormat="1" ht="18">
      <c r="C17" s="91" t="s">
        <v>71</v>
      </c>
      <c r="N17" s="93">
        <f>+'Lost RR'!D23</f>
        <v>12681337.5</v>
      </c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</row>
    <row r="18" spans="3:259" s="31" customFormat="1" ht="20.25">
      <c r="C18" s="91" t="s">
        <v>72</v>
      </c>
      <c r="N18" s="99">
        <f>+'Lost RR'!E23</f>
        <v>12369542.934782609</v>
      </c>
    </row>
    <row r="19" spans="3:259" s="31" customFormat="1" ht="18">
      <c r="C19" s="91" t="s">
        <v>73</v>
      </c>
      <c r="M19" s="100" t="s">
        <v>43</v>
      </c>
      <c r="N19" s="93">
        <f>SUM(N16:N18)</f>
        <v>38044012.5</v>
      </c>
    </row>
    <row r="20" spans="3:259" s="31" customFormat="1">
      <c r="M20" s="100"/>
    </row>
    <row r="21" spans="3:259" s="31" customFormat="1" ht="18">
      <c r="C21" s="95" t="s">
        <v>74</v>
      </c>
      <c r="M21" s="100" t="s">
        <v>75</v>
      </c>
      <c r="N21" s="101">
        <f>N19/2</f>
        <v>19022006.25</v>
      </c>
    </row>
    <row r="22" spans="3:259" s="31" customFormat="1"/>
    <row r="23" spans="3:259" s="31" customFormat="1"/>
    <row r="24" spans="3:259" s="31" customFormat="1"/>
    <row r="25" spans="3:259" s="31" customFormat="1"/>
    <row r="26" spans="3:259" s="31" customFormat="1"/>
    <row r="27" spans="3:259" s="31" customFormat="1"/>
    <row r="28" spans="3:259" s="31" customFormat="1"/>
    <row r="29" spans="3:259" s="31" customFormat="1"/>
    <row r="30" spans="3:259" s="31" customFormat="1"/>
    <row r="31" spans="3:259" s="31" customFormat="1"/>
    <row r="32" spans="3:259" s="31" customFormat="1"/>
    <row r="33" s="31" customForma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printOptions horizontalCentered="1"/>
  <pageMargins left="0.12" right="0.14000000000000001" top="1.7716535433070868" bottom="0.74803149606299213" header="0.31496062992125984" footer="0.31496062992125984"/>
  <pageSetup scale="47" orientation="landscape" r:id="rId1"/>
  <headerFooter>
    <oddHeader>&amp;RToronto Hydro-Electric System Limited
EB-2012-0064
Tab 2
Appendix 1
Filed:  2012 May 10
Corrected and Updated:  2012 Oct 31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Lost RR</vt:lpstr>
      <vt:lpstr>2nd Method</vt:lpstr>
      <vt:lpstr>Sheet1</vt:lpstr>
      <vt:lpstr>Rate Rider</vt:lpstr>
      <vt:lpstr>'Lost RR'!Print_Area</vt:lpstr>
      <vt:lpstr>'Rate Rider'!Print_Area</vt:lpstr>
    </vt:vector>
  </TitlesOfParts>
  <Company>Toronto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</dc:creator>
  <cp:lastModifiedBy>acrespo</cp:lastModifiedBy>
  <cp:lastPrinted>2012-11-13T19:45:46Z</cp:lastPrinted>
  <dcterms:created xsi:type="dcterms:W3CDTF">2012-02-21T14:25:13Z</dcterms:created>
  <dcterms:modified xsi:type="dcterms:W3CDTF">2012-11-13T19:45:52Z</dcterms:modified>
</cp:coreProperties>
</file>