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5360" windowHeight="8715" tabRatio="901" activeTab="7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REGINFO!$A$1:$E$71</definedName>
    <definedName name="_xlnm.Print_Area" localSheetId="6">'Tax Rates'!$A$1:$G$60</definedName>
    <definedName name="_xlnm.Print_Area" localSheetId="3">'Tax Reserves'!$A$1:$F$64</definedName>
    <definedName name="_xlnm.Print_Area" localSheetId="1">TAXCALC!$A$1:$H$209</definedName>
    <definedName name="_xlnm.Print_Area" localSheetId="4">'TAXREC 2'!$A$1:$F$122</definedName>
    <definedName name="_xlnm.Print_Area" localSheetId="5">'TAXREC 3 No True-up'!$A$1:$F$74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 calcMode="manual"/>
</workbook>
</file>

<file path=xl/calcChain.xml><?xml version="1.0" encoding="utf-8"?>
<calcChain xmlns="http://schemas.openxmlformats.org/spreadsheetml/2006/main">
  <c r="C61" i="12"/>
  <c r="C50"/>
  <c r="C53" s="1"/>
  <c r="C157"/>
  <c r="E157" s="1"/>
  <c r="E35" i="24"/>
  <c r="E34"/>
  <c r="E33"/>
  <c r="E32"/>
  <c r="E31"/>
  <c r="E30"/>
  <c r="E29"/>
  <c r="E28"/>
  <c r="E27"/>
  <c r="C11" i="12"/>
  <c r="E45" i="20"/>
  <c r="E20"/>
  <c r="E19"/>
  <c r="C150" i="12"/>
  <c r="C149"/>
  <c r="E149" s="1"/>
  <c r="C11" i="20"/>
  <c r="E112" s="1"/>
  <c r="C80" i="12"/>
  <c r="E38" i="24"/>
  <c r="E37"/>
  <c r="E36"/>
  <c r="E48" i="13"/>
  <c r="G76" i="2"/>
  <c r="G77" s="1"/>
  <c r="G79"/>
  <c r="B9"/>
  <c r="B10"/>
  <c r="C75"/>
  <c r="C76" s="1"/>
  <c r="C79"/>
  <c r="E142" i="12"/>
  <c r="E143"/>
  <c r="E144"/>
  <c r="E76"/>
  <c r="E88"/>
  <c r="E43"/>
  <c r="E45"/>
  <c r="F16" i="23"/>
  <c r="G68" i="2"/>
  <c r="G72"/>
  <c r="E166"/>
  <c r="C66"/>
  <c r="E151" s="1"/>
  <c r="E152" s="1"/>
  <c r="E153" s="1"/>
  <c r="E155"/>
  <c r="C70"/>
  <c r="E70" s="1"/>
  <c r="A1" i="25"/>
  <c r="A1" i="23"/>
  <c r="A2" i="24"/>
  <c r="A2" i="20"/>
  <c r="A1" i="21"/>
  <c r="E37" i="20"/>
  <c r="C68"/>
  <c r="E38"/>
  <c r="A1" i="12"/>
  <c r="A1" i="2"/>
  <c r="E52" i="13"/>
  <c r="D76" i="20"/>
  <c r="A76"/>
  <c r="D35" i="13"/>
  <c r="D60"/>
  <c r="D62" s="1"/>
  <c r="O13" i="25"/>
  <c r="M12"/>
  <c r="O12"/>
  <c r="O4"/>
  <c r="O3"/>
  <c r="A4"/>
  <c r="A3"/>
  <c r="E47" i="13"/>
  <c r="E43"/>
  <c r="E51" i="12"/>
  <c r="G37" i="2" s="1"/>
  <c r="E201" s="1"/>
  <c r="E62" i="12"/>
  <c r="G21" i="2"/>
  <c r="E21" s="1"/>
  <c r="E102" s="1"/>
  <c r="E99" i="12"/>
  <c r="G34" i="2"/>
  <c r="E34" s="1"/>
  <c r="E109" s="1"/>
  <c r="E36" i="20"/>
  <c r="E87"/>
  <c r="C107"/>
  <c r="E145" i="12"/>
  <c r="G58" i="2"/>
  <c r="E58" s="1"/>
  <c r="E126" s="1"/>
  <c r="E65" i="12"/>
  <c r="G24" i="2"/>
  <c r="E24" s="1"/>
  <c r="E105" s="1"/>
  <c r="E73" i="12"/>
  <c r="E74"/>
  <c r="E86" s="1"/>
  <c r="E75"/>
  <c r="E87" s="1"/>
  <c r="E77"/>
  <c r="E89" s="1"/>
  <c r="E78"/>
  <c r="E90" s="1"/>
  <c r="E79"/>
  <c r="E91" s="1"/>
  <c r="E17" i="20"/>
  <c r="E18"/>
  <c r="E21"/>
  <c r="E22"/>
  <c r="E23"/>
  <c r="E24"/>
  <c r="E25"/>
  <c r="E26"/>
  <c r="E27"/>
  <c r="E28"/>
  <c r="E29"/>
  <c r="E30"/>
  <c r="E31"/>
  <c r="E33"/>
  <c r="C64"/>
  <c r="E34"/>
  <c r="E35"/>
  <c r="C66" s="1"/>
  <c r="E39"/>
  <c r="E40"/>
  <c r="E41"/>
  <c r="C72" s="1"/>
  <c r="E42"/>
  <c r="E43"/>
  <c r="C74" s="1"/>
  <c r="E44"/>
  <c r="E100" i="12"/>
  <c r="G35" i="2"/>
  <c r="E35" s="1"/>
  <c r="E110" s="1"/>
  <c r="E102" i="12"/>
  <c r="G36" i="2"/>
  <c r="E36" s="1"/>
  <c r="E111" s="1"/>
  <c r="E103" i="12"/>
  <c r="E109"/>
  <c r="G42" i="2" s="1"/>
  <c r="E106" i="12"/>
  <c r="G40" i="2" s="1"/>
  <c r="E40" s="1"/>
  <c r="E115" s="1"/>
  <c r="E107" i="12"/>
  <c r="G41" i="2" s="1"/>
  <c r="E41" s="1"/>
  <c r="E116" s="1"/>
  <c r="E115" i="12"/>
  <c r="E125" s="1"/>
  <c r="E116"/>
  <c r="E126" s="1"/>
  <c r="E117"/>
  <c r="E127" s="1"/>
  <c r="E118"/>
  <c r="E128" s="1"/>
  <c r="E119"/>
  <c r="E129" s="1"/>
  <c r="E82" i="20"/>
  <c r="E83"/>
  <c r="E84"/>
  <c r="E85"/>
  <c r="C105"/>
  <c r="E86"/>
  <c r="E88"/>
  <c r="E89"/>
  <c r="C109"/>
  <c r="E90"/>
  <c r="E91"/>
  <c r="E93"/>
  <c r="E94"/>
  <c r="E95"/>
  <c r="C115" s="1"/>
  <c r="E97"/>
  <c r="E98"/>
  <c r="E31" i="12"/>
  <c r="E32"/>
  <c r="E33"/>
  <c r="E34"/>
  <c r="E35"/>
  <c r="E39"/>
  <c r="E40"/>
  <c r="E41"/>
  <c r="E42"/>
  <c r="E44"/>
  <c r="E46"/>
  <c r="E47"/>
  <c r="E48"/>
  <c r="D61"/>
  <c r="E61" s="1"/>
  <c r="G20" i="2" s="1"/>
  <c r="E20" s="1"/>
  <c r="C46" i="20"/>
  <c r="D46"/>
  <c r="C47" i="24"/>
  <c r="C66" i="12" s="1"/>
  <c r="E97"/>
  <c r="E98"/>
  <c r="E120"/>
  <c r="C52" i="23"/>
  <c r="C22" i="25"/>
  <c r="E11" s="1"/>
  <c r="E22" s="1"/>
  <c r="G11" s="1"/>
  <c r="G22" s="1"/>
  <c r="I11" s="1"/>
  <c r="O11"/>
  <c r="O14"/>
  <c r="O16"/>
  <c r="O18"/>
  <c r="O19"/>
  <c r="O20"/>
  <c r="E61" i="24"/>
  <c r="A7"/>
  <c r="E8"/>
  <c r="A8"/>
  <c r="A11"/>
  <c r="C12"/>
  <c r="E19"/>
  <c r="E20"/>
  <c r="E21"/>
  <c r="E22"/>
  <c r="E23"/>
  <c r="E24"/>
  <c r="E25"/>
  <c r="E26"/>
  <c r="E39"/>
  <c r="E40"/>
  <c r="E41"/>
  <c r="E42"/>
  <c r="E43"/>
  <c r="E44"/>
  <c r="E45"/>
  <c r="D47"/>
  <c r="D66" i="12" s="1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/>
  <c r="D73" i="24"/>
  <c r="D108" i="12"/>
  <c r="D41" i="13"/>
  <c r="C63" i="21"/>
  <c r="C64" i="12" s="1"/>
  <c r="C50" i="21"/>
  <c r="C105" i="12" s="1"/>
  <c r="E32" i="20"/>
  <c r="E46" s="1"/>
  <c r="E53" i="13"/>
  <c r="E51"/>
  <c r="E50"/>
  <c r="E101" i="12"/>
  <c r="C59"/>
  <c r="D59"/>
  <c r="E59"/>
  <c r="E60"/>
  <c r="E52"/>
  <c r="E138"/>
  <c r="E136"/>
  <c r="E137"/>
  <c r="D102" i="20"/>
  <c r="D104"/>
  <c r="D106"/>
  <c r="D108"/>
  <c r="D110"/>
  <c r="D112"/>
  <c r="D114"/>
  <c r="D117"/>
  <c r="D99"/>
  <c r="D120" i="12"/>
  <c r="D80"/>
  <c r="D50"/>
  <c r="D53"/>
  <c r="C120"/>
  <c r="A5" i="2"/>
  <c r="A4" i="12"/>
  <c r="A5" i="21"/>
  <c r="F2" i="23"/>
  <c r="A5"/>
  <c r="A4"/>
  <c r="E49" i="20"/>
  <c r="E51"/>
  <c r="E53"/>
  <c r="E55"/>
  <c r="E57"/>
  <c r="E59"/>
  <c r="E61"/>
  <c r="E63"/>
  <c r="E65"/>
  <c r="E67"/>
  <c r="E69"/>
  <c r="E71"/>
  <c r="E73"/>
  <c r="E75"/>
  <c r="E52" i="23"/>
  <c r="F34"/>
  <c r="E55" i="21"/>
  <c r="E56"/>
  <c r="E57"/>
  <c r="E58"/>
  <c r="E59"/>
  <c r="D63"/>
  <c r="D64" i="12"/>
  <c r="D35" i="21"/>
  <c r="D104" i="12"/>
  <c r="C35" i="21"/>
  <c r="C104" i="12"/>
  <c r="E25" i="21"/>
  <c r="E26"/>
  <c r="E35" s="1"/>
  <c r="E27"/>
  <c r="E28"/>
  <c r="E29"/>
  <c r="E30"/>
  <c r="E31"/>
  <c r="E32"/>
  <c r="E33"/>
  <c r="E13"/>
  <c r="E14"/>
  <c r="E15"/>
  <c r="E22" s="1"/>
  <c r="E16"/>
  <c r="E17"/>
  <c r="E18"/>
  <c r="E19"/>
  <c r="E20"/>
  <c r="E21"/>
  <c r="D22"/>
  <c r="D63" i="12"/>
  <c r="C22" i="21"/>
  <c r="C63" i="12"/>
  <c r="E41" i="21"/>
  <c r="E42"/>
  <c r="E43"/>
  <c r="D45" i="13"/>
  <c r="D56"/>
  <c r="D58"/>
  <c r="E5" i="21"/>
  <c r="A8"/>
  <c r="A7"/>
  <c r="E53"/>
  <c r="E54"/>
  <c r="E60"/>
  <c r="E61"/>
  <c r="E48"/>
  <c r="E44"/>
  <c r="E45"/>
  <c r="E46"/>
  <c r="E47"/>
  <c r="E49"/>
  <c r="D50"/>
  <c r="D105" i="12" s="1"/>
  <c r="A7" i="2"/>
  <c r="E79"/>
  <c r="G5"/>
  <c r="A6"/>
  <c r="E66"/>
  <c r="E5" i="12"/>
  <c r="D125"/>
  <c r="D130" s="1"/>
  <c r="D126"/>
  <c r="D127"/>
  <c r="D128"/>
  <c r="D129"/>
  <c r="C125"/>
  <c r="C130" s="1"/>
  <c r="C126"/>
  <c r="C127"/>
  <c r="C128"/>
  <c r="C129"/>
  <c r="A125"/>
  <c r="D144"/>
  <c r="D146"/>
  <c r="D156" s="1"/>
  <c r="D160" s="1"/>
  <c r="C144"/>
  <c r="C146"/>
  <c r="C156" s="1"/>
  <c r="A8"/>
  <c r="D85"/>
  <c r="D86"/>
  <c r="D92" s="1"/>
  <c r="D87"/>
  <c r="D88"/>
  <c r="D89"/>
  <c r="D90"/>
  <c r="D91"/>
  <c r="C85"/>
  <c r="C86"/>
  <c r="C92" s="1"/>
  <c r="C87"/>
  <c r="C88"/>
  <c r="C89"/>
  <c r="C90"/>
  <c r="C91"/>
  <c r="A129"/>
  <c r="A127"/>
  <c r="A126"/>
  <c r="A91"/>
  <c r="A90"/>
  <c r="A89"/>
  <c r="A87"/>
  <c r="A88"/>
  <c r="A86"/>
  <c r="A85"/>
  <c r="A7"/>
  <c r="A51" i="20"/>
  <c r="A53"/>
  <c r="A55"/>
  <c r="A57"/>
  <c r="A59"/>
  <c r="A61"/>
  <c r="A63"/>
  <c r="A65"/>
  <c r="A67"/>
  <c r="A69"/>
  <c r="A71"/>
  <c r="A75"/>
  <c r="A103"/>
  <c r="A105"/>
  <c r="A107"/>
  <c r="A109"/>
  <c r="A111"/>
  <c r="A113"/>
  <c r="A118"/>
  <c r="E6"/>
  <c r="A9"/>
  <c r="A8"/>
  <c r="E63" i="12"/>
  <c r="G22" i="2" s="1"/>
  <c r="E104" i="12"/>
  <c r="E54" i="13"/>
  <c r="E118" i="20"/>
  <c r="E110"/>
  <c r="E108"/>
  <c r="D65"/>
  <c r="D63"/>
  <c r="D61"/>
  <c r="D59"/>
  <c r="D57"/>
  <c r="D55"/>
  <c r="D53"/>
  <c r="D51"/>
  <c r="D49"/>
  <c r="E85" i="12"/>
  <c r="E80"/>
  <c r="C67" i="20"/>
  <c r="C69"/>
  <c r="E115"/>
  <c r="E105"/>
  <c r="D68"/>
  <c r="D60"/>
  <c r="D52"/>
  <c r="E114"/>
  <c r="E106"/>
  <c r="E104"/>
  <c r="E102"/>
  <c r="D75"/>
  <c r="D73"/>
  <c r="D71"/>
  <c r="C50"/>
  <c r="E113"/>
  <c r="E107"/>
  <c r="D74"/>
  <c r="D66"/>
  <c r="D58"/>
  <c r="G38" i="2"/>
  <c r="E38" s="1"/>
  <c r="E113" s="1"/>
  <c r="E150" i="12"/>
  <c r="F52" i="23"/>
  <c r="C151" i="12"/>
  <c r="E162" i="2"/>
  <c r="E163" s="1"/>
  <c r="E164" s="1"/>
  <c r="C67"/>
  <c r="C68" s="1"/>
  <c r="C72" s="1"/>
  <c r="E33"/>
  <c r="E73" i="24"/>
  <c r="E63" i="21"/>
  <c r="E50"/>
  <c r="E75" i="2"/>
  <c r="D54" i="20"/>
  <c r="D62"/>
  <c r="D70"/>
  <c r="E103"/>
  <c r="E111"/>
  <c r="E117"/>
  <c r="D50"/>
  <c r="C71"/>
  <c r="C73"/>
  <c r="C75"/>
  <c r="C102"/>
  <c r="C104"/>
  <c r="C106"/>
  <c r="C114"/>
  <c r="D56"/>
  <c r="D64"/>
  <c r="D72"/>
  <c r="E109"/>
  <c r="D69"/>
  <c r="D67"/>
  <c r="C49"/>
  <c r="C51"/>
  <c r="C53"/>
  <c r="C55"/>
  <c r="C57"/>
  <c r="C59"/>
  <c r="C61"/>
  <c r="C63"/>
  <c r="C65"/>
  <c r="C108"/>
  <c r="C110"/>
  <c r="C118"/>
  <c r="C10"/>
  <c r="A102"/>
  <c r="A117"/>
  <c r="A114"/>
  <c r="A112"/>
  <c r="A110"/>
  <c r="A108"/>
  <c r="A106"/>
  <c r="A104"/>
  <c r="A49"/>
  <c r="A74"/>
  <c r="A72"/>
  <c r="A70"/>
  <c r="A68"/>
  <c r="A66"/>
  <c r="A64"/>
  <c r="A62"/>
  <c r="A60"/>
  <c r="A58"/>
  <c r="A56"/>
  <c r="A54"/>
  <c r="A52"/>
  <c r="A50"/>
  <c r="E74"/>
  <c r="E72"/>
  <c r="E70"/>
  <c r="E68"/>
  <c r="E66"/>
  <c r="E64"/>
  <c r="E62"/>
  <c r="E60"/>
  <c r="E58"/>
  <c r="E56"/>
  <c r="E54"/>
  <c r="E52"/>
  <c r="E50"/>
  <c r="D118"/>
  <c r="D115"/>
  <c r="D113"/>
  <c r="D111"/>
  <c r="D109"/>
  <c r="D107"/>
  <c r="D105"/>
  <c r="D103"/>
  <c r="C117"/>
  <c r="C113"/>
  <c r="C111"/>
  <c r="C103"/>
  <c r="C70"/>
  <c r="C62"/>
  <c r="C60"/>
  <c r="C58"/>
  <c r="C56"/>
  <c r="C54"/>
  <c r="C52"/>
  <c r="C76"/>
  <c r="E76"/>
  <c r="E108" i="12"/>
  <c r="G48" i="2" s="1"/>
  <c r="E48" s="1"/>
  <c r="E122"/>
  <c r="E50" i="12"/>
  <c r="G16" i="2" s="1"/>
  <c r="E16" s="1"/>
  <c r="C99" i="20"/>
  <c r="E96"/>
  <c r="C116"/>
  <c r="E99"/>
  <c r="E116"/>
  <c r="D116"/>
  <c r="A116"/>
  <c r="E53" i="12"/>
  <c r="E67" i="2"/>
  <c r="E68" s="1"/>
  <c r="E77" i="20"/>
  <c r="D77"/>
  <c r="D78" s="1"/>
  <c r="A73"/>
  <c r="G55" i="2"/>
  <c r="G60" s="1"/>
  <c r="E146" i="12"/>
  <c r="E156"/>
  <c r="G90" i="2" s="1"/>
  <c r="G95" s="1"/>
  <c r="D119" i="20"/>
  <c r="D120" s="1"/>
  <c r="D111" i="12" s="1"/>
  <c r="E47" i="24"/>
  <c r="C112" i="20"/>
  <c r="E157" i="2" l="1"/>
  <c r="E119" i="20"/>
  <c r="C119"/>
  <c r="E78"/>
  <c r="E79" s="1"/>
  <c r="E64" i="12"/>
  <c r="G23" i="2" s="1"/>
  <c r="E23" s="1"/>
  <c r="E104" s="1"/>
  <c r="D67" i="12"/>
  <c r="C93"/>
  <c r="C94" s="1"/>
  <c r="D131"/>
  <c r="D132" s="1"/>
  <c r="D66" i="13"/>
  <c r="D70"/>
  <c r="D64"/>
  <c r="E202" i="2"/>
  <c r="E193"/>
  <c r="D68" i="13"/>
  <c r="E130" i="12"/>
  <c r="E92"/>
  <c r="D94"/>
  <c r="D93"/>
  <c r="C131"/>
  <c r="C132" s="1"/>
  <c r="E42" i="2"/>
  <c r="E105" i="12"/>
  <c r="G39" i="2" s="1"/>
  <c r="E39" s="1"/>
  <c r="E114" s="1"/>
  <c r="A115" i="20"/>
  <c r="D68" i="12"/>
  <c r="D79" i="20"/>
  <c r="C77"/>
  <c r="C67" i="12" s="1"/>
  <c r="E67" s="1"/>
  <c r="D110"/>
  <c r="D113" s="1"/>
  <c r="D122" s="1"/>
  <c r="D121" i="20"/>
  <c r="E66" i="12"/>
  <c r="G30" i="2" s="1"/>
  <c r="E30" s="1"/>
  <c r="C78" i="20"/>
  <c r="C68" i="12" s="1"/>
  <c r="E68" s="1"/>
  <c r="G29" i="2" s="1"/>
  <c r="E29" s="1"/>
  <c r="E151" i="12"/>
  <c r="G53" i="2" s="1"/>
  <c r="D70" i="12"/>
  <c r="D82" s="1"/>
  <c r="G81" i="2"/>
  <c r="C70" i="12"/>
  <c r="C82" s="1"/>
  <c r="E168" i="2"/>
  <c r="E22"/>
  <c r="E103" s="1"/>
  <c r="C120" i="20"/>
  <c r="C111" i="12" s="1"/>
  <c r="C110"/>
  <c r="E120" i="20"/>
  <c r="E111" i="12" s="1"/>
  <c r="G47" i="2" s="1"/>
  <c r="E47" s="1"/>
  <c r="E110" i="12"/>
  <c r="C92" i="2"/>
  <c r="E158"/>
  <c r="E159" s="1"/>
  <c r="E179" s="1"/>
  <c r="E72"/>
  <c r="C77"/>
  <c r="E76"/>
  <c r="E77" s="1"/>
  <c r="G84"/>
  <c r="C158" i="12" s="1"/>
  <c r="E121" i="20" l="1"/>
  <c r="G44" i="2"/>
  <c r="E44" s="1"/>
  <c r="E117" s="1"/>
  <c r="E131" i="12"/>
  <c r="G45" i="2" s="1"/>
  <c r="E45" s="1"/>
  <c r="E132" i="12"/>
  <c r="E194" i="2"/>
  <c r="C37"/>
  <c r="E196"/>
  <c r="E204"/>
  <c r="E206"/>
  <c r="E112" s="1"/>
  <c r="E93" i="12"/>
  <c r="G27" i="2" s="1"/>
  <c r="E27" s="1"/>
  <c r="G26"/>
  <c r="E26" s="1"/>
  <c r="E106" s="1"/>
  <c r="D134" i="12"/>
  <c r="D139" s="1"/>
  <c r="E158"/>
  <c r="E160" s="1"/>
  <c r="C160"/>
  <c r="C113"/>
  <c r="C122" s="1"/>
  <c r="C134" s="1"/>
  <c r="C139" s="1"/>
  <c r="C121" i="20"/>
  <c r="C79"/>
  <c r="E113" i="12"/>
  <c r="E122" s="1"/>
  <c r="G46" i="2"/>
  <c r="E46" s="1"/>
  <c r="E118" s="1"/>
  <c r="C81"/>
  <c r="E70" i="12"/>
  <c r="E82" s="1"/>
  <c r="E134" s="1"/>
  <c r="E139" s="1"/>
  <c r="G28" i="2"/>
  <c r="C50" l="1"/>
  <c r="E37"/>
  <c r="E94" i="12"/>
  <c r="E208" i="2"/>
  <c r="E81"/>
  <c r="E28"/>
  <c r="G50"/>
  <c r="E136" l="1"/>
  <c r="C88"/>
  <c r="C53"/>
  <c r="E53" s="1"/>
  <c r="C55"/>
  <c r="E107"/>
  <c r="E120" s="1"/>
  <c r="E50"/>
  <c r="C60" l="1"/>
  <c r="E55"/>
  <c r="E60" s="1"/>
  <c r="E124"/>
  <c r="E128" s="1"/>
  <c r="E138"/>
  <c r="E140" s="1"/>
  <c r="E144" s="1"/>
  <c r="E175"/>
  <c r="E130"/>
  <c r="C90" l="1"/>
  <c r="C82"/>
  <c r="E146"/>
  <c r="E132"/>
  <c r="E183" s="1"/>
  <c r="K15" i="25" s="1"/>
  <c r="O15" s="1"/>
  <c r="E148" i="2"/>
  <c r="E177" s="1"/>
  <c r="E169"/>
  <c r="E170" s="1"/>
  <c r="E82" l="1"/>
  <c r="E84" s="1"/>
  <c r="C84"/>
  <c r="E172" l="1"/>
  <c r="E173" s="1"/>
  <c r="E178" s="1"/>
  <c r="E181" s="1"/>
  <c r="E185" s="1"/>
  <c r="C91"/>
  <c r="C95" s="1"/>
  <c r="I17" i="25" l="1"/>
  <c r="O17" s="1"/>
  <c r="O22" s="1"/>
  <c r="I22" l="1"/>
  <c r="K11" s="1"/>
  <c r="K22" s="1"/>
  <c r="M11" s="1"/>
  <c r="M22" s="1"/>
</calcChain>
</file>

<file path=xl/sharedStrings.xml><?xml version="1.0" encoding="utf-8"?>
<sst xmlns="http://schemas.openxmlformats.org/spreadsheetml/2006/main" count="878" uniqueCount="507">
  <si>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</si>
  <si>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</si>
  <si>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</si>
  <si>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</si>
  <si>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</si>
  <si>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</si>
  <si>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</si>
  <si>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</si>
  <si>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</si>
  <si>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</si>
  <si>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</si>
  <si>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</si>
  <si>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</si>
  <si>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</si>
  <si>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</si>
  <si>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</si>
  <si>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</si>
  <si>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</si>
  <si>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</si>
  <si>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</si>
  <si>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</si>
  <si>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</si>
  <si>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</si>
  <si>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</si>
  <si>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</si>
  <si>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</si>
  <si>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</si>
  <si>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</si>
  <si>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</si>
  <si>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</si>
  <si>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</si>
  <si>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</si>
  <si>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</si>
  <si>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</si>
  <si>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</si>
  <si>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</si>
  <si>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</si>
  <si>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</si>
  <si>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</si>
  <si>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</si>
  <si>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</si>
  <si>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</si>
  <si>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</si>
  <si>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</si>
  <si>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</si>
  <si>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</si>
  <si>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</si>
  <si>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</si>
  <si>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</si>
  <si>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</si>
  <si>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</si>
  <si>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</si>
  <si>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</si>
  <si>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</si>
  <si>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</si>
  <si>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</si>
  <si>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</si>
  <si>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</si>
  <si>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</si>
  <si>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</si>
  <si>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</si>
  <si>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</si>
  <si>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</si>
  <si>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</si>
  <si>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</si>
  <si>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</si>
  <si>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</si>
  <si>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</si>
  <si>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</si>
  <si>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</si>
  <si>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</si>
  <si>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</si>
  <si>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</si>
  <si>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</si>
  <si>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</si>
  <si>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</si>
  <si>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</si>
  <si>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</si>
  <si>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</si>
  <si>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</si>
  <si>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</si>
  <si>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</si>
  <si>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</si>
  <si>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</si>
  <si>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</si>
  <si>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</si>
  <si>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</si>
  <si>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</si>
  <si>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</si>
  <si>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</si>
  <si>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</si>
  <si>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</si>
  <si>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</si>
  <si>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</si>
  <si>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</si>
  <si>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</si>
  <si>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</si>
  <si>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</si>
  <si>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</si>
  <si>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</si>
  <si>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</si>
  <si>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</si>
  <si>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</si>
  <si>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</si>
  <si>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</si>
  <si>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</si>
  <si>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</si>
  <si>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</si>
  <si>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</si>
  <si>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</si>
  <si>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</si>
  <si>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</si>
  <si>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</si>
  <si>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</si>
  <si>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</si>
  <si>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</si>
  <si>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</si>
  <si>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</si>
  <si>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</si>
  <si>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</si>
  <si>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</si>
  <si>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</si>
  <si>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</si>
  <si>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</si>
  <si>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</si>
  <si>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</si>
  <si>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</si>
  <si>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</si>
  <si>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</si>
  <si>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</si>
  <si>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</si>
  <si>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</si>
  <si>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</si>
  <si>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</si>
  <si>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</si>
  <si>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</si>
  <si>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</si>
  <si>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</si>
  <si>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</si>
  <si>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</si>
  <si>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</si>
  <si>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</si>
  <si>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</si>
  <si>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</si>
  <si>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</si>
  <si>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</si>
  <si>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</si>
  <si>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</si>
  <si>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</si>
  <si>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</si>
  <si>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</si>
  <si>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</si>
  <si>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</si>
  <si>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</si>
  <si>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</si>
  <si>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</si>
  <si>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</si>
  <si>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</si>
  <si>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</si>
  <si>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</si>
  <si>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</si>
  <si>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</si>
  <si>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</si>
  <si>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</si>
  <si>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</si>
  <si>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</si>
  <si>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</si>
  <si>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</si>
  <si>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</si>
  <si>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</si>
  <si>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</si>
  <si>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</si>
  <si>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</si>
  <si>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</si>
  <si>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</si>
  <si>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</si>
  <si>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</si>
  <si>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</si>
  <si>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</si>
  <si>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</si>
  <si>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</si>
  <si>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</si>
  <si>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</si>
  <si>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</si>
  <si>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</si>
  <si>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</si>
  <si>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</si>
  <si>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</si>
  <si>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</si>
  <si>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</si>
  <si>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</si>
  <si>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</si>
  <si>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</si>
  <si>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</si>
  <si>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</si>
  <si>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</si>
  <si>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</si>
  <si>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</si>
  <si>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</si>
  <si>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</si>
  <si>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</si>
  <si>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</si>
  <si>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</si>
  <si>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</si>
  <si>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</si>
  <si>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</si>
  <si>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</si>
  <si>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</si>
  <si>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</si>
  <si>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</si>
  <si>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</si>
  <si>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</si>
  <si>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</si>
  <si>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</si>
  <si>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</si>
  <si>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</si>
  <si>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</si>
  <si>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</si>
  <si>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</si>
  <si>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</si>
  <si>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</si>
  <si>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</si>
  <si>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</si>
  <si>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</si>
  <si>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</si>
  <si>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</si>
  <si>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</si>
  <si>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</si>
  <si>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</si>
  <si>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</si>
  <si>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</si>
  <si>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</si>
  <si>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</si>
  <si>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</si>
  <si>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</si>
  <si>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</si>
  <si>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</si>
  <si>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</si>
  <si>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</si>
  <si>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</si>
  <si>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</si>
  <si>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</si>
  <si>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</si>
  <si>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</si>
  <si>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</si>
  <si>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</si>
  <si>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</si>
  <si>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</si>
  <si>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</si>
  <si>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</si>
  <si>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</si>
  <si>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</si>
  <si>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</si>
  <si>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</si>
  <si>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</si>
  <si>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</si>
  <si>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</si>
  <si>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</si>
  <si>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</si>
  <si>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</si>
  <si>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</si>
  <si>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</si>
  <si>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</si>
  <si>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</si>
  <si>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</si>
  <si>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</si>
  <si>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</si>
  <si>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</si>
  <si>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</si>
  <si>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</si>
  <si>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</si>
  <si>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</si>
  <si>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</si>
  <si>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</si>
  <si>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</si>
  <si>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</si>
  <si>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</si>
  <si>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</si>
  <si>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</si>
  <si>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</si>
  <si>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</si>
  <si>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</si>
  <si>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</si>
  <si>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</si>
  <si>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</si>
  <si>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</si>
  <si>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</si>
  <si>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</si>
  <si>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</si>
  <si>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</si>
  <si>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</si>
  <si>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</si>
  <si>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</si>
  <si>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</si>
  <si>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</si>
  <si>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</si>
  <si>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</si>
  <si>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</si>
  <si>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</si>
  <si>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</si>
  <si>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</si>
  <si>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</si>
  <si>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</si>
  <si>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</si>
  <si>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</si>
  <si>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</si>
  <si>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</si>
  <si>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</si>
  <si>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 xml:space="preserve">                                                               RAM DECISION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</si>
  <si>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</si>
  <si>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</si>
  <si>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</si>
  <si>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</si>
  <si>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</si>
  <si>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</si>
  <si>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</si>
  <si>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</si>
  <si>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</si>
  <si>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</si>
  <si>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</si>
  <si>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</si>
  <si>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</si>
  <si>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</si>
  <si>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</si>
  <si>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</si>
  <si>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</si>
  <si>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</si>
  <si>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</si>
  <si>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</si>
  <si>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</si>
  <si>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</si>
  <si>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</si>
  <si>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</si>
  <si>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</si>
  <si>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</si>
  <si>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</si>
  <si>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</si>
  <si>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</si>
  <si>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</si>
  <si>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</si>
  <si>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</si>
  <si>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</si>
  <si>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</si>
  <si>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</si>
  <si>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</si>
  <si>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</si>
  <si>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</si>
  <si>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</si>
  <si>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</si>
  <si>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</si>
  <si>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</si>
  <si>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</si>
  <si>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</si>
  <si>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</si>
  <si>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</si>
  <si>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</si>
  <si>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</si>
  <si>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</si>
  <si>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</si>
  <si>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</si>
  <si>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</si>
  <si>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</si>
  <si>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</si>
  <si>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</si>
  <si>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</si>
  <si>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</si>
  <si>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</si>
  <si>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</si>
  <si>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</si>
  <si>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</si>
  <si>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</si>
  <si>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</si>
  <si>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</si>
  <si>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</si>
  <si>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</si>
  <si>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</si>
  <si>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</si>
  <si>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</si>
  <si>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</si>
  <si>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</si>
  <si>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</si>
  <si>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</si>
  <si>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</si>
  <si>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</si>
  <si>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</si>
  <si>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</si>
  <si>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</si>
  <si>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</si>
  <si>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</si>
  <si>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</si>
  <si>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</si>
  <si>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</si>
  <si>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</si>
  <si>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</si>
  <si>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</si>
  <si>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</si>
  <si>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</si>
  <si>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</si>
  <si>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</si>
  <si>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</si>
  <si>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</si>
  <si>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</si>
  <si>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</si>
  <si>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</si>
  <si>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</si>
  <si>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</si>
  <si>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</si>
  <si>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</si>
  <si>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</si>
  <si>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</si>
  <si>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</si>
  <si>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</si>
  <si>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</si>
  <si>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</si>
  <si>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</si>
  <si>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</si>
  <si>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</si>
  <si>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</si>
  <si>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</si>
  <si>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</si>
  <si>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</si>
  <si>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</si>
  <si>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</si>
  <si>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</si>
  <si>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</si>
  <si>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</si>
  <si>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</si>
  <si>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</si>
  <si>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</si>
  <si>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</si>
  <si>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</si>
  <si>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</si>
  <si>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</si>
  <si>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</si>
  <si>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</si>
  <si>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</si>
  <si>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</si>
  <si>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</si>
  <si>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</si>
  <si>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</si>
  <si>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</si>
  <si>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</si>
  <si>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</si>
  <si>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</si>
  <si>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</si>
  <si>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</si>
  <si>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</si>
  <si>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</si>
  <si>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</si>
  <si>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</si>
  <si>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</si>
  <si>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</si>
  <si>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</si>
  <si>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</si>
  <si>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</si>
  <si>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</si>
  <si>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</si>
  <si>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</si>
  <si>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</si>
  <si>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</si>
  <si>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</si>
  <si>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</si>
  <si>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</si>
  <si>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</si>
  <si>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</si>
  <si>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</si>
  <si>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</si>
  <si>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</si>
  <si>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</si>
  <si>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</si>
  <si>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</si>
  <si>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</si>
  <si>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</si>
  <si>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</si>
  <si>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</si>
  <si>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Provision for bad debts</t>
  </si>
  <si>
    <t>DEPRECIATION DIFFERENCE</t>
  </si>
  <si>
    <t xml:space="preserve">RECAP </t>
  </si>
  <si>
    <r>
      <t xml:space="preserve">Total PILs for Rate Adjustment -- </t>
    </r>
    <r>
      <rPr>
        <b/>
        <i/>
        <sz val="10"/>
        <color indexed="10"/>
        <rFont val="Arial"/>
        <family val="2"/>
      </rPr>
      <t>MUST AGREE WITH 2002</t>
    </r>
  </si>
  <si>
    <t>***************</t>
  </si>
  <si>
    <t>Rates Used in 2002 RAM PILs Applications for 2002</t>
  </si>
  <si>
    <t>&gt;700,000</t>
  </si>
  <si>
    <t>**Exemption amounts must agree with the Board-approved 2002 RAM PILs filing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</si>
  <si>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</si>
  <si>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</si>
  <si>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</si>
  <si>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</si>
  <si>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</si>
  <si>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</si>
  <si>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</si>
  <si>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>Other</t>
  </si>
  <si>
    <t>Asset retirement obligation- accretion expense</t>
  </si>
  <si>
    <t>Asset retirement obligation- cash payment deducted for tax</t>
  </si>
  <si>
    <t>Reporting period:  2004</t>
  </si>
  <si>
    <t>12-31-2004</t>
  </si>
  <si>
    <t>Actual 2004</t>
  </si>
  <si>
    <t>Debt financing fees- deducted for tax S 20(1)(e)</t>
  </si>
  <si>
    <t>ITC booked to accounting income</t>
  </si>
  <si>
    <t>Expected Income Tax Rates for 2004 and Capital Tax Exemptions for 2004</t>
  </si>
  <si>
    <r>
      <t xml:space="preserve">Ontario Capital Tax Exemption  </t>
    </r>
    <r>
      <rPr>
        <b/>
        <sz val="10"/>
        <color indexed="10"/>
        <rFont val="Arial"/>
        <family val="2"/>
      </rPr>
      <t>*** 2004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</si>
  <si>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2004</t>
    </r>
  </si>
  <si>
    <t>Input Information from Utility's Actual 2004 Tax Returns</t>
  </si>
  <si>
    <t>MAX $50MM</t>
  </si>
  <si>
    <r>
      <t xml:space="preserve">Income Tax Rate (excluding surtax) from </t>
    </r>
    <r>
      <rPr>
        <b/>
        <sz val="10"/>
        <color indexed="10"/>
        <rFont val="Arial"/>
        <family val="2"/>
      </rPr>
      <t>2004</t>
    </r>
    <r>
      <rPr>
        <sz val="10"/>
        <rFont val="Arial"/>
      </rPr>
      <t xml:space="preserve"> Utility's tax return</t>
    </r>
  </si>
  <si>
    <t>PILs TAXES - EB-2012-0064</t>
  </si>
  <si>
    <t xml:space="preserve">     Financing expenses</t>
  </si>
  <si>
    <t xml:space="preserve">     OEB Staff 84 a) revision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</si>
</sst>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4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18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4" fillId="0" borderId="0" xfId="0" applyFont="1" applyAlignment="1">
      <alignment wrapText="1"/>
      <protection locked="0"/>
    </xf>
    <xf numFmtId="0" fontId="21" fillId="0" borderId="0" xfId="0" applyFont="1" applyFill="1">
      <alignment vertical="top"/>
      <protection locked="0"/>
    </xf>
    <xf numFmtId="3" fontId="0" fillId="12" borderId="8" xfId="0" applyNumberFormat="1" applyFill="1" applyBorder="1" applyAlignment="1" applyProtection="1"/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view="pageBreakPreview" topLeftCell="A53" zoomScale="60" zoomScaleNormal="100" workbookViewId="0">
      <selection activeCell="B58" sqref="B58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504</v>
      </c>
      <c r="C1" s="8"/>
      <c r="E1" s="2" t="s">
        <v>464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484</v>
      </c>
      <c r="C3" s="8"/>
      <c r="D3" s="455" t="s">
        <v>450</v>
      </c>
      <c r="E3" s="8"/>
      <c r="F3" s="8"/>
      <c r="G3" s="8"/>
      <c r="H3" s="8"/>
    </row>
    <row r="4" spans="1:16">
      <c r="A4" s="2" t="s">
        <v>493</v>
      </c>
      <c r="C4" s="8"/>
      <c r="D4" s="454" t="s">
        <v>445</v>
      </c>
      <c r="E4" s="428"/>
      <c r="H4" s="8"/>
    </row>
    <row r="5" spans="1:16">
      <c r="A5" s="52"/>
      <c r="C5" s="8"/>
      <c r="D5" s="453" t="s">
        <v>446</v>
      </c>
      <c r="E5" s="398"/>
      <c r="H5" s="8"/>
    </row>
    <row r="6" spans="1:16">
      <c r="A6" s="2" t="s">
        <v>126</v>
      </c>
      <c r="B6" s="388">
        <v>365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2.75" customHeight="1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2.75" customHeight="1">
      <c r="A9" s="36" t="s">
        <v>60</v>
      </c>
      <c r="B9" s="3"/>
      <c r="C9" s="20"/>
      <c r="D9" s="3"/>
      <c r="E9" s="3"/>
      <c r="F9" s="3"/>
      <c r="G9" s="3"/>
      <c r="H9" s="3"/>
    </row>
    <row r="10" spans="1:16" ht="12.75" customHeight="1">
      <c r="A10" s="3" t="s">
        <v>61</v>
      </c>
      <c r="B10" s="3"/>
      <c r="C10" s="37"/>
      <c r="D10" s="20"/>
      <c r="E10" s="3"/>
      <c r="F10" s="3"/>
      <c r="G10" s="3"/>
      <c r="H10" s="3"/>
    </row>
    <row r="11" spans="1:16" ht="12.75" customHeight="1">
      <c r="A11" s="3" t="s">
        <v>62</v>
      </c>
      <c r="C11" s="20"/>
      <c r="D11" s="20"/>
      <c r="E11" s="3"/>
      <c r="F11" s="3"/>
      <c r="G11" s="3"/>
      <c r="H11" s="3"/>
    </row>
    <row r="12" spans="1:16" ht="12.75" customHeight="1" thickBot="1">
      <c r="A12" s="3" t="s">
        <v>63</v>
      </c>
      <c r="C12" s="20" t="s">
        <v>64</v>
      </c>
      <c r="D12" s="490" t="s">
        <v>486</v>
      </c>
      <c r="E12" s="3"/>
      <c r="F12" s="3"/>
      <c r="G12" s="3"/>
      <c r="H12" s="3"/>
    </row>
    <row r="13" spans="1:16" ht="12.75" customHeight="1">
      <c r="A13" s="3"/>
      <c r="C13" s="20"/>
      <c r="D13" s="20"/>
      <c r="E13" s="3"/>
      <c r="F13" s="3"/>
      <c r="G13" s="3"/>
    </row>
    <row r="14" spans="1:16" ht="12.75" customHeight="1">
      <c r="A14" s="3" t="s">
        <v>65</v>
      </c>
      <c r="C14" s="20"/>
      <c r="D14" s="20"/>
      <c r="E14" s="3"/>
      <c r="F14" s="3"/>
      <c r="G14" s="3"/>
    </row>
    <row r="15" spans="1:16" ht="12.75" customHeight="1" thickBot="1">
      <c r="A15" s="3" t="s">
        <v>66</v>
      </c>
      <c r="C15" s="8" t="s">
        <v>64</v>
      </c>
      <c r="D15" s="490" t="s">
        <v>485</v>
      </c>
    </row>
    <row r="16" spans="1:16" ht="12.75" customHeight="1">
      <c r="A16" s="45"/>
      <c r="C16" s="8"/>
      <c r="D16" s="8"/>
    </row>
    <row r="17" spans="1:8" ht="12.75" customHeight="1" thickBot="1">
      <c r="A17" s="45" t="s">
        <v>185</v>
      </c>
      <c r="C17" s="8" t="s">
        <v>64</v>
      </c>
      <c r="D17" s="490" t="s">
        <v>485</v>
      </c>
    </row>
    <row r="18" spans="1:8" ht="12.75" customHeight="1">
      <c r="A18" s="389" t="s">
        <v>315</v>
      </c>
      <c r="C18" s="8"/>
      <c r="D18" s="8"/>
    </row>
    <row r="19" spans="1:8" ht="12.75" customHeight="1">
      <c r="A19" s="502" t="s">
        <v>316</v>
      </c>
      <c r="B19" s="8" t="s">
        <v>313</v>
      </c>
      <c r="C19" s="8" t="s">
        <v>64</v>
      </c>
      <c r="D19" s="491" t="s">
        <v>485</v>
      </c>
    </row>
    <row r="20" spans="1:8" ht="12.75" customHeight="1" thickBot="1">
      <c r="A20" s="503"/>
      <c r="B20" s="8" t="s">
        <v>314</v>
      </c>
      <c r="C20" s="8" t="s">
        <v>64</v>
      </c>
      <c r="D20" s="490" t="s">
        <v>485</v>
      </c>
    </row>
    <row r="21" spans="1:8" ht="12.75" customHeight="1">
      <c r="A21" s="502" t="s">
        <v>312</v>
      </c>
      <c r="B21" s="8" t="s">
        <v>313</v>
      </c>
      <c r="C21" s="8"/>
      <c r="D21" s="423">
        <v>1</v>
      </c>
    </row>
    <row r="22" spans="1:8" ht="12.75" customHeight="1">
      <c r="A22" s="502"/>
      <c r="B22" s="8" t="s">
        <v>314</v>
      </c>
      <c r="C22" s="8"/>
      <c r="D22" s="423">
        <v>1</v>
      </c>
    </row>
    <row r="23" spans="1:8" ht="12.75" customHeight="1">
      <c r="A23" s="45"/>
      <c r="C23" s="8"/>
      <c r="D23" s="388"/>
    </row>
    <row r="24" spans="1:8" ht="12.75" customHeight="1">
      <c r="A24" s="45" t="s">
        <v>212</v>
      </c>
      <c r="C24" s="8" t="s">
        <v>213</v>
      </c>
      <c r="D24" s="424" t="s">
        <v>494</v>
      </c>
    </row>
    <row r="25" spans="1:8" ht="12.75" customHeight="1" thickBot="1">
      <c r="A25" s="12"/>
    </row>
    <row r="26" spans="1:8" ht="12.75" customHeight="1">
      <c r="A26" s="255" t="s">
        <v>67</v>
      </c>
      <c r="C26" s="8"/>
      <c r="E26" s="443" t="s">
        <v>297</v>
      </c>
    </row>
    <row r="27" spans="1:8" ht="12.75" customHeight="1">
      <c r="A27" s="256" t="s">
        <v>68</v>
      </c>
      <c r="C27" s="8"/>
      <c r="E27" s="444" t="s">
        <v>298</v>
      </c>
    </row>
    <row r="28" spans="1:8" ht="12.75" customHeight="1">
      <c r="A28" s="256" t="s">
        <v>69</v>
      </c>
      <c r="C28" s="38"/>
    </row>
    <row r="29" spans="1:8" ht="12.75" customHeight="1">
      <c r="A29" s="257" t="s">
        <v>70</v>
      </c>
    </row>
    <row r="30" spans="1:8" ht="12.75" customHeight="1">
      <c r="A30" s="35"/>
    </row>
    <row r="31" spans="1:8" ht="12.75" customHeight="1">
      <c r="A31" t="s">
        <v>287</v>
      </c>
      <c r="D31" s="421">
        <v>1810112688</v>
      </c>
      <c r="H31" s="5"/>
    </row>
    <row r="32" spans="1:8" ht="12.75" customHeight="1"/>
    <row r="33" spans="1:11" ht="12.75" customHeight="1">
      <c r="A33" t="s">
        <v>71</v>
      </c>
      <c r="D33" s="422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2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2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5">
        <v>23304000</v>
      </c>
      <c r="E43" s="387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 ht="12.75" customHeight="1">
      <c r="A45" t="s">
        <v>77</v>
      </c>
      <c r="D45" s="251">
        <f>D41-D43</f>
        <v>119296677.56064001</v>
      </c>
      <c r="H45" s="40"/>
      <c r="J45" s="5"/>
      <c r="K45" s="5"/>
    </row>
    <row r="46" spans="1:11">
      <c r="A46" s="2" t="s">
        <v>288</v>
      </c>
      <c r="D46" s="40"/>
      <c r="H46" s="40"/>
      <c r="J46" s="5"/>
      <c r="K46" s="5"/>
    </row>
    <row r="47" spans="1:11">
      <c r="A47" t="s">
        <v>289</v>
      </c>
      <c r="D47" s="426">
        <v>39765559</v>
      </c>
      <c r="E47" s="387">
        <f t="shared" ref="E47:E53" si="0">D47</f>
        <v>39765559</v>
      </c>
      <c r="H47" s="40"/>
      <c r="J47" s="5"/>
      <c r="K47" s="5"/>
    </row>
    <row r="48" spans="1:11">
      <c r="A48" t="s">
        <v>290</v>
      </c>
      <c r="D48" s="426">
        <v>39765559</v>
      </c>
      <c r="E48" s="387">
        <f>D48</f>
        <v>39765559</v>
      </c>
      <c r="F48" s="22"/>
      <c r="H48" s="40"/>
      <c r="J48" s="5"/>
      <c r="K48" s="5"/>
    </row>
    <row r="49" spans="1:11">
      <c r="A49" t="s">
        <v>291</v>
      </c>
      <c r="D49" s="427"/>
      <c r="E49" s="387">
        <v>0</v>
      </c>
      <c r="F49" s="22"/>
      <c r="H49" s="40"/>
      <c r="J49" s="5"/>
      <c r="K49" s="5"/>
    </row>
    <row r="50" spans="1:11">
      <c r="A50" t="s">
        <v>292</v>
      </c>
      <c r="D50" s="428"/>
      <c r="E50" s="387">
        <f t="shared" si="0"/>
        <v>0</v>
      </c>
      <c r="H50" s="40"/>
      <c r="J50" s="5"/>
      <c r="K50" s="5"/>
    </row>
    <row r="51" spans="1:11">
      <c r="A51" t="s">
        <v>442</v>
      </c>
      <c r="D51" s="425">
        <v>39765559</v>
      </c>
      <c r="E51" s="387">
        <f t="shared" si="0"/>
        <v>39765559</v>
      </c>
      <c r="H51" s="40"/>
      <c r="J51" s="5"/>
      <c r="K51" s="5"/>
    </row>
    <row r="52" spans="1:11">
      <c r="A52" t="s">
        <v>465</v>
      </c>
      <c r="D52" s="428"/>
      <c r="E52" s="387">
        <f t="shared" si="0"/>
        <v>0</v>
      </c>
      <c r="H52" s="40"/>
      <c r="J52" s="5"/>
      <c r="K52" s="5"/>
    </row>
    <row r="53" spans="1:11">
      <c r="D53" s="428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311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382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383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384</v>
      </c>
      <c r="B69" s="5"/>
      <c r="C69" s="5"/>
      <c r="D69" s="5"/>
      <c r="F69" s="5"/>
      <c r="H69" s="32"/>
      <c r="J69" s="5"/>
    </row>
    <row r="70" spans="1:11">
      <c r="A70" s="45" t="s">
        <v>451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 gridLines="1"/>
  <pageMargins left="0.15748031496062992" right="0.23622047244094491" top="1.1000000000000001" bottom="0.35433070866141736" header="0.19685039370078741" footer="0.11811023622047245"/>
  <pageSetup scale="76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  <ignoredErrors>
    <ignoredError sqref="D6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view="pageBreakPreview" topLeftCell="A203" zoomScale="60" zoomScaleNormal="90" workbookViewId="0">
      <selection activeCell="B58" sqref="B58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1.8554687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467</v>
      </c>
      <c r="H1" s="210"/>
    </row>
    <row r="2" spans="1:12">
      <c r="A2" s="211" t="s">
        <v>466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468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5"/>
    </row>
    <row r="7" spans="1:12">
      <c r="A7" s="211" t="str">
        <f>REGINFO!A4</f>
        <v>Reporting period:  2004</v>
      </c>
      <c r="B7" s="115"/>
      <c r="D7" s="137"/>
      <c r="E7" s="115"/>
      <c r="G7" s="115"/>
      <c r="H7" s="465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9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9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343</v>
      </c>
      <c r="B16" s="125">
        <v>1</v>
      </c>
      <c r="C16" s="259">
        <v>102835118</v>
      </c>
      <c r="D16" s="17"/>
      <c r="E16" s="267">
        <f>G16-C16</f>
        <v>81300761</v>
      </c>
      <c r="F16" s="3"/>
      <c r="G16" s="267">
        <f>TAXREC!E50</f>
        <v>184135879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16297000</v>
      </c>
      <c r="F20" s="6"/>
      <c r="G20" s="267">
        <f>TAXREC!E61</f>
        <v>122526000</v>
      </c>
      <c r="H20" s="151"/>
    </row>
    <row r="21" spans="1:8">
      <c r="A21" s="158" t="s">
        <v>56</v>
      </c>
      <c r="B21" s="127">
        <v>3</v>
      </c>
      <c r="C21" s="261">
        <v>33129140</v>
      </c>
      <c r="D21" s="18"/>
      <c r="E21" s="267">
        <f>G21-C21</f>
        <v>-33129140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109978621</v>
      </c>
      <c r="F23" s="6"/>
      <c r="G23" s="267">
        <f>TAXREC!E64</f>
        <v>109978621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0</v>
      </c>
      <c r="F28" s="6"/>
      <c r="G28" s="267">
        <f>TAXREC!E67</f>
        <v>0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1993341</v>
      </c>
      <c r="F29" s="6"/>
      <c r="G29" s="267">
        <f>TAXREC!E68</f>
        <v>1993341</v>
      </c>
      <c r="H29" s="151"/>
    </row>
    <row r="30" spans="1:8" ht="15.75">
      <c r="A30" s="481" t="s">
        <v>399</v>
      </c>
      <c r="B30" s="127"/>
      <c r="C30" s="259"/>
      <c r="D30" s="18"/>
      <c r="E30" s="267">
        <f>G30-C30</f>
        <v>161244</v>
      </c>
      <c r="F30" s="6"/>
      <c r="G30" s="267">
        <f>TAXREC!E66</f>
        <v>161244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344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42485312</v>
      </c>
      <c r="F33" s="6"/>
      <c r="G33" s="267">
        <v>119177842</v>
      </c>
      <c r="H33" s="151"/>
    </row>
    <row r="34" spans="1:8">
      <c r="A34" s="158" t="s">
        <v>57</v>
      </c>
      <c r="B34" s="127">
        <v>8</v>
      </c>
      <c r="C34" s="261">
        <v>30011140</v>
      </c>
      <c r="D34" s="132"/>
      <c r="E34" s="267">
        <f t="shared" si="0"/>
        <v>-30011140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REGINFO!D66</f>
        <v>57696270.825082511</v>
      </c>
      <c r="D37" s="132"/>
      <c r="E37" s="267">
        <f t="shared" si="0"/>
        <v>22479608.174917489</v>
      </c>
      <c r="F37" s="6"/>
      <c r="G37" s="267">
        <f>TAXREC!E51</f>
        <v>80175879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108977216</v>
      </c>
      <c r="F39" s="6"/>
      <c r="G39" s="267">
        <f>TAXREC!E105</f>
        <v>108977216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0</v>
      </c>
      <c r="F45" s="6"/>
      <c r="G45" s="251">
        <f>TAXREC!E131</f>
        <v>0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0</v>
      </c>
      <c r="F46" s="6"/>
      <c r="G46" s="251">
        <f>TAXREC!E110</f>
        <v>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3298862</v>
      </c>
      <c r="F47" s="6"/>
      <c r="G47" s="251">
        <f>TAXREC!E111</f>
        <v>3298862</v>
      </c>
      <c r="H47" s="151"/>
    </row>
    <row r="48" spans="1:8" ht="15.75">
      <c r="A48" s="481" t="s">
        <v>399</v>
      </c>
      <c r="B48" s="127"/>
      <c r="C48" s="259"/>
      <c r="D48" s="132"/>
      <c r="E48" s="267">
        <f>G48-C48</f>
        <v>2233343</v>
      </c>
      <c r="F48" s="6"/>
      <c r="G48" s="251">
        <f>TAXREC!E108</f>
        <v>2233343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330</v>
      </c>
      <c r="B50" s="125"/>
      <c r="C50" s="263">
        <f>C16+SUM(C20:C30)-SUM(C33:C48)</f>
        <v>77793317.174917489</v>
      </c>
      <c r="D50" s="102"/>
      <c r="E50" s="263">
        <f>E16+SUM(E20:E30)-SUM(E33:E48)</f>
        <v>27138625.825082511</v>
      </c>
      <c r="F50" s="431" t="s">
        <v>371</v>
      </c>
      <c r="G50" s="263">
        <f>G16+SUM(G20:G30)-SUM(G33:G48)</f>
        <v>104931943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338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342</v>
      </c>
      <c r="B53" s="127">
        <v>13</v>
      </c>
      <c r="C53" s="262">
        <f>IF($C$50&gt;'Tax Rates'!$E$11,'Tax Rates'!$F$16,IF($C$50&gt;'Tax Rates'!$C$11,'Tax Rates'!$E$16,'Tax Rates'!$C$16))</f>
        <v>0.38619999999999999</v>
      </c>
      <c r="D53" s="102"/>
      <c r="E53" s="268">
        <f>+G53-C53</f>
        <v>-2.4999999999999967E-2</v>
      </c>
      <c r="F53" s="114"/>
      <c r="G53" s="473">
        <f>TAXREC!E151</f>
        <v>0.36120000000000002</v>
      </c>
      <c r="H53" s="151"/>
      <c r="I53" s="470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30043779.092953134</v>
      </c>
      <c r="D55" s="102"/>
      <c r="E55" s="267">
        <f>G55-C55</f>
        <v>6564680.9070468657</v>
      </c>
      <c r="F55" s="431" t="s">
        <v>372</v>
      </c>
      <c r="G55" s="264">
        <f>TAXREC!E144</f>
        <v>36608460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269188</v>
      </c>
      <c r="F58" s="431" t="s">
        <v>372</v>
      </c>
      <c r="G58" s="270">
        <f>TAXREC!E145</f>
        <v>269188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30043779.092953134</v>
      </c>
      <c r="D60" s="133"/>
      <c r="E60" s="269">
        <f>+E55-E58</f>
        <v>6295492.9070468657</v>
      </c>
      <c r="F60" s="431" t="s">
        <v>372</v>
      </c>
      <c r="G60" s="269">
        <f>+G55-G58</f>
        <v>36339272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259954523</v>
      </c>
      <c r="F66" s="6"/>
      <c r="G66" s="475">
        <v>2070067211</v>
      </c>
      <c r="H66" s="151"/>
      <c r="I66" s="498"/>
    </row>
    <row r="67" spans="1:10">
      <c r="A67" s="152" t="s">
        <v>364</v>
      </c>
      <c r="B67" s="125">
        <v>16</v>
      </c>
      <c r="C67" s="260">
        <f>IF(C66&gt;0,'Tax Rates'!C21,0)</f>
        <v>5000000</v>
      </c>
      <c r="D67" s="102"/>
      <c r="E67" s="267">
        <f>G67-C67</f>
        <v>0</v>
      </c>
      <c r="F67" s="6"/>
      <c r="G67" s="475">
        <v>5000000</v>
      </c>
      <c r="H67" s="151"/>
      <c r="I67" s="498"/>
      <c r="J67" s="500"/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259954523</v>
      </c>
      <c r="F68" s="114"/>
      <c r="G68" s="264">
        <f>G66-G67</f>
        <v>2065067211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365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317</v>
      </c>
      <c r="B72" s="125"/>
      <c r="C72" s="264">
        <f>IF(C68&gt;0,C68*C70,0)*REGINFO!$B$6/REGINFO!$B$7</f>
        <v>5415338.0640000002</v>
      </c>
      <c r="D72" s="101"/>
      <c r="E72" s="267">
        <f>+G72-C72</f>
        <v>779863.56900000013</v>
      </c>
      <c r="F72" s="476"/>
      <c r="G72" s="264">
        <f>IF(G68&gt;0,G68*G70,0)*REGINFO!$B$6/REGINFO!$B$7</f>
        <v>6195201.6330000004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228148967</v>
      </c>
      <c r="F75" s="6"/>
      <c r="G75" s="475">
        <v>2038261655</v>
      </c>
      <c r="H75" s="151"/>
      <c r="I75" s="498"/>
    </row>
    <row r="76" spans="1:10">
      <c r="A76" s="152" t="s">
        <v>364</v>
      </c>
      <c r="B76" s="125">
        <v>19</v>
      </c>
      <c r="C76" s="260">
        <f>IF(C75&gt;0,'Tax Rates'!C22,0)</f>
        <v>10000000</v>
      </c>
      <c r="D76" s="18"/>
      <c r="E76" s="267">
        <f>+G76-C76</f>
        <v>40000000</v>
      </c>
      <c r="F76" s="6"/>
      <c r="G76" s="475">
        <f>'Tax Rates'!C58</f>
        <v>50000000</v>
      </c>
      <c r="H76" s="151"/>
      <c r="I76" s="498"/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268148967</v>
      </c>
      <c r="F77" s="114"/>
      <c r="G77" s="264">
        <f>G75-G76</f>
        <v>1988261655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365</v>
      </c>
      <c r="B79" s="125">
        <v>20</v>
      </c>
      <c r="C79" s="301">
        <f>'Tax Rates'!C19</f>
        <v>2.2499999999999998E-3</v>
      </c>
      <c r="D79" s="102"/>
      <c r="E79" s="268">
        <f>G79-C79</f>
        <v>-2.4999999999999979E-4</v>
      </c>
      <c r="F79" s="6"/>
      <c r="G79" s="268">
        <f>'Tax Rates'!C55</f>
        <v>2E-3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318</v>
      </c>
      <c r="B81" s="125"/>
      <c r="C81" s="264">
        <f>IF(C77&gt;0,C77*C79,0)*REGINFO!$B$6/REGINFO!$B$7</f>
        <v>4050253.5479999995</v>
      </c>
      <c r="D81" s="102"/>
      <c r="E81" s="267">
        <f>+G81-C81</f>
        <v>-73730.23799999943</v>
      </c>
      <c r="F81" s="6"/>
      <c r="G81" s="264">
        <f>G77*G79*B9/B10</f>
        <v>3976523.31</v>
      </c>
      <c r="H81" s="151"/>
    </row>
    <row r="82" spans="1:12">
      <c r="A82" s="152" t="s">
        <v>319</v>
      </c>
      <c r="B82" s="125">
        <v>21</v>
      </c>
      <c r="C82" s="300">
        <f>IF(C77&gt;0,IF(C60&gt;0,C50*'Tax Rates'!C20,0),0)</f>
        <v>871285.15235907584</v>
      </c>
      <c r="D82" s="102"/>
      <c r="E82" s="267">
        <f>+G82-C82</f>
        <v>302311.84764092416</v>
      </c>
      <c r="F82" s="6"/>
      <c r="G82" s="300">
        <v>1173597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3178968.3956409236</v>
      </c>
      <c r="D84" s="16"/>
      <c r="E84" s="267">
        <f>E81-E82</f>
        <v>-376042.08564092359</v>
      </c>
      <c r="F84" s="103"/>
      <c r="G84" s="264">
        <f>G81-G82</f>
        <v>2802926.31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f>IF($C$50&gt;'Tax Rates'!$E$11,'Tax Rates'!$F$16,IF(AND($C$50&gt;='Tax Rates'!$C$11,$C$50&lt;='Tax Rates'!E11),'Tax Rates'!$E$16,'Tax Rates'!$C$16))-1.12%</f>
        <v>0.375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373</v>
      </c>
      <c r="B90" s="127">
        <v>22</v>
      </c>
      <c r="C90" s="264">
        <f>C60/(1-C88)</f>
        <v>48070046.548725016</v>
      </c>
      <c r="D90" s="20"/>
      <c r="E90" s="139"/>
      <c r="F90" s="430" t="s">
        <v>495</v>
      </c>
      <c r="G90" s="270">
        <f>TAXREC!E156</f>
        <v>36339272</v>
      </c>
      <c r="H90" s="151"/>
    </row>
    <row r="91" spans="1:12">
      <c r="A91" s="158" t="s">
        <v>374</v>
      </c>
      <c r="B91" s="127">
        <v>23</v>
      </c>
      <c r="C91" s="264">
        <f>C84/(1-C88)</f>
        <v>5086349.4330254775</v>
      </c>
      <c r="D91" s="20"/>
      <c r="E91" s="139"/>
      <c r="F91" s="430" t="s">
        <v>495</v>
      </c>
      <c r="G91" s="270">
        <v>2802927</v>
      </c>
      <c r="H91" s="151"/>
    </row>
    <row r="92" spans="1:12">
      <c r="A92" s="158" t="s">
        <v>352</v>
      </c>
      <c r="B92" s="127">
        <v>24</v>
      </c>
      <c r="C92" s="264">
        <f>C72</f>
        <v>5415338.0640000002</v>
      </c>
      <c r="D92" s="20"/>
      <c r="E92" s="139"/>
      <c r="F92" s="430" t="s">
        <v>495</v>
      </c>
      <c r="G92" s="270">
        <v>6195202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478</v>
      </c>
      <c r="B95" s="125">
        <v>25</v>
      </c>
      <c r="C95" s="269">
        <f>SUM(C90:C93)</f>
        <v>58571734.045750499</v>
      </c>
      <c r="D95" s="6"/>
      <c r="E95" s="139"/>
      <c r="F95" s="430" t="s">
        <v>495</v>
      </c>
      <c r="G95" s="413">
        <f>SUM(G90:G94)</f>
        <v>45337401</v>
      </c>
      <c r="H95" s="164"/>
    </row>
    <row r="96" spans="1:12">
      <c r="A96" s="403" t="s">
        <v>308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/>
      <c r="B97" s="125"/>
      <c r="C97" s="105"/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350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-33129140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109978621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367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368</v>
      </c>
      <c r="B107" s="127">
        <v>6</v>
      </c>
      <c r="C107" s="112"/>
      <c r="D107" s="3"/>
      <c r="E107" s="251">
        <f>E28</f>
        <v>0</v>
      </c>
      <c r="F107" s="37"/>
      <c r="G107" s="201"/>
      <c r="H107" s="164"/>
    </row>
    <row r="108" spans="1:8">
      <c r="A108" s="156" t="s">
        <v>366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-30011140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322</v>
      </c>
      <c r="B112" s="127">
        <v>11</v>
      </c>
      <c r="C112" s="112"/>
      <c r="D112" s="3"/>
      <c r="E112" s="472">
        <f>E206</f>
        <v>168898.19039998949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108977216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369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370</v>
      </c>
      <c r="B118" s="127">
        <v>12</v>
      </c>
      <c r="C118" s="112"/>
      <c r="D118" s="3"/>
      <c r="E118" s="251">
        <f>E46</f>
        <v>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4">
        <f>SUM(E102:E107)-SUM(E109:E118)</f>
        <v>-2285493.1903999895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503</v>
      </c>
      <c r="B122" s="127"/>
      <c r="C122" s="112"/>
      <c r="D122" s="3" t="s">
        <v>231</v>
      </c>
      <c r="E122" s="469">
        <f>+'Tax Rates'!F52</f>
        <v>0.36120000000000002</v>
      </c>
      <c r="F122" s="470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4">
        <f>E120*E122</f>
        <v>-825520.14037247631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269188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4">
        <f>E124-E126</f>
        <v>-1094708.1403724763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9">
        <f>IF((E120+C50)&gt;'Tax Rates'!$E$47,'Tax Rates'!$F$52-1.12%, IF((E120+C50)&gt;'Tax Rates'!$D$47,'Tax Rates'!$E$52-1.12%,IF((E120+C50)&gt;'Tax Rates'!$C$47,'Tax Rates'!$D$52-1.12%,'Tax Rates'!$C$52-1.12%)))</f>
        <v>0.35000000000000003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356</v>
      </c>
      <c r="B132" s="130"/>
      <c r="C132" s="112"/>
      <c r="D132" s="3"/>
      <c r="E132" s="264">
        <f>E128/(1-E130)</f>
        <v>-1684166.36980381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359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77793317.174917489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9">
        <f>IF((E120+E136)&gt;'Tax Rates'!E47,'Tax Rates'!F52, IF((E120+E136)&gt;'Tax Rates'!D47,'Tax Rates'!E52,IF((E120+E136)&gt;'Tax Rates'!C47,'Tax Rates'!D52,'Tax Rates'!C52)))</f>
        <v>0.36120000000000002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28098946.163580198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/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28098946.163580198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30043779.092953134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8">
        <f>E144-E146</f>
        <v>-1944832.9293729365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0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362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363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5415338.0640000002</v>
      </c>
      <c r="F157" s="37"/>
      <c r="G157" s="201"/>
      <c r="H157" s="164"/>
    </row>
    <row r="158" spans="1:8" ht="25.5">
      <c r="A158" s="171" t="s">
        <v>309</v>
      </c>
      <c r="B158" s="130"/>
      <c r="C158" s="112"/>
      <c r="D158" s="118" t="s">
        <v>188</v>
      </c>
      <c r="E158" s="305">
        <f>C72</f>
        <v>5415338.0640000002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4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361</v>
      </c>
      <c r="B163" s="130"/>
      <c r="C163" s="112"/>
      <c r="D163" s="118" t="s">
        <v>188</v>
      </c>
      <c r="E163" s="305">
        <f>IF(E162&gt;0,'Tax Rates'!C40,0)</f>
        <v>50000000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1760112688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310</v>
      </c>
      <c r="B166" s="130"/>
      <c r="C166" s="112"/>
      <c r="D166" s="119"/>
      <c r="E166" s="306">
        <f>'Tax Rates'!C55</f>
        <v>2E-3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3520225.3760000002</v>
      </c>
      <c r="F168" s="37"/>
      <c r="G168" s="201"/>
      <c r="H168" s="164"/>
    </row>
    <row r="169" spans="1:8">
      <c r="A169" s="171" t="s">
        <v>320</v>
      </c>
      <c r="B169" s="130"/>
      <c r="C169" s="112"/>
      <c r="D169" s="118" t="s">
        <v>188</v>
      </c>
      <c r="E169" s="307">
        <f>IF(E164&gt;0,IF(E144&gt;0,E136*'Tax Rates'!C56,0),0)</f>
        <v>871285.15235907584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2648940.2236409243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4" t="s">
        <v>351</v>
      </c>
      <c r="B172" s="130"/>
      <c r="C172" s="112"/>
      <c r="D172" s="118" t="s">
        <v>188</v>
      </c>
      <c r="E172" s="305">
        <f>C84</f>
        <v>3178968.3956409236</v>
      </c>
      <c r="F172" s="37"/>
      <c r="G172" s="201"/>
      <c r="H172" s="164"/>
    </row>
    <row r="173" spans="1:8">
      <c r="A173" s="155" t="s">
        <v>245</v>
      </c>
      <c r="B173" s="130"/>
      <c r="C173" s="112"/>
      <c r="D173" s="119" t="s">
        <v>189</v>
      </c>
      <c r="E173" s="501">
        <f>E170-E172</f>
        <v>-530028.17199999932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348</v>
      </c>
      <c r="B175" s="130"/>
      <c r="C175" s="112"/>
      <c r="D175" s="119"/>
      <c r="E175" s="469">
        <f>IF((E120+G50)&gt;'Tax Rates'!E47,'Tax Rates'!F52-1.12%, IF((E120+G50)&gt;'Tax Rates'!D47,'Tax Rates'!E52-1.12%,IF((E120+G50)&gt;'Tax Rates'!C47,'Tax Rates'!D52,'Tax Rates'!C52-1.12%)))</f>
        <v>0.35000000000000003</v>
      </c>
      <c r="F175" s="470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-2992050.6605737489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-815427.95692307595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357</v>
      </c>
      <c r="B181" s="130"/>
      <c r="C181" s="112"/>
      <c r="D181" s="119" t="s">
        <v>189</v>
      </c>
      <c r="E181" s="302">
        <f>SUM(E177:E179)</f>
        <v>-3807478.6174968248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349</v>
      </c>
      <c r="B183" s="130"/>
      <c r="C183" s="112"/>
      <c r="D183" s="119" t="s">
        <v>187</v>
      </c>
      <c r="E183" s="302">
        <f>E132</f>
        <v>-1684166.36980381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358</v>
      </c>
      <c r="B185" s="130"/>
      <c r="C185" s="112"/>
      <c r="D185" s="119" t="s">
        <v>189</v>
      </c>
      <c r="E185" s="302">
        <f>E181+E183</f>
        <v>-5491644.9873006344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f>REGINFO!D66</f>
        <v>57696270.825082511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345</v>
      </c>
      <c r="B196" s="127"/>
      <c r="C196" s="112"/>
      <c r="D196" s="120"/>
      <c r="E196" s="308">
        <f>E193-E194</f>
        <v>22310709.9845175</v>
      </c>
      <c r="F196" s="3"/>
      <c r="G196" s="123"/>
      <c r="H196" s="164"/>
    </row>
    <row r="197" spans="1:8">
      <c r="A197" s="155" t="s">
        <v>346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3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3"/>
      <c r="H200" s="164"/>
    </row>
    <row r="201" spans="1:8">
      <c r="A201" s="155" t="s">
        <v>252</v>
      </c>
      <c r="B201" s="127"/>
      <c r="C201" s="112"/>
      <c r="D201" s="120"/>
      <c r="E201" s="308">
        <f>G37+G42</f>
        <v>80175879</v>
      </c>
      <c r="F201" s="3"/>
      <c r="G201" s="483"/>
      <c r="H201" s="164"/>
    </row>
    <row r="202" spans="1:8">
      <c r="A202" s="155" t="s">
        <v>347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168898.19039998949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321</v>
      </c>
      <c r="B206" s="127"/>
      <c r="C206" s="112"/>
      <c r="D206" s="120"/>
      <c r="E206" s="471">
        <f>IF((E201-E202)&gt;0,E201-E202,0)</f>
        <v>168898.19039998949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22141811.79411751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 gridLines="1"/>
  <pageMargins left="0.15748031496062992" right="0.23622047244094491" top="0.95" bottom="0.35433070866141736" header="0.19685039370078741" footer="0.11811023622047245"/>
  <pageSetup scale="62" fitToHeight="0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  <rowBreaks count="3" manualBreakCount="3">
    <brk id="85" max="7" man="1"/>
    <brk id="149" max="7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K163"/>
  <sheetViews>
    <sheetView view="pageBreakPreview" topLeftCell="A198" zoomScale="60" zoomScaleNormal="100" workbookViewId="0">
      <selection activeCell="B213" sqref="B213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2004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5">
        <v>37987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5">
        <v>38352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5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1764205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6" t="s">
        <v>485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6" t="s">
        <v>486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8" t="s">
        <v>485</v>
      </c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6" t="s">
        <v>485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328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326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327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2235154000</v>
      </c>
      <c r="D32" s="286"/>
      <c r="E32" s="284">
        <f>C32-D32</f>
        <v>2235154000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27240000</v>
      </c>
      <c r="D33" s="286"/>
      <c r="E33" s="284">
        <f>C33-D33</f>
        <v>27240000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10325000</v>
      </c>
      <c r="D34" s="286"/>
      <c r="E34" s="284">
        <f>C34-D34</f>
        <v>10325000</v>
      </c>
      <c r="F34" s="11"/>
      <c r="G34" s="11"/>
      <c r="H34" s="6"/>
      <c r="I34" s="6"/>
    </row>
    <row r="35" spans="1:11" ht="13.5" thickBot="1">
      <c r="A35" s="10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1798008000</v>
      </c>
      <c r="D39" s="286"/>
      <c r="E39" s="284">
        <f>C39-D39</f>
        <v>1798008000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166617000</v>
      </c>
      <c r="D42" s="286"/>
      <c r="E42" s="284">
        <f t="shared" si="0"/>
        <v>166617000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122526000</v>
      </c>
      <c r="D43" s="286"/>
      <c r="E43" s="284">
        <f t="shared" si="0"/>
        <v>122526000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483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488" t="s">
        <v>505</v>
      </c>
      <c r="B46" s="23" t="s">
        <v>188</v>
      </c>
      <c r="C46" s="285">
        <v>2935000</v>
      </c>
      <c r="D46" s="286"/>
      <c r="E46" s="284">
        <f t="shared" si="0"/>
        <v>2935000</v>
      </c>
      <c r="F46" s="11"/>
      <c r="G46" s="84"/>
      <c r="H46" s="33"/>
      <c r="I46" s="33"/>
      <c r="J46" s="32"/>
      <c r="K46" s="32"/>
    </row>
    <row r="47" spans="1:11">
      <c r="A47" s="48" t="s">
        <v>506</v>
      </c>
      <c r="B47" s="23" t="s">
        <v>188</v>
      </c>
      <c r="C47" s="285">
        <v>-1502879</v>
      </c>
      <c r="D47" s="286"/>
      <c r="E47" s="284">
        <f t="shared" si="0"/>
        <v>-1502879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184135879</v>
      </c>
      <c r="D50" s="281">
        <f>SUM(D31:D36)-SUM(D39:D49)</f>
        <v>0</v>
      </c>
      <c r="E50" s="281">
        <f>SUM(E31:E35)-SUM(E39:E48)</f>
        <v>184135879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80175879</v>
      </c>
      <c r="D51" s="285"/>
      <c r="E51" s="282">
        <f>+C51-D51</f>
        <v>80175879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43825000</v>
      </c>
      <c r="D52" s="285"/>
      <c r="E52" s="283">
        <f>+C52-D52</f>
        <v>43825000</v>
      </c>
      <c r="F52" s="8"/>
    </row>
    <row r="53" spans="1:9">
      <c r="A53" s="2" t="s">
        <v>131</v>
      </c>
      <c r="B53" s="8" t="s">
        <v>189</v>
      </c>
      <c r="C53" s="281">
        <f>C50-C51-C52</f>
        <v>60135000</v>
      </c>
      <c r="D53" s="281">
        <f>D50-D51-D52</f>
        <v>0</v>
      </c>
      <c r="E53" s="281">
        <f>E50-E51-E52</f>
        <v>60135000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43825000</v>
      </c>
      <c r="D59" s="287">
        <f>D52</f>
        <v>0</v>
      </c>
      <c r="E59" s="272">
        <f>+C59-D59</f>
        <v>43825000</v>
      </c>
      <c r="F59" s="8"/>
    </row>
    <row r="60" spans="1:9">
      <c r="A60" s="4" t="s">
        <v>329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317">
        <f>C43</f>
        <v>122526000</v>
      </c>
      <c r="D61" s="287">
        <f>D43</f>
        <v>0</v>
      </c>
      <c r="E61" s="272">
        <f>+C61-D61</f>
        <v>122526000</v>
      </c>
      <c r="F61" s="8"/>
      <c r="G61" s="415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109978621</v>
      </c>
      <c r="D64" s="316">
        <f>'Tax Reserves'!D63</f>
        <v>0</v>
      </c>
      <c r="E64" s="272">
        <f>+C64-D64</f>
        <v>109978621</v>
      </c>
      <c r="F64" s="8"/>
    </row>
    <row r="65" spans="1:11">
      <c r="A65" t="s">
        <v>447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7" t="s">
        <v>399</v>
      </c>
      <c r="B66" s="8"/>
      <c r="C66" s="446">
        <f>'TAXREC 3 No True-up'!C47</f>
        <v>161244</v>
      </c>
      <c r="D66" s="446">
        <f>'TAXREC 3 No True-up'!D47</f>
        <v>0</v>
      </c>
      <c r="E66" s="272">
        <f>+C66-D66</f>
        <v>161244</v>
      </c>
      <c r="F66" s="8"/>
    </row>
    <row r="67" spans="1:11">
      <c r="A67" t="s">
        <v>160</v>
      </c>
      <c r="B67" s="8" t="s">
        <v>187</v>
      </c>
      <c r="C67" s="251">
        <f>'TAXREC 2'!C77</f>
        <v>0</v>
      </c>
      <c r="D67" s="251">
        <f>'TAXREC 2'!D77</f>
        <v>0</v>
      </c>
      <c r="E67" s="272">
        <f>+C67-D67</f>
        <v>0</v>
      </c>
      <c r="F67" s="8"/>
    </row>
    <row r="68" spans="1:11">
      <c r="A68" t="s">
        <v>161</v>
      </c>
      <c r="B68" s="8" t="s">
        <v>187</v>
      </c>
      <c r="C68" s="251">
        <f>'TAXREC 2'!C78</f>
        <v>1993341</v>
      </c>
      <c r="D68" s="251">
        <f>'TAXREC 2'!D78</f>
        <v>0</v>
      </c>
      <c r="E68" s="272">
        <f>+C68-D68</f>
        <v>1993341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278484206</v>
      </c>
      <c r="D70" s="272">
        <f>SUM(D59:D68)</f>
        <v>0</v>
      </c>
      <c r="E70" s="272">
        <f>SUM(E59:E68)</f>
        <v>278484206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476</v>
      </c>
      <c r="B76" s="8" t="s">
        <v>187</v>
      </c>
      <c r="C76" s="477"/>
      <c r="D76" s="294"/>
      <c r="E76" s="478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278484206</v>
      </c>
      <c r="D82" s="251">
        <f>D70+D80</f>
        <v>0</v>
      </c>
      <c r="E82" s="251">
        <f>E70+E80</f>
        <v>278484206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435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117861765</v>
      </c>
      <c r="D97" s="294"/>
      <c r="E97" s="272">
        <f>+C97-D97</f>
        <v>117861765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1316077</v>
      </c>
      <c r="D98" s="294"/>
      <c r="E98" s="272">
        <f>+C98-D98</f>
        <v>1316077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108977216</v>
      </c>
      <c r="D105" s="318">
        <f>'Tax Reserves'!D50</f>
        <v>0</v>
      </c>
      <c r="E105" s="282">
        <f t="shared" si="5"/>
        <v>108977216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7" t="s">
        <v>399</v>
      </c>
      <c r="B108" s="8"/>
      <c r="C108" s="254">
        <f>'TAXREC 3 No True-up'!C73</f>
        <v>2233343</v>
      </c>
      <c r="D108" s="254">
        <f>'TAXREC 3 No True-up'!D73</f>
        <v>0</v>
      </c>
      <c r="E108" s="272">
        <f t="shared" si="5"/>
        <v>2233343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0</v>
      </c>
      <c r="D110" s="251">
        <f>'TAXREC 2'!D119</f>
        <v>0</v>
      </c>
      <c r="E110" s="251">
        <f>'TAXREC 2'!E119</f>
        <v>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3298862</v>
      </c>
      <c r="D111" s="251">
        <f>'TAXREC 2'!D120</f>
        <v>0</v>
      </c>
      <c r="E111" s="251">
        <f>'TAXREC 2'!E120</f>
        <v>3298862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233687263</v>
      </c>
      <c r="D113" s="251">
        <f>SUM(D97:D111)</f>
        <v>0</v>
      </c>
      <c r="E113" s="251">
        <f>SUM(E97:E111)</f>
        <v>233687263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233687263</v>
      </c>
      <c r="D122" s="251">
        <f>D113+D120</f>
        <v>0</v>
      </c>
      <c r="E122" s="251">
        <f>+E113+E120</f>
        <v>233687263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104931943</v>
      </c>
      <c r="D134" s="251">
        <f>D53+D82-D122</f>
        <v>0</v>
      </c>
      <c r="E134" s="251">
        <f>E53+E82-E122</f>
        <v>104931943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379</v>
      </c>
      <c r="B136" s="8" t="s">
        <v>188</v>
      </c>
      <c r="C136" s="294"/>
      <c r="D136" s="294"/>
      <c r="E136" s="264">
        <f>C136-D136</f>
        <v>0</v>
      </c>
      <c r="F136" s="8"/>
      <c r="G136" s="45"/>
      <c r="H136" s="45"/>
      <c r="I136" s="45"/>
      <c r="J136" s="45"/>
      <c r="K136" s="45"/>
    </row>
    <row r="137" spans="1:11">
      <c r="A137" s="46" t="s">
        <v>380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2">
        <f>C134-C136-C137-C138</f>
        <v>104931943</v>
      </c>
      <c r="D139" s="252">
        <f>D134-D136-D137-D138</f>
        <v>0</v>
      </c>
      <c r="E139" s="252">
        <f>E134-E136-E137-E138</f>
        <v>104931943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325</v>
      </c>
      <c r="B142" s="8" t="s">
        <v>187</v>
      </c>
      <c r="C142" s="298">
        <v>23178535</v>
      </c>
      <c r="D142" s="298"/>
      <c r="E142" s="252">
        <f>C142-D142</f>
        <v>23178535</v>
      </c>
      <c r="F142" s="8"/>
      <c r="G142" s="45"/>
      <c r="H142" s="45"/>
      <c r="I142" s="45"/>
      <c r="J142" s="45"/>
      <c r="K142" s="45"/>
    </row>
    <row r="143" spans="1:11">
      <c r="A143" s="46" t="s">
        <v>324</v>
      </c>
      <c r="B143" s="8" t="s">
        <v>187</v>
      </c>
      <c r="C143" s="298">
        <v>13429925</v>
      </c>
      <c r="D143" s="298"/>
      <c r="E143" s="292">
        <f>C143-D143</f>
        <v>13429925</v>
      </c>
      <c r="F143" s="8"/>
      <c r="G143" s="45"/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36608460</v>
      </c>
      <c r="D144" s="252">
        <f>D142+D143</f>
        <v>0</v>
      </c>
      <c r="E144" s="252">
        <f>E142+E143</f>
        <v>36608460</v>
      </c>
      <c r="F144" s="8"/>
      <c r="G144" s="45"/>
      <c r="H144" s="45"/>
      <c r="I144" s="45"/>
      <c r="J144" s="45"/>
      <c r="K144" s="45"/>
    </row>
    <row r="145" spans="1:11">
      <c r="A145" s="46" t="s">
        <v>336</v>
      </c>
      <c r="B145" s="8" t="s">
        <v>188</v>
      </c>
      <c r="C145" s="298">
        <v>269188</v>
      </c>
      <c r="D145" s="298"/>
      <c r="E145" s="293">
        <f>C145-D145</f>
        <v>269188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36339272</v>
      </c>
      <c r="D146" s="252">
        <f>D144-D145</f>
        <v>0</v>
      </c>
      <c r="E146" s="252">
        <f>E144-E145</f>
        <v>36339272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331</v>
      </c>
      <c r="B149" s="8"/>
      <c r="C149" s="404">
        <f>+'Tax Rates'!F50</f>
        <v>0.22120000000000001</v>
      </c>
      <c r="D149" s="5"/>
      <c r="E149" s="405">
        <f>C149</f>
        <v>0.22120000000000001</v>
      </c>
      <c r="F149" s="8"/>
      <c r="G149" s="45"/>
      <c r="H149" s="45"/>
      <c r="I149" s="45"/>
      <c r="J149" s="45"/>
      <c r="K149" s="45"/>
    </row>
    <row r="150" spans="1:11">
      <c r="A150" s="46" t="s">
        <v>332</v>
      </c>
      <c r="B150" s="8"/>
      <c r="C150" s="404">
        <f>+'Tax Rates'!F51</f>
        <v>0.14000000000000001</v>
      </c>
      <c r="D150" s="5"/>
      <c r="E150" s="405">
        <f>C150</f>
        <v>0.14000000000000001</v>
      </c>
      <c r="F150" s="8"/>
      <c r="G150" s="45"/>
      <c r="H150" s="45"/>
      <c r="I150" s="45"/>
      <c r="J150" s="45"/>
      <c r="K150" s="45"/>
    </row>
    <row r="151" spans="1:11">
      <c r="A151" t="s">
        <v>333</v>
      </c>
      <c r="B151" s="8"/>
      <c r="C151" s="405">
        <f>SUM(C149:C150)</f>
        <v>0.36120000000000002</v>
      </c>
      <c r="D151" s="482" t="s">
        <v>479</v>
      </c>
      <c r="E151" s="405">
        <f>SUM(E149:E150)</f>
        <v>0.36120000000000002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360</v>
      </c>
      <c r="B153" s="8"/>
    </row>
    <row r="154" spans="1:11">
      <c r="A154" s="14"/>
      <c r="B154" s="8"/>
    </row>
    <row r="155" spans="1:11">
      <c r="A155" s="2" t="s">
        <v>477</v>
      </c>
      <c r="B155" s="8"/>
    </row>
    <row r="156" spans="1:11">
      <c r="A156" t="s">
        <v>219</v>
      </c>
      <c r="B156" s="86" t="s">
        <v>187</v>
      </c>
      <c r="C156" s="251">
        <f>C146</f>
        <v>36339272</v>
      </c>
      <c r="D156" s="251">
        <f>D146</f>
        <v>0</v>
      </c>
      <c r="E156" s="251">
        <f>E146</f>
        <v>36339272</v>
      </c>
    </row>
    <row r="157" spans="1:11">
      <c r="A157" t="s">
        <v>20</v>
      </c>
      <c r="B157" s="86" t="s">
        <v>187</v>
      </c>
      <c r="C157" s="479">
        <f>TAXCALC!G92</f>
        <v>6195202</v>
      </c>
      <c r="D157" s="251"/>
      <c r="E157" s="251">
        <f>C157+D157</f>
        <v>6195202</v>
      </c>
    </row>
    <row r="158" spans="1:11">
      <c r="A158" t="s">
        <v>218</v>
      </c>
      <c r="B158" s="86" t="s">
        <v>187</v>
      </c>
      <c r="C158" s="479">
        <f>TAXCALC!G84</f>
        <v>2802926.31</v>
      </c>
      <c r="D158" s="251"/>
      <c r="E158" s="251">
        <f>C158+D158</f>
        <v>2802926.31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45337400.310000002</v>
      </c>
      <c r="D160" s="251">
        <f>D156+D157+D158</f>
        <v>0</v>
      </c>
      <c r="E160" s="251">
        <f>E156+E157+E158</f>
        <v>45337400.310000002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 gridLines="1"/>
  <pageMargins left="0.15748031496062992" right="0.23622047244094491" top="1.28" bottom="0.35433070866141736" header="0.19685039370078741" footer="0.11811023622047245"/>
  <pageSetup scale="89" fitToHeight="0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  <rowBreaks count="3" manualBreakCount="3">
    <brk id="55" max="16383" man="1"/>
    <brk id="95" max="5" man="1"/>
    <brk id="1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53" zoomScale="60" zoomScaleNormal="100" workbookViewId="0">
      <selection activeCell="B58" sqref="B58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2.28515625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2004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452</v>
      </c>
      <c r="B18" s="61"/>
      <c r="C18" s="294"/>
      <c r="D18" s="294"/>
      <c r="E18" s="251">
        <f t="shared" si="0"/>
        <v>0</v>
      </c>
    </row>
    <row r="19" spans="1:5">
      <c r="A19" s="61" t="s">
        <v>452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452</v>
      </c>
      <c r="B30" s="61"/>
      <c r="C30" s="294"/>
      <c r="D30" s="294"/>
      <c r="E30" s="251">
        <f t="shared" si="1"/>
        <v>0</v>
      </c>
    </row>
    <row r="31" spans="1:5">
      <c r="A31" s="61" t="s">
        <v>452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/>
      <c r="D43" s="294"/>
      <c r="E43" s="251">
        <f t="shared" si="2"/>
        <v>0</v>
      </c>
    </row>
    <row r="44" spans="1:5">
      <c r="A44" s="61" t="s">
        <v>268</v>
      </c>
      <c r="B44" s="61"/>
      <c r="C44" s="294">
        <v>585360</v>
      </c>
      <c r="D44" s="294"/>
      <c r="E44" s="251">
        <f t="shared" si="2"/>
        <v>585360</v>
      </c>
    </row>
    <row r="45" spans="1:5">
      <c r="A45" s="61" t="s">
        <v>269</v>
      </c>
      <c r="B45" s="61"/>
      <c r="C45" s="294">
        <v>2668190</v>
      </c>
      <c r="D45" s="294"/>
      <c r="E45" s="251">
        <f t="shared" si="2"/>
        <v>2668190</v>
      </c>
    </row>
    <row r="46" spans="1:5">
      <c r="A46" s="61" t="s">
        <v>270</v>
      </c>
      <c r="B46" s="61"/>
      <c r="C46" s="294">
        <v>2000000</v>
      </c>
      <c r="D46" s="294"/>
      <c r="E46" s="251">
        <f t="shared" si="2"/>
        <v>2000000</v>
      </c>
    </row>
    <row r="47" spans="1:5">
      <c r="A47" s="487" t="s">
        <v>487</v>
      </c>
      <c r="B47" s="61"/>
      <c r="C47" s="294">
        <v>103677000</v>
      </c>
      <c r="D47" s="294"/>
      <c r="E47" s="251">
        <f t="shared" si="2"/>
        <v>103677000</v>
      </c>
    </row>
    <row r="48" spans="1:5">
      <c r="A48" s="487" t="s">
        <v>490</v>
      </c>
      <c r="B48" s="61"/>
      <c r="C48" s="294">
        <v>46666</v>
      </c>
      <c r="D48" s="294"/>
      <c r="E48" s="251">
        <f t="shared" si="2"/>
        <v>46666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108977216</v>
      </c>
      <c r="D50" s="251">
        <f>SUM(D41:D49)</f>
        <v>0</v>
      </c>
      <c r="E50" s="251">
        <f>SUM(E41:E49)</f>
        <v>108977216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/>
      <c r="D55" s="294"/>
      <c r="E55" s="251">
        <f t="shared" si="3"/>
        <v>0</v>
      </c>
    </row>
    <row r="56" spans="1:5">
      <c r="A56" s="246" t="s">
        <v>268</v>
      </c>
      <c r="B56" s="61"/>
      <c r="C56" s="294">
        <v>6570</v>
      </c>
      <c r="D56" s="294"/>
      <c r="E56" s="251">
        <f t="shared" si="3"/>
        <v>6570</v>
      </c>
    </row>
    <row r="57" spans="1:5">
      <c r="A57" s="246" t="s">
        <v>269</v>
      </c>
      <c r="B57" s="61"/>
      <c r="C57" s="294">
        <v>1575051</v>
      </c>
      <c r="D57" s="294"/>
      <c r="E57" s="251">
        <f t="shared" si="3"/>
        <v>1575051</v>
      </c>
    </row>
    <row r="58" spans="1:5">
      <c r="A58" s="246" t="s">
        <v>270</v>
      </c>
      <c r="B58" s="61"/>
      <c r="C58" s="294"/>
      <c r="D58" s="294"/>
      <c r="E58" s="251">
        <f t="shared" si="3"/>
        <v>0</v>
      </c>
    </row>
    <row r="59" spans="1:5">
      <c r="A59" s="487" t="s">
        <v>487</v>
      </c>
      <c r="B59" s="61"/>
      <c r="C59" s="294">
        <v>108397000</v>
      </c>
      <c r="D59" s="294"/>
      <c r="E59" s="251">
        <f t="shared" si="3"/>
        <v>108397000</v>
      </c>
    </row>
    <row r="60" spans="1:5">
      <c r="A60" s="487" t="s">
        <v>488</v>
      </c>
      <c r="B60" s="61"/>
      <c r="C60" s="294">
        <v>0</v>
      </c>
      <c r="D60" s="294"/>
      <c r="E60" s="251">
        <f t="shared" si="3"/>
        <v>0</v>
      </c>
    </row>
    <row r="61" spans="1:5" ht="13.5" thickBot="1">
      <c r="A61" s="62" t="s">
        <v>490</v>
      </c>
      <c r="B61" s="61"/>
      <c r="C61" s="294"/>
      <c r="D61" s="294"/>
      <c r="E61" s="251">
        <f t="shared" si="3"/>
        <v>0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109978621</v>
      </c>
      <c r="D63" s="251">
        <f>SUM(D53:D61)</f>
        <v>0</v>
      </c>
      <c r="E63" s="251">
        <f>SUM(E53:E61)</f>
        <v>109978621</v>
      </c>
    </row>
  </sheetData>
  <phoneticPr fontId="0" type="noConversion"/>
  <printOptions horizontalCentered="1" headings="1" gridLines="1"/>
  <pageMargins left="0.15748031496062992" right="0.23622047244094491" top="1.36" bottom="0.35433070866141736" header="0.19685039370078741" footer="0.11811023622047245"/>
  <pageSetup fitToHeight="0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view="pageBreakPreview" zoomScale="60" zoomScaleNormal="75" workbookViewId="0">
      <pane xSplit="1" ySplit="6" topLeftCell="B99" activePane="bottomRight" state="frozen"/>
      <selection activeCell="B58" sqref="B58"/>
      <selection pane="topRight" activeCell="B58" sqref="B58"/>
      <selection pane="bottomLeft" activeCell="B58" sqref="B58"/>
      <selection pane="bottomRight" activeCell="C58" sqref="C58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8554687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470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5" t="s">
        <v>469</v>
      </c>
      <c r="B5" s="8"/>
      <c r="C5" s="8" t="s">
        <v>2</v>
      </c>
      <c r="D5" s="8"/>
      <c r="E5" s="8"/>
      <c r="F5" s="8"/>
    </row>
    <row r="6" spans="1:6">
      <c r="A6" s="415" t="s">
        <v>449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2004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1764205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187</v>
      </c>
      <c r="C19" s="295"/>
      <c r="D19" s="295"/>
      <c r="E19" s="312">
        <f t="shared" si="0"/>
        <v>0</v>
      </c>
    </row>
    <row r="20" spans="1:5">
      <c r="A20" s="67" t="s">
        <v>453</v>
      </c>
      <c r="B20" t="s">
        <v>187</v>
      </c>
      <c r="C20" s="295"/>
      <c r="D20" s="313"/>
      <c r="E20" s="312">
        <f t="shared" si="0"/>
        <v>0</v>
      </c>
    </row>
    <row r="21" spans="1:5">
      <c r="A21" s="67" t="s">
        <v>8</v>
      </c>
      <c r="B21" t="s">
        <v>187</v>
      </c>
      <c r="C21" s="295">
        <v>146332</v>
      </c>
      <c r="D21" s="295"/>
      <c r="E21" s="312">
        <f t="shared" si="0"/>
        <v>146332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>
        <v>844629</v>
      </c>
      <c r="D24" s="295"/>
      <c r="E24" s="312">
        <f t="shared" si="0"/>
        <v>844629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>
        <v>731936</v>
      </c>
      <c r="D29" s="295"/>
      <c r="E29" s="312">
        <f t="shared" si="0"/>
        <v>731936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475</v>
      </c>
      <c r="B36" t="s">
        <v>187</v>
      </c>
      <c r="C36" s="295"/>
      <c r="D36" s="295"/>
      <c r="E36" s="312">
        <f t="shared" si="0"/>
        <v>0</v>
      </c>
    </row>
    <row r="37" spans="1:5">
      <c r="A37" s="489"/>
      <c r="B37" t="s">
        <v>187</v>
      </c>
      <c r="C37" s="295"/>
      <c r="D37" s="295"/>
      <c r="E37" s="312">
        <f t="shared" si="0"/>
        <v>0</v>
      </c>
    </row>
    <row r="38" spans="1:5">
      <c r="B38" t="s">
        <v>187</v>
      </c>
      <c r="C38" s="295"/>
      <c r="D38" s="295"/>
      <c r="E38" s="251">
        <f t="shared" si="0"/>
        <v>0</v>
      </c>
    </row>
    <row r="39" spans="1:5">
      <c r="B39" t="s">
        <v>187</v>
      </c>
      <c r="C39" s="294"/>
      <c r="D39" s="295"/>
      <c r="E39" s="251">
        <f t="shared" si="0"/>
        <v>0</v>
      </c>
    </row>
    <row r="40" spans="1:5">
      <c r="A40" s="68" t="s">
        <v>204</v>
      </c>
      <c r="B40" t="s">
        <v>187</v>
      </c>
      <c r="C40" s="294"/>
      <c r="D40" s="294"/>
      <c r="E40" s="251">
        <f t="shared" si="0"/>
        <v>0</v>
      </c>
    </row>
    <row r="41" spans="1:5">
      <c r="A41" s="489" t="s">
        <v>491</v>
      </c>
      <c r="B41" t="s">
        <v>187</v>
      </c>
      <c r="C41" s="294">
        <v>235261</v>
      </c>
      <c r="D41" s="294"/>
      <c r="E41" s="251">
        <f>C41-D41</f>
        <v>235261</v>
      </c>
    </row>
    <row r="42" spans="1:5">
      <c r="B42" t="s">
        <v>187</v>
      </c>
      <c r="C42" s="294"/>
      <c r="D42" s="294"/>
      <c r="E42" s="251">
        <f>C42-D42</f>
        <v>0</v>
      </c>
    </row>
    <row r="43" spans="1:5">
      <c r="A43" s="489" t="s">
        <v>438</v>
      </c>
      <c r="B43" t="s">
        <v>187</v>
      </c>
      <c r="C43" s="294">
        <v>35183</v>
      </c>
      <c r="D43" s="294"/>
      <c r="E43" s="251">
        <f t="shared" si="0"/>
        <v>35183</v>
      </c>
    </row>
    <row r="44" spans="1:5">
      <c r="A44" s="489"/>
      <c r="B44" t="s">
        <v>187</v>
      </c>
      <c r="C44" s="294"/>
      <c r="D44" s="294"/>
      <c r="E44" s="251">
        <f t="shared" si="0"/>
        <v>0</v>
      </c>
    </row>
    <row r="45" spans="1:5">
      <c r="A45" s="489"/>
      <c r="B45" t="s">
        <v>187</v>
      </c>
      <c r="C45" s="294"/>
      <c r="D45" s="294"/>
      <c r="E45" s="279">
        <f t="shared" si="0"/>
        <v>0</v>
      </c>
    </row>
    <row r="46" spans="1:5">
      <c r="A46" s="70" t="s">
        <v>170</v>
      </c>
      <c r="B46" t="s">
        <v>189</v>
      </c>
      <c r="C46" s="251">
        <f>SUM(C17:C45)</f>
        <v>1993341</v>
      </c>
      <c r="D46" s="251">
        <f>SUM(D17:D45)</f>
        <v>0</v>
      </c>
      <c r="E46" s="251">
        <f>SUM(E17:E45)</f>
        <v>1993341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>IF($E19&gt;$C$11,#REF!,)</f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>IF($E20&gt;$C$11,#REF!,)</f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 t="shared" ref="A71:A76" si="4">IF($E40&gt;$C$11,A40,"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>IF($E41&gt;$C$11,#REF!," ")</f>
        <v xml:space="preserve"> </v>
      </c>
      <c r="B72" s="273"/>
      <c r="C72" s="251">
        <f>IF($E41&gt;$C$11,C41,)</f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>IF($E42&gt;$C$11,A42," ")</f>
        <v xml:space="preserve"> </v>
      </c>
      <c r="B73" s="273"/>
      <c r="C73" s="251">
        <f>IF($E42&gt;$C$11,C42,)</f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 xml:space="preserve"> </v>
      </c>
      <c r="B74" s="273"/>
      <c r="C74" s="251">
        <f t="shared" si="3"/>
        <v>0</v>
      </c>
      <c r="D74" s="251">
        <f t="shared" si="3"/>
        <v>0</v>
      </c>
      <c r="E74" s="251">
        <f t="shared" si="3"/>
        <v>0</v>
      </c>
    </row>
    <row r="75" spans="1:5">
      <c r="A75" s="275" t="str">
        <f t="shared" si="4"/>
        <v xml:space="preserve"> </v>
      </c>
      <c r="B75" s="273"/>
      <c r="C75" s="251">
        <f t="shared" si="3"/>
        <v>0</v>
      </c>
      <c r="D75" s="251">
        <f t="shared" si="3"/>
        <v>0</v>
      </c>
      <c r="E75" s="251">
        <f t="shared" si="3"/>
        <v>0</v>
      </c>
    </row>
    <row r="76" spans="1:5">
      <c r="A76" s="275" t="str">
        <f t="shared" si="4"/>
        <v xml:space="preserve"> </v>
      </c>
      <c r="B76" s="274"/>
      <c r="C76" s="251">
        <f t="shared" si="3"/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0</v>
      </c>
      <c r="D77" s="251">
        <f>SUM(D49:D75)</f>
        <v>0</v>
      </c>
      <c r="E77" s="251">
        <f>SUM(E49:E75)</f>
        <v>0</v>
      </c>
    </row>
    <row r="78" spans="1:5">
      <c r="A78" s="276" t="s">
        <v>203</v>
      </c>
      <c r="B78" s="277"/>
      <c r="C78" s="314">
        <f>C46-C77</f>
        <v>1993341</v>
      </c>
      <c r="D78" s="314">
        <f>D46-D77</f>
        <v>0</v>
      </c>
      <c r="E78" s="314">
        <f>E46-E77</f>
        <v>1993341</v>
      </c>
    </row>
    <row r="79" spans="1:5">
      <c r="A79" s="276" t="s">
        <v>170</v>
      </c>
      <c r="B79" s="277"/>
      <c r="C79" s="314">
        <f>C77+C78</f>
        <v>1993341</v>
      </c>
      <c r="D79" s="314">
        <f>D77+D78</f>
        <v>0</v>
      </c>
      <c r="E79" s="314">
        <f>E77+E78</f>
        <v>1993341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>
        <v>1043000</v>
      </c>
      <c r="D82" s="294"/>
      <c r="E82" s="251">
        <f>C82-D82</f>
        <v>1043000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>
        <v>306391</v>
      </c>
      <c r="D86" s="294"/>
      <c r="E86" s="251">
        <f t="shared" si="5"/>
        <v>306391</v>
      </c>
    </row>
    <row r="87" spans="1:5">
      <c r="A87" s="67" t="s">
        <v>381</v>
      </c>
      <c r="B87" s="8" t="s">
        <v>188</v>
      </c>
      <c r="C87" s="294"/>
      <c r="D87" s="294"/>
      <c r="E87" s="251">
        <f t="shared" si="5"/>
        <v>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B92" s="8" t="s">
        <v>188</v>
      </c>
      <c r="C92" s="294"/>
      <c r="D92" s="294"/>
      <c r="E92" s="251"/>
    </row>
    <row r="93" spans="1:5">
      <c r="A93" s="67"/>
      <c r="B93" s="8" t="s">
        <v>188</v>
      </c>
      <c r="C93" s="294"/>
      <c r="D93" s="294"/>
      <c r="E93" s="251">
        <f t="shared" si="5"/>
        <v>0</v>
      </c>
    </row>
    <row r="94" spans="1:5">
      <c r="A94" s="68" t="s">
        <v>205</v>
      </c>
      <c r="B94" s="8" t="s">
        <v>188</v>
      </c>
      <c r="C94" s="294"/>
      <c r="D94" s="294"/>
      <c r="E94" s="251">
        <f t="shared" si="5"/>
        <v>0</v>
      </c>
    </row>
    <row r="95" spans="1:5" ht="12" customHeight="1">
      <c r="A95" s="499"/>
      <c r="B95" s="8" t="s">
        <v>188</v>
      </c>
      <c r="C95" s="497"/>
      <c r="D95" s="497"/>
      <c r="E95" s="494">
        <f t="shared" si="5"/>
        <v>0</v>
      </c>
    </row>
    <row r="96" spans="1:5" s="495" customFormat="1" ht="13.5" customHeight="1">
      <c r="A96" s="499" t="s">
        <v>492</v>
      </c>
      <c r="B96" s="496" t="s">
        <v>188</v>
      </c>
      <c r="C96" s="497">
        <v>140308</v>
      </c>
      <c r="D96" s="497"/>
      <c r="E96" s="494">
        <f t="shared" si="5"/>
        <v>140308</v>
      </c>
    </row>
    <row r="97" spans="1:5">
      <c r="A97" s="489" t="s">
        <v>496</v>
      </c>
      <c r="B97" s="8" t="s">
        <v>188</v>
      </c>
      <c r="C97" s="294">
        <v>1270925</v>
      </c>
      <c r="D97" s="294"/>
      <c r="E97" s="251">
        <f t="shared" si="5"/>
        <v>1270925</v>
      </c>
    </row>
    <row r="98" spans="1:5">
      <c r="A98" s="489" t="s">
        <v>497</v>
      </c>
      <c r="B98" s="8" t="s">
        <v>188</v>
      </c>
      <c r="C98" s="294">
        <v>538238</v>
      </c>
      <c r="D98" s="294"/>
      <c r="E98" s="251">
        <f t="shared" si="5"/>
        <v>538238</v>
      </c>
    </row>
    <row r="99" spans="1:5">
      <c r="A99" s="67" t="s">
        <v>171</v>
      </c>
      <c r="B99" s="8" t="s">
        <v>189</v>
      </c>
      <c r="C99" s="251">
        <f>SUM(C82:C98)</f>
        <v>3298862</v>
      </c>
      <c r="D99" s="251">
        <f>SUM(D82:D98)</f>
        <v>0</v>
      </c>
      <c r="E99" s="251">
        <f>SUM(E82:E98)</f>
        <v>3298862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IF($E92&gt;$C$11,A94,"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IF($E94&gt;$C$11,#REF!,"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>
      <c r="A115" s="275" t="str">
        <f>IF($E95&gt;$C$11,A95," ")</f>
        <v xml:space="preserve"> </v>
      </c>
      <c r="B115" s="273"/>
      <c r="C115" s="251">
        <f t="shared" si="7"/>
        <v>0</v>
      </c>
      <c r="D115" s="251">
        <f t="shared" si="7"/>
        <v>0</v>
      </c>
      <c r="E115" s="251">
        <f t="shared" si="7"/>
        <v>0</v>
      </c>
    </row>
    <row r="116" spans="1:5" s="495" customFormat="1" ht="16.5" customHeight="1">
      <c r="A116" s="492" t="str">
        <f>IF($E96&gt;$C$11,A96," ")</f>
        <v xml:space="preserve"> </v>
      </c>
      <c r="B116" s="493"/>
      <c r="C116" s="494">
        <f t="shared" si="7"/>
        <v>0</v>
      </c>
      <c r="D116" s="494">
        <f t="shared" si="7"/>
        <v>0</v>
      </c>
      <c r="E116" s="494">
        <f t="shared" si="7"/>
        <v>0</v>
      </c>
    </row>
    <row r="117" spans="1:5">
      <c r="A117" s="275" t="str">
        <f>IF($E97&gt;$C$11,A97," ")</f>
        <v xml:space="preserve"> </v>
      </c>
      <c r="B117" s="273"/>
      <c r="C117" s="251">
        <f t="shared" si="7"/>
        <v>0</v>
      </c>
      <c r="D117" s="251">
        <f t="shared" si="7"/>
        <v>0</v>
      </c>
      <c r="E117" s="251">
        <f t="shared" si="7"/>
        <v>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0</v>
      </c>
      <c r="D119" s="251">
        <f>SUM(D102:D118)</f>
        <v>0</v>
      </c>
      <c r="E119" s="251">
        <f>SUM(E102:E118)</f>
        <v>0</v>
      </c>
    </row>
    <row r="120" spans="1:5">
      <c r="A120" s="278" t="s">
        <v>201</v>
      </c>
      <c r="B120" s="273"/>
      <c r="C120" s="251">
        <f>C99-C119</f>
        <v>3298862</v>
      </c>
      <c r="D120" s="251">
        <f>D99-D119</f>
        <v>0</v>
      </c>
      <c r="E120" s="251">
        <f>E99-E119</f>
        <v>3298862</v>
      </c>
    </row>
    <row r="121" spans="1:5">
      <c r="A121" s="278" t="s">
        <v>171</v>
      </c>
      <c r="B121" s="273"/>
      <c r="C121" s="251">
        <f>C119+C120</f>
        <v>3298862</v>
      </c>
      <c r="D121" s="251">
        <f>D119+D120</f>
        <v>0</v>
      </c>
      <c r="E121" s="251">
        <f>E119+E120</f>
        <v>3298862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 gridLines="1"/>
  <pageMargins left="0.15748031496062992" right="0.23622047244094491" top="0.9055118110236221" bottom="0.35433070866141736" header="0.19685039370078741" footer="0.11811023622047245"/>
  <pageSetup scale="86" fitToHeight="0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  <rowBreaks count="1" manualBreakCount="1"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zoomScale="60" zoomScaleNormal="75" workbookViewId="0">
      <pane xSplit="1" ySplit="8" topLeftCell="B39" activePane="bottomRight" state="frozen"/>
      <selection activeCell="B58" sqref="B58"/>
      <selection pane="topRight" activeCell="B58" sqref="B58"/>
      <selection pane="bottomLeft" activeCell="B58" sqref="B58"/>
      <selection pane="bottomRight" activeCell="A16" sqref="A16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2" customWidth="1"/>
  </cols>
  <sheetData>
    <row r="2" spans="1:6">
      <c r="A2" s="1" t="str">
        <f>REGINFO!A1</f>
        <v>PILs TAXES - EB-2012-0064</v>
      </c>
    </row>
    <row r="3" spans="1:6">
      <c r="A3" s="2" t="s">
        <v>389</v>
      </c>
      <c r="E3" s="92"/>
    </row>
    <row r="4" spans="1:6" ht="15.75">
      <c r="A4" s="464" t="s">
        <v>449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6" t="s">
        <v>390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2004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35" si="0">C19-D19</f>
        <v>0</v>
      </c>
    </row>
    <row r="20" spans="1:6">
      <c r="A20" t="s">
        <v>392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457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395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396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458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441</v>
      </c>
      <c r="B27" t="s">
        <v>187</v>
      </c>
      <c r="C27" s="295"/>
      <c r="D27" s="295"/>
      <c r="E27" s="312">
        <f t="shared" si="0"/>
        <v>0</v>
      </c>
    </row>
    <row r="28" spans="1:6">
      <c r="A28" s="67" t="s">
        <v>394</v>
      </c>
      <c r="B28" t="s">
        <v>187</v>
      </c>
      <c r="C28" s="295"/>
      <c r="D28" s="295"/>
      <c r="E28" s="312">
        <f t="shared" si="0"/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0"/>
        <v>0</v>
      </c>
    </row>
    <row r="30" spans="1:6">
      <c r="A30" s="67" t="s">
        <v>393</v>
      </c>
      <c r="B30" t="s">
        <v>187</v>
      </c>
      <c r="C30" s="295"/>
      <c r="D30" s="295"/>
      <c r="E30" s="312">
        <f t="shared" si="0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0"/>
        <v>0</v>
      </c>
    </row>
    <row r="32" spans="1:6">
      <c r="A32" s="67" t="s">
        <v>436</v>
      </c>
      <c r="B32" t="s">
        <v>187</v>
      </c>
      <c r="C32" s="295">
        <v>101426</v>
      </c>
      <c r="D32" s="295"/>
      <c r="E32" s="312">
        <f t="shared" si="0"/>
        <v>101426</v>
      </c>
    </row>
    <row r="33" spans="1:5">
      <c r="A33" s="67" t="s">
        <v>437</v>
      </c>
      <c r="B33" t="s">
        <v>187</v>
      </c>
      <c r="C33" s="295">
        <v>59818</v>
      </c>
      <c r="D33" s="295"/>
      <c r="E33" s="312">
        <f t="shared" si="0"/>
        <v>59818</v>
      </c>
    </row>
    <row r="34" spans="1:5">
      <c r="A34" s="67" t="s">
        <v>454</v>
      </c>
      <c r="B34" t="s">
        <v>187</v>
      </c>
      <c r="C34" s="295"/>
      <c r="D34" s="295"/>
      <c r="E34" s="312">
        <f t="shared" si="0"/>
        <v>0</v>
      </c>
    </row>
    <row r="35" spans="1:5">
      <c r="A35" s="81" t="s">
        <v>455</v>
      </c>
      <c r="C35" s="295"/>
      <c r="D35" s="295"/>
      <c r="E35" s="312">
        <f t="shared" si="0"/>
        <v>0</v>
      </c>
    </row>
    <row r="36" spans="1:5">
      <c r="A36" s="67" t="s">
        <v>438</v>
      </c>
      <c r="C36" s="295"/>
      <c r="D36" s="295"/>
      <c r="E36" s="312">
        <f t="shared" ref="E36:E45" si="1">C36-D36</f>
        <v>0</v>
      </c>
    </row>
    <row r="37" spans="1:5">
      <c r="A37" s="67" t="s">
        <v>439</v>
      </c>
      <c r="C37" s="295"/>
      <c r="D37" s="295"/>
      <c r="E37" s="312">
        <f t="shared" si="1"/>
        <v>0</v>
      </c>
    </row>
    <row r="38" spans="1:5">
      <c r="A38" s="67" t="s">
        <v>461</v>
      </c>
      <c r="C38" s="295"/>
      <c r="D38" s="295"/>
      <c r="E38" s="312">
        <f t="shared" si="1"/>
        <v>0</v>
      </c>
    </row>
    <row r="39" spans="1:5">
      <c r="A39" s="81" t="s">
        <v>397</v>
      </c>
      <c r="B39" t="s">
        <v>187</v>
      </c>
      <c r="C39" s="295"/>
      <c r="D39" s="295"/>
      <c r="E39" s="312">
        <f t="shared" si="1"/>
        <v>0</v>
      </c>
    </row>
    <row r="40" spans="1:5">
      <c r="A40" s="81" t="s">
        <v>391</v>
      </c>
      <c r="B40" t="s">
        <v>187</v>
      </c>
      <c r="C40" s="295"/>
      <c r="D40" s="295"/>
      <c r="E40" s="312">
        <f t="shared" si="1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1"/>
        <v>0</v>
      </c>
    </row>
    <row r="42" spans="1:5">
      <c r="A42" s="488"/>
      <c r="B42" t="s">
        <v>187</v>
      </c>
      <c r="C42" s="295"/>
      <c r="D42" s="295"/>
      <c r="E42" s="312">
        <f t="shared" si="1"/>
        <v>0</v>
      </c>
    </row>
    <row r="43" spans="1:5">
      <c r="A43" s="488"/>
      <c r="B43" t="s">
        <v>187</v>
      </c>
      <c r="C43" s="295"/>
      <c r="D43" s="295"/>
      <c r="E43" s="312">
        <f t="shared" si="1"/>
        <v>0</v>
      </c>
    </row>
    <row r="44" spans="1:5">
      <c r="A44" s="488"/>
      <c r="B44" t="s">
        <v>187</v>
      </c>
      <c r="C44" s="294"/>
      <c r="D44" s="294"/>
      <c r="E44" s="251">
        <f t="shared" si="1"/>
        <v>0</v>
      </c>
    </row>
    <row r="45" spans="1:5">
      <c r="A45" s="488"/>
      <c r="B45" t="s">
        <v>187</v>
      </c>
      <c r="C45" s="294"/>
      <c r="D45" s="294"/>
      <c r="E45" s="251">
        <f t="shared" si="1"/>
        <v>0</v>
      </c>
    </row>
    <row r="46" spans="1:5">
      <c r="A46" s="489"/>
      <c r="B46" t="s">
        <v>187</v>
      </c>
      <c r="C46" s="294"/>
      <c r="D46" s="294"/>
      <c r="E46" s="279"/>
    </row>
    <row r="47" spans="1:5">
      <c r="A47" s="449" t="s">
        <v>401</v>
      </c>
      <c r="B47" t="s">
        <v>189</v>
      </c>
      <c r="C47" s="251">
        <f>SUM(C19:C46)</f>
        <v>161244</v>
      </c>
      <c r="D47" s="251">
        <f>SUM(D19:D46)</f>
        <v>0</v>
      </c>
      <c r="E47" s="251">
        <f>SUM(E19:E46)</f>
        <v>161244</v>
      </c>
    </row>
    <row r="48" spans="1:5">
      <c r="A48" s="67"/>
    </row>
    <row r="49" spans="1:5">
      <c r="A49" s="81" t="s">
        <v>145</v>
      </c>
    </row>
    <row r="51" spans="1:5">
      <c r="A51" s="71" t="s">
        <v>392</v>
      </c>
      <c r="B51" s="8" t="s">
        <v>188</v>
      </c>
      <c r="C51" s="294"/>
      <c r="D51" s="294"/>
      <c r="E51" s="251">
        <f t="shared" ref="E51:E61" si="2">C51-D51</f>
        <v>0</v>
      </c>
    </row>
    <row r="52" spans="1:5">
      <c r="A52" s="67" t="s">
        <v>457</v>
      </c>
      <c r="B52" s="8" t="s">
        <v>188</v>
      </c>
      <c r="C52" s="294"/>
      <c r="D52" s="294"/>
      <c r="E52" s="251">
        <f t="shared" si="2"/>
        <v>0</v>
      </c>
    </row>
    <row r="53" spans="1:5">
      <c r="A53" t="s">
        <v>393</v>
      </c>
      <c r="B53" s="8" t="s">
        <v>188</v>
      </c>
      <c r="C53" s="294"/>
      <c r="D53" s="294"/>
      <c r="E53" s="251">
        <f t="shared" si="2"/>
        <v>0</v>
      </c>
    </row>
    <row r="54" spans="1:5">
      <c r="A54" t="s">
        <v>440</v>
      </c>
      <c r="B54" s="8" t="s">
        <v>188</v>
      </c>
      <c r="C54" s="294"/>
      <c r="D54" s="294"/>
      <c r="E54" s="251">
        <f t="shared" si="2"/>
        <v>0</v>
      </c>
    </row>
    <row r="55" spans="1:5">
      <c r="A55" s="67" t="s">
        <v>448</v>
      </c>
      <c r="B55" s="8" t="s">
        <v>188</v>
      </c>
      <c r="C55" s="294"/>
      <c r="D55" s="294"/>
      <c r="E55" s="251">
        <f t="shared" si="2"/>
        <v>0</v>
      </c>
    </row>
    <row r="56" spans="1:5">
      <c r="A56" s="67" t="s">
        <v>460</v>
      </c>
      <c r="B56" s="8" t="s">
        <v>188</v>
      </c>
      <c r="C56" s="294">
        <v>2233343</v>
      </c>
      <c r="D56" s="294"/>
      <c r="E56" s="251">
        <f t="shared" si="2"/>
        <v>2233343</v>
      </c>
    </row>
    <row r="57" spans="1:5">
      <c r="A57" s="2" t="s">
        <v>456</v>
      </c>
      <c r="B57" s="8" t="s">
        <v>188</v>
      </c>
      <c r="C57" s="294"/>
      <c r="D57" s="294"/>
      <c r="E57" s="251">
        <f t="shared" si="2"/>
        <v>0</v>
      </c>
    </row>
    <row r="58" spans="1:5">
      <c r="A58" s="67" t="s">
        <v>459</v>
      </c>
      <c r="B58" s="8" t="s">
        <v>188</v>
      </c>
      <c r="C58" s="294"/>
      <c r="D58" s="294"/>
      <c r="E58" s="251">
        <f t="shared" si="2"/>
        <v>0</v>
      </c>
    </row>
    <row r="59" spans="1:5">
      <c r="A59" s="67"/>
      <c r="B59" s="8" t="s">
        <v>188</v>
      </c>
      <c r="C59" s="294"/>
      <c r="D59" s="294"/>
      <c r="E59" s="251">
        <f t="shared" si="2"/>
        <v>0</v>
      </c>
    </row>
    <row r="60" spans="1:5">
      <c r="B60" s="8" t="s">
        <v>188</v>
      </c>
      <c r="C60" s="294"/>
      <c r="D60" s="294"/>
      <c r="E60" s="251">
        <f t="shared" si="2"/>
        <v>0</v>
      </c>
    </row>
    <row r="61" spans="1:5">
      <c r="B61" s="8" t="s">
        <v>188</v>
      </c>
      <c r="C61" s="294"/>
      <c r="D61" s="294"/>
      <c r="E61" s="251">
        <f t="shared" si="2"/>
        <v>0</v>
      </c>
    </row>
    <row r="62" spans="1:5">
      <c r="B62" s="8" t="s">
        <v>188</v>
      </c>
      <c r="C62" s="294"/>
      <c r="D62" s="294"/>
      <c r="E62" s="251">
        <f t="shared" ref="E62:E72" si="3">C62-D62</f>
        <v>0</v>
      </c>
    </row>
    <row r="63" spans="1:5">
      <c r="B63" s="8" t="s">
        <v>188</v>
      </c>
      <c r="C63" s="294"/>
      <c r="D63" s="294"/>
      <c r="E63" s="251">
        <f t="shared" si="3"/>
        <v>0</v>
      </c>
    </row>
    <row r="64" spans="1:5">
      <c r="A64" s="468" t="s">
        <v>398</v>
      </c>
      <c r="B64" s="8" t="s">
        <v>188</v>
      </c>
      <c r="C64" s="294"/>
      <c r="D64" s="294"/>
      <c r="E64" s="251">
        <f t="shared" si="3"/>
        <v>0</v>
      </c>
    </row>
    <row r="65" spans="1:5">
      <c r="B65" s="8" t="s">
        <v>188</v>
      </c>
      <c r="C65" s="294"/>
      <c r="D65" s="294"/>
      <c r="E65" s="251">
        <f t="shared" si="3"/>
        <v>0</v>
      </c>
    </row>
    <row r="66" spans="1:5">
      <c r="A66" s="468" t="s">
        <v>391</v>
      </c>
      <c r="B66" s="8" t="s">
        <v>188</v>
      </c>
      <c r="C66" s="294"/>
      <c r="D66" s="294"/>
      <c r="E66" s="251">
        <f t="shared" si="3"/>
        <v>0</v>
      </c>
    </row>
    <row r="67" spans="1:5">
      <c r="A67" s="67"/>
      <c r="B67" s="8" t="s">
        <v>188</v>
      </c>
      <c r="C67" s="294"/>
      <c r="D67" s="294"/>
      <c r="E67" s="251">
        <f t="shared" si="3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3"/>
        <v>0</v>
      </c>
    </row>
    <row r="69" spans="1:5">
      <c r="A69" s="489"/>
      <c r="B69" s="8" t="s">
        <v>188</v>
      </c>
      <c r="C69" s="294"/>
      <c r="D69" s="294"/>
      <c r="E69" s="251">
        <f t="shared" si="3"/>
        <v>0</v>
      </c>
    </row>
    <row r="70" spans="1:5">
      <c r="A70" s="489"/>
      <c r="B70" s="8" t="s">
        <v>188</v>
      </c>
      <c r="C70" s="294"/>
      <c r="D70" s="294"/>
      <c r="E70" s="251">
        <f t="shared" si="3"/>
        <v>0</v>
      </c>
    </row>
    <row r="71" spans="1:5">
      <c r="A71" s="489"/>
      <c r="B71" s="8" t="s">
        <v>188</v>
      </c>
      <c r="C71" s="294"/>
      <c r="D71" s="294"/>
      <c r="E71" s="251">
        <f t="shared" si="3"/>
        <v>0</v>
      </c>
    </row>
    <row r="72" spans="1:5">
      <c r="A72" s="67"/>
      <c r="B72" s="8" t="s">
        <v>188</v>
      </c>
      <c r="C72" s="294"/>
      <c r="D72" s="294"/>
      <c r="E72" s="279">
        <f t="shared" si="3"/>
        <v>0</v>
      </c>
    </row>
    <row r="73" spans="1:5">
      <c r="A73" s="448" t="s">
        <v>400</v>
      </c>
      <c r="B73" s="8" t="s">
        <v>189</v>
      </c>
      <c r="C73" s="251">
        <f>SUM(C51:C72)</f>
        <v>2233343</v>
      </c>
      <c r="D73" s="251">
        <f>SUM(D51:D72)</f>
        <v>0</v>
      </c>
      <c r="E73" s="251">
        <f>SUM(E51:E72)</f>
        <v>2233343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 gridLines="1"/>
  <pageMargins left="0.15748031496062992" right="0.23622047244094491" top="1.35" bottom="0.35433070866141736" header="0.19685039370078741" footer="0.11811023622047245"/>
  <pageSetup scale="86" fitToHeight="0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  <rowBreaks count="1" manualBreakCount="1">
    <brk id="48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topLeftCell="A44" zoomScale="60" zoomScaleNormal="100" workbookViewId="0">
      <selection activeCell="H60" sqref="H60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4.14062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2004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10" t="s">
        <v>339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0" t="s">
        <v>480</v>
      </c>
      <c r="B8" s="511"/>
      <c r="C8" s="511"/>
      <c r="D8" s="511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471</v>
      </c>
      <c r="B10" s="326"/>
      <c r="C10" s="375" t="s">
        <v>111</v>
      </c>
      <c r="D10" s="375"/>
      <c r="E10" s="375" t="s">
        <v>111</v>
      </c>
      <c r="F10" s="376" t="s">
        <v>481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9">
        <v>2002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/>
      <c r="D14" s="327"/>
      <c r="E14" s="328"/>
      <c r="F14" s="328">
        <v>0.26119999999999999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/>
      <c r="D15" s="329"/>
      <c r="E15" s="330"/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/>
      <c r="D16" s="331"/>
      <c r="E16" s="332"/>
      <c r="F16" s="332">
        <f>SUM(F14:F15)</f>
        <v>0.38619999999999999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334</v>
      </c>
      <c r="B21" s="406" t="s">
        <v>473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335</v>
      </c>
      <c r="B22" s="407" t="s">
        <v>474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4" t="s">
        <v>482</v>
      </c>
      <c r="B23" s="505"/>
      <c r="C23" s="505"/>
      <c r="D23" s="505"/>
      <c r="E23" s="505"/>
      <c r="F23" s="505"/>
      <c r="G23" s="438"/>
      <c r="H23" s="420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1"/>
      <c r="B24" s="412"/>
      <c r="C24" s="412"/>
      <c r="D24" s="412"/>
      <c r="E24" s="412"/>
      <c r="F24" s="412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10" t="s">
        <v>340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2" t="s">
        <v>498</v>
      </c>
      <c r="B26" s="513"/>
      <c r="C26" s="513"/>
      <c r="D26" s="513"/>
      <c r="E26" s="513"/>
      <c r="F26" s="513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444</v>
      </c>
      <c r="B28" s="326"/>
      <c r="C28" s="369" t="s">
        <v>111</v>
      </c>
      <c r="D28" s="369"/>
      <c r="E28" s="369" t="s">
        <v>111</v>
      </c>
      <c r="F28" s="370" t="s">
        <v>481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9">
        <v>2004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9"/>
      <c r="C32" s="327"/>
      <c r="D32" s="327"/>
      <c r="E32" s="328"/>
      <c r="F32" s="328">
        <v>0.22120000000000001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9"/>
      <c r="C33" s="329"/>
      <c r="D33" s="329"/>
      <c r="E33" s="330"/>
      <c r="F33" s="330">
        <v>0.14000000000000001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9"/>
      <c r="C34" s="331"/>
      <c r="D34" s="331"/>
      <c r="E34" s="332"/>
      <c r="F34" s="332">
        <f>SUM(F32:F33)</f>
        <v>0.36120000000000002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9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9"/>
      <c r="C37" s="334">
        <v>2E-3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9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499</v>
      </c>
      <c r="B39" s="406" t="s">
        <v>473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500</v>
      </c>
      <c r="B40" s="407" t="s">
        <v>502</v>
      </c>
      <c r="C40" s="362">
        <v>50000000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6" t="s">
        <v>337</v>
      </c>
      <c r="B41" s="505"/>
      <c r="C41" s="505"/>
      <c r="D41" s="505"/>
      <c r="E41" s="505"/>
      <c r="F41" s="505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7"/>
      <c r="B42" s="507"/>
      <c r="C42" s="507"/>
      <c r="D42" s="507"/>
      <c r="E42" s="507"/>
      <c r="F42" s="507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10" t="s">
        <v>341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8" t="s">
        <v>501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481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9">
        <v>2004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>
        <v>0</v>
      </c>
      <c r="D50" s="351"/>
      <c r="E50" s="352">
        <v>0</v>
      </c>
      <c r="F50" s="352">
        <v>0.22120000000000001</v>
      </c>
      <c r="G50" s="194"/>
      <c r="H50" s="484"/>
      <c r="I50" s="484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>
        <v>0</v>
      </c>
      <c r="D51" s="353"/>
      <c r="E51" s="354">
        <v>0</v>
      </c>
      <c r="F51" s="354">
        <v>0.14000000000000001</v>
      </c>
      <c r="G51" s="194"/>
      <c r="H51" s="484"/>
      <c r="I51" s="484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>
        <f>SUM(C50:C51)</f>
        <v>0</v>
      </c>
      <c r="D52" s="331"/>
      <c r="E52" s="332">
        <f>SUM(E50:E51)</f>
        <v>0</v>
      </c>
      <c r="F52" s="332">
        <f>SUM(F50:F51)</f>
        <v>0.36120000000000002</v>
      </c>
      <c r="G52" s="194"/>
      <c r="H52" s="484"/>
      <c r="I52" s="484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353</v>
      </c>
      <c r="B57" s="406" t="s">
        <v>473</v>
      </c>
      <c r="C57" s="361">
        <v>5000000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354</v>
      </c>
      <c r="B58" s="407" t="s">
        <v>502</v>
      </c>
      <c r="C58" s="362">
        <v>50000000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4" t="s">
        <v>355</v>
      </c>
      <c r="B59" s="508"/>
      <c r="C59" s="508"/>
      <c r="D59" s="508"/>
      <c r="E59" s="508"/>
      <c r="F59" s="508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09"/>
      <c r="B60" s="509"/>
      <c r="C60" s="509"/>
      <c r="D60" s="509"/>
      <c r="E60" s="509"/>
      <c r="F60" s="509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 gridLines="1"/>
  <pageMargins left="0.15748031496062992" right="0.23622047244094491" top="1.36" bottom="0.35433070866141736" header="0.19685039370078741" footer="0.11811023622047245"/>
  <pageSetup fitToHeight="0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tabSelected="1" view="pageBreakPreview" topLeftCell="A36" zoomScale="60" zoomScaleNormal="100" workbookViewId="0">
      <selection activeCell="B58" sqref="B58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462</v>
      </c>
      <c r="B2" s="2"/>
    </row>
    <row r="3" spans="1:15">
      <c r="A3" s="2" t="str">
        <f>REGINFO!A3</f>
        <v>Utility Name: TORONTO HYDRO-ELECTRIC SYSTEM LIMITED</v>
      </c>
      <c r="O3" s="416" t="str">
        <f>REGINFO!E1</f>
        <v>Version 2009.1</v>
      </c>
    </row>
    <row r="4" spans="1:15">
      <c r="A4" s="2" t="str">
        <f>REGINFO!A4</f>
        <v>Reporting period:  2004</v>
      </c>
      <c r="E4" s="417" t="s">
        <v>323</v>
      </c>
      <c r="F4" s="398"/>
      <c r="G4" s="398"/>
      <c r="H4" s="398"/>
      <c r="I4" s="398"/>
      <c r="O4" s="416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>
        <f>C22</f>
        <v>5028333</v>
      </c>
      <c r="F11" s="419"/>
      <c r="G11" s="396">
        <f>E22</f>
        <v>8127575</v>
      </c>
      <c r="H11" s="419"/>
      <c r="I11" s="396">
        <f>G22</f>
        <v>8284720</v>
      </c>
      <c r="J11" s="390"/>
      <c r="K11" s="396">
        <f>I22</f>
        <v>-619715.61749682575</v>
      </c>
      <c r="L11" s="390"/>
      <c r="M11" s="396">
        <f>K22</f>
        <v>-2303881.9873006358</v>
      </c>
      <c r="N11" s="390"/>
      <c r="O11" s="396">
        <f>C11</f>
        <v>0</v>
      </c>
    </row>
    <row r="12" spans="1:15" ht="27" customHeight="1">
      <c r="A12" s="81" t="s">
        <v>402</v>
      </c>
      <c r="B12" s="66" t="s">
        <v>190</v>
      </c>
      <c r="C12" s="395">
        <v>5000000</v>
      </c>
      <c r="D12" s="391"/>
      <c r="E12" s="395">
        <v>55000000</v>
      </c>
      <c r="F12" s="95"/>
      <c r="G12" s="418">
        <v>60000000</v>
      </c>
      <c r="H12" s="95"/>
      <c r="I12" s="418">
        <v>58571734</v>
      </c>
      <c r="J12" s="391"/>
      <c r="K12" s="418"/>
      <c r="L12" s="391"/>
      <c r="M12" s="418">
        <f>K13/9*12/4</f>
        <v>0</v>
      </c>
      <c r="N12" s="391"/>
      <c r="O12" s="396">
        <f t="shared" ref="O12:O20" si="0">SUM(C12:N12)</f>
        <v>178571734</v>
      </c>
    </row>
    <row r="13" spans="1:15" ht="27" customHeight="1">
      <c r="A13" s="81" t="s">
        <v>443</v>
      </c>
      <c r="B13" s="66"/>
      <c r="C13" s="418"/>
      <c r="D13" s="391"/>
      <c r="E13" s="418"/>
      <c r="F13" s="95"/>
      <c r="G13" s="418"/>
      <c r="H13" s="95"/>
      <c r="I13" s="418"/>
      <c r="J13" s="391"/>
      <c r="K13" s="395"/>
      <c r="L13" s="391"/>
      <c r="M13" s="418"/>
      <c r="N13" s="391"/>
      <c r="O13" s="396">
        <f t="shared" si="0"/>
        <v>0</v>
      </c>
    </row>
    <row r="14" spans="1:15" ht="25.5">
      <c r="A14" s="81" t="s">
        <v>403</v>
      </c>
      <c r="B14" s="66" t="s">
        <v>190</v>
      </c>
      <c r="C14" s="395"/>
      <c r="D14" s="391"/>
      <c r="E14" s="395">
        <v>-290810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</v>
      </c>
    </row>
    <row r="15" spans="1:15" ht="27" customHeight="1">
      <c r="A15" s="81" t="s">
        <v>404</v>
      </c>
      <c r="B15" s="66" t="s">
        <v>190</v>
      </c>
      <c r="C15" s="395"/>
      <c r="D15" s="391"/>
      <c r="E15" s="395"/>
      <c r="F15" s="95"/>
      <c r="G15" s="395">
        <v>2156868</v>
      </c>
      <c r="H15" s="95"/>
      <c r="I15" s="395">
        <v>-6024420</v>
      </c>
      <c r="J15" s="391"/>
      <c r="K15" s="395">
        <f>TAXCALC!E183</f>
        <v>-1684166.36980381</v>
      </c>
      <c r="L15" s="391"/>
      <c r="M15" s="418"/>
      <c r="N15" s="391"/>
      <c r="O15" s="396">
        <f t="shared" si="0"/>
        <v>-5551718.3698038105</v>
      </c>
    </row>
    <row r="16" spans="1:15" ht="27" customHeight="1">
      <c r="A16" s="81" t="s">
        <v>405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406</v>
      </c>
      <c r="B17" s="66" t="s">
        <v>190</v>
      </c>
      <c r="C17" s="395"/>
      <c r="D17" s="391"/>
      <c r="E17" s="395"/>
      <c r="F17" s="95"/>
      <c r="G17" s="395">
        <v>-2412196</v>
      </c>
      <c r="H17" s="95"/>
      <c r="I17" s="395">
        <f>TAXCALC!E181</f>
        <v>-3807478.6174968248</v>
      </c>
      <c r="J17" s="391"/>
      <c r="K17" s="395"/>
      <c r="L17" s="391"/>
      <c r="M17" s="418"/>
      <c r="N17" s="391"/>
      <c r="O17" s="396">
        <f t="shared" si="0"/>
        <v>-6219674.6174968248</v>
      </c>
    </row>
    <row r="18" spans="1:15" ht="25.5">
      <c r="A18" s="81" t="s">
        <v>407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2" t="s">
        <v>408</v>
      </c>
      <c r="B19" s="66" t="s">
        <v>190</v>
      </c>
      <c r="C19" s="395">
        <v>28333</v>
      </c>
      <c r="D19" s="391"/>
      <c r="E19" s="395">
        <v>720305</v>
      </c>
      <c r="F19" s="95"/>
      <c r="G19" s="395">
        <v>562257</v>
      </c>
      <c r="H19" s="95"/>
      <c r="I19" s="395">
        <v>269130</v>
      </c>
      <c r="J19" s="391"/>
      <c r="K19" s="395"/>
      <c r="L19" s="391"/>
      <c r="M19" s="395"/>
      <c r="N19" s="391"/>
      <c r="O19" s="396">
        <f t="shared" si="0"/>
        <v>1580025</v>
      </c>
    </row>
    <row r="20" spans="1:15" ht="24.75" customHeight="1">
      <c r="A20" s="81" t="s">
        <v>472</v>
      </c>
      <c r="B20" s="66" t="s">
        <v>188</v>
      </c>
      <c r="C20" s="418">
        <v>0</v>
      </c>
      <c r="D20" s="391"/>
      <c r="E20" s="395">
        <v>-52330253</v>
      </c>
      <c r="F20" s="95"/>
      <c r="G20" s="395">
        <v>-60149784</v>
      </c>
      <c r="H20" s="95"/>
      <c r="I20" s="395">
        <v>-57913401</v>
      </c>
      <c r="J20" s="391"/>
      <c r="K20" s="395"/>
      <c r="L20" s="391"/>
      <c r="M20" s="395"/>
      <c r="N20" s="391"/>
      <c r="O20" s="396">
        <f t="shared" si="0"/>
        <v>-170393438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9"/>
    </row>
    <row r="22" spans="1:15" ht="13.5" thickBot="1">
      <c r="A22" s="81" t="s">
        <v>378</v>
      </c>
      <c r="B22" s="34"/>
      <c r="C22" s="397">
        <f>SUM(C11:C20)</f>
        <v>5028333</v>
      </c>
      <c r="D22" s="419"/>
      <c r="E22" s="397">
        <f>SUM(E11:E20)</f>
        <v>8127575</v>
      </c>
      <c r="F22" s="419"/>
      <c r="G22" s="397">
        <f>SUM(G11:G20)</f>
        <v>8284720</v>
      </c>
      <c r="H22" s="419"/>
      <c r="I22" s="397">
        <f>SUM(I11:I20)</f>
        <v>-619715.61749682575</v>
      </c>
      <c r="J22" s="390"/>
      <c r="K22" s="397">
        <f>SUM(K11:K20)</f>
        <v>-2303881.9873006358</v>
      </c>
      <c r="L22" s="390"/>
      <c r="M22" s="397">
        <f>SUM(M11:M21)</f>
        <v>-2303881.9873006358</v>
      </c>
      <c r="N22" s="390"/>
      <c r="O22" s="450">
        <f>SUM(O11:O20)</f>
        <v>-2303881.9873006344</v>
      </c>
    </row>
    <row r="23" spans="1:15" ht="13.5" thickTop="1">
      <c r="A23" s="433"/>
      <c r="B23" s="434"/>
      <c r="C23" s="440"/>
      <c r="D23" s="441"/>
      <c r="E23" s="440"/>
      <c r="F23" s="441"/>
      <c r="G23" s="440"/>
      <c r="H23" s="441"/>
      <c r="I23" s="440"/>
      <c r="J23" s="434"/>
      <c r="K23" s="440"/>
      <c r="L23" s="188"/>
      <c r="M23" s="442"/>
      <c r="N23" s="188"/>
      <c r="O23" s="442"/>
    </row>
    <row r="24" spans="1:15">
      <c r="A24" s="45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9"/>
    </row>
    <row r="25" spans="1:15">
      <c r="A25" s="433"/>
      <c r="B25" s="434"/>
      <c r="C25" s="460"/>
      <c r="D25" s="460"/>
      <c r="E25" s="460"/>
      <c r="F25" s="460"/>
      <c r="G25" s="460"/>
      <c r="H25" s="460"/>
      <c r="I25" s="460"/>
      <c r="J25" s="461"/>
      <c r="K25" s="460"/>
      <c r="L25" s="462"/>
      <c r="M25" s="463"/>
      <c r="N25" s="462"/>
      <c r="O25" s="463"/>
    </row>
    <row r="26" spans="1:15">
      <c r="A26" s="433" t="s">
        <v>409</v>
      </c>
      <c r="B26" s="434"/>
      <c r="C26" s="460"/>
      <c r="D26" s="460"/>
      <c r="E26" s="460"/>
      <c r="F26" s="460"/>
      <c r="G26" s="460"/>
      <c r="H26" s="460"/>
      <c r="I26" s="460"/>
      <c r="J26" s="461"/>
      <c r="K26" s="460"/>
      <c r="L26" s="462"/>
      <c r="M26" s="463"/>
      <c r="N26" s="462"/>
      <c r="O26" s="463"/>
    </row>
    <row r="27" spans="1:15" ht="9" customHeight="1">
      <c r="A27" s="433"/>
      <c r="B27" s="434"/>
      <c r="C27" s="434"/>
      <c r="D27" s="434"/>
      <c r="E27" s="434"/>
      <c r="F27" s="434"/>
      <c r="G27" s="434"/>
      <c r="H27" s="434"/>
      <c r="I27" s="434"/>
      <c r="J27" s="434"/>
      <c r="K27" s="435"/>
      <c r="L27" s="188"/>
      <c r="M27" s="188"/>
      <c r="N27" s="188"/>
      <c r="O27" s="188"/>
    </row>
    <row r="28" spans="1:15">
      <c r="A28" s="433" t="s">
        <v>410</v>
      </c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188"/>
      <c r="M28" s="188"/>
      <c r="N28" s="188"/>
      <c r="O28" s="188"/>
    </row>
    <row r="29" spans="1:15">
      <c r="A29" s="436" t="s">
        <v>411</v>
      </c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L29" s="188"/>
      <c r="M29" s="188"/>
      <c r="N29" s="188"/>
      <c r="O29" s="188"/>
    </row>
    <row r="30" spans="1:15" ht="9" customHeight="1">
      <c r="A30" s="188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188"/>
      <c r="M30" s="188"/>
      <c r="N30" s="188"/>
      <c r="O30" s="188"/>
    </row>
    <row r="31" spans="1:15">
      <c r="A31" s="451" t="s">
        <v>489</v>
      </c>
      <c r="B31" s="80"/>
      <c r="C31" s="80"/>
      <c r="D31" s="80"/>
      <c r="E31" s="80"/>
      <c r="F31" s="80"/>
      <c r="G31" s="80"/>
      <c r="H31" s="80"/>
      <c r="I31" s="447"/>
      <c r="J31" s="447"/>
      <c r="K31" s="447"/>
      <c r="L31" s="447"/>
      <c r="M31" s="447"/>
      <c r="N31" s="447"/>
      <c r="O31" s="447"/>
    </row>
    <row r="32" spans="1:15" ht="9" customHeight="1">
      <c r="A32" s="452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</row>
    <row r="33" spans="1:19">
      <c r="A33" s="515" t="s">
        <v>412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420"/>
      <c r="Q33" s="420"/>
      <c r="R33" s="420"/>
      <c r="S33" s="420"/>
    </row>
    <row r="34" spans="1:19">
      <c r="A34" s="514" t="s">
        <v>413</v>
      </c>
      <c r="B34" s="517"/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517"/>
      <c r="O34" s="517"/>
      <c r="P34" s="420"/>
      <c r="Q34" s="420"/>
      <c r="R34" s="420"/>
      <c r="S34" s="420"/>
    </row>
    <row r="35" spans="1:19">
      <c r="A35" s="514" t="s">
        <v>434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420"/>
      <c r="Q35" s="420"/>
      <c r="R35" s="420"/>
      <c r="S35" s="420"/>
    </row>
    <row r="36" spans="1:19">
      <c r="A36" s="514" t="s">
        <v>414</v>
      </c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420"/>
      <c r="Q36" s="420"/>
      <c r="R36" s="420"/>
      <c r="S36" s="420"/>
    </row>
    <row r="37" spans="1:19">
      <c r="A37" s="437" t="s">
        <v>375</v>
      </c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20"/>
      <c r="Q37" s="420"/>
      <c r="R37" s="420"/>
      <c r="S37" s="420"/>
    </row>
    <row r="38" spans="1:19">
      <c r="A38" s="437" t="s">
        <v>376</v>
      </c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20"/>
      <c r="Q38" s="420"/>
      <c r="R38" s="420"/>
      <c r="S38" s="420"/>
    </row>
    <row r="39" spans="1:19">
      <c r="A39" s="437" t="s">
        <v>415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20"/>
      <c r="Q39" s="420"/>
      <c r="R39" s="420"/>
      <c r="S39" s="420"/>
    </row>
    <row r="40" spans="1:19">
      <c r="A40" s="437" t="s">
        <v>416</v>
      </c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20"/>
      <c r="Q40" s="420"/>
      <c r="R40" s="420"/>
      <c r="S40" s="420"/>
    </row>
    <row r="41" spans="1:19" ht="9" customHeight="1">
      <c r="B41" s="438"/>
      <c r="C41" s="438"/>
      <c r="D41" s="438"/>
      <c r="E41" s="438"/>
      <c r="F41" s="438"/>
      <c r="G41" s="438"/>
      <c r="H41" s="438"/>
      <c r="I41" s="438"/>
      <c r="J41" s="438"/>
      <c r="K41" s="438"/>
      <c r="L41" s="438"/>
      <c r="M41" s="438"/>
      <c r="N41" s="438"/>
      <c r="O41" s="438"/>
      <c r="P41" s="420"/>
      <c r="Q41" s="420"/>
      <c r="R41" s="420"/>
      <c r="S41" s="420"/>
    </row>
    <row r="42" spans="1:19">
      <c r="A42" s="439" t="s">
        <v>417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188"/>
      <c r="M42" s="188"/>
      <c r="N42" s="188"/>
      <c r="O42" s="188"/>
    </row>
    <row r="43" spans="1:19">
      <c r="A43" s="434" t="s">
        <v>418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188"/>
      <c r="M43" s="188"/>
      <c r="N43" s="188"/>
      <c r="O43" s="188"/>
    </row>
    <row r="44" spans="1:19" ht="9" customHeight="1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188"/>
      <c r="M44" s="188"/>
      <c r="N44" s="188"/>
      <c r="O44" s="188"/>
    </row>
    <row r="45" spans="1:19">
      <c r="A45" s="439" t="s">
        <v>419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188"/>
      <c r="M45" s="188"/>
      <c r="N45" s="188"/>
      <c r="O45" s="188"/>
    </row>
    <row r="46" spans="1:19">
      <c r="A46" s="434" t="s">
        <v>420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188"/>
      <c r="M46" s="188"/>
      <c r="N46" s="188"/>
      <c r="O46" s="188"/>
    </row>
    <row r="47" spans="1:19" ht="9" customHeight="1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188"/>
      <c r="M47" s="188"/>
      <c r="N47" s="188"/>
      <c r="O47" s="188"/>
    </row>
    <row r="48" spans="1:19">
      <c r="A48" s="439" t="s">
        <v>421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188"/>
      <c r="M48" s="188"/>
      <c r="N48" s="188"/>
      <c r="O48" s="188"/>
    </row>
    <row r="49" spans="1:15">
      <c r="A49" s="434" t="s">
        <v>422</v>
      </c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188"/>
      <c r="M49" s="188"/>
      <c r="N49" s="188"/>
      <c r="O49" s="188"/>
    </row>
    <row r="50" spans="1:15" ht="9" customHeight="1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188"/>
      <c r="M50" s="188"/>
      <c r="N50" s="188"/>
      <c r="O50" s="188"/>
    </row>
    <row r="51" spans="1:15">
      <c r="A51" s="439" t="s">
        <v>423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188"/>
      <c r="M51" s="188"/>
      <c r="N51" s="188"/>
      <c r="O51" s="188"/>
    </row>
    <row r="52" spans="1:15">
      <c r="A52" s="434" t="s">
        <v>420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188"/>
      <c r="M52" s="188"/>
      <c r="N52" s="188"/>
      <c r="O52" s="188"/>
    </row>
    <row r="53" spans="1:15" ht="9" customHeight="1">
      <c r="A53" s="439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188"/>
      <c r="M53" s="188"/>
      <c r="N53" s="188"/>
      <c r="O53" s="188"/>
    </row>
    <row r="54" spans="1:15">
      <c r="A54" s="434" t="s">
        <v>424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188"/>
      <c r="M54" s="188"/>
      <c r="N54" s="188"/>
      <c r="O54" s="188"/>
    </row>
    <row r="55" spans="1:15" ht="9" customHeight="1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188"/>
      <c r="M55" s="188"/>
      <c r="N55" s="188"/>
      <c r="O55" s="188"/>
    </row>
    <row r="56" spans="1:15" ht="12.75" customHeight="1">
      <c r="A56" s="439" t="s">
        <v>425</v>
      </c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188"/>
      <c r="M56" s="188"/>
      <c r="N56" s="188"/>
      <c r="O56" s="188"/>
    </row>
    <row r="57" spans="1:15" ht="9" customHeight="1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188"/>
      <c r="M57" s="188"/>
      <c r="N57" s="188"/>
      <c r="O57" s="188"/>
    </row>
    <row r="58" spans="1:15">
      <c r="A58" s="434" t="s">
        <v>426</v>
      </c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188"/>
      <c r="M58" s="188"/>
      <c r="N58" s="188"/>
      <c r="O58" s="188"/>
    </row>
    <row r="59" spans="1:15">
      <c r="A59" s="434" t="s">
        <v>427</v>
      </c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188"/>
      <c r="M59" s="188"/>
      <c r="N59" s="188"/>
      <c r="O59" s="188"/>
    </row>
    <row r="60" spans="1:15">
      <c r="A60" s="434" t="s">
        <v>428</v>
      </c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188"/>
      <c r="M60" s="188"/>
      <c r="N60" s="188"/>
      <c r="O60" s="188"/>
    </row>
    <row r="61" spans="1:15">
      <c r="A61" s="434" t="s">
        <v>385</v>
      </c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188"/>
      <c r="M61" s="188"/>
      <c r="N61" s="188"/>
      <c r="O61" s="188"/>
    </row>
    <row r="62" spans="1:15" ht="9" customHeight="1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188"/>
      <c r="M62" s="188"/>
      <c r="N62" s="188"/>
      <c r="O62" s="188"/>
    </row>
    <row r="63" spans="1:15">
      <c r="A63" s="434" t="s">
        <v>429</v>
      </c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188"/>
      <c r="M63" s="188"/>
      <c r="N63" s="188"/>
      <c r="O63" s="188"/>
    </row>
    <row r="64" spans="1:15">
      <c r="A64" s="434" t="s">
        <v>430</v>
      </c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188"/>
      <c r="M64" s="188"/>
      <c r="N64" s="188"/>
      <c r="O64" s="188"/>
    </row>
    <row r="65" spans="1:17">
      <c r="A65" s="434" t="s">
        <v>387</v>
      </c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188"/>
      <c r="M65" s="188"/>
      <c r="N65" s="188"/>
      <c r="O65" s="188"/>
    </row>
    <row r="66" spans="1:17" ht="3.75" customHeight="1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188"/>
      <c r="M66" s="188"/>
      <c r="N66" s="188"/>
      <c r="O66" s="188"/>
    </row>
    <row r="67" spans="1:17">
      <c r="A67" s="434" t="s">
        <v>386</v>
      </c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188"/>
      <c r="M67" s="188"/>
      <c r="N67" s="188"/>
      <c r="O67" s="188"/>
    </row>
    <row r="68" spans="1:17">
      <c r="A68" s="434" t="s">
        <v>388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188"/>
      <c r="M68" s="188"/>
      <c r="N68" s="188"/>
      <c r="O68" s="188"/>
    </row>
    <row r="69" spans="1:17" ht="3.75" customHeight="1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188"/>
      <c r="M69" s="188"/>
      <c r="N69" s="188"/>
      <c r="O69" s="188"/>
    </row>
    <row r="70" spans="1:17">
      <c r="A70" s="434" t="s">
        <v>431</v>
      </c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188"/>
      <c r="M70" s="188"/>
      <c r="N70" s="188"/>
      <c r="O70" s="188"/>
    </row>
    <row r="71" spans="1:17">
      <c r="A71" s="434" t="s">
        <v>432</v>
      </c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188"/>
      <c r="M71" s="188"/>
      <c r="N71" s="188"/>
      <c r="O71" s="188"/>
    </row>
    <row r="72" spans="1:17">
      <c r="A72" s="434" t="s">
        <v>433</v>
      </c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188"/>
      <c r="M72" s="188"/>
      <c r="N72" s="188"/>
      <c r="O72" s="188"/>
    </row>
    <row r="73" spans="1:17" ht="9" customHeight="1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188"/>
      <c r="M73" s="188"/>
      <c r="N73" s="188"/>
      <c r="O73" s="188"/>
    </row>
    <row r="74" spans="1:17" ht="12.75" customHeight="1">
      <c r="A74" s="514" t="s">
        <v>463</v>
      </c>
      <c r="B74" s="514"/>
      <c r="C74" s="514"/>
      <c r="D74" s="514"/>
      <c r="E74" s="514"/>
      <c r="F74" s="514"/>
      <c r="G74" s="514"/>
      <c r="H74" s="514"/>
      <c r="I74" s="514"/>
      <c r="J74" s="514"/>
      <c r="K74" s="514"/>
      <c r="L74" s="514"/>
      <c r="M74" s="514"/>
      <c r="N74" s="514"/>
      <c r="O74" s="514"/>
    </row>
    <row r="75" spans="1:17">
      <c r="A75" s="434" t="s">
        <v>377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188"/>
      <c r="M75" s="188"/>
      <c r="N75" s="188"/>
      <c r="O75" s="188"/>
    </row>
    <row r="76" spans="1:17">
      <c r="A76" s="188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188"/>
      <c r="M76" s="188"/>
      <c r="N76" s="188"/>
      <c r="O76" s="188"/>
    </row>
    <row r="77" spans="1:17">
      <c r="A77" s="188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188"/>
      <c r="M77" s="188"/>
      <c r="N77" s="188"/>
      <c r="O77" s="188"/>
    </row>
    <row r="78" spans="1:17">
      <c r="A78" s="188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188"/>
      <c r="O78" s="188"/>
      <c r="P78" s="188"/>
      <c r="Q78" s="188"/>
    </row>
    <row r="79" spans="1:17">
      <c r="A79" s="188"/>
      <c r="B79" s="434"/>
      <c r="C79" s="434"/>
      <c r="D79" s="434"/>
      <c r="E79" s="434"/>
      <c r="F79" s="434"/>
      <c r="G79" s="434"/>
      <c r="H79" s="434"/>
      <c r="I79" s="434"/>
      <c r="J79" s="434"/>
      <c r="K79" s="434"/>
      <c r="L79" s="434"/>
      <c r="M79" s="434"/>
      <c r="N79" s="188"/>
      <c r="O79" s="188"/>
      <c r="P79" s="188"/>
      <c r="Q79" s="188"/>
    </row>
    <row r="80" spans="1:17">
      <c r="A80" s="188"/>
      <c r="B80" s="434"/>
      <c r="C80" s="434"/>
      <c r="D80" s="434"/>
      <c r="E80" s="434"/>
      <c r="F80" s="434"/>
      <c r="G80" s="434"/>
      <c r="H80" s="434"/>
      <c r="I80" s="434"/>
      <c r="J80" s="434"/>
      <c r="K80" s="434"/>
      <c r="L80" s="434"/>
      <c r="M80" s="434"/>
      <c r="N80" s="188"/>
      <c r="O80" s="188"/>
      <c r="P80" s="188"/>
      <c r="Q80" s="188"/>
    </row>
    <row r="81" spans="1:17">
      <c r="A81" s="434"/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188"/>
      <c r="O81" s="188"/>
      <c r="P81" s="188"/>
      <c r="Q81" s="188"/>
    </row>
    <row r="82" spans="1:17">
      <c r="A82" s="188"/>
      <c r="B82" s="188"/>
      <c r="C82" s="434"/>
      <c r="D82" s="434"/>
      <c r="E82" s="434"/>
      <c r="F82" s="434"/>
      <c r="G82" s="434"/>
      <c r="H82" s="434"/>
      <c r="I82" s="434"/>
      <c r="J82" s="434"/>
      <c r="K82" s="434"/>
      <c r="L82" s="434"/>
      <c r="M82" s="434"/>
      <c r="N82" s="188"/>
      <c r="O82" s="188"/>
      <c r="P82" s="188"/>
      <c r="Q82" s="188"/>
    </row>
    <row r="83" spans="1:17">
      <c r="A83" s="188"/>
      <c r="B83" s="188"/>
      <c r="C83" s="434"/>
      <c r="D83" s="434"/>
      <c r="E83" s="434"/>
      <c r="F83" s="434"/>
      <c r="G83" s="434"/>
      <c r="H83" s="434"/>
      <c r="I83" s="434"/>
      <c r="J83" s="434"/>
      <c r="K83" s="434"/>
      <c r="L83" s="434"/>
      <c r="M83" s="434"/>
      <c r="N83" s="188"/>
      <c r="O83" s="188"/>
      <c r="P83" s="188"/>
      <c r="Q83" s="188"/>
    </row>
    <row r="84" spans="1:17">
      <c r="A84" s="434"/>
      <c r="B84" s="434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188"/>
      <c r="O84" s="188"/>
      <c r="P84" s="188"/>
      <c r="Q84" s="188"/>
    </row>
    <row r="85" spans="1:17">
      <c r="A85" s="188"/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  <c r="N85" s="188"/>
      <c r="O85" s="188"/>
      <c r="P85" s="188"/>
      <c r="Q85" s="188"/>
    </row>
    <row r="86" spans="1:17">
      <c r="A86" s="188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188"/>
      <c r="O86" s="188"/>
      <c r="P86" s="188"/>
      <c r="Q86" s="188"/>
    </row>
    <row r="87" spans="1:17">
      <c r="A87" s="188"/>
      <c r="B87" s="188"/>
      <c r="C87" s="434"/>
      <c r="D87" s="434"/>
      <c r="E87" s="434"/>
      <c r="F87" s="434"/>
      <c r="G87" s="434"/>
      <c r="H87" s="434"/>
      <c r="I87" s="434"/>
      <c r="J87" s="434"/>
      <c r="K87" s="434"/>
      <c r="L87" s="434"/>
      <c r="M87" s="434"/>
      <c r="N87" s="188"/>
      <c r="O87" s="188"/>
      <c r="P87" s="188"/>
      <c r="Q87" s="188"/>
    </row>
    <row r="88" spans="1:17">
      <c r="A88" s="188"/>
      <c r="B88" s="188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188"/>
      <c r="O88" s="188"/>
      <c r="P88" s="188"/>
      <c r="Q88" s="188"/>
    </row>
    <row r="89" spans="1:17">
      <c r="A89" s="188"/>
      <c r="B89" s="188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188"/>
      <c r="O89" s="188"/>
      <c r="P89" s="188"/>
      <c r="Q89" s="188"/>
    </row>
    <row r="90" spans="1:17">
      <c r="A90" s="188"/>
      <c r="B90" s="188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188"/>
      <c r="O90" s="188"/>
      <c r="P90" s="188"/>
      <c r="Q90" s="188"/>
    </row>
    <row r="91" spans="1:17">
      <c r="A91" s="188"/>
      <c r="B91" s="188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188"/>
      <c r="O91" s="188"/>
      <c r="P91" s="188"/>
      <c r="Q91" s="188"/>
    </row>
    <row r="92" spans="1:17">
      <c r="A92" s="188"/>
      <c r="B92" s="188"/>
      <c r="C92" s="514"/>
      <c r="D92" s="514"/>
      <c r="E92" s="514"/>
      <c r="F92" s="514"/>
      <c r="G92" s="514"/>
      <c r="H92" s="514"/>
      <c r="I92" s="514"/>
      <c r="J92" s="514"/>
      <c r="K92" s="514"/>
      <c r="L92" s="514"/>
      <c r="M92" s="514"/>
      <c r="N92" s="514"/>
      <c r="O92" s="514"/>
      <c r="P92" s="514"/>
      <c r="Q92" s="514"/>
    </row>
    <row r="93" spans="1:17">
      <c r="A93" s="188"/>
      <c r="B93" s="188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 gridLines="1"/>
  <pageMargins left="0.15748031496062992" right="0.23622047244094491" top="1.04" bottom="0.35433070866141736" header="0.19685039370078741" footer="0.11811023622047245"/>
  <pageSetup scale="66" orientation="portrait" cellComments="asDisplayed" r:id="rId1"/>
  <headerFooter alignWithMargins="0">
    <oddHeader xml:space="preserve">&amp;R&amp;9Toronto Hydro-Electric System Limited
EB-2012-0064
Tab 5
Schedule F
Filed:  2012 May 10
Corrected:  2012 Oct 5
page &amp;P of &amp;N
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2012-09-30T02:09:28Z</cp:lastPrinted>
  <dcterms:created xsi:type="dcterms:W3CDTF">2001-11-07T16:15:53Z</dcterms:created>
  <dcterms:modified xsi:type="dcterms:W3CDTF">2012-09-30T02:09:47Z</dcterms:modified>
</cp:coreProperties>
</file>