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8030" windowHeight="1122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'REGINFO'!$A$1:$E$71</definedName>
    <definedName name="_xlnm.Print_Area" localSheetId="6">'Tax Rates'!$A$1:$G$61</definedName>
    <definedName name="_xlnm.Print_Area" localSheetId="3">'Tax Reserves'!$A$1:$F$64</definedName>
    <definedName name="_xlnm.Print_Area" localSheetId="1">'TAXCALC'!$A$1:$H$209</definedName>
    <definedName name="_xlnm.Print_Area" localSheetId="4">'TAXREC 2'!$A$1:$F$122</definedName>
    <definedName name="_xlnm.Print_Area" localSheetId="5">'TAXREC 3 No True-up'!$A$1:$F$74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<sst xmlns="http://schemas.openxmlformats.org/spreadsheetml/2006/main" count="878" uniqueCount="508">
  <si>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</si>
  <si>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</si>
  <si>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</si>
  <si>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</si>
  <si>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</si>
  <si>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</si>
  <si>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</si>
  <si>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</si>
  <si>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</si>
  <si>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</si>
  <si>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</si>
  <si>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</si>
  <si>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</si>
  <si>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</si>
  <si>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</si>
  <si>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</si>
  <si>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</si>
  <si>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</si>
  <si>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</si>
  <si>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</si>
  <si>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</si>
  <si>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</si>
  <si>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</si>
  <si>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</si>
  <si>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</si>
  <si>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</si>
  <si>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</si>
  <si>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</si>
  <si>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</si>
  <si>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</si>
  <si>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</si>
  <si>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</si>
  <si>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</si>
  <si>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</si>
  <si>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</si>
  <si>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</si>
  <si>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</si>
  <si>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</si>
  <si>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</si>
  <si>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</si>
  <si>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</si>
  <si>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</si>
  <si>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</si>
  <si>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</si>
  <si>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</si>
  <si>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</si>
  <si>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</si>
  <si>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</si>
  <si>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</si>
  <si>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</si>
  <si>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</si>
  <si>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</si>
  <si>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</si>
  <si>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</si>
  <si>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</si>
  <si>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</si>
  <si>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</si>
  <si>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</si>
  <si>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</si>
  <si>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</si>
  <si>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</si>
  <si>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</si>
  <si>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</si>
  <si>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</si>
  <si>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</si>
  <si>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</si>
  <si>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</si>
  <si>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</si>
  <si>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</si>
  <si>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</si>
  <si>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</si>
  <si>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</si>
  <si>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</si>
  <si>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</si>
  <si>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</si>
  <si>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</si>
  <si>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</si>
  <si>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</si>
  <si>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</si>
  <si>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</si>
  <si>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</si>
  <si>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</si>
  <si>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</si>
  <si>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</si>
  <si>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</si>
  <si>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</si>
  <si>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</si>
  <si>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</si>
  <si>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</si>
  <si>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</si>
  <si>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</si>
  <si>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</si>
  <si>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</si>
  <si>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</si>
  <si>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</si>
  <si>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</si>
  <si>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</si>
  <si>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</si>
  <si>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</si>
  <si>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</si>
  <si>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</si>
  <si>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</si>
  <si>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</si>
  <si>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</si>
  <si>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</si>
  <si>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</si>
  <si>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</si>
  <si>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</si>
  <si>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</si>
  <si>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</si>
  <si>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</si>
  <si>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</si>
  <si>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</si>
  <si>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</si>
  <si>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</si>
  <si>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</si>
  <si>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</si>
  <si>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</si>
  <si>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</si>
  <si>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</si>
  <si>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</si>
  <si>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</si>
  <si>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</si>
  <si>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</si>
  <si>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</si>
  <si>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</si>
  <si>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</si>
  <si>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</si>
  <si>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</si>
  <si>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</si>
  <si>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</si>
  <si>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</si>
  <si>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</si>
  <si>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</si>
  <si>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</si>
  <si>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</si>
  <si>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</si>
  <si>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</si>
  <si>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</si>
  <si>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</si>
  <si>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</si>
  <si>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</si>
  <si>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</si>
  <si>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</si>
  <si>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</si>
  <si>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</si>
  <si>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</si>
  <si>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</si>
  <si>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</si>
  <si>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</si>
  <si>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</si>
  <si>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</si>
  <si>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</si>
  <si>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</si>
  <si>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</si>
  <si>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</si>
  <si>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</si>
  <si>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</si>
  <si>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</si>
  <si>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</si>
  <si>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</si>
  <si>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</si>
  <si>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</si>
  <si>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</si>
  <si>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</si>
  <si>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</si>
  <si>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</si>
  <si>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</si>
  <si>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</si>
  <si>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</si>
  <si>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</si>
  <si>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</si>
  <si>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</si>
  <si>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</si>
  <si>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</si>
  <si>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</si>
  <si>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</si>
  <si>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</si>
  <si>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</si>
  <si>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</si>
  <si>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</si>
  <si>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</si>
  <si>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</si>
  <si>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</si>
  <si>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</si>
  <si>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</si>
  <si>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</si>
  <si>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</si>
  <si>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</si>
  <si>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</si>
  <si>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</si>
  <si>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</si>
  <si>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</si>
  <si>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</si>
  <si>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</si>
  <si>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</si>
  <si>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</si>
  <si>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</si>
  <si>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</si>
  <si>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</si>
  <si>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</si>
  <si>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</si>
  <si>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</si>
  <si>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</si>
  <si>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</si>
  <si>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</si>
  <si>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</si>
  <si>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</si>
  <si>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</si>
  <si>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</si>
  <si>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</si>
  <si>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</si>
  <si>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</si>
  <si>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</si>
  <si>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</si>
  <si>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</si>
  <si>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</si>
  <si>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</si>
  <si>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</si>
  <si>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</si>
  <si>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</si>
  <si>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</si>
  <si>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</si>
  <si>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</si>
  <si>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</si>
  <si>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</si>
  <si>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</si>
  <si>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</si>
  <si>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</si>
  <si>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</si>
  <si>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</si>
  <si>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</si>
  <si>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</si>
  <si>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</si>
  <si>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</si>
  <si>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</si>
  <si>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</si>
  <si>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</si>
  <si>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</si>
  <si>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</si>
  <si>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</si>
  <si>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</si>
  <si>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</si>
  <si>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</si>
  <si>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</si>
  <si>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</si>
  <si>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</si>
  <si>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</si>
  <si>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</si>
  <si>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</si>
  <si>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</si>
  <si>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</si>
  <si>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</si>
  <si>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</si>
  <si>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</si>
  <si>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</si>
  <si>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</si>
  <si>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</si>
  <si>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</si>
  <si>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</si>
  <si>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</si>
  <si>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</si>
  <si>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</si>
  <si>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</si>
  <si>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</si>
  <si>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</si>
  <si>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</si>
  <si>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</si>
  <si>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</si>
  <si>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</si>
  <si>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</si>
  <si>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</si>
  <si>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</si>
  <si>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</si>
  <si>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</si>
  <si>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</si>
  <si>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</si>
  <si>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</si>
  <si>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</si>
  <si>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</si>
  <si>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</si>
  <si>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</si>
  <si>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</si>
  <si>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</si>
  <si>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</si>
  <si>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</si>
  <si>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</si>
  <si>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</si>
  <si>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</si>
  <si>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</si>
  <si>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</si>
  <si>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</si>
  <si>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</si>
  <si>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</si>
  <si>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</si>
  <si>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</si>
  <si>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</si>
  <si>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</si>
  <si>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</si>
  <si>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</si>
  <si>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</si>
  <si>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</si>
  <si>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</si>
  <si>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</si>
  <si>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</si>
  <si>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</si>
  <si>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</si>
  <si>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</si>
  <si>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</si>
  <si>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</si>
  <si>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</si>
  <si>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</si>
  <si>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</si>
  <si>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</si>
  <si>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</si>
  <si>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</si>
  <si>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</si>
  <si>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</si>
  <si>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</si>
  <si>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</si>
  <si>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</si>
  <si>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</si>
  <si>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</si>
  <si>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</si>
  <si>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</si>
  <si>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</si>
  <si>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</si>
  <si>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</si>
  <si>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</si>
  <si>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</si>
  <si>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</si>
  <si>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</si>
  <si>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</si>
  <si>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</si>
  <si>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</si>
  <si>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</si>
  <si>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</si>
  <si>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</si>
  <si>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</si>
  <si>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</si>
  <si>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</si>
  <si>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</si>
  <si>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</si>
  <si>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</si>
  <si>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</si>
  <si>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</si>
  <si>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</si>
  <si>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</si>
  <si>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</si>
  <si>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</si>
  <si>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</si>
  <si>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</si>
  <si>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</si>
  <si>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</si>
  <si>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</si>
  <si>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</si>
  <si>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</si>
  <si>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</si>
  <si>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</si>
  <si>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</si>
  <si>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</si>
  <si>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</si>
  <si>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</si>
  <si>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</si>
  <si>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</si>
  <si>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</si>
  <si>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</si>
  <si>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</si>
  <si>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</si>
  <si>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</si>
  <si>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</si>
  <si>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</si>
  <si>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</si>
  <si>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</si>
  <si>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</si>
  <si>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</si>
  <si>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</si>
  <si>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</si>
  <si>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</si>
  <si>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</si>
  <si>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</si>
  <si>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</si>
  <si>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</si>
  <si>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</si>
  <si>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</si>
  <si>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</si>
  <si>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</si>
  <si>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</si>
  <si>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</si>
  <si>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</si>
  <si>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</si>
  <si>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</si>
  <si>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</si>
  <si>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</si>
  <si>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</si>
  <si>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</si>
  <si>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</si>
  <si>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</si>
  <si>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</si>
  <si>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</si>
  <si>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</si>
  <si>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</si>
  <si>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</si>
  <si>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</si>
  <si>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</si>
  <si>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</si>
  <si>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</si>
  <si>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</si>
  <si>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</si>
  <si>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</si>
  <si>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</si>
  <si>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</si>
  <si>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</si>
  <si>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</si>
  <si>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</si>
  <si>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</si>
  <si>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</si>
  <si>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</si>
  <si>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</si>
  <si>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</si>
  <si>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</si>
  <si>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</si>
  <si>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</si>
  <si>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</si>
  <si>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</si>
  <si>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</si>
  <si>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</si>
  <si>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</si>
  <si>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</si>
  <si>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</si>
  <si>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</si>
  <si>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</si>
  <si>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</si>
  <si>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</si>
  <si>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</si>
  <si>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</si>
  <si>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</si>
  <si>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</si>
  <si>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</si>
  <si>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</si>
  <si>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</si>
  <si>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</si>
  <si>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</si>
  <si>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</si>
  <si>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</si>
  <si>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</si>
  <si>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</si>
  <si>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</si>
  <si>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</si>
  <si>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</si>
  <si>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</si>
  <si>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</si>
  <si>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</si>
  <si>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</si>
  <si>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</si>
  <si>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</si>
  <si>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</si>
  <si>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</si>
  <si>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</si>
  <si>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</si>
  <si>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</si>
  <si>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</si>
  <si>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</si>
  <si>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</si>
  <si>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</si>
  <si>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</si>
  <si>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</si>
  <si>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</si>
  <si>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</si>
  <si>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</si>
  <si>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</si>
  <si>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</si>
  <si>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</si>
  <si>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</si>
  <si>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</si>
  <si>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</si>
  <si>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</si>
  <si>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</si>
  <si>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</si>
  <si>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</si>
  <si>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</si>
  <si>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</si>
  <si>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</si>
  <si>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</si>
  <si>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</si>
  <si>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</si>
  <si>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2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</si>
  <si>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</si>
  <si>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</si>
  <si>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</si>
  <si>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</si>
  <si>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Utility Name: TORONTO HYDRO-ELECTRIC SYSTEM LIMITED</t>
  </si>
  <si>
    <t>N</t>
  </si>
  <si>
    <t>Y</t>
  </si>
  <si>
    <t>Other - Post employment benefits</t>
  </si>
  <si>
    <t>Other - Holdback payable</t>
  </si>
  <si>
    <t>Meter error re Ellesmere-net income adjustment</t>
  </si>
  <si>
    <t>Stationery/Advertising expense</t>
  </si>
  <si>
    <t>Nondeductible inventory obsolescence</t>
  </si>
  <si>
    <t>Please identify if Method 1, 2 or 3 was used to account for the PILs proxy and recovery.  ANSWER:  METHOD 3</t>
  </si>
  <si>
    <t>Decrease in income due to meter error</t>
  </si>
  <si>
    <t>Financing fee amortization - considered to be interest expense for PILs</t>
  </si>
  <si>
    <t>PILs TAXES - EB-2012-0064</t>
  </si>
  <si>
    <t>Financing fees deducted for tax</t>
  </si>
  <si>
    <t>Total PILs, as approved</t>
  </si>
  <si>
    <t>pre October 2001 bad debt expense</t>
  </si>
  <si>
    <t>net fibre rental expense for prior year</t>
  </si>
  <si>
    <t xml:space="preserve">    OEB Staff 84 a) revision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</si>
</sst>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00%"/>
  </numFmts>
  <fonts count="59">
    <font>
      <sz val="10"/>
      <name val="Arial"/>
      <family val="0"/>
    </font>
    <font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9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4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4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4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6" fontId="0" fillId="36" borderId="44" xfId="0" applyNumberFormat="1" applyFill="1" applyBorder="1" applyAlignment="1" applyProtection="1">
      <alignment horizontal="center" vertical="top"/>
      <protection locked="0"/>
    </xf>
    <xf numFmtId="16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66" fontId="0" fillId="41" borderId="44" xfId="0" applyNumberFormat="1" applyFill="1" applyBorder="1" applyAlignment="1" applyProtection="1">
      <alignment horizontal="center" vertical="top"/>
      <protection locked="0"/>
    </xf>
    <xf numFmtId="166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4" fillId="40" borderId="48" xfId="42" applyNumberFormat="1" applyFont="1" applyFill="1" applyBorder="1" applyAlignment="1" applyProtection="1">
      <alignment horizontal="center" vertical="top"/>
      <protection locked="0"/>
    </xf>
    <xf numFmtId="4" fontId="10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49" xfId="0" applyFont="1" applyFill="1" applyBorder="1" applyAlignment="1" applyProtection="1">
      <alignment horizontal="center" vertical="top"/>
      <protection locked="0"/>
    </xf>
    <xf numFmtId="3" fontId="4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40" borderId="49" xfId="42" applyNumberFormat="1" applyFont="1" applyFill="1" applyBorder="1" applyAlignment="1" applyProtection="1">
      <alignment horizontal="center" vertical="top"/>
      <protection locked="0"/>
    </xf>
    <xf numFmtId="0" fontId="10" fillId="40" borderId="55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5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19" fillId="0" borderId="18" xfId="0" applyNumberFormat="1" applyFont="1" applyBorder="1" applyAlignment="1">
      <alignment horizontal="left" vertical="top"/>
    </xf>
    <xf numFmtId="3" fontId="9" fillId="41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14" fontId="0" fillId="0" borderId="0" xfId="0" applyNumberForma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0" fontId="0" fillId="36" borderId="14" xfId="0" applyFill="1" applyBorder="1" applyAlignment="1" applyProtection="1">
      <alignment vertical="center" wrapText="1"/>
      <protection/>
    </xf>
    <xf numFmtId="0" fontId="0" fillId="36" borderId="14" xfId="0" applyFill="1" applyBorder="1" applyAlignment="1" applyProtection="1">
      <alignment vertical="center"/>
      <protection/>
    </xf>
    <xf numFmtId="3" fontId="0" fillId="36" borderId="14" xfId="0" applyNumberForma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3" fontId="0" fillId="41" borderId="14" xfId="0" applyNumberFormat="1" applyFill="1" applyBorder="1" applyAlignment="1">
      <alignment vertical="center"/>
    </xf>
    <xf numFmtId="0" fontId="9" fillId="0" borderId="0" xfId="0" applyFont="1" applyAlignment="1">
      <alignment vertical="top"/>
    </xf>
    <xf numFmtId="0" fontId="57" fillId="0" borderId="0" xfId="0" applyFont="1" applyFill="1" applyAlignment="1">
      <alignment vertical="top"/>
    </xf>
    <xf numFmtId="3" fontId="4" fillId="0" borderId="18" xfId="0" applyNumberFormat="1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view="pageBreakPreview" zoomScale="60" zoomScalePageLayoutView="0" workbookViewId="0" topLeftCell="A40">
      <selection activeCell="O61" sqref="O6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502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5" t="s">
        <v>449</v>
      </c>
      <c r="E3" s="8"/>
      <c r="F3" s="8"/>
      <c r="G3" s="8"/>
      <c r="H3" s="8"/>
    </row>
    <row r="4" spans="1:8" ht="12.75">
      <c r="A4" s="2" t="s">
        <v>474</v>
      </c>
      <c r="C4" s="8"/>
      <c r="D4" s="454" t="s">
        <v>445</v>
      </c>
      <c r="E4" s="428"/>
      <c r="H4" s="8"/>
    </row>
    <row r="5" spans="1:8" ht="12.75">
      <c r="A5" s="52"/>
      <c r="C5" s="8"/>
      <c r="D5" s="453" t="s">
        <v>446</v>
      </c>
      <c r="E5" s="398"/>
      <c r="H5" s="8"/>
    </row>
    <row r="6" spans="1:8" ht="12.75">
      <c r="A6" s="2" t="s">
        <v>126</v>
      </c>
      <c r="B6" s="388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0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0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0" t="s">
        <v>492</v>
      </c>
    </row>
    <row r="18" spans="1:4" ht="15" customHeight="1">
      <c r="A18" s="389" t="s">
        <v>315</v>
      </c>
      <c r="C18" s="8"/>
      <c r="D18" s="8"/>
    </row>
    <row r="19" spans="1:4" ht="15" customHeight="1">
      <c r="A19" s="503" t="s">
        <v>316</v>
      </c>
      <c r="B19" s="8" t="s">
        <v>313</v>
      </c>
      <c r="C19" s="8" t="s">
        <v>64</v>
      </c>
      <c r="D19" s="491" t="s">
        <v>493</v>
      </c>
    </row>
    <row r="20" spans="1:4" ht="13.5" thickBot="1">
      <c r="A20" s="504"/>
      <c r="B20" s="8" t="s">
        <v>314</v>
      </c>
      <c r="C20" s="8" t="s">
        <v>64</v>
      </c>
      <c r="D20" s="490" t="s">
        <v>492</v>
      </c>
    </row>
    <row r="21" spans="1:4" ht="12.75">
      <c r="A21" s="503" t="s">
        <v>312</v>
      </c>
      <c r="B21" s="8" t="s">
        <v>313</v>
      </c>
      <c r="C21" s="8"/>
      <c r="D21" s="423">
        <v>1</v>
      </c>
    </row>
    <row r="22" spans="1:4" ht="12.75">
      <c r="A22" s="503"/>
      <c r="B22" s="8" t="s">
        <v>314</v>
      </c>
      <c r="C22" s="8"/>
      <c r="D22" s="423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4" t="s">
        <v>475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297</v>
      </c>
    </row>
    <row r="27" spans="1:5" ht="12.75">
      <c r="A27" s="256" t="s">
        <v>68</v>
      </c>
      <c r="C27" s="8"/>
      <c r="E27" s="444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1">
        <v>1810112688</v>
      </c>
      <c r="H31" s="5"/>
    </row>
    <row r="32" ht="6" customHeight="1"/>
    <row r="33" spans="1:8" ht="12.75">
      <c r="A33" t="s">
        <v>71</v>
      </c>
      <c r="D33" s="422">
        <v>0.35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0.65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2">
        <v>0.0988</v>
      </c>
      <c r="H37" s="41"/>
    </row>
    <row r="38" ht="4.5" customHeight="1">
      <c r="H38" s="34"/>
    </row>
    <row r="39" spans="1:8" ht="12.75">
      <c r="A39" t="s">
        <v>74</v>
      </c>
      <c r="D39" s="422">
        <v>0.068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142600677.56064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5">
        <v>23304000</v>
      </c>
      <c r="E43" s="387">
        <f>D43</f>
        <v>23304000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119296677.56064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6">
        <v>39765559</v>
      </c>
      <c r="E47" s="387">
        <f aca="true" t="shared" si="0" ref="E47:E53">D47</f>
        <v>39765559</v>
      </c>
      <c r="H47" s="40"/>
      <c r="J47" s="5"/>
      <c r="K47" s="5"/>
    </row>
    <row r="48" spans="1:11" ht="12.75">
      <c r="A48" t="s">
        <v>290</v>
      </c>
      <c r="D48" s="426">
        <v>39765559</v>
      </c>
      <c r="E48" s="387">
        <f>D48</f>
        <v>39765559</v>
      </c>
      <c r="F48" s="22"/>
      <c r="H48" s="40"/>
      <c r="J48" s="5"/>
      <c r="K48" s="5"/>
    </row>
    <row r="49" spans="1:11" ht="12.75">
      <c r="A49" t="s">
        <v>291</v>
      </c>
      <c r="D49" s="427"/>
      <c r="E49" s="387">
        <v>0</v>
      </c>
      <c r="F49" s="22"/>
      <c r="H49" s="40"/>
      <c r="J49" s="5"/>
      <c r="K49" s="5"/>
    </row>
    <row r="50" spans="1:11" ht="12.75">
      <c r="A50" t="s">
        <v>292</v>
      </c>
      <c r="D50" s="428"/>
      <c r="E50" s="387">
        <f t="shared" si="0"/>
        <v>0</v>
      </c>
      <c r="H50" s="40"/>
      <c r="J50" s="5"/>
      <c r="K50" s="5"/>
    </row>
    <row r="51" spans="1:11" ht="12.75">
      <c r="A51" t="s">
        <v>442</v>
      </c>
      <c r="D51" s="425">
        <v>39765559</v>
      </c>
      <c r="E51" s="387">
        <f t="shared" si="0"/>
        <v>39765559</v>
      </c>
      <c r="H51" s="40"/>
      <c r="J51" s="5"/>
      <c r="K51" s="5"/>
    </row>
    <row r="52" spans="1:11" ht="12.75">
      <c r="A52" t="s">
        <v>464</v>
      </c>
      <c r="D52" s="428"/>
      <c r="E52" s="387">
        <f t="shared" si="0"/>
        <v>0</v>
      </c>
      <c r="H52" s="40"/>
      <c r="J52" s="5"/>
      <c r="K52" s="5"/>
    </row>
    <row r="53" spans="4:11" ht="12.75">
      <c r="D53" s="428"/>
      <c r="E53" s="387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142600677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633539440.8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62593696.75104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1176573247.2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80006980.80960001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35385561.155115515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57696270.82508251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57696270.82508251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450</v>
      </c>
      <c r="B70" s="5"/>
      <c r="C70" s="5"/>
      <c r="D70" s="253">
        <f>D62</f>
        <v>80006980.80960001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2755905511811024" right="0.2362204724409449" top="1.21" bottom="0.35433070866141736" header="0.1968503937007874" footer="0.11811023622047245"/>
  <pageSetup cellComments="asDisplayed" fitToHeight="1" fitToWidth="1" horizontalDpi="600" verticalDpi="600" orientation="portrait" scale="82" r:id="rId1"/>
  <headerFooter alignWithMargins="0">
    <oddHeader>&amp;RToronto Hydro-Electric System Limited
EB-2012-0064
Tab 5
Schedule D
Filed:  2012 May 10
Corrected:  2012 Oct 5
page &amp;P of &amp;N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tabSelected="1" view="pageBreakPreview" zoomScale="60" zoomScaleNormal="90" zoomScalePageLayoutView="0" workbookViewId="0" topLeftCell="A1">
      <selection activeCell="A39" sqref="A39"/>
    </sheetView>
  </sheetViews>
  <sheetFormatPr defaultColWidth="9.140625" defaultRowHeight="12.75"/>
  <cols>
    <col min="1" max="1" width="61.42187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2.2812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EB-2012-0064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466</v>
      </c>
      <c r="H1" s="210"/>
    </row>
    <row r="2" spans="1:8" ht="12.75">
      <c r="A2" s="211" t="s">
        <v>465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467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TORONTO HYDRO-ELECTRIC SYSTEM LIMITED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9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343</v>
      </c>
      <c r="B16" s="125">
        <v>1</v>
      </c>
      <c r="C16" s="259">
        <v>102835118</v>
      </c>
      <c r="D16" s="17"/>
      <c r="E16" s="267">
        <f>G16-C16</f>
        <v>37237600</v>
      </c>
      <c r="F16" s="3"/>
      <c r="G16" s="267">
        <f>TAXREC!E50</f>
        <v>140072718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106229000</v>
      </c>
      <c r="D20" s="18"/>
      <c r="E20" s="267">
        <f>G20-C20</f>
        <v>15765000</v>
      </c>
      <c r="F20" s="6"/>
      <c r="G20" s="267">
        <f>TAXREC!E61</f>
        <v>121994000</v>
      </c>
      <c r="H20" s="151"/>
    </row>
    <row r="21" spans="1:8" ht="12.75">
      <c r="A21" s="158" t="s">
        <v>56</v>
      </c>
      <c r="B21" s="127">
        <v>3</v>
      </c>
      <c r="C21" s="261">
        <v>33129140</v>
      </c>
      <c r="D21" s="18"/>
      <c r="E21" s="267">
        <f>G21-C21</f>
        <v>-33129140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119132936</v>
      </c>
      <c r="F23" s="6"/>
      <c r="G23" s="267">
        <f>TAXREC!E64</f>
        <v>119132936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1529753</v>
      </c>
      <c r="F28" s="6"/>
      <c r="G28" s="267">
        <f>TAXREC!E67</f>
        <v>1529753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3104309</v>
      </c>
      <c r="F29" s="6"/>
      <c r="G29" s="267">
        <f>TAXREC!E68</f>
        <v>3104309</v>
      </c>
      <c r="H29" s="151"/>
    </row>
    <row r="30" spans="1:8" ht="15.75">
      <c r="A30" s="481" t="s">
        <v>399</v>
      </c>
      <c r="B30" s="127"/>
      <c r="C30" s="259"/>
      <c r="D30" s="18"/>
      <c r="E30" s="267">
        <f>G30-C30</f>
        <v>16464375</v>
      </c>
      <c r="F30" s="6"/>
      <c r="G30" s="267">
        <f>TAXREC!E66</f>
        <v>16464375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344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76692530</v>
      </c>
      <c r="D33" s="132"/>
      <c r="E33" s="267">
        <f aca="true" t="shared" si="0" ref="E33:E42">G33-C33</f>
        <v>114800551</v>
      </c>
      <c r="F33" s="6"/>
      <c r="G33" s="267">
        <f>TAXREC!E97+TAXREC!E98</f>
        <v>191493081</v>
      </c>
      <c r="H33" s="151"/>
    </row>
    <row r="34" spans="1:8" ht="12.75">
      <c r="A34" s="158" t="s">
        <v>57</v>
      </c>
      <c r="B34" s="127">
        <v>8</v>
      </c>
      <c r="C34" s="261">
        <v>30011140</v>
      </c>
      <c r="D34" s="132"/>
      <c r="E34" s="267">
        <f t="shared" si="0"/>
        <v>-30011140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57696270.82508251</v>
      </c>
      <c r="D37" s="132"/>
      <c r="E37" s="267">
        <f t="shared" si="0"/>
        <v>15256447.17491749</v>
      </c>
      <c r="F37" s="6"/>
      <c r="G37" s="267">
        <f>TAXREC!E51</f>
        <v>72952718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114054159</v>
      </c>
      <c r="F39" s="6"/>
      <c r="G39" s="267">
        <f>TAXREC!E105</f>
        <v>114054159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24769</v>
      </c>
      <c r="F45" s="6"/>
      <c r="G45" s="251">
        <f>TAXREC!E131</f>
        <v>24769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1334612</v>
      </c>
      <c r="F47" s="6"/>
      <c r="G47" s="251">
        <f>TAXREC!E111</f>
        <v>1334612</v>
      </c>
      <c r="H47" s="151"/>
    </row>
    <row r="48" spans="1:8" ht="15.75">
      <c r="A48" s="481" t="s">
        <v>399</v>
      </c>
      <c r="B48" s="127"/>
      <c r="C48" s="259"/>
      <c r="D48" s="132"/>
      <c r="E48" s="267">
        <f>G48-C48</f>
        <v>9954324</v>
      </c>
      <c r="F48" s="6"/>
      <c r="G48" s="251">
        <f>TAXREC!E108</f>
        <v>9954324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330</v>
      </c>
      <c r="B50" s="125"/>
      <c r="C50" s="263">
        <f>C16+SUM(C20:C30)-SUM(C33:C48)</f>
        <v>77793317.17491749</v>
      </c>
      <c r="D50" s="102"/>
      <c r="E50" s="264">
        <f>E16+SUM(E20:E30)-SUM(E33:E48)</f>
        <v>-65308889.17491749</v>
      </c>
      <c r="F50" s="431" t="s">
        <v>371</v>
      </c>
      <c r="G50" s="263">
        <f>G16+SUM(G20:G30)-SUM(G33:G48)</f>
        <v>12484428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338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342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0</v>
      </c>
      <c r="F53" s="114"/>
      <c r="G53" s="473">
        <f>TAXREC!E151</f>
        <v>0.3862</v>
      </c>
      <c r="H53" s="151"/>
      <c r="I53" s="470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30043779.092953134</v>
      </c>
      <c r="D55" s="102"/>
      <c r="E55" s="267">
        <f>G55-C55</f>
        <v>-30043779.092953134</v>
      </c>
      <c r="F55" s="431" t="s">
        <v>372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372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30043779.092953134</v>
      </c>
      <c r="D60" s="133"/>
      <c r="E60" s="269">
        <f>+E55-E58</f>
        <v>-30043779.092953134</v>
      </c>
      <c r="F60" s="431" t="s">
        <v>372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1810112688</v>
      </c>
      <c r="D66" s="102"/>
      <c r="E66" s="267">
        <f>G66-C66</f>
        <v>125416854</v>
      </c>
      <c r="F66" s="6"/>
      <c r="G66" s="475">
        <v>1935529542</v>
      </c>
      <c r="H66" s="151"/>
      <c r="I66" s="499"/>
    </row>
    <row r="67" spans="1:10" ht="12.75">
      <c r="A67" s="152" t="s">
        <v>364</v>
      </c>
      <c r="B67" s="125">
        <v>16</v>
      </c>
      <c r="C67" s="260">
        <f>IF(C66&gt;0,'Tax Rates'!C21,0)</f>
        <v>5000000</v>
      </c>
      <c r="D67" s="102"/>
      <c r="E67" s="267">
        <f>G67-C67</f>
        <v>-413782</v>
      </c>
      <c r="F67" s="6"/>
      <c r="G67" s="475">
        <v>4586218</v>
      </c>
      <c r="H67" s="151"/>
      <c r="I67" s="499"/>
      <c r="J67" s="500"/>
    </row>
    <row r="68" spans="1:8" ht="12.75">
      <c r="A68" s="152" t="s">
        <v>42</v>
      </c>
      <c r="B68" s="125"/>
      <c r="C68" s="264">
        <f>IF((C66-C67)&gt;0,C66-C67,0)</f>
        <v>1805112688</v>
      </c>
      <c r="D68" s="102"/>
      <c r="E68" s="267">
        <f>SUM(E66:E67)</f>
        <v>125003072</v>
      </c>
      <c r="F68" s="114"/>
      <c r="G68" s="264">
        <f>G66-G67</f>
        <v>1930943324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5415338.064</v>
      </c>
      <c r="D72" s="101"/>
      <c r="E72" s="267">
        <f>+G72-C72</f>
        <v>377491.9079999998</v>
      </c>
      <c r="F72" s="476"/>
      <c r="G72" s="264">
        <f>IF(G68&gt;0,G68*G70,0)*REGINFO!$B$6/REGINFO!$B$7</f>
        <v>5792829.972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1810112688</v>
      </c>
      <c r="D75" s="102"/>
      <c r="E75" s="267">
        <f>+G75-C75</f>
        <v>135778341</v>
      </c>
      <c r="F75" s="6"/>
      <c r="G75" s="475">
        <v>1945891029</v>
      </c>
      <c r="H75" s="151"/>
      <c r="I75" s="499"/>
    </row>
    <row r="76" spans="1:9" ht="12.75">
      <c r="A76" s="152" t="s">
        <v>364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475">
        <f>'Tax Rates'!C58</f>
        <v>10000000</v>
      </c>
      <c r="H76" s="151"/>
      <c r="I76" s="499"/>
    </row>
    <row r="77" spans="1:8" ht="12.75">
      <c r="A77" s="152" t="s">
        <v>42</v>
      </c>
      <c r="B77" s="125"/>
      <c r="C77" s="264">
        <f>IF((C75-C76)&gt;0,C75-C76,0)</f>
        <v>1800112688</v>
      </c>
      <c r="D77" s="19"/>
      <c r="E77" s="267">
        <f>SUM(E75:E76)</f>
        <v>135778341</v>
      </c>
      <c r="F77" s="114"/>
      <c r="G77" s="264">
        <f>G75-G76</f>
        <v>1935891029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4050253.5479999995</v>
      </c>
      <c r="D81" s="102"/>
      <c r="E81" s="267">
        <f>+G81-C81</f>
        <v>305501.2672500005</v>
      </c>
      <c r="F81" s="6"/>
      <c r="G81" s="264">
        <f>G77*G79*B9/B10</f>
        <v>4355754.81525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871285.1523590758</v>
      </c>
      <c r="D82" s="102"/>
      <c r="E82" s="267">
        <f>+G82-C82</f>
        <v>-871285.1523590758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3178968.3956409236</v>
      </c>
      <c r="D84" s="16"/>
      <c r="E84" s="267">
        <f>E81-E82</f>
        <v>1176786.4196090763</v>
      </c>
      <c r="F84" s="103"/>
      <c r="G84" s="264">
        <f>G81-G82</f>
        <v>4355754.81525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373</v>
      </c>
      <c r="B90" s="127">
        <v>22</v>
      </c>
      <c r="C90" s="264">
        <f>C60/(1-C88)</f>
        <v>48070046.54872502</v>
      </c>
      <c r="D90" s="20"/>
      <c r="E90" s="139"/>
      <c r="F90" s="430" t="s">
        <v>483</v>
      </c>
      <c r="G90" s="270">
        <f>TAXREC!E156</f>
        <v>0</v>
      </c>
      <c r="H90" s="151"/>
    </row>
    <row r="91" spans="1:8" ht="12.75">
      <c r="A91" s="158" t="s">
        <v>374</v>
      </c>
      <c r="B91" s="127">
        <v>23</v>
      </c>
      <c r="C91" s="264">
        <f>C84/(1-C88)</f>
        <v>5086349.433025477</v>
      </c>
      <c r="D91" s="20"/>
      <c r="E91" s="139"/>
      <c r="F91" s="430" t="s">
        <v>483</v>
      </c>
      <c r="G91" s="270">
        <f>TAXREC!E158</f>
        <v>4355755</v>
      </c>
      <c r="H91" s="151"/>
    </row>
    <row r="92" spans="1:8" ht="12.75">
      <c r="A92" s="158" t="s">
        <v>352</v>
      </c>
      <c r="B92" s="127">
        <v>24</v>
      </c>
      <c r="C92" s="264">
        <f>C72</f>
        <v>5415338.064</v>
      </c>
      <c r="D92" s="20"/>
      <c r="E92" s="139"/>
      <c r="F92" s="430" t="s">
        <v>483</v>
      </c>
      <c r="G92" s="270">
        <f>TAXREC!E157</f>
        <v>5792830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484</v>
      </c>
      <c r="B95" s="125">
        <v>25</v>
      </c>
      <c r="C95" s="269">
        <f>SUM(C90:C93)</f>
        <v>58571734.0457505</v>
      </c>
      <c r="D95" s="6"/>
      <c r="E95" s="139"/>
      <c r="F95" s="430" t="s">
        <v>483</v>
      </c>
      <c r="G95" s="413">
        <f>SUM(G90:G94)</f>
        <v>10148585</v>
      </c>
      <c r="H95" s="164"/>
    </row>
    <row r="96" spans="1:8" ht="12.75">
      <c r="A96" s="403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0" t="s">
        <v>504</v>
      </c>
      <c r="B97" s="125"/>
      <c r="C97" s="501">
        <v>55000000</v>
      </c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350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-33129140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119132936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368</v>
      </c>
      <c r="B107" s="127">
        <v>6</v>
      </c>
      <c r="C107" s="112"/>
      <c r="D107" s="3"/>
      <c r="E107" s="251">
        <f>E28</f>
        <v>1529753</v>
      </c>
      <c r="F107" s="37"/>
      <c r="G107" s="201"/>
      <c r="H107" s="164"/>
    </row>
    <row r="108" spans="1:8" ht="12.75">
      <c r="A108" s="156" t="s">
        <v>366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-30011140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322</v>
      </c>
      <c r="B112" s="127">
        <v>11</v>
      </c>
      <c r="C112" s="112"/>
      <c r="D112" s="3"/>
      <c r="E112" s="472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114054159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370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3490530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69">
        <f>+'Tax Rates'!F52</f>
        <v>0.3862</v>
      </c>
      <c r="F122" s="470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1348042.686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1348042.686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9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356</v>
      </c>
      <c r="B132" s="130"/>
      <c r="C132" s="112"/>
      <c r="D132" s="3"/>
      <c r="E132" s="263">
        <f>E128/(1-E130)</f>
        <v>2156868.2976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77793317.17491749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9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30043779.092953134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30043779.092953134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30043779.092953134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480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1810112688</v>
      </c>
      <c r="F151" s="37"/>
      <c r="G151" s="201"/>
      <c r="H151" s="164"/>
    </row>
    <row r="152" spans="1:8" ht="12.75">
      <c r="A152" s="171" t="s">
        <v>362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1805112688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363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5415338.064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5415338.064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4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1810112688</v>
      </c>
      <c r="F162" s="37"/>
      <c r="G162" s="201"/>
      <c r="H162" s="164"/>
    </row>
    <row r="163" spans="1:8" ht="12.75">
      <c r="A163" s="171" t="s">
        <v>361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1800112688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4050253.5479999995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871285.1523590758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3178968.3956409236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351</v>
      </c>
      <c r="B172" s="130"/>
      <c r="C172" s="112"/>
      <c r="D172" s="118" t="s">
        <v>188</v>
      </c>
      <c r="E172" s="305">
        <f>C84</f>
        <v>3178968.3956409236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4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348</v>
      </c>
      <c r="B175" s="130"/>
      <c r="C175" s="112"/>
      <c r="D175" s="119"/>
      <c r="E175" s="469">
        <f>IF((E120+G50)&gt;'Tax Rates'!E47,'Tax Rates'!F52-1.12%,IF((E120+G50)&gt;'Tax Rates'!D47,'Tax Rates'!E52-1.12%,IF((E120+G50)&gt;'Tax Rates'!C47,'Tax Rates'!D52,'Tax Rates'!C52-1.12%)))</f>
        <v>0.375</v>
      </c>
      <c r="F175" s="470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357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349</v>
      </c>
      <c r="B183" s="130"/>
      <c r="C183" s="112"/>
      <c r="D183" s="119" t="s">
        <v>187</v>
      </c>
      <c r="E183" s="302">
        <f>E132</f>
        <v>2156868.2976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358</v>
      </c>
      <c r="B185" s="130"/>
      <c r="C185" s="112"/>
      <c r="D185" s="119" t="s">
        <v>189</v>
      </c>
      <c r="E185" s="302">
        <f>E181+E183</f>
        <v>2156868.2976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80006980.80960001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57696270.82508251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345</v>
      </c>
      <c r="B196" s="127"/>
      <c r="C196" s="112"/>
      <c r="D196" s="120"/>
      <c r="E196" s="308">
        <f>E193-E194</f>
        <v>22310709.9845175</v>
      </c>
      <c r="F196" s="3"/>
      <c r="G196" s="123"/>
      <c r="H196" s="164"/>
    </row>
    <row r="197" spans="1:8" ht="12.75">
      <c r="A197" s="155" t="s">
        <v>346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3"/>
      <c r="H200" s="164"/>
    </row>
    <row r="201" spans="1:8" ht="12.75">
      <c r="A201" s="155" t="s">
        <v>252</v>
      </c>
      <c r="B201" s="127"/>
      <c r="C201" s="112"/>
      <c r="D201" s="120"/>
      <c r="E201" s="308">
        <f>G37</f>
        <v>72952718</v>
      </c>
      <c r="F201" s="3"/>
      <c r="G201" s="483"/>
      <c r="H201" s="164"/>
    </row>
    <row r="202" spans="1:8" ht="12.75">
      <c r="A202" s="155" t="s">
        <v>347</v>
      </c>
      <c r="B202" s="127"/>
      <c r="C202" s="112"/>
      <c r="D202" s="120"/>
      <c r="E202" s="308">
        <f>REGINFO!D62</f>
        <v>80006980.80960001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321</v>
      </c>
      <c r="B206" s="127"/>
      <c r="C206" s="112"/>
      <c r="D206" s="120"/>
      <c r="E206" s="471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22310709.9845175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 horizontalCentered="1"/>
  <pageMargins left="0.2755905511811024" right="0.2362204724409449" top="1.141732283464567" bottom="0.35433070866141736" header="0.1968503937007874" footer="0.11811023622047245"/>
  <pageSetup cellComments="asDisplayed" fitToHeight="0" horizontalDpi="600" verticalDpi="600" orientation="portrait" scale="61" r:id="rId1"/>
  <headerFooter alignWithMargins="0">
    <oddHeader>&amp;RToronto Hydro-Electric System Limited
EB-2012-0064
Tab 5
Schedule D
Filed:  2012 May 10
Corrected:  2012 Oct 5
page &amp;P of &amp;N</oddHeader>
    <oddFooter>&amp;C&amp;A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BreakPreview" zoomScale="60" zoomScaleNormal="66" zoomScalePageLayoutView="0" workbookViewId="0" topLeftCell="A155">
      <selection activeCell="G164" sqref="G16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EB-2012-0064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TORONTO HYDRO-ELECTRIC SYSTEM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485">
        <v>37257</v>
      </c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485">
        <v>37621</v>
      </c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8">
        <v>1523493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6" t="s">
        <v>492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6" t="s">
        <v>493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486" t="s">
        <v>492</v>
      </c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328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259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326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327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2389886000</v>
      </c>
      <c r="D32" s="286"/>
      <c r="E32" s="284">
        <f>C32-D32</f>
        <v>2389886000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10343000</v>
      </c>
      <c r="D33" s="286"/>
      <c r="E33" s="284">
        <f>C33-D33</f>
        <v>10343000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1280000</v>
      </c>
      <c r="D34" s="286"/>
      <c r="E34" s="284">
        <f>C34-D34</f>
        <v>1280000</v>
      </c>
      <c r="F34" s="11"/>
      <c r="G34" s="11"/>
      <c r="H34" s="6"/>
      <c r="I34" s="6"/>
    </row>
    <row r="35" spans="1:9" ht="13.5" thickBot="1">
      <c r="A35" s="488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1974923000</v>
      </c>
      <c r="D39" s="286"/>
      <c r="E39" s="284">
        <f>C39-D39</f>
        <v>1974923000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/>
      <c r="D40" s="286"/>
      <c r="E40" s="284">
        <f aca="true" t="shared" si="0" ref="E40:E48">C40-D40</f>
        <v>0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166296000</v>
      </c>
      <c r="D42" s="286"/>
      <c r="E42" s="284">
        <f t="shared" si="0"/>
        <v>166296000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121994000</v>
      </c>
      <c r="D43" s="286"/>
      <c r="E43" s="284">
        <f t="shared" si="0"/>
        <v>121994000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" t="s">
        <v>490</v>
      </c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02" t="s">
        <v>507</v>
      </c>
      <c r="B46" s="23" t="s">
        <v>188</v>
      </c>
      <c r="C46" s="285">
        <v>-1776718</v>
      </c>
      <c r="D46" s="286"/>
      <c r="E46" s="284">
        <f t="shared" si="0"/>
        <v>-1776718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140072718</v>
      </c>
      <c r="D50" s="281">
        <f>SUM(D31:D36)-SUM(D39:D49)</f>
        <v>0</v>
      </c>
      <c r="E50" s="281">
        <f>SUM(E31:E35)-SUM(E39:E48)</f>
        <v>140072718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72952718</v>
      </c>
      <c r="D51" s="285"/>
      <c r="E51" s="282">
        <f>+C51-D51</f>
        <v>72952718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>
        <v>4270000</v>
      </c>
      <c r="D52" s="285"/>
      <c r="E52" s="283">
        <f>+C52-D52</f>
        <v>4270000</v>
      </c>
      <c r="F52" s="8"/>
    </row>
    <row r="53" spans="1:6" ht="12.75">
      <c r="A53" s="2" t="s">
        <v>131</v>
      </c>
      <c r="B53" s="8" t="s">
        <v>189</v>
      </c>
      <c r="C53" s="281">
        <f>C50-C51-C52</f>
        <v>62850000</v>
      </c>
      <c r="D53" s="281">
        <f>D50-D51-D52</f>
        <v>0</v>
      </c>
      <c r="E53" s="281">
        <f>E50-E51-E52</f>
        <v>62850000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>
        <f>C52</f>
        <v>4270000</v>
      </c>
      <c r="D59" s="287">
        <f>D52</f>
        <v>0</v>
      </c>
      <c r="E59" s="272">
        <f>+C59-D59</f>
        <v>4270000</v>
      </c>
      <c r="F59" s="8"/>
    </row>
    <row r="60" spans="1:6" ht="12.75">
      <c r="A60" s="4" t="s">
        <v>329</v>
      </c>
      <c r="B60" s="8" t="s">
        <v>187</v>
      </c>
      <c r="C60" s="317"/>
      <c r="D60" s="317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121994000</v>
      </c>
      <c r="D61" s="287">
        <f>D43</f>
        <v>0</v>
      </c>
      <c r="E61" s="272">
        <f>+C61-D61</f>
        <v>121994000</v>
      </c>
      <c r="F61" s="8"/>
      <c r="G61" s="415"/>
    </row>
    <row r="62" spans="1:6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  <c r="F62" s="8"/>
    </row>
    <row r="63" spans="1:6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5">
        <f>'Tax Reserves'!C63</f>
        <v>119132936</v>
      </c>
      <c r="D64" s="316">
        <f>'Tax Reserves'!D63</f>
        <v>0</v>
      </c>
      <c r="E64" s="272">
        <f>+C64-D64</f>
        <v>119132936</v>
      </c>
      <c r="F64" s="8"/>
    </row>
    <row r="65" spans="1:6" ht="12.75">
      <c r="A65" t="s">
        <v>447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399</v>
      </c>
      <c r="B66" s="8"/>
      <c r="C66" s="446">
        <f>'TAXREC 3 No True-up'!C47</f>
        <v>16464375</v>
      </c>
      <c r="D66" s="446">
        <f>'TAXREC 3 No True-up'!D47</f>
        <v>0</v>
      </c>
      <c r="E66" s="272">
        <f>+C66-D66</f>
        <v>16464375</v>
      </c>
      <c r="F66" s="8"/>
    </row>
    <row r="67" spans="1:6" ht="12.75">
      <c r="A67" t="s">
        <v>160</v>
      </c>
      <c r="B67" s="8" t="s">
        <v>187</v>
      </c>
      <c r="C67" s="251">
        <f>'TAXREC 2'!C77</f>
        <v>1529753</v>
      </c>
      <c r="D67" s="251">
        <f>'TAXREC 2'!D77</f>
        <v>0</v>
      </c>
      <c r="E67" s="272">
        <f>+C67-D67</f>
        <v>1529753</v>
      </c>
      <c r="F67" s="8"/>
    </row>
    <row r="68" spans="1:11" ht="12.75">
      <c r="A68" t="s">
        <v>161</v>
      </c>
      <c r="B68" s="8" t="s">
        <v>187</v>
      </c>
      <c r="C68" s="251">
        <f>'TAXREC 2'!C78</f>
        <v>3104309</v>
      </c>
      <c r="D68" s="251">
        <f>'TAXREC 2'!D78</f>
        <v>0</v>
      </c>
      <c r="E68" s="272">
        <f>+C68-D68</f>
        <v>3104309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266495373</v>
      </c>
      <c r="D70" s="272">
        <f>SUM(D59:D68)</f>
        <v>0</v>
      </c>
      <c r="E70" s="272">
        <f>SUM(E59:E68)</f>
        <v>266495373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477</v>
      </c>
      <c r="B76" s="8" t="s">
        <v>187</v>
      </c>
      <c r="C76" s="477"/>
      <c r="D76" s="294"/>
      <c r="E76" s="47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266495373</v>
      </c>
      <c r="D82" s="251">
        <f>D70+D80</f>
        <v>0</v>
      </c>
      <c r="E82" s="251">
        <f>E70+E80</f>
        <v>266495373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435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190104129</v>
      </c>
      <c r="D97" s="294"/>
      <c r="E97" s="272">
        <f>+C97-D97</f>
        <v>190104129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1388952</v>
      </c>
      <c r="D98" s="294"/>
      <c r="E98" s="272">
        <f>+C98-D98</f>
        <v>1388952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114054159</v>
      </c>
      <c r="D105" s="318">
        <f>'Tax Reserves'!D50</f>
        <v>0</v>
      </c>
      <c r="E105" s="282">
        <f t="shared" si="5"/>
        <v>114054159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399</v>
      </c>
      <c r="B108" s="8"/>
      <c r="C108" s="254">
        <f>'TAXREC 3 No True-up'!C73</f>
        <v>9954324</v>
      </c>
      <c r="D108" s="254">
        <f>'TAXREC 3 No True-up'!D73</f>
        <v>0</v>
      </c>
      <c r="E108" s="272">
        <f t="shared" si="5"/>
        <v>9954324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1334612</v>
      </c>
      <c r="D111" s="251">
        <f>'TAXREC 2'!D120</f>
        <v>0</v>
      </c>
      <c r="E111" s="251">
        <f>'TAXREC 2'!E120</f>
        <v>1334612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316836176</v>
      </c>
      <c r="D113" s="251">
        <f>SUM(D97:D111)</f>
        <v>0</v>
      </c>
      <c r="E113" s="251">
        <f>SUM(E97:E111)</f>
        <v>316836176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>
        <v>24769</v>
      </c>
      <c r="D115" s="294"/>
      <c r="E115" s="272">
        <f>+C115-D115</f>
        <v>24769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24769</v>
      </c>
      <c r="D120" s="251">
        <f>SUM(D114:D119)</f>
        <v>0</v>
      </c>
      <c r="E120" s="251">
        <f>SUM(E114:E119)</f>
        <v>24769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316860945</v>
      </c>
      <c r="D122" s="251">
        <f>D113+D120</f>
        <v>0</v>
      </c>
      <c r="E122" s="251">
        <f>+E113+E120</f>
        <v>316860945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24769</v>
      </c>
      <c r="D131" s="251">
        <f>D120-D130</f>
        <v>0</v>
      </c>
      <c r="E131" s="251">
        <f>E120-E130</f>
        <v>24769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24769</v>
      </c>
      <c r="D132" s="251">
        <f>D130+D131</f>
        <v>0</v>
      </c>
      <c r="E132" s="251">
        <f>E130+E131</f>
        <v>24769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12484428</v>
      </c>
      <c r="D134" s="251">
        <f>D53+D82-D122</f>
        <v>0</v>
      </c>
      <c r="E134" s="251">
        <f>E53+E82-E122</f>
        <v>12484428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379</v>
      </c>
      <c r="B136" s="8" t="s">
        <v>188</v>
      </c>
      <c r="C136" s="294">
        <v>12484428</v>
      </c>
      <c r="D136" s="294"/>
      <c r="E136" s="264">
        <f>C136-D136</f>
        <v>12484428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0"/>
      <c r="D137" s="310"/>
      <c r="E137" s="393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0</v>
      </c>
      <c r="E139" s="252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298"/>
      <c r="D142" s="298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4">
        <f>+'Tax Rates'!F50</f>
        <v>0.2612</v>
      </c>
      <c r="D149" s="5"/>
      <c r="E149" s="405">
        <f>C149</f>
        <v>0.2612</v>
      </c>
      <c r="F149" s="8"/>
      <c r="G149" s="45"/>
      <c r="H149" s="45"/>
      <c r="I149" s="45"/>
      <c r="J149" s="45"/>
      <c r="K149" s="45"/>
    </row>
    <row r="150" spans="1:11" ht="12.75">
      <c r="A150" s="46" t="s">
        <v>332</v>
      </c>
      <c r="B150" s="8"/>
      <c r="C150" s="404">
        <f>+'Tax Rates'!F51</f>
        <v>0.125</v>
      </c>
      <c r="D150" s="5"/>
      <c r="E150" s="405">
        <f>C150</f>
        <v>0.125</v>
      </c>
      <c r="F150" s="8"/>
      <c r="G150" s="45"/>
      <c r="H150" s="45"/>
      <c r="I150" s="45"/>
      <c r="J150" s="45"/>
      <c r="K150" s="45"/>
    </row>
    <row r="151" spans="1:11" ht="12.75">
      <c r="A151" t="s">
        <v>333</v>
      </c>
      <c r="B151" s="8"/>
      <c r="C151" s="405">
        <f>SUM(C149:C150)</f>
        <v>0.3862</v>
      </c>
      <c r="D151" s="482" t="s">
        <v>485</v>
      </c>
      <c r="E151" s="405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482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79">
        <v>5792830</v>
      </c>
      <c r="D157" s="251"/>
      <c r="E157" s="251">
        <f>C157+D157</f>
        <v>5792830</v>
      </c>
    </row>
    <row r="158" spans="1:5" ht="12.75">
      <c r="A158" t="s">
        <v>218</v>
      </c>
      <c r="B158" s="86" t="s">
        <v>187</v>
      </c>
      <c r="C158" s="479">
        <v>4355755</v>
      </c>
      <c r="D158" s="251"/>
      <c r="E158" s="251">
        <f>C158+D158</f>
        <v>4355755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10148585</v>
      </c>
      <c r="D160" s="251">
        <f>D156+D157+D158</f>
        <v>0</v>
      </c>
      <c r="E160" s="251">
        <f>E156+E157+E158</f>
        <v>10148585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2755905511811024" right="0.2362204724409449" top="1.3385826771653544" bottom="0.35433070866141736" header="0.1968503937007874" footer="0.11811023622047245"/>
  <pageSetup cellComments="asDisplayed" fitToHeight="0" fitToWidth="1" horizontalDpi="600" verticalDpi="600" orientation="portrait" scale="86" r:id="rId1"/>
  <headerFooter alignWithMargins="0">
    <oddHeader>&amp;RToronto Hydro-Electric System Limited
EB-2012-0064
Tab 5
Schedule D
Filed:  2012 May 10
Corrected:  2012 Oct 5
page &amp;P of &amp;N</oddHeader>
    <oddFooter>&amp;C&amp;A</oddFooter>
  </headerFooter>
  <rowBreaks count="3" manualBreakCount="3">
    <brk id="55" max="255" man="1"/>
    <brk id="95" max="5" man="1"/>
    <brk id="1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="60" zoomScalePageLayoutView="0" workbookViewId="0" topLeftCell="A1">
      <selection activeCell="D20" sqref="D2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0.85546875" style="0" customWidth="1"/>
  </cols>
  <sheetData>
    <row r="1" spans="1:6" ht="12.75">
      <c r="A1" s="1" t="str">
        <f>REGINFO!A1</f>
        <v>PILs TAXES - EB-2012-0064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TORONTO HYDRO-ELECTRIC SYSTEM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451</v>
      </c>
      <c r="B18" s="61"/>
      <c r="C18" s="294"/>
      <c r="D18" s="294"/>
      <c r="E18" s="251">
        <f t="shared" si="0"/>
        <v>0</v>
      </c>
    </row>
    <row r="19" spans="1:5" ht="12.75">
      <c r="A19" s="61" t="s">
        <v>451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451</v>
      </c>
      <c r="B30" s="61"/>
      <c r="C30" s="294"/>
      <c r="D30" s="294"/>
      <c r="E30" s="251">
        <f t="shared" si="1"/>
        <v>0</v>
      </c>
    </row>
    <row r="31" spans="1:5" ht="12.75">
      <c r="A31" s="61" t="s">
        <v>451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>
        <v>1800596</v>
      </c>
      <c r="D43" s="294"/>
      <c r="E43" s="251">
        <f t="shared" si="2"/>
        <v>1800596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>
        <v>7525248</v>
      </c>
      <c r="D45" s="294"/>
      <c r="E45" s="251">
        <f t="shared" si="2"/>
        <v>7525248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487" t="s">
        <v>494</v>
      </c>
      <c r="B47" s="61"/>
      <c r="C47" s="294">
        <v>103550000</v>
      </c>
      <c r="D47" s="294"/>
      <c r="E47" s="251">
        <f t="shared" si="2"/>
        <v>103550000</v>
      </c>
    </row>
    <row r="48" spans="1:5" ht="12.75">
      <c r="A48" s="487" t="s">
        <v>495</v>
      </c>
      <c r="B48" s="61"/>
      <c r="C48" s="294">
        <v>1178315</v>
      </c>
      <c r="D48" s="294"/>
      <c r="E48" s="251">
        <f t="shared" si="2"/>
        <v>1178315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114054159</v>
      </c>
      <c r="D50" s="251">
        <f>SUM(D41:D49)</f>
        <v>0</v>
      </c>
      <c r="E50" s="251">
        <f>SUM(E41:E49)</f>
        <v>114054159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>
        <v>3333000</v>
      </c>
      <c r="D55" s="294"/>
      <c r="E55" s="251">
        <f t="shared" si="3"/>
        <v>3333000</v>
      </c>
    </row>
    <row r="56" spans="1:5" ht="12.75">
      <c r="A56" s="246" t="s">
        <v>268</v>
      </c>
      <c r="B56" s="61"/>
      <c r="C56" s="294">
        <v>9000000</v>
      </c>
      <c r="D56" s="294"/>
      <c r="E56" s="251">
        <f t="shared" si="3"/>
        <v>9000000</v>
      </c>
    </row>
    <row r="57" spans="1:5" ht="12.75">
      <c r="A57" s="246" t="s">
        <v>269</v>
      </c>
      <c r="B57" s="61"/>
      <c r="C57" s="294">
        <v>2935988</v>
      </c>
      <c r="D57" s="294"/>
      <c r="E57" s="251">
        <f t="shared" si="3"/>
        <v>2935988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487" t="s">
        <v>494</v>
      </c>
      <c r="B59" s="61"/>
      <c r="C59" s="294">
        <v>103795000</v>
      </c>
      <c r="D59" s="294"/>
      <c r="E59" s="251">
        <f t="shared" si="3"/>
        <v>103795000</v>
      </c>
    </row>
    <row r="60" spans="1:5" ht="12.75">
      <c r="A60" s="487" t="s">
        <v>495</v>
      </c>
      <c r="B60" s="61"/>
      <c r="C60" s="294">
        <v>68948</v>
      </c>
      <c r="D60" s="294"/>
      <c r="E60" s="251">
        <f t="shared" si="3"/>
        <v>68948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119132936</v>
      </c>
      <c r="D63" s="251">
        <f>SUM(D53:D61)</f>
        <v>0</v>
      </c>
      <c r="E63" s="251">
        <f>SUM(E53:E61)</f>
        <v>119132936</v>
      </c>
    </row>
  </sheetData>
  <sheetProtection/>
  <printOptions gridLines="1" headings="1" horizontalCentered="1"/>
  <pageMargins left="0.2755905511811024" right="0.2362204724409449" top="1.3385826771653544" bottom="0.35433070866141736" header="0.1968503937007874" footer="0.11811023622047245"/>
  <pageSetup cellComments="asDisplayed" fitToHeight="1" fitToWidth="1" horizontalDpi="600" verticalDpi="600" orientation="portrait" scale="83" r:id="rId1"/>
  <headerFooter alignWithMargins="0">
    <oddHeader>&amp;RToronto Hydro-Electric System Limited
EB-2012-0064
Tab 5
Schedule D
Filed:  2012 May 10
Corrected:  2012 Oct 5
page &amp;P of &amp;N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view="pageBreakPreview" zoomScale="60" zoomScaleNormal="75" zoomScalePageLayoutView="0" workbookViewId="0" topLeftCell="A1">
      <pane xSplit="1" ySplit="6" topLeftCell="B99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109" sqref="A10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1.8515625" style="0" customWidth="1"/>
  </cols>
  <sheetData>
    <row r="1" ht="12.75">
      <c r="E1" s="92"/>
    </row>
    <row r="2" spans="1:6" ht="12.75">
      <c r="A2" s="1" t="str">
        <f>REGINFO!A1</f>
        <v>PILs TAXES - EB-2012-0064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468</v>
      </c>
      <c r="B5" s="8"/>
      <c r="C5" s="8" t="s">
        <v>2</v>
      </c>
      <c r="D5" s="8"/>
      <c r="E5" s="8"/>
      <c r="F5" s="8"/>
    </row>
    <row r="6" spans="1:6" ht="12.75">
      <c r="A6" s="415" t="s">
        <v>448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TORONTO HYDRO-ELECTRIC SYSTEM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1523493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5">C18-D18</f>
        <v>0</v>
      </c>
    </row>
    <row r="19" spans="1:5" ht="12.75">
      <c r="A19" s="67" t="s">
        <v>135</v>
      </c>
      <c r="B19" t="s">
        <v>187</v>
      </c>
      <c r="C19" s="295">
        <v>229284</v>
      </c>
      <c r="D19" s="295"/>
      <c r="E19" s="312">
        <f t="shared" si="0"/>
        <v>229284</v>
      </c>
    </row>
    <row r="20" spans="1:5" ht="12.75">
      <c r="A20" s="67" t="s">
        <v>452</v>
      </c>
      <c r="B20" t="s">
        <v>187</v>
      </c>
      <c r="C20" s="295">
        <v>11594</v>
      </c>
      <c r="D20" s="313"/>
      <c r="E20" s="312">
        <f t="shared" si="0"/>
        <v>11594</v>
      </c>
    </row>
    <row r="21" spans="1:5" ht="12.75">
      <c r="A21" s="67" t="s">
        <v>8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>
        <v>1200362</v>
      </c>
      <c r="D24" s="295"/>
      <c r="E24" s="312">
        <f t="shared" si="0"/>
        <v>1200362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>
        <v>534688</v>
      </c>
      <c r="D29" s="295"/>
      <c r="E29" s="312">
        <f t="shared" si="0"/>
        <v>534688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476</v>
      </c>
      <c r="B36" t="s">
        <v>187</v>
      </c>
      <c r="C36" s="295">
        <v>1038000</v>
      </c>
      <c r="D36" s="295"/>
      <c r="E36" s="312">
        <f t="shared" si="0"/>
        <v>1038000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1:5" ht="12.75">
      <c r="A38" s="68" t="s">
        <v>204</v>
      </c>
      <c r="B38" t="s">
        <v>187</v>
      </c>
      <c r="C38" s="295"/>
      <c r="D38" s="295"/>
      <c r="E38" s="251">
        <f t="shared" si="0"/>
        <v>0</v>
      </c>
    </row>
    <row r="39" spans="1:5" ht="12.75">
      <c r="A39" s="488" t="s">
        <v>497</v>
      </c>
      <c r="B39" t="s">
        <v>187</v>
      </c>
      <c r="C39" s="294">
        <v>90381</v>
      </c>
      <c r="D39" s="295"/>
      <c r="E39" s="251">
        <f t="shared" si="0"/>
        <v>90381</v>
      </c>
    </row>
    <row r="40" spans="2:5" ht="12.75">
      <c r="B40" t="s">
        <v>187</v>
      </c>
      <c r="C40" s="294"/>
      <c r="D40" s="294"/>
      <c r="E40" s="251">
        <f t="shared" si="0"/>
        <v>0</v>
      </c>
    </row>
    <row r="41" spans="1:5" ht="12.75">
      <c r="A41" s="489"/>
      <c r="B41" t="s">
        <v>187</v>
      </c>
      <c r="C41" s="294"/>
      <c r="D41" s="294"/>
      <c r="E41" s="251">
        <f t="shared" si="0"/>
        <v>0</v>
      </c>
    </row>
    <row r="42" spans="1:5" ht="12.75">
      <c r="A42" s="489"/>
      <c r="B42" t="s">
        <v>187</v>
      </c>
      <c r="C42" s="294"/>
      <c r="D42" s="294"/>
      <c r="E42" s="251">
        <f t="shared" si="0"/>
        <v>0</v>
      </c>
    </row>
    <row r="43" spans="1:5" ht="12.75">
      <c r="A43" s="489"/>
      <c r="B43" t="s">
        <v>187</v>
      </c>
      <c r="C43" s="294"/>
      <c r="D43" s="294"/>
      <c r="E43" s="251">
        <f t="shared" si="0"/>
        <v>0</v>
      </c>
    </row>
    <row r="44" spans="1:5" ht="12.75">
      <c r="A44" s="489" t="s">
        <v>498</v>
      </c>
      <c r="B44" t="s">
        <v>187</v>
      </c>
      <c r="C44" s="294">
        <v>1529753</v>
      </c>
      <c r="D44" s="294"/>
      <c r="E44" s="251">
        <f t="shared" si="0"/>
        <v>1529753</v>
      </c>
    </row>
    <row r="45" spans="1:5" ht="12.75">
      <c r="A45" s="488"/>
      <c r="B45" t="s">
        <v>187</v>
      </c>
      <c r="C45" s="294"/>
      <c r="D45" s="294"/>
      <c r="E45" s="279">
        <f t="shared" si="0"/>
        <v>0</v>
      </c>
    </row>
    <row r="46" spans="1:5" ht="12.75">
      <c r="A46" s="70" t="s">
        <v>170</v>
      </c>
      <c r="B46" t="s">
        <v>189</v>
      </c>
      <c r="C46" s="251">
        <f>SUM(C17:C45)</f>
        <v>4634062</v>
      </c>
      <c r="D46" s="251">
        <f>SUM(D17:D45)</f>
        <v>0</v>
      </c>
      <c r="E46" s="251">
        <f>SUM(E17:E45)</f>
        <v>4634062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>IF($E40&gt;$C$11,A38,"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>IF($E41&gt;$C$11,A41," ")</f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>IF($E42&gt;$C$11,A42," ")</f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>IF($E43&gt;$C$11,A43," ")</f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>IF($E44&gt;$C$11,A44," ")</f>
        <v>Nondeductible inventory obsolescence</v>
      </c>
      <c r="B75" s="273"/>
      <c r="C75" s="251">
        <f t="shared" si="3"/>
        <v>1529753</v>
      </c>
      <c r="D75" s="251">
        <f t="shared" si="3"/>
        <v>0</v>
      </c>
      <c r="E75" s="251">
        <f t="shared" si="3"/>
        <v>1529753</v>
      </c>
    </row>
    <row r="76" spans="1:5" ht="12.75">
      <c r="A76" s="275" t="str">
        <f>IF($E45&gt;$C$11,A45," ")</f>
        <v> </v>
      </c>
      <c r="B76" s="274"/>
      <c r="C76" s="251">
        <f>IF($E45&gt;$C$11,C45,)</f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1529753</v>
      </c>
      <c r="D77" s="251">
        <f>SUM(D49:D75)</f>
        <v>0</v>
      </c>
      <c r="E77" s="251">
        <f>SUM(E49:E75)</f>
        <v>1529753</v>
      </c>
    </row>
    <row r="78" spans="1:5" ht="12.75">
      <c r="A78" s="276" t="s">
        <v>203</v>
      </c>
      <c r="B78" s="277"/>
      <c r="C78" s="314">
        <f>C46-C77</f>
        <v>3104309</v>
      </c>
      <c r="D78" s="314">
        <f>D46-D77</f>
        <v>0</v>
      </c>
      <c r="E78" s="314">
        <f>E46-E77</f>
        <v>3104309</v>
      </c>
    </row>
    <row r="79" spans="1:5" ht="12.75">
      <c r="A79" s="276" t="s">
        <v>170</v>
      </c>
      <c r="B79" s="277"/>
      <c r="C79" s="314">
        <f>C77+C78</f>
        <v>4634062</v>
      </c>
      <c r="D79" s="314">
        <f>D77+D78</f>
        <v>0</v>
      </c>
      <c r="E79" s="314">
        <f>E77+E78</f>
        <v>4634062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4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4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4"/>
        <v>0</v>
      </c>
    </row>
    <row r="86" spans="1:5" ht="12.75">
      <c r="A86" s="67" t="s">
        <v>194</v>
      </c>
      <c r="B86" s="8" t="s">
        <v>188</v>
      </c>
      <c r="C86" s="294">
        <v>1200362</v>
      </c>
      <c r="D86" s="294"/>
      <c r="E86" s="251">
        <f t="shared" si="4"/>
        <v>1200362</v>
      </c>
    </row>
    <row r="87" spans="1:5" ht="12.75">
      <c r="A87" s="67" t="s">
        <v>381</v>
      </c>
      <c r="B87" s="8" t="s">
        <v>188</v>
      </c>
      <c r="C87" s="294"/>
      <c r="D87" s="294"/>
      <c r="E87" s="251">
        <f t="shared" si="4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4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4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4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4"/>
        <v>0</v>
      </c>
    </row>
    <row r="92" spans="1:5" ht="12.75">
      <c r="A92" s="489" t="s">
        <v>503</v>
      </c>
      <c r="B92" s="8" t="s">
        <v>188</v>
      </c>
      <c r="C92" s="294">
        <v>134250</v>
      </c>
      <c r="D92" s="294"/>
      <c r="E92" s="251">
        <f t="shared" si="4"/>
        <v>134250</v>
      </c>
    </row>
    <row r="93" spans="1:5" ht="12.75">
      <c r="A93" s="67"/>
      <c r="B93" s="8" t="s">
        <v>188</v>
      </c>
      <c r="C93" s="294"/>
      <c r="D93" s="294"/>
      <c r="E93" s="251">
        <f t="shared" si="4"/>
        <v>0</v>
      </c>
    </row>
    <row r="94" spans="1:5" ht="12.75">
      <c r="A94" s="67"/>
      <c r="B94" s="8" t="s">
        <v>188</v>
      </c>
      <c r="C94" s="294"/>
      <c r="D94" s="294"/>
      <c r="E94" s="251">
        <f t="shared" si="4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4"/>
        <v>0</v>
      </c>
    </row>
    <row r="96" spans="1:5" s="495" customFormat="1" ht="16.5" customHeight="1">
      <c r="A96" s="496"/>
      <c r="B96" s="497" t="s">
        <v>188</v>
      </c>
      <c r="C96" s="498"/>
      <c r="D96" s="498"/>
      <c r="E96" s="494">
        <f t="shared" si="4"/>
        <v>0</v>
      </c>
    </row>
    <row r="97" spans="1:5" ht="12.75">
      <c r="A97" s="489"/>
      <c r="B97" s="8" t="s">
        <v>188</v>
      </c>
      <c r="C97" s="294"/>
      <c r="D97" s="294"/>
      <c r="E97" s="251">
        <f t="shared" si="4"/>
        <v>0</v>
      </c>
    </row>
    <row r="98" spans="1:5" ht="12.75">
      <c r="A98" s="67"/>
      <c r="B98" s="8" t="s">
        <v>188</v>
      </c>
      <c r="C98" s="294"/>
      <c r="D98" s="294"/>
      <c r="E98" s="251">
        <f t="shared" si="4"/>
        <v>0</v>
      </c>
    </row>
    <row r="99" spans="1:5" ht="12.75">
      <c r="A99" s="67" t="s">
        <v>171</v>
      </c>
      <c r="B99" s="8" t="s">
        <v>189</v>
      </c>
      <c r="C99" s="251">
        <f>SUM(C82:C98)</f>
        <v>1334612</v>
      </c>
      <c r="D99" s="251">
        <f>SUM(D82:D98)</f>
        <v>0</v>
      </c>
      <c r="E99" s="251">
        <f>SUM(E82:E98)</f>
        <v>1334612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5" ref="A102:A111">IF($E82&gt;$C$11,A82," ")</f>
        <v> </v>
      </c>
      <c r="B102" s="273"/>
      <c r="C102" s="251">
        <f aca="true" t="shared" si="6" ref="C102:E118">IF($E82&gt;$C$11,C82,)</f>
        <v>0</v>
      </c>
      <c r="D102" s="251">
        <f t="shared" si="6"/>
        <v>0</v>
      </c>
      <c r="E102" s="251">
        <f t="shared" si="6"/>
        <v>0</v>
      </c>
    </row>
    <row r="103" spans="1:5" ht="12.75">
      <c r="A103" s="275" t="str">
        <f t="shared" si="5"/>
        <v> </v>
      </c>
      <c r="B103" s="273"/>
      <c r="C103" s="251">
        <f t="shared" si="6"/>
        <v>0</v>
      </c>
      <c r="D103" s="251">
        <f t="shared" si="6"/>
        <v>0</v>
      </c>
      <c r="E103" s="251">
        <f t="shared" si="6"/>
        <v>0</v>
      </c>
    </row>
    <row r="104" spans="1:5" ht="12.75">
      <c r="A104" s="275" t="str">
        <f t="shared" si="5"/>
        <v> </v>
      </c>
      <c r="B104" s="273"/>
      <c r="C104" s="251">
        <f t="shared" si="6"/>
        <v>0</v>
      </c>
      <c r="D104" s="251">
        <f t="shared" si="6"/>
        <v>0</v>
      </c>
      <c r="E104" s="251">
        <f t="shared" si="6"/>
        <v>0</v>
      </c>
    </row>
    <row r="105" spans="1:5" ht="12.75">
      <c r="A105" s="275" t="str">
        <f t="shared" si="5"/>
        <v> </v>
      </c>
      <c r="B105" s="273"/>
      <c r="C105" s="251">
        <f t="shared" si="6"/>
        <v>0</v>
      </c>
      <c r="D105" s="251">
        <f t="shared" si="6"/>
        <v>0</v>
      </c>
      <c r="E105" s="251">
        <f t="shared" si="6"/>
        <v>0</v>
      </c>
    </row>
    <row r="106" spans="1:5" ht="12.75">
      <c r="A106" s="275" t="str">
        <f t="shared" si="5"/>
        <v> </v>
      </c>
      <c r="B106" s="273"/>
      <c r="C106" s="251">
        <f t="shared" si="6"/>
        <v>0</v>
      </c>
      <c r="D106" s="251">
        <f t="shared" si="6"/>
        <v>0</v>
      </c>
      <c r="E106" s="251">
        <f t="shared" si="6"/>
        <v>0</v>
      </c>
    </row>
    <row r="107" spans="1:5" ht="12.75">
      <c r="A107" s="275" t="str">
        <f t="shared" si="5"/>
        <v> </v>
      </c>
      <c r="B107" s="273"/>
      <c r="C107" s="251">
        <f t="shared" si="6"/>
        <v>0</v>
      </c>
      <c r="D107" s="251">
        <f t="shared" si="6"/>
        <v>0</v>
      </c>
      <c r="E107" s="251">
        <f t="shared" si="6"/>
        <v>0</v>
      </c>
    </row>
    <row r="108" spans="1:5" ht="12.75">
      <c r="A108" s="275" t="str">
        <f t="shared" si="5"/>
        <v> </v>
      </c>
      <c r="B108" s="273"/>
      <c r="C108" s="251">
        <f t="shared" si="6"/>
        <v>0</v>
      </c>
      <c r="D108" s="251">
        <f t="shared" si="6"/>
        <v>0</v>
      </c>
      <c r="E108" s="251">
        <f t="shared" si="6"/>
        <v>0</v>
      </c>
    </row>
    <row r="109" spans="1:5" ht="12.75">
      <c r="A109" s="275" t="str">
        <f t="shared" si="5"/>
        <v> </v>
      </c>
      <c r="B109" s="273"/>
      <c r="C109" s="251">
        <f t="shared" si="6"/>
        <v>0</v>
      </c>
      <c r="D109" s="251">
        <f t="shared" si="6"/>
        <v>0</v>
      </c>
      <c r="E109" s="251">
        <f t="shared" si="6"/>
        <v>0</v>
      </c>
    </row>
    <row r="110" spans="1:5" ht="12.75">
      <c r="A110" s="275" t="str">
        <f t="shared" si="5"/>
        <v> </v>
      </c>
      <c r="B110" s="273"/>
      <c r="C110" s="251">
        <f t="shared" si="6"/>
        <v>0</v>
      </c>
      <c r="D110" s="251">
        <f t="shared" si="6"/>
        <v>0</v>
      </c>
      <c r="E110" s="251">
        <f t="shared" si="6"/>
        <v>0</v>
      </c>
    </row>
    <row r="111" spans="1:5" ht="12.75">
      <c r="A111" s="275" t="str">
        <f t="shared" si="5"/>
        <v> </v>
      </c>
      <c r="B111" s="273"/>
      <c r="C111" s="251">
        <f t="shared" si="6"/>
        <v>0</v>
      </c>
      <c r="D111" s="251">
        <f t="shared" si="6"/>
        <v>0</v>
      </c>
      <c r="E111" s="251">
        <f t="shared" si="6"/>
        <v>0</v>
      </c>
    </row>
    <row r="112" spans="1:5" ht="12.75">
      <c r="A112" s="275" t="str">
        <f>IF($E92&gt;$C$11,A95," ")</f>
        <v> </v>
      </c>
      <c r="B112" s="273"/>
      <c r="C112" s="251">
        <f t="shared" si="6"/>
        <v>0</v>
      </c>
      <c r="D112" s="251">
        <f t="shared" si="6"/>
        <v>0</v>
      </c>
      <c r="E112" s="251">
        <f t="shared" si="6"/>
        <v>0</v>
      </c>
    </row>
    <row r="113" spans="1:5" ht="12.75">
      <c r="A113" s="275" t="str">
        <f>IF($E93&gt;$C$11,#REF!," ")</f>
        <v> </v>
      </c>
      <c r="B113" s="273"/>
      <c r="C113" s="251">
        <f t="shared" si="6"/>
        <v>0</v>
      </c>
      <c r="D113" s="251">
        <f t="shared" si="6"/>
        <v>0</v>
      </c>
      <c r="E113" s="251">
        <f t="shared" si="6"/>
        <v>0</v>
      </c>
    </row>
    <row r="114" spans="1:5" ht="12.75">
      <c r="A114" s="275" t="str">
        <f>IF($E94&gt;$C$11,A94," ")</f>
        <v> </v>
      </c>
      <c r="B114" s="273"/>
      <c r="C114" s="251">
        <f t="shared" si="6"/>
        <v>0</v>
      </c>
      <c r="D114" s="251">
        <f t="shared" si="6"/>
        <v>0</v>
      </c>
      <c r="E114" s="251">
        <f t="shared" si="6"/>
        <v>0</v>
      </c>
    </row>
    <row r="115" spans="1:5" ht="12.75">
      <c r="A115" s="275" t="str">
        <f>IF($E95&gt;$C$11,A93," ")</f>
        <v> </v>
      </c>
      <c r="B115" s="273"/>
      <c r="C115" s="251">
        <f t="shared" si="6"/>
        <v>0</v>
      </c>
      <c r="D115" s="251">
        <f t="shared" si="6"/>
        <v>0</v>
      </c>
      <c r="E115" s="251">
        <f t="shared" si="6"/>
        <v>0</v>
      </c>
    </row>
    <row r="116" spans="1:5" s="495" customFormat="1" ht="16.5" customHeight="1">
      <c r="A116" s="492" t="str">
        <f>IF($E96&gt;$C$11,A96," ")</f>
        <v> </v>
      </c>
      <c r="B116" s="493"/>
      <c r="C116" s="494">
        <f t="shared" si="6"/>
        <v>0</v>
      </c>
      <c r="D116" s="494">
        <f t="shared" si="6"/>
        <v>0</v>
      </c>
      <c r="E116" s="494">
        <f t="shared" si="6"/>
        <v>0</v>
      </c>
    </row>
    <row r="117" spans="1:5" ht="12.75">
      <c r="A117" s="275" t="str">
        <f>IF($E97&gt;$C$11,A97," ")</f>
        <v> </v>
      </c>
      <c r="B117" s="273"/>
      <c r="C117" s="251">
        <f t="shared" si="6"/>
        <v>0</v>
      </c>
      <c r="D117" s="251">
        <f t="shared" si="6"/>
        <v>0</v>
      </c>
      <c r="E117" s="251">
        <f t="shared" si="6"/>
        <v>0</v>
      </c>
    </row>
    <row r="118" spans="1:5" ht="12.75">
      <c r="A118" s="275" t="str">
        <f>IF($E98&gt;$C$11,A98," ")</f>
        <v> </v>
      </c>
      <c r="B118" s="273"/>
      <c r="C118" s="251">
        <f t="shared" si="6"/>
        <v>0</v>
      </c>
      <c r="D118" s="251">
        <f t="shared" si="6"/>
        <v>0</v>
      </c>
      <c r="E118" s="251">
        <f t="shared" si="6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1334612</v>
      </c>
      <c r="D120" s="251">
        <f>D99-D119</f>
        <v>0</v>
      </c>
      <c r="E120" s="251">
        <f>E99-E119</f>
        <v>1334612</v>
      </c>
    </row>
    <row r="121" spans="1:5" ht="12.75">
      <c r="A121" s="278" t="s">
        <v>171</v>
      </c>
      <c r="B121" s="273"/>
      <c r="C121" s="251">
        <f>C119+C120</f>
        <v>1334612</v>
      </c>
      <c r="D121" s="251">
        <f>D119+D120</f>
        <v>0</v>
      </c>
      <c r="E121" s="251">
        <f>E119+E120</f>
        <v>1334612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2755905511811024" right="0.2362204724409449" top="1.3385826771653544" bottom="0.35433070866141736" header="0.1968503937007874" footer="0.11811023622047245"/>
  <pageSetup cellComments="asDisplayed" fitToHeight="0" fitToWidth="1" horizontalDpi="600" verticalDpi="600" orientation="portrait" scale="84" r:id="rId1"/>
  <headerFooter alignWithMargins="0">
    <oddHeader>&amp;RToronto Hydro-Electric System Limited
EB-2012-0064
Tab 5
Schedule D
Filed:  2012 May 10
Corrected:  2012 Oct 5
page &amp;P of &amp;N</oddHeader>
    <oddFooter>&amp;C&amp;A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view="pageBreakPreview" zoomScale="60" zoomScaleNormal="75" zoomScalePageLayoutView="0" workbookViewId="0" topLeftCell="A1">
      <pane xSplit="1" ySplit="8" topLeftCell="B9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G48" sqref="G4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1.8515625" style="0" customWidth="1"/>
  </cols>
  <sheetData>
    <row r="2" ht="12.75">
      <c r="A2" s="1" t="str">
        <f>REGINFO!A1</f>
        <v>PILs TAXES - EB-2012-0064</v>
      </c>
    </row>
    <row r="3" spans="1:5" ht="12.75">
      <c r="A3" s="2" t="s">
        <v>389</v>
      </c>
      <c r="E3" s="92"/>
    </row>
    <row r="4" spans="1:6" ht="15.75">
      <c r="A4" s="464" t="s">
        <v>448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TORONTO HYDRO-ELECTRIC SYSTEM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2">C19-D19</f>
        <v>0</v>
      </c>
    </row>
    <row r="20" spans="1:5" ht="12.75">
      <c r="A20" t="s">
        <v>392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456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395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396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457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441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393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436</v>
      </c>
      <c r="B32" t="s">
        <v>187</v>
      </c>
      <c r="C32" s="295">
        <v>52480</v>
      </c>
      <c r="D32" s="295"/>
      <c r="E32" s="312">
        <f t="shared" si="0"/>
        <v>52480</v>
      </c>
    </row>
    <row r="33" spans="1:5" ht="12.75">
      <c r="A33" s="67" t="s">
        <v>437</v>
      </c>
      <c r="B33" t="s">
        <v>187</v>
      </c>
      <c r="C33" s="295">
        <v>24847</v>
      </c>
      <c r="D33" s="295"/>
      <c r="E33" s="312">
        <f t="shared" si="0"/>
        <v>24847</v>
      </c>
    </row>
    <row r="34" spans="1:5" ht="12.75">
      <c r="A34" s="67" t="s">
        <v>453</v>
      </c>
      <c r="B34" t="s">
        <v>187</v>
      </c>
      <c r="C34" s="295">
        <v>371</v>
      </c>
      <c r="D34" s="295"/>
      <c r="E34" s="312">
        <f t="shared" si="0"/>
        <v>371</v>
      </c>
    </row>
    <row r="35" spans="1:5" ht="12.75">
      <c r="A35" s="81" t="s">
        <v>454</v>
      </c>
      <c r="C35" s="295"/>
      <c r="D35" s="295"/>
      <c r="E35" s="312">
        <f t="shared" si="0"/>
        <v>0</v>
      </c>
    </row>
    <row r="36" spans="1:5" ht="12.75">
      <c r="A36" s="67" t="s">
        <v>438</v>
      </c>
      <c r="C36" s="295"/>
      <c r="D36" s="295"/>
      <c r="E36" s="312">
        <f t="shared" si="0"/>
        <v>0</v>
      </c>
    </row>
    <row r="37" spans="1:5" ht="12.75">
      <c r="A37" s="67" t="s">
        <v>439</v>
      </c>
      <c r="C37" s="295"/>
      <c r="D37" s="295"/>
      <c r="E37" s="312">
        <f t="shared" si="0"/>
        <v>0</v>
      </c>
    </row>
    <row r="38" spans="1:5" ht="12.75">
      <c r="A38" s="67" t="s">
        <v>460</v>
      </c>
      <c r="C38" s="295"/>
      <c r="D38" s="295"/>
      <c r="E38" s="312">
        <f t="shared" si="0"/>
        <v>0</v>
      </c>
    </row>
    <row r="39" spans="1:5" ht="12.75">
      <c r="A39" s="81" t="s">
        <v>397</v>
      </c>
      <c r="B39" t="s">
        <v>187</v>
      </c>
      <c r="C39" s="295"/>
      <c r="D39" s="295"/>
      <c r="E39" s="312">
        <f t="shared" si="0"/>
        <v>0</v>
      </c>
    </row>
    <row r="40" spans="1:5" ht="12.75">
      <c r="A40" s="81" t="s">
        <v>391</v>
      </c>
      <c r="B40" t="s">
        <v>187</v>
      </c>
      <c r="C40" s="295"/>
      <c r="D40" s="295"/>
      <c r="E40" s="312">
        <f t="shared" si="0"/>
        <v>0</v>
      </c>
    </row>
    <row r="41" spans="1:5" ht="12.75">
      <c r="A41" s="68" t="s">
        <v>204</v>
      </c>
      <c r="B41" t="s">
        <v>187</v>
      </c>
      <c r="C41" s="295"/>
      <c r="D41" s="295"/>
      <c r="E41" s="312">
        <f t="shared" si="0"/>
        <v>0</v>
      </c>
    </row>
    <row r="42" spans="1:5" ht="12.75">
      <c r="A42" s="488" t="s">
        <v>505</v>
      </c>
      <c r="B42" t="s">
        <v>187</v>
      </c>
      <c r="C42" s="295">
        <v>1842375</v>
      </c>
      <c r="D42" s="295"/>
      <c r="E42" s="312">
        <f t="shared" si="0"/>
        <v>1842375</v>
      </c>
    </row>
    <row r="43" spans="1:5" ht="12.75">
      <c r="A43" s="488" t="s">
        <v>506</v>
      </c>
      <c r="B43" t="s">
        <v>187</v>
      </c>
      <c r="C43" s="295">
        <v>1527898</v>
      </c>
      <c r="D43" s="295"/>
      <c r="E43" s="312">
        <f>C43-D43</f>
        <v>1527898</v>
      </c>
    </row>
    <row r="44" spans="1:5" ht="12.75">
      <c r="A44" s="488"/>
      <c r="B44" t="s">
        <v>187</v>
      </c>
      <c r="C44" s="294"/>
      <c r="D44" s="294"/>
      <c r="E44" s="251">
        <f>C44-D44</f>
        <v>0</v>
      </c>
    </row>
    <row r="45" spans="1:5" ht="12.75">
      <c r="A45" s="488"/>
      <c r="B45" t="s">
        <v>187</v>
      </c>
      <c r="C45" s="294"/>
      <c r="D45" s="294"/>
      <c r="E45" s="251">
        <f>C45-D45</f>
        <v>0</v>
      </c>
    </row>
    <row r="46" spans="1:5" ht="12.75">
      <c r="A46" s="489" t="s">
        <v>496</v>
      </c>
      <c r="B46" t="s">
        <v>187</v>
      </c>
      <c r="C46" s="294">
        <v>13016404</v>
      </c>
      <c r="D46" s="294"/>
      <c r="E46" s="251">
        <f>C46-D46</f>
        <v>13016404</v>
      </c>
    </row>
    <row r="47" spans="1:5" ht="12.75">
      <c r="A47" s="449" t="s">
        <v>401</v>
      </c>
      <c r="B47" t="s">
        <v>189</v>
      </c>
      <c r="C47" s="251">
        <f>SUM(C19:C46)</f>
        <v>16464375</v>
      </c>
      <c r="D47" s="251">
        <f>SUM(D19:D46)</f>
        <v>0</v>
      </c>
      <c r="E47" s="251">
        <f>SUM(E19:E46)</f>
        <v>16464375</v>
      </c>
    </row>
    <row r="48" ht="12.75">
      <c r="A48" s="67"/>
    </row>
    <row r="49" ht="12.75">
      <c r="A49" s="81" t="s">
        <v>145</v>
      </c>
    </row>
    <row r="51" spans="1:5" ht="12.75">
      <c r="A51" s="71" t="s">
        <v>392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456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393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440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489" t="s">
        <v>501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459</v>
      </c>
      <c r="B56" s="8" t="s">
        <v>188</v>
      </c>
      <c r="C56" s="294">
        <v>2511963</v>
      </c>
      <c r="D56" s="294"/>
      <c r="E56" s="251">
        <f t="shared" si="1"/>
        <v>2511963</v>
      </c>
    </row>
    <row r="57" spans="1:5" ht="12.75">
      <c r="A57" s="2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458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2:5" ht="12.75"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68" t="s">
        <v>398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1:5" ht="12.75">
      <c r="A66" s="468" t="s">
        <v>391</v>
      </c>
      <c r="B66" s="8" t="s">
        <v>188</v>
      </c>
      <c r="C66" s="294">
        <v>5015433</v>
      </c>
      <c r="D66" s="294"/>
      <c r="E66" s="251">
        <f t="shared" si="2"/>
        <v>5015433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489"/>
      <c r="B69" s="8" t="s">
        <v>188</v>
      </c>
      <c r="C69" s="294"/>
      <c r="D69" s="294"/>
      <c r="E69" s="251">
        <f t="shared" si="2"/>
        <v>0</v>
      </c>
    </row>
    <row r="70" spans="1:5" ht="12.75">
      <c r="A70" s="489"/>
      <c r="B70" s="8" t="s">
        <v>188</v>
      </c>
      <c r="C70" s="294"/>
      <c r="D70" s="294"/>
      <c r="E70" s="251">
        <f t="shared" si="2"/>
        <v>0</v>
      </c>
    </row>
    <row r="71" spans="1:5" ht="12.75">
      <c r="A71" s="489" t="s">
        <v>500</v>
      </c>
      <c r="B71" s="8" t="s">
        <v>188</v>
      </c>
      <c r="C71" s="294">
        <v>2426928</v>
      </c>
      <c r="D71" s="294"/>
      <c r="E71" s="251">
        <f t="shared" si="2"/>
        <v>2426928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400</v>
      </c>
      <c r="B73" s="8" t="s">
        <v>189</v>
      </c>
      <c r="C73" s="251">
        <f>SUM(C51:C72)</f>
        <v>9954324</v>
      </c>
      <c r="D73" s="251">
        <f>SUM(D51:D72)</f>
        <v>0</v>
      </c>
      <c r="E73" s="251">
        <f>SUM(E51:E72)</f>
        <v>9954324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2755905511811024" right="0.2362204724409449" top="1.3385826771653544" bottom="0.35433070866141736" header="0.1968503937007874" footer="0.11811023622047245"/>
  <pageSetup cellComments="asDisplayed" fitToHeight="1" fitToWidth="1" horizontalDpi="600" verticalDpi="600" orientation="portrait" scale="65" r:id="rId1"/>
  <headerFooter alignWithMargins="0">
    <oddHeader>&amp;RToronto Hydro-Electric System Limited
EB-2012-0064
Tab 5
Schedule D
Filed:  2012 May 10
Corrected:  2012 Oct 5
page &amp;P of &amp;N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="60" zoomScalePageLayoutView="0" workbookViewId="0" topLeftCell="A1">
      <selection activeCell="M39" sqref="M3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7" max="7" width="4.140625" style="0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4" t="str">
        <f>REGINFO!A1</f>
        <v>PILs TAXES - EB-2012-0064</v>
      </c>
      <c r="B1" s="385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TORONTO HYDRO-ELECTRIC SYSTEM LIMITED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10" t="s">
        <v>339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1" t="s">
        <v>487</v>
      </c>
      <c r="B8" s="512"/>
      <c r="C8" s="512"/>
      <c r="D8" s="512"/>
      <c r="E8" s="342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3">
        <v>0</v>
      </c>
      <c r="D9" s="373"/>
      <c r="E9" s="373">
        <v>200001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470</v>
      </c>
      <c r="B10" s="326"/>
      <c r="C10" s="375" t="s">
        <v>111</v>
      </c>
      <c r="D10" s="375"/>
      <c r="E10" s="375" t="s">
        <v>111</v>
      </c>
      <c r="F10" s="376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7">
        <v>200000</v>
      </c>
      <c r="D11" s="377"/>
      <c r="E11" s="377">
        <v>700000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/>
      <c r="D14" s="327"/>
      <c r="E14" s="328"/>
      <c r="F14" s="328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/>
      <c r="D15" s="329"/>
      <c r="E15" s="330"/>
      <c r="F15" s="330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/>
      <c r="D16" s="331"/>
      <c r="E16" s="332"/>
      <c r="F16" s="332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0.00225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4" t="s">
        <v>334</v>
      </c>
      <c r="B21" s="406" t="s">
        <v>472</v>
      </c>
      <c r="C21" s="361">
        <v>5000000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4" t="s">
        <v>335</v>
      </c>
      <c r="B22" s="407" t="s">
        <v>473</v>
      </c>
      <c r="C22" s="362">
        <v>10000000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5" t="s">
        <v>489</v>
      </c>
      <c r="B23" s="506"/>
      <c r="C23" s="506"/>
      <c r="D23" s="506"/>
      <c r="E23" s="506"/>
      <c r="F23" s="506"/>
      <c r="G23" s="438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2"/>
      <c r="E25" s="342"/>
      <c r="F25" s="410" t="s">
        <v>340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3" t="s">
        <v>481</v>
      </c>
      <c r="B26" s="514"/>
      <c r="C26" s="514"/>
      <c r="D26" s="514"/>
      <c r="E26" s="514"/>
      <c r="F26" s="514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7">
        <v>0</v>
      </c>
      <c r="D27" s="367"/>
      <c r="E27" s="367">
        <v>200001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444</v>
      </c>
      <c r="B28" s="326"/>
      <c r="C28" s="369" t="s">
        <v>111</v>
      </c>
      <c r="D28" s="369"/>
      <c r="E28" s="369" t="s">
        <v>111</v>
      </c>
      <c r="F28" s="370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1">
        <v>200000</v>
      </c>
      <c r="D29" s="371"/>
      <c r="E29" s="371">
        <v>700000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9"/>
      <c r="C32" s="327"/>
      <c r="D32" s="327"/>
      <c r="E32" s="328"/>
      <c r="F32" s="328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9"/>
      <c r="C33" s="329"/>
      <c r="D33" s="329"/>
      <c r="E33" s="330"/>
      <c r="F33" s="330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9"/>
      <c r="C34" s="331"/>
      <c r="D34" s="331"/>
      <c r="E34" s="332"/>
      <c r="F34" s="332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9"/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9"/>
      <c r="C37" s="334">
        <v>0.00225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9"/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4" t="s">
        <v>478</v>
      </c>
      <c r="B39" s="406" t="s">
        <v>472</v>
      </c>
      <c r="C39" s="361">
        <v>5000000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4" t="s">
        <v>479</v>
      </c>
      <c r="B40" s="407" t="s">
        <v>473</v>
      </c>
      <c r="C40" s="362">
        <v>10000000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7" t="s">
        <v>337</v>
      </c>
      <c r="B41" s="506"/>
      <c r="C41" s="506"/>
      <c r="D41" s="506"/>
      <c r="E41" s="506"/>
      <c r="F41" s="506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8"/>
      <c r="B42" s="508"/>
      <c r="C42" s="508"/>
      <c r="D42" s="508"/>
      <c r="E42" s="508"/>
      <c r="F42" s="508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341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480</v>
      </c>
      <c r="B44" s="365"/>
      <c r="C44" s="366"/>
      <c r="D44" s="365"/>
      <c r="E44" s="342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7">
        <v>0</v>
      </c>
      <c r="D45" s="367"/>
      <c r="E45" s="367">
        <v>200001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9" t="s">
        <v>111</v>
      </c>
      <c r="D46" s="369"/>
      <c r="E46" s="369" t="s">
        <v>111</v>
      </c>
      <c r="F46" s="370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1">
        <v>200000</v>
      </c>
      <c r="D47" s="371"/>
      <c r="E47" s="371">
        <v>700000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/>
      <c r="D50" s="351"/>
      <c r="E50" s="352"/>
      <c r="F50" s="352">
        <v>0.2612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/>
      <c r="D51" s="353"/>
      <c r="E51" s="354"/>
      <c r="F51" s="354">
        <v>0.125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/>
      <c r="D52" s="331"/>
      <c r="E52" s="332"/>
      <c r="F52" s="332">
        <f>SUM(F50:F51)</f>
        <v>0.3862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6">
        <v>0.00225</v>
      </c>
      <c r="D55" s="357"/>
      <c r="E55" s="358"/>
      <c r="F55" s="358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7">
        <v>0.0112</v>
      </c>
      <c r="D56" s="359"/>
      <c r="E56" s="360"/>
      <c r="F56" s="360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4" t="s">
        <v>353</v>
      </c>
      <c r="B57" s="406" t="s">
        <v>472</v>
      </c>
      <c r="C57" s="361">
        <v>4586218</v>
      </c>
      <c r="D57" s="359"/>
      <c r="E57" s="360"/>
      <c r="F57" s="360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4" t="s">
        <v>354</v>
      </c>
      <c r="B58" s="407" t="s">
        <v>473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5" t="s">
        <v>355</v>
      </c>
      <c r="B59" s="509"/>
      <c r="C59" s="509"/>
      <c r="D59" s="509"/>
      <c r="E59" s="509"/>
      <c r="F59" s="509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0"/>
      <c r="B60" s="510"/>
      <c r="C60" s="510"/>
      <c r="D60" s="510"/>
      <c r="E60" s="510"/>
      <c r="F60" s="510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2755905511811024" right="0.2362204724409449" top="1.13" bottom="0.35433070866141736" header="0.1968503937007874" footer="0.11811023622047245"/>
  <pageSetup cellComments="asDisplayed" fitToHeight="1" fitToWidth="1" horizontalDpi="600" verticalDpi="600" orientation="portrait" scale="71" r:id="rId1"/>
  <headerFooter alignWithMargins="0">
    <oddHeader>&amp;RToronto Hydro-Electric System Limited
EB-2012-0064
Tab 5
Schedule D
Filed:  2012 May 10
Corrected:  2012 Oct 5
page &amp;P of &amp;N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EB-2012-0064</v>
      </c>
    </row>
    <row r="2" spans="1:2" ht="12.75">
      <c r="A2" s="2" t="s">
        <v>461</v>
      </c>
      <c r="B2" s="2"/>
    </row>
    <row r="3" spans="1:15" ht="12.75">
      <c r="A3" s="2" t="str">
        <f>REGINFO!A3</f>
        <v>Utility Name: TORONTO HYDRO-ELECTRIC SYSTEM LIMITED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323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5028333</v>
      </c>
      <c r="F11" s="419"/>
      <c r="G11" s="396"/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402</v>
      </c>
      <c r="B12" s="66" t="s">
        <v>190</v>
      </c>
      <c r="C12" s="395">
        <v>5000000</v>
      </c>
      <c r="D12" s="391"/>
      <c r="E12" s="395">
        <v>55000000</v>
      </c>
      <c r="F12" s="95"/>
      <c r="G12" s="418"/>
      <c r="H12" s="95"/>
      <c r="I12" s="418"/>
      <c r="J12" s="391"/>
      <c r="K12" s="418"/>
      <c r="L12" s="391"/>
      <c r="M12" s="418">
        <f>K13/9*12/4</f>
        <v>0</v>
      </c>
      <c r="N12" s="391"/>
      <c r="O12" s="396">
        <f aca="true" t="shared" si="0" ref="O12:O20">SUM(C12:N12)</f>
        <v>60000000</v>
      </c>
    </row>
    <row r="13" spans="1:15" ht="27" customHeight="1">
      <c r="A13" s="81" t="s">
        <v>443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403</v>
      </c>
      <c r="B14" s="66" t="s">
        <v>190</v>
      </c>
      <c r="C14" s="395"/>
      <c r="D14" s="391"/>
      <c r="E14" s="395">
        <v>-290810</v>
      </c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-290810</v>
      </c>
    </row>
    <row r="15" spans="1:15" ht="27" customHeight="1">
      <c r="A15" s="81" t="s">
        <v>404</v>
      </c>
      <c r="B15" s="66" t="s">
        <v>190</v>
      </c>
      <c r="C15" s="395"/>
      <c r="D15" s="391"/>
      <c r="E15" s="395"/>
      <c r="F15" s="95"/>
      <c r="G15" s="395">
        <f>TAXCALC!$E$183</f>
        <v>2156868.2976</v>
      </c>
      <c r="H15" s="95"/>
      <c r="I15" s="395"/>
      <c r="J15" s="391"/>
      <c r="K15" s="395"/>
      <c r="L15" s="391"/>
      <c r="M15" s="418">
        <f>TAXCALC!E132*0</f>
        <v>0</v>
      </c>
      <c r="N15" s="391"/>
      <c r="O15" s="396">
        <f t="shared" si="0"/>
        <v>2156868.2976</v>
      </c>
    </row>
    <row r="16" spans="1:15" ht="27" customHeight="1">
      <c r="A16" s="81" t="s">
        <v>405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406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407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32" t="s">
        <v>408</v>
      </c>
      <c r="B19" s="66" t="s">
        <v>190</v>
      </c>
      <c r="C19" s="395">
        <v>28333</v>
      </c>
      <c r="D19" s="391"/>
      <c r="E19" s="395">
        <v>720305</v>
      </c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748638</v>
      </c>
    </row>
    <row r="20" spans="1:15" ht="24.75" customHeight="1">
      <c r="A20" s="81" t="s">
        <v>471</v>
      </c>
      <c r="B20" s="66" t="s">
        <v>188</v>
      </c>
      <c r="C20" s="418">
        <v>0</v>
      </c>
      <c r="D20" s="391"/>
      <c r="E20" s="395">
        <v>-52330253</v>
      </c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-52330253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378</v>
      </c>
      <c r="B22" s="34"/>
      <c r="C22" s="397">
        <f>SUM(C11:C20)</f>
        <v>5028333</v>
      </c>
      <c r="D22" s="419"/>
      <c r="E22" s="397">
        <f>SUM(E11:E20)</f>
        <v>8127575</v>
      </c>
      <c r="F22" s="419"/>
      <c r="G22" s="397"/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0</v>
      </c>
      <c r="N22" s="390"/>
      <c r="O22" s="450">
        <f>SUM(O11:O20)</f>
        <v>10284443.297600001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409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410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411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499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16" t="s">
        <v>412</v>
      </c>
      <c r="B33" s="517"/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517"/>
      <c r="N33" s="517"/>
      <c r="O33" s="517"/>
      <c r="P33" s="420"/>
      <c r="Q33" s="420"/>
      <c r="R33" s="420"/>
      <c r="S33" s="420"/>
    </row>
    <row r="34" spans="1:19" ht="12.75">
      <c r="A34" s="515" t="s">
        <v>413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420"/>
      <c r="Q34" s="420"/>
      <c r="R34" s="420"/>
      <c r="S34" s="420"/>
    </row>
    <row r="35" spans="1:19" ht="12.75">
      <c r="A35" s="515" t="s">
        <v>434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P35" s="420"/>
      <c r="Q35" s="420"/>
      <c r="R35" s="420"/>
      <c r="S35" s="420"/>
    </row>
    <row r="36" spans="1:19" ht="12.75">
      <c r="A36" s="515" t="s">
        <v>414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20"/>
      <c r="Q36" s="420"/>
      <c r="R36" s="420"/>
      <c r="S36" s="420"/>
    </row>
    <row r="37" spans="1:19" ht="12.75">
      <c r="A37" s="437" t="s">
        <v>375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0"/>
      <c r="Q37" s="420"/>
      <c r="R37" s="420"/>
      <c r="S37" s="420"/>
    </row>
    <row r="38" spans="1:19" ht="12.75">
      <c r="A38" s="437" t="s">
        <v>376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0"/>
      <c r="Q38" s="420"/>
      <c r="R38" s="420"/>
      <c r="S38" s="420"/>
    </row>
    <row r="39" spans="1:19" ht="12.75">
      <c r="A39" s="437" t="s">
        <v>415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0"/>
      <c r="Q39" s="420"/>
      <c r="R39" s="420"/>
      <c r="S39" s="420"/>
    </row>
    <row r="40" spans="1:19" ht="12.75">
      <c r="A40" s="437" t="s">
        <v>416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0"/>
      <c r="Q40" s="420"/>
      <c r="R40" s="420"/>
      <c r="S40" s="420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0"/>
      <c r="Q41" s="420"/>
      <c r="R41" s="420"/>
      <c r="S41" s="420"/>
    </row>
    <row r="42" spans="1:15" ht="12.75">
      <c r="A42" s="439" t="s">
        <v>417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418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419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420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421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422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423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420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424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425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426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427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428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385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429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430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387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386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388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431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432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433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15" t="s">
        <v>462</v>
      </c>
      <c r="B74" s="515"/>
      <c r="C74" s="515"/>
      <c r="D74" s="515"/>
      <c r="E74" s="515"/>
      <c r="F74" s="515"/>
      <c r="G74" s="515"/>
      <c r="H74" s="515"/>
      <c r="I74" s="515"/>
      <c r="J74" s="515"/>
      <c r="K74" s="515"/>
      <c r="L74" s="515"/>
      <c r="M74" s="515"/>
      <c r="N74" s="515"/>
      <c r="O74" s="515"/>
    </row>
    <row r="75" spans="1:15" ht="12.75">
      <c r="A75" s="434" t="s">
        <v>377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2" right="0.17" top="1.11" bottom="0.27" header="0.1968503937007874" footer="0.11811023622047245"/>
  <pageSetup cellComments="asDisplayed" fitToHeight="1" fitToWidth="1" horizontalDpi="600" verticalDpi="600" orientation="portrait" scale="66" r:id="rId1"/>
  <headerFooter alignWithMargins="0">
    <oddHeader>&amp;RToronto Hydro-Electric System Limited
EB-2012-0064
Tab 5
Schedule D
Filed:  2012 May 10
Corrected:  2012 Oct 5
page &amp;P of &amp;N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acrespo</cp:lastModifiedBy>
  <cp:lastPrinted>2012-09-30T01:19:40Z</cp:lastPrinted>
  <dcterms:created xsi:type="dcterms:W3CDTF">2001-11-07T16:15:53Z</dcterms:created>
  <dcterms:modified xsi:type="dcterms:W3CDTF">2012-11-13T19:57:44Z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