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240" windowWidth="16080" windowHeight="7245" tabRatio="831" firstSheet="10" activeTab="14"/>
  </bookViews>
  <sheets>
    <sheet name="Exibit 3 Tables" sheetId="1" r:id="rId1"/>
    <sheet name="Summary" sheetId="2" r:id="rId2"/>
    <sheet name="Stats Sum" sheetId="3" r:id="rId3"/>
    <sheet name="Purchased Power Model " sheetId="4" r:id="rId4"/>
    <sheet name="Residential" sheetId="5" r:id="rId5"/>
    <sheet name="GS &lt; 50 kW" sheetId="6" r:id="rId6"/>
    <sheet name="GS &gt; 50 kW " sheetId="7" r:id="rId7"/>
    <sheet name="Rate Class Energy Model" sheetId="8" r:id="rId8"/>
    <sheet name="Rate Class Customer Model" sheetId="9" r:id="rId9"/>
    <sheet name="Rate Class Load Model" sheetId="10" r:id="rId10"/>
    <sheet name="Weather Analysis - Pearson" sheetId="11" r:id="rId11"/>
    <sheet name="Weather Analysis - Fergus" sheetId="12" r:id="rId12"/>
    <sheet name="CDM Activity" sheetId="13" r:id="rId13"/>
    <sheet name="2012 COP Forecast" sheetId="14" r:id="rId14"/>
    <sheet name="2013 COP Forecast " sheetId="15" r:id="rId15"/>
    <sheet name="CWH Loss Factors" sheetId="16" r:id="rId16"/>
    <sheet name="Sheet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Order1" hidden="1">255</definedName>
    <definedName name="_Sort" localSheetId="0" hidden="1">'[19]Sheet1'!$G$40:$K$40</definedName>
    <definedName name="_Sort" localSheetId="11" hidden="1">'[1]Sheet1'!$G$40:$K$40</definedName>
    <definedName name="_Sort" localSheetId="10" hidden="1">'[1]Sheet1'!$G$40:$K$40</definedName>
    <definedName name="_Sort" hidden="1">'[2]Sheet1'!$G$40:$K$40</definedName>
    <definedName name="_xlfn.BAHTTEXT" hidden="1">#NAME?</definedName>
    <definedName name="CAfile" localSheetId="0">'[20]Refs'!$B$2</definedName>
    <definedName name="CAfile">'[3]Refs'!$B$2</definedName>
    <definedName name="CArevReq" localSheetId="0">'[20]Refs'!$B$6</definedName>
    <definedName name="CArevReq">'[3]Refs'!$B$6</definedName>
    <definedName name="ClassRange1" localSheetId="0">'[20]Refs'!$B$3</definedName>
    <definedName name="ClassRange1">'[3]Refs'!$B$3</definedName>
    <definedName name="ClassRange2" localSheetId="0">'[20]Refs'!$B$4</definedName>
    <definedName name="ClassRange2">'[3]Refs'!$B$4</definedName>
    <definedName name="FolderPath" localSheetId="0">'[20]Menu'!$C$8</definedName>
    <definedName name="FolderPath">'[3]Menu'!$C$8</definedName>
    <definedName name="NewRevReq" localSheetId="0">'[20]Refs'!$B$8</definedName>
    <definedName name="NewRevReq">'[3]Refs'!$B$8</definedName>
    <definedName name="PAGE11" localSheetId="0">#REF!</definedName>
    <definedName name="PAGE11" localSheetId="11">#REF!</definedName>
    <definedName name="PAGE11" localSheetId="10">#REF!</definedName>
    <definedName name="PAGE11">#REF!</definedName>
    <definedName name="PAGE2" localSheetId="0">'[19]Sheet1'!$A$1:$I$40</definedName>
    <definedName name="PAGE2" localSheetId="11">'[1]Sheet1'!$A$1:$I$40</definedName>
    <definedName name="PAGE2" localSheetId="10">'[1]Sheet1'!$A$1:$I$40</definedName>
    <definedName name="PAGE2">'[2]Sheet1'!$A$1:$I$40</definedName>
    <definedName name="PAGE3" localSheetId="0">#REF!</definedName>
    <definedName name="PAGE3" localSheetId="11">#REF!</definedName>
    <definedName name="PAGE3" localSheetId="10">#REF!</definedName>
    <definedName name="PAGE3">#REF!</definedName>
    <definedName name="PAGE4" localSheetId="0">#REF!</definedName>
    <definedName name="PAGE4" localSheetId="11">#REF!</definedName>
    <definedName name="PAGE4" localSheetId="10">#REF!</definedName>
    <definedName name="PAGE4">#REF!</definedName>
    <definedName name="PAGE7" localSheetId="0">#REF!</definedName>
    <definedName name="PAGE7" localSheetId="11">#REF!</definedName>
    <definedName name="PAGE7" localSheetId="10">#REF!</definedName>
    <definedName name="PAGE7">#REF!</definedName>
    <definedName name="PAGE9" localSheetId="0">#REF!</definedName>
    <definedName name="PAGE9" localSheetId="11">#REF!</definedName>
    <definedName name="PAGE9" localSheetId="10">#REF!</definedName>
    <definedName name="PAGE9">#REF!</definedName>
    <definedName name="_xlnm.Print_Area" localSheetId="12">'CDM Activity'!$A$1:$R$39</definedName>
    <definedName name="_xlnm.Print_Area" localSheetId="5">'GS &lt; 50 kW'!$T$70:$X$93</definedName>
    <definedName name="_xlnm.Print_Area" localSheetId="6">'GS &gt; 50 kW '!$T$70:$V$93</definedName>
    <definedName name="_xlnm.Print_Area" localSheetId="3">'Purchased Power Model '!$A$1:$M$160</definedName>
    <definedName name="_xlnm.Print_Area" localSheetId="8">'Rate Class Customer Model'!$A$1:$C$2</definedName>
    <definedName name="_xlnm.Print_Area" localSheetId="7">'Rate Class Energy Model'!$A$1:$I$2</definedName>
    <definedName name="_xlnm.Print_Area" localSheetId="9">'Rate Class Load Model'!$A$1:$A$1</definedName>
    <definedName name="_xlnm.Print_Area" localSheetId="4">'Residential'!$T$70:$X$93</definedName>
    <definedName name="_xlnm.Print_Area" localSheetId="1">'Summary'!$A$1:$L$46</definedName>
    <definedName name="RevReqLookupKey" localSheetId="0">'[20]Refs'!$B$5</definedName>
    <definedName name="RevReqLookupKey">'[3]Refs'!$B$5</definedName>
    <definedName name="RevReqRange" localSheetId="0">'[20]Refs'!$B$7</definedName>
    <definedName name="RevReqRange">'[3]Refs'!$B$7</definedName>
  </definedNames>
  <calcPr fullCalcOnLoad="1"/>
</workbook>
</file>

<file path=xl/comments14.xml><?xml version="1.0" encoding="utf-8"?>
<comments xmlns="http://schemas.openxmlformats.org/spreadsheetml/2006/main">
  <authors>
    <author>bbacon</author>
    <author>Heather Dowling</author>
  </authors>
  <commentList>
    <comment ref="B1" authorId="0">
      <text>
        <r>
          <rPr>
            <sz val="8"/>
            <rFont val="Tahoma"/>
            <family val="2"/>
          </rPr>
          <t xml:space="preserve">Linked to load forecast model
</t>
        </r>
      </text>
    </comment>
    <comment ref="C1" authorId="0">
      <text>
        <r>
          <rPr>
            <sz val="8"/>
            <rFont val="Tahoma"/>
            <family val="2"/>
          </rPr>
          <t>Linked to load forecast model</t>
        </r>
      </text>
    </comment>
    <comment ref="J1" authorId="1">
      <text>
        <r>
          <rPr>
            <b/>
            <sz val="9"/>
            <rFont val="Tahoma"/>
            <family val="2"/>
          </rPr>
          <t>Heather Dowling:</t>
        </r>
        <r>
          <rPr>
            <sz val="9"/>
            <rFont val="Tahoma"/>
            <family val="2"/>
          </rPr>
          <t xml:space="preserve">
Taken from Utility Revenue Hydro Year end 2011 Spreadsheet, these are uplifted, however the percentages are correct
</t>
        </r>
      </text>
    </comment>
  </commentList>
</comments>
</file>

<file path=xl/comments15.xml><?xml version="1.0" encoding="utf-8"?>
<comments xmlns="http://schemas.openxmlformats.org/spreadsheetml/2006/main">
  <authors>
    <author>bbacon</author>
  </authors>
  <commentList>
    <comment ref="B1" authorId="0">
      <text>
        <r>
          <rPr>
            <sz val="8"/>
            <rFont val="Tahoma"/>
            <family val="2"/>
          </rPr>
          <t xml:space="preserve">Linked to load forecast model
</t>
        </r>
      </text>
    </comment>
    <comment ref="C1" authorId="0">
      <text>
        <r>
          <rPr>
            <sz val="8"/>
            <rFont val="Tahoma"/>
            <family val="2"/>
          </rPr>
          <t>Linked to load forecast model</t>
        </r>
      </text>
    </comment>
  </commentList>
</comments>
</file>

<file path=xl/comments8.xml><?xml version="1.0" encoding="utf-8"?>
<comments xmlns="http://schemas.openxmlformats.org/spreadsheetml/2006/main">
  <authors>
    <author>BBacon</author>
  </authors>
  <commentList>
    <comment ref="J2" authorId="0">
      <text>
        <r>
          <rPr>
            <sz val="8"/>
            <rFont val="Tahoma"/>
            <family val="2"/>
          </rPr>
          <t xml:space="preserve">Remove wolverine as primary
</t>
        </r>
      </text>
    </comment>
    <comment ref="N2" authorId="0">
      <text>
        <r>
          <rPr>
            <sz val="8"/>
            <rFont val="Tahoma"/>
            <family val="2"/>
          </rPr>
          <t xml:space="preserve">Wolverine Removed
</t>
        </r>
      </text>
    </comment>
  </commentList>
</comments>
</file>

<file path=xl/sharedStrings.xml><?xml version="1.0" encoding="utf-8"?>
<sst xmlns="http://schemas.openxmlformats.org/spreadsheetml/2006/main" count="840" uniqueCount="315">
  <si>
    <t>Loss Factor</t>
  </si>
  <si>
    <t>Total Billed</t>
  </si>
  <si>
    <t>Heating Degree Days</t>
  </si>
  <si>
    <t>Cooling Degree Days</t>
  </si>
  <si>
    <t>Number of Days in Month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</si>
  <si>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</si>
  <si>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</si>
  <si>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</si>
  <si>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</si>
  <si>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</si>
  <si>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</si>
  <si>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</si>
  <si>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Weatther Normal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</si>
  <si>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</si>
  <si>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</si>
  <si>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</si>
  <si>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</si>
  <si>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</si>
  <si>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</si>
  <si>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</si>
  <si>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</si>
  <si>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</si>
  <si>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</si>
  <si>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</si>
  <si>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</si>
  <si>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</si>
  <si>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</si>
  <si>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</si>
  <si>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</si>
  <si>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</si>
  <si>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</si>
  <si>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</si>
  <si>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</si>
  <si>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</si>
  <si>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</si>
  <si>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</si>
  <si>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</si>
  <si>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</si>
  <si>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</si>
  <si>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</si>
  <si>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</si>
  <si>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</si>
  <si>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</si>
  <si>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</si>
  <si>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</si>
  <si>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 xml:space="preserve">  Customers</t>
  </si>
  <si>
    <t xml:space="preserve">  kWh</t>
  </si>
  <si>
    <t xml:space="preserve">  kW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</si>
  <si>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</si>
  <si>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</si>
  <si>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</si>
  <si>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</si>
  <si>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</si>
  <si>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By Class</t>
  </si>
  <si>
    <t>Billed kWh</t>
  </si>
  <si>
    <t>Used</t>
  </si>
  <si>
    <t>kW/kWh</t>
  </si>
  <si>
    <t>Check totals above sould be zero</t>
  </si>
  <si>
    <t>2008 Actual</t>
  </si>
  <si>
    <t>Number of Customers</t>
  </si>
  <si>
    <t>Residential</t>
  </si>
  <si>
    <t>GS&lt;50</t>
  </si>
  <si>
    <t>USL</t>
  </si>
  <si>
    <t>Weather Normal</t>
  </si>
  <si>
    <t>Streetlights</t>
  </si>
  <si>
    <t xml:space="preserve">2009 Actual </t>
  </si>
  <si>
    <t xml:space="preserve">  Connections</t>
  </si>
  <si>
    <t>Total of Above</t>
  </si>
  <si>
    <t>Total from Model</t>
  </si>
  <si>
    <t>Check should all be zero</t>
  </si>
  <si>
    <t>Sentinels</t>
  </si>
  <si>
    <t xml:space="preserve">2010 Actual </t>
  </si>
  <si>
    <t>Consumed</t>
  </si>
  <si>
    <t>May want to be consistent with proposed loss factor</t>
  </si>
  <si>
    <t>CDM Activity</t>
  </si>
  <si>
    <t>Total to 2011</t>
  </si>
  <si>
    <t xml:space="preserve">2011 Actual </t>
  </si>
  <si>
    <t>Number of Customers - 3 Main Classes</t>
  </si>
  <si>
    <t>Summary of Degree Day Information</t>
  </si>
  <si>
    <t>Summary of All Heating Degree Days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</si>
  <si>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</si>
  <si>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</si>
  <si>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</si>
  <si>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</si>
  <si>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</si>
  <si>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</si>
  <si>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</si>
  <si>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</si>
  <si>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</si>
  <si>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</si>
  <si>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</si>
  <si>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</si>
  <si>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</si>
  <si>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</si>
  <si>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10 Year Avg</t>
  </si>
  <si>
    <t>20 Year Trend</t>
  </si>
  <si>
    <t xml:space="preserve"> </t>
  </si>
  <si>
    <t>Not Used</t>
  </si>
  <si>
    <t>Total Annual CDM Results</t>
  </si>
  <si>
    <t>Increase over previous year</t>
  </si>
  <si>
    <t>CDM Activity Variable</t>
  </si>
  <si>
    <t>Check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</si>
  <si>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</si>
  <si>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</si>
  <si>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</si>
  <si>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</si>
  <si>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</si>
  <si>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</si>
  <si>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</si>
  <si>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</si>
  <si>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</si>
  <si>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</si>
  <si>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</si>
  <si>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4 Year 2011 to 2014 target</t>
  </si>
  <si>
    <t>2012 Load Foreacst</t>
  </si>
  <si>
    <t>kWh</t>
  </si>
  <si>
    <t>kW</t>
  </si>
  <si>
    <t>2011 %RPP</t>
  </si>
  <si>
    <t>TOTAL</t>
  </si>
  <si>
    <t>Electricity - Commodity RPP</t>
  </si>
  <si>
    <t>2012 Forecasted Metered kWhs</t>
  </si>
  <si>
    <t>2012  Loss Factor</t>
  </si>
  <si>
    <t>Class per Load Forecast RPP</t>
  </si>
  <si>
    <t>Electricity - Commodity Non-RPP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</si>
  <si>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</si>
  <si>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</si>
  <si>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</si>
  <si>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</si>
  <si>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</si>
  <si>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</si>
  <si>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</si>
  <si>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</si>
  <si>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</si>
  <si>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</si>
  <si>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</si>
  <si>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</si>
  <si>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</si>
  <si>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2013 Load Foreacst</t>
  </si>
  <si>
    <t>2013 Forecasted Metered kWhs</t>
  </si>
  <si>
    <t>2013  Loss Factor</t>
  </si>
  <si>
    <t>B</t>
  </si>
  <si>
    <t>C</t>
  </si>
  <si>
    <t>D</t>
  </si>
  <si>
    <t>E</t>
  </si>
  <si>
    <t>Portion of "Retail" kWh delivered by distributor to its Large Use Customer(s)</t>
  </si>
  <si>
    <t>G</t>
  </si>
  <si>
    <t>H</t>
  </si>
  <si>
    <t>Station Name</t>
  </si>
  <si>
    <t>TORONTO LESTER B. PEARSON INT'L A</t>
  </si>
  <si>
    <t>Number of Peak Hours</t>
  </si>
  <si>
    <t>Lower 95.0%</t>
  </si>
  <si>
    <t>Upper 95.0%</t>
  </si>
  <si>
    <t>Employment</t>
  </si>
  <si>
    <t>Predicted Consumed</t>
  </si>
  <si>
    <t>Not used</t>
  </si>
  <si>
    <t>2013 Weather Normal - Class Specific</t>
  </si>
  <si>
    <t>Power Purchased</t>
  </si>
  <si>
    <t>GS &lt; 50 kW</t>
  </si>
  <si>
    <t>GS &gt; 50 kW</t>
  </si>
  <si>
    <t>Centre Wellington Hydro Load Forecast for 2013 Rate Application</t>
  </si>
  <si>
    <t>Wolverine/GSW</t>
  </si>
  <si>
    <t>Purhased minus Wolverine</t>
  </si>
  <si>
    <t>2011/2012 Cost of Service Method</t>
  </si>
  <si>
    <t>2013 Proposed Cost of Service Method</t>
  </si>
  <si>
    <t>Trend</t>
  </si>
  <si>
    <t>Purchased - removed Wolverine</t>
  </si>
  <si>
    <t>% Weather Sensitive</t>
  </si>
  <si>
    <t>Allocation of Weather Sensitive Amount</t>
  </si>
  <si>
    <t xml:space="preserve">2012 Weather Normal </t>
  </si>
  <si>
    <t xml:space="preserve">2013 Weather Normal </t>
  </si>
  <si>
    <t>Actual kWh Purchases</t>
  </si>
  <si>
    <t>Predicted kWh Purchases</t>
  </si>
  <si>
    <t>GS&gt;50</t>
  </si>
  <si>
    <t xml:space="preserve">Intermediate </t>
  </si>
  <si>
    <t>Rate Class Specific</t>
  </si>
  <si>
    <t xml:space="preserve">CDM </t>
  </si>
  <si>
    <t>kW/kWh factor</t>
  </si>
  <si>
    <t>Jeffersons - P10-54 - 5OT2</t>
  </si>
  <si>
    <t>Nexans - C10-5 - 6OI1</t>
  </si>
  <si>
    <t>Nexans - C10-6 - 6OI1</t>
  </si>
  <si>
    <t>RR - Donnelley - 5OT1</t>
  </si>
  <si>
    <t>Wholesale Purchased kWh (with Losses)</t>
  </si>
  <si>
    <r>
      <t xml:space="preserve">“Wholesale" kWh (IESO) </t>
    </r>
    <r>
      <rPr>
        <b/>
        <sz val="9"/>
        <rFont val="Arial"/>
        <family val="2"/>
      </rPr>
      <t>Qty at the Meter</t>
    </r>
  </si>
  <si>
    <t>Supply Facility Loss Factor</t>
  </si>
  <si>
    <t>With Losses</t>
  </si>
  <si>
    <t>6 Year total</t>
  </si>
  <si>
    <t>A</t>
  </si>
  <si>
    <t>Net "Wholesale" kWh (A)-(B)</t>
  </si>
  <si>
    <r>
      <t xml:space="preserve">Retail kWh (Distributor) </t>
    </r>
    <r>
      <rPr>
        <b/>
        <sz val="9"/>
        <rFont val="Arial"/>
        <family val="2"/>
      </rPr>
      <t>Qty at the Meter</t>
    </r>
  </si>
  <si>
    <t>Net "Retail" kWh (D)-(E)</t>
  </si>
  <si>
    <t>6 Yr Average</t>
  </si>
  <si>
    <t>Distribution Loss Factor [(C)/(F)]</t>
  </si>
  <si>
    <t>Total Utility Loss Adjustment Factor</t>
  </si>
  <si>
    <t xml:space="preserve">LAF </t>
  </si>
  <si>
    <t>Distribution Loss Factor</t>
  </si>
  <si>
    <t>Total Loss Factor</t>
  </si>
  <si>
    <t>Secondary Metered Customer</t>
  </si>
  <si>
    <t xml:space="preserve">Total Loss Factor - Secondary Metered Customer &lt; 5,000kW     </t>
  </si>
  <si>
    <t xml:space="preserve">Total Loss Factor - Secondary Metered Customer &gt; 5,000kW    </t>
  </si>
  <si>
    <t>n/a</t>
  </si>
  <si>
    <t>Primary Metered Customer</t>
  </si>
  <si>
    <t xml:space="preserve">Total Loss Factor - Primary Metered Customer &lt; 5,000kW    </t>
  </si>
  <si>
    <t xml:space="preserve">Total Loss Factor - Primary Metered Customer &gt; 5,000kW    </t>
  </si>
  <si>
    <t>average of 2006-2011 years</t>
  </si>
  <si>
    <t>Centre Wellington Hydro</t>
  </si>
  <si>
    <t>Less: kWh delivered to Distributor for Large Use Customers</t>
  </si>
  <si>
    <t>Low Voltage</t>
  </si>
  <si>
    <t>GS 50-2999</t>
  </si>
  <si>
    <t>GS 3000-4999</t>
  </si>
  <si>
    <t>Total OPA Annual CDM Results (Gross)</t>
  </si>
  <si>
    <t>Total OPA Annual CDM Results (Net)</t>
  </si>
  <si>
    <t xml:space="preserve"> # Difference</t>
  </si>
  <si>
    <t xml:space="preserve"> % Difference of Net</t>
  </si>
  <si>
    <t>ERIP from 2010 programs</t>
  </si>
  <si>
    <t>based 4th Quarter 2011 results</t>
  </si>
  <si>
    <t>2011 ERIP in OPA Report</t>
  </si>
  <si>
    <t>2011 OPA Results</t>
  </si>
  <si>
    <t>NTG%</t>
  </si>
  <si>
    <t>NTG Impact</t>
  </si>
  <si>
    <t>Net Impact</t>
  </si>
  <si>
    <t>Impact from 2011 Programs</t>
  </si>
  <si>
    <t>CDM</t>
  </si>
  <si>
    <t>Could be the amount in the LRAM variance account for total</t>
  </si>
  <si>
    <t>Could be the amount in the LRAM variance account for Non-2011 ERIP Programs</t>
  </si>
  <si>
    <t>Free ridership amount</t>
  </si>
  <si>
    <t>Gross-up</t>
  </si>
  <si>
    <t>Historical Gross Up Value</t>
  </si>
  <si>
    <t xml:space="preserve">times </t>
  </si>
  <si>
    <t xml:space="preserve">2011 ERIP Gross </t>
  </si>
  <si>
    <t>Net Minus net 2011 ERIP</t>
  </si>
  <si>
    <t xml:space="preserve">2003 Actual </t>
  </si>
  <si>
    <t xml:space="preserve">2004 Actual </t>
  </si>
  <si>
    <t>Table 3-1: R Square and Adjusted R Square Values for Individual Class Regression Analysis</t>
  </si>
  <si>
    <t>Class</t>
  </si>
  <si>
    <t>Year</t>
  </si>
  <si>
    <t>2009 Board Approved</t>
  </si>
  <si>
    <t xml:space="preserve">2008 Actual </t>
  </si>
  <si>
    <t>2009 Actual</t>
  </si>
  <si>
    <t>2012 Bridge</t>
  </si>
  <si>
    <t>2013 Test</t>
  </si>
  <si>
    <t>Table 3-3: Billed Energy and Number of Customers / Connections by Rate Class</t>
  </si>
  <si>
    <t xml:space="preserve">Residential </t>
  </si>
  <si>
    <t>Street Lighting</t>
  </si>
  <si>
    <t>Billed Energy (GWh)</t>
  </si>
  <si>
    <t>Number of Customers/Connections</t>
  </si>
  <si>
    <t>OPA 2010 Final Results - kWh</t>
  </si>
  <si>
    <t>Statistic</t>
  </si>
  <si>
    <t>F Test</t>
  </si>
  <si>
    <t>T-stats by Coefficient</t>
  </si>
  <si>
    <t xml:space="preserve">Actual </t>
  </si>
  <si>
    <t xml:space="preserve">Predicted </t>
  </si>
  <si>
    <t>2012 Weather Normal</t>
  </si>
  <si>
    <t>2013 Weather Normal</t>
  </si>
  <si>
    <t>2013 Weather Normal - 10 year average</t>
  </si>
  <si>
    <t>2013 Weather Normal - 20 year trend</t>
  </si>
  <si>
    <t>Table 3-8: Historical Customer/Connection Data</t>
  </si>
  <si>
    <t>Table 3-9: Growth Rate in Customer/Connections</t>
  </si>
  <si>
    <t>Growth Rate in Customers/Connections</t>
  </si>
  <si>
    <t>Geometric Mean</t>
  </si>
  <si>
    <t>Table 3-10: Customer/Connection Forecast</t>
  </si>
  <si>
    <t>Forecast Number of Customers/Connections</t>
  </si>
  <si>
    <t>Table 3-11: Historical Annual Usage per Customer</t>
  </si>
  <si>
    <t xml:space="preserve">Annual kWh Usage Per Customer/Connection </t>
  </si>
  <si>
    <t>Table 3-12: Growth Rate in Usage Per Customer/Connection</t>
  </si>
  <si>
    <t>Growth Rate in Customer/Connection</t>
  </si>
  <si>
    <t>Table 3-13: Forecast Annual kWh Usage per Customer/Connection</t>
  </si>
  <si>
    <t>Forecast Annual kWh Usage per Customers/Connection</t>
  </si>
  <si>
    <t>Table 3-16: Average Net to Gross Percentage</t>
  </si>
  <si>
    <t>OPA 2006-2010 Final CDM Results (Gross)</t>
  </si>
  <si>
    <t>OPA 2006-2010 Final CDM Results (Net)</t>
  </si>
  <si>
    <t>Table 3-17: Schedule to Achieve 4 Year kWh CDM Target</t>
  </si>
  <si>
    <t>4 Year 2011 to 2014 kWh target</t>
  </si>
  <si>
    <t>2011 Programs</t>
  </si>
  <si>
    <t>2012 Programs</t>
  </si>
  <si>
    <t>2013 Programs</t>
  </si>
  <si>
    <t>2014 Programs</t>
  </si>
  <si>
    <t>Table 3-18: 2013 Expected Savings for LRAM Variance Account</t>
  </si>
  <si>
    <t>kW where applicable</t>
  </si>
  <si>
    <t>CDM Adjustment (GWh)</t>
  </si>
  <si>
    <t>Table 3-20: Historical Annual kW per Applicable Rate Class</t>
  </si>
  <si>
    <t>Billed Annual kW</t>
  </si>
  <si>
    <t>Table 3-21: Historical kW/KWh Ratio per Applicable Rate Class</t>
  </si>
  <si>
    <t>Ratio of kW to kWh</t>
  </si>
  <si>
    <t>Table 3-22: kW Forecast by Applicable Rate Class</t>
  </si>
  <si>
    <t>Predicted Billed kW</t>
  </si>
  <si>
    <t>Table 3-23: Summary of Forecast</t>
  </si>
  <si>
    <t xml:space="preserve">2012 Weather Normalized Bridge </t>
  </si>
  <si>
    <t>2013 Weather Normalized Test</t>
  </si>
  <si>
    <t>BILLING DETERMINANTS BY CLASS</t>
  </si>
  <si>
    <t>Table 3-2: GS &gt; 50 kW Regression Analysis Results</t>
  </si>
  <si>
    <t>Variable</t>
  </si>
  <si>
    <t>2012 Weather Normal - Class Specific</t>
  </si>
  <si>
    <t>Centre Wellington Hydro 4 Year 2011 to 2014 kWh target</t>
  </si>
  <si>
    <t>Table 3-4: 2011 Preliminary Results and Persistent Impact
plus OPA 2010 Final Results and Persistent Impact</t>
  </si>
  <si>
    <t>Table 3-5: Statistcial Results</t>
  </si>
  <si>
    <t>Table 3-6: Residential Billed</t>
  </si>
  <si>
    <t>Table 3-7: GS &lt; 50 kW Billed</t>
  </si>
  <si>
    <t>10 Year Average</t>
  </si>
  <si>
    <t>Billed Energy Forecast (GWh)</t>
  </si>
  <si>
    <t>Table 3-14: Billed Energy Forecast</t>
  </si>
  <si>
    <t>Table 3-15: Billed Energy Forecast (All Classes)</t>
  </si>
  <si>
    <t>Table 3-19: Adjustment for CDM</t>
  </si>
  <si>
    <t>CDM Adjusted Billed Energy Forecast (GWh)</t>
  </si>
  <si>
    <t>Average 2003 to 2011</t>
  </si>
  <si>
    <t>kWh - RPP</t>
  </si>
  <si>
    <t>Total kWh</t>
  </si>
  <si>
    <t>This table links elsewhere, do NOT delete</t>
  </si>
  <si>
    <t>5 Year total</t>
  </si>
  <si>
    <t>5 Yr Average</t>
  </si>
  <si>
    <t>average of 2007-2011 years</t>
  </si>
  <si>
    <t>Wolverine</t>
  </si>
  <si>
    <t>IESO Smart Meter Entiity Charge</t>
  </si>
  <si>
    <t>Customer</t>
  </si>
  <si>
    <t>4708-IESO Smart Meter Entity</t>
  </si>
  <si>
    <t>kWh savings from 2011 programs with persistent impact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</si>
</sst>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#,##0;\(#,##0\)"/>
    <numFmt numFmtId="174" formatCode="0.0000"/>
    <numFmt numFmtId="175" formatCode="#,##0.0000"/>
    <numFmt numFmtId="176" formatCode="0.0000%"/>
    <numFmt numFmtId="177" formatCode="_(* #,##0_);_(* \(#,##0\);_(* &quot;-&quot;??_);_(@_)"/>
    <numFmt numFmtId="178" formatCode="_-* #,##0_-;\-* #,##0_-;_-* &quot;-&quot;??_-;_-@_-"/>
    <numFmt numFmtId="179" formatCode="#,##0.0000_);\(#,##0.0000\)"/>
    <numFmt numFmtId="180" formatCode="#,##0.00000_);\(#,##0.00000\)"/>
    <numFmt numFmtId="181" formatCode="&quot;$&quot;#,##0.00000_);\(&quot;$&quot;#,##0.00000\)"/>
    <numFmt numFmtId="182" formatCode="&quot;$&quot;#,##0.0000_);\(&quot;$&quot;#,##0.0000\)"/>
    <numFmt numFmtId="183" formatCode="#,##0.0;\-#,##0.0"/>
    <numFmt numFmtId="184" formatCode="_(&quot;$&quot;* #,##0_);_(&quot;$&quot;* \(#,##0\);_(&quot;$&quot;* &quot;-&quot;??_);_(@_)"/>
    <numFmt numFmtId="185" formatCode="_(* #,##0.0_);_(* \(#,##0.0\);_(* &quot;-&quot;??_);_(@_)"/>
    <numFmt numFmtId="186" formatCode="#,##0.0"/>
    <numFmt numFmtId="187" formatCode="#,##0.000"/>
    <numFmt numFmtId="188" formatCode="0.000%"/>
    <numFmt numFmtId="189" formatCode="0.00000%"/>
    <numFmt numFmtId="190" formatCode="0.000000%"/>
    <numFmt numFmtId="191" formatCode="_(* #,##0.000_);_(* \(#,##0.000\);_(* &quot;-&quot;??_);_(@_)"/>
    <numFmt numFmtId="192" formatCode="_(* #,##0.0000_);_(* \(#,##0.0000\);_(* &quot;-&quot;????_);_(@_)"/>
    <numFmt numFmtId="193" formatCode="0.00000"/>
    <numFmt numFmtId="194" formatCode="0.000"/>
    <numFmt numFmtId="195" formatCode="#,##0.00000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;\(#,##0.0\)"/>
    <numFmt numFmtId="202" formatCode="#,##0.00;\(#,##0.00\)"/>
    <numFmt numFmtId="203" formatCode="0.0%;\(0.0%\)"/>
    <numFmt numFmtId="204" formatCode="0.0;\(0.0\)"/>
    <numFmt numFmtId="205" formatCode="0.0000%;\(0.0%\)"/>
    <numFmt numFmtId="206" formatCode="0;\(0,000\)"/>
    <numFmt numFmtId="207" formatCode="0.00;\(0.00\)"/>
    <numFmt numFmtId="208" formatCode="0.000000"/>
    <numFmt numFmtId="209" formatCode="0.0000000"/>
    <numFmt numFmtId="210" formatCode="0.00000000"/>
    <numFmt numFmtId="211" formatCode="&quot;$&quot;#,##0.0000"/>
    <numFmt numFmtId="212" formatCode="_(&quot;$&quot;* #,##0.000_);_(&quot;$&quot;* \(#,##0.000\);_(&quot;$&quot;* &quot;-&quot;??_);_(@_)"/>
    <numFmt numFmtId="213" formatCode="_(&quot;$&quot;* #,##0.0_);_(&quot;$&quot;* \(#,##0.0\);_(&quot;$&quot;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5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7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42" applyNumberForma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7" fontId="0" fillId="0" borderId="0" xfId="0" applyNumberFormat="1" applyFont="1" applyFill="1" applyAlignment="1">
      <alignment horizontal="center"/>
    </xf>
    <xf numFmtId="1" fontId="0" fillId="1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10" borderId="0" xfId="0" applyNumberFormat="1" applyFill="1" applyAlignment="1">
      <alignment horizontal="center"/>
    </xf>
    <xf numFmtId="17" fontId="3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right"/>
    </xf>
    <xf numFmtId="3" fontId="0" fillId="1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3" fontId="0" fillId="32" borderId="0" xfId="0" applyNumberFormat="1" applyFill="1" applyAlignment="1">
      <alignment horizontal="center"/>
    </xf>
    <xf numFmtId="3" fontId="0" fillId="32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3" fontId="2" fillId="32" borderId="0" xfId="0" applyNumberFormat="1" applyFont="1" applyFill="1" applyAlignment="1">
      <alignment horizontal="center"/>
    </xf>
    <xf numFmtId="3" fontId="0" fillId="32" borderId="0" xfId="0" applyNumberFormat="1" applyFont="1" applyFill="1" applyAlignment="1">
      <alignment horizontal="center" wrapText="1"/>
    </xf>
    <xf numFmtId="3" fontId="2" fillId="32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174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3" fontId="0" fillId="32" borderId="10" xfId="0" applyNumberForma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9" fontId="0" fillId="0" borderId="0" xfId="80" applyFont="1" applyFill="1" applyBorder="1" applyAlignment="1">
      <alignment/>
    </xf>
    <xf numFmtId="3" fontId="0" fillId="0" borderId="0" xfId="42" applyNumberFormat="1" applyFont="1" applyAlignment="1">
      <alignment horizontal="center"/>
    </xf>
    <xf numFmtId="43" fontId="0" fillId="0" borderId="0" xfId="5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8" fillId="0" borderId="0" xfId="51" applyFont="1" applyAlignment="1">
      <alignment/>
    </xf>
    <xf numFmtId="0" fontId="8" fillId="0" borderId="0" xfId="0" applyFont="1" applyAlignment="1">
      <alignment/>
    </xf>
    <xf numFmtId="43" fontId="11" fillId="0" borderId="0" xfId="51" applyFont="1" applyAlignment="1">
      <alignment horizontal="right"/>
    </xf>
    <xf numFmtId="0" fontId="11" fillId="0" borderId="13" xfId="0" applyFont="1" applyBorder="1" applyAlignment="1">
      <alignment horizontal="right"/>
    </xf>
    <xf numFmtId="0" fontId="8" fillId="0" borderId="0" xfId="0" applyFont="1" applyAlignment="1">
      <alignment horizontal="right"/>
    </xf>
    <xf numFmtId="43" fontId="8" fillId="0" borderId="0" xfId="0" applyNumberFormat="1" applyFont="1" applyAlignment="1">
      <alignment horizontal="right"/>
    </xf>
    <xf numFmtId="2" fontId="8" fillId="10" borderId="0" xfId="0" applyNumberFormat="1" applyFont="1" applyFill="1" applyAlignment="1">
      <alignment/>
    </xf>
    <xf numFmtId="4" fontId="8" fillId="10" borderId="0" xfId="0" applyNumberFormat="1" applyFont="1" applyFill="1" applyAlignment="1">
      <alignment/>
    </xf>
    <xf numFmtId="0" fontId="11" fillId="10" borderId="0" xfId="0" applyFont="1" applyFill="1" applyAlignment="1">
      <alignment/>
    </xf>
    <xf numFmtId="0" fontId="0" fillId="10" borderId="0" xfId="0" applyFill="1" applyAlignment="1">
      <alignment/>
    </xf>
    <xf numFmtId="2" fontId="0" fillId="0" borderId="0" xfId="0" applyNumberFormat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78" fontId="0" fillId="0" borderId="0" xfId="5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7" fontId="0" fillId="10" borderId="0" xfId="0" applyNumberFormat="1" applyFont="1" applyFill="1" applyAlignment="1">
      <alignment horizontal="center"/>
    </xf>
    <xf numFmtId="4" fontId="0" fillId="1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3" fontId="0" fillId="0" borderId="14" xfId="0" applyNumberFormat="1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6" xfId="0" applyNumberFormat="1" applyBorder="1" applyAlignment="1">
      <alignment/>
    </xf>
    <xf numFmtId="37" fontId="0" fillId="0" borderId="17" xfId="0" applyNumberFormat="1" applyBorder="1" applyAlignment="1">
      <alignment/>
    </xf>
    <xf numFmtId="0" fontId="3" fillId="0" borderId="0" xfId="0" applyFont="1" applyBorder="1" applyAlignment="1">
      <alignment horizontal="left" indent="1"/>
    </xf>
    <xf numFmtId="3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5" fontId="3" fillId="0" borderId="0" xfId="0" applyNumberFormat="1" applyFont="1" applyFill="1" applyBorder="1" applyAlignment="1">
      <alignment/>
    </xf>
    <xf numFmtId="5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5" fontId="0" fillId="0" borderId="14" xfId="0" applyNumberFormat="1" applyFill="1" applyBorder="1" applyAlignment="1">
      <alignment/>
    </xf>
    <xf numFmtId="37" fontId="3" fillId="0" borderId="10" xfId="0" applyNumberFormat="1" applyFont="1" applyBorder="1" applyAlignment="1">
      <alignment/>
    </xf>
    <xf numFmtId="37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37" fontId="0" fillId="0" borderId="10" xfId="0" applyNumberFormat="1" applyBorder="1" applyAlignment="1">
      <alignment/>
    </xf>
    <xf numFmtId="5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5" fontId="3" fillId="0" borderId="10" xfId="0" applyNumberFormat="1" applyFont="1" applyFill="1" applyBorder="1" applyAlignment="1">
      <alignment/>
    </xf>
    <xf numFmtId="179" fontId="0" fillId="0" borderId="10" xfId="0" applyNumberFormat="1" applyBorder="1" applyAlignment="1">
      <alignment horizontal="center"/>
    </xf>
    <xf numFmtId="5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77" fontId="0" fillId="0" borderId="10" xfId="42" applyNumberFormat="1" applyFill="1" applyBorder="1" applyAlignment="1">
      <alignment/>
    </xf>
    <xf numFmtId="183" fontId="0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 wrapText="1"/>
    </xf>
    <xf numFmtId="9" fontId="0" fillId="0" borderId="0" xfId="8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43" fontId="0" fillId="0" borderId="20" xfId="42" applyFont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72" fontId="0" fillId="32" borderId="20" xfId="0" applyNumberForma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0" fontId="0" fillId="0" borderId="0" xfId="80" applyNumberFormat="1" applyFont="1" applyAlignment="1">
      <alignment horizontal="center"/>
    </xf>
    <xf numFmtId="173" fontId="0" fillId="0" borderId="0" xfId="0" applyNumberFormat="1" applyFill="1" applyAlignment="1">
      <alignment horizontal="center"/>
    </xf>
    <xf numFmtId="9" fontId="0" fillId="0" borderId="11" xfId="80" applyFont="1" applyFill="1" applyBorder="1" applyAlignment="1">
      <alignment/>
    </xf>
    <xf numFmtId="9" fontId="0" fillId="0" borderId="0" xfId="80" applyFont="1" applyAlignment="1">
      <alignment/>
    </xf>
    <xf numFmtId="9" fontId="5" fillId="0" borderId="12" xfId="8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 wrapText="1"/>
    </xf>
    <xf numFmtId="3" fontId="0" fillId="10" borderId="0" xfId="0" applyNumberFormat="1" applyFont="1" applyFill="1" applyAlignment="1">
      <alignment horizontal="center" wrapText="1"/>
    </xf>
    <xf numFmtId="4" fontId="0" fillId="32" borderId="0" xfId="0" applyNumberFormat="1" applyFont="1" applyFill="1" applyAlignment="1">
      <alignment horizontal="center"/>
    </xf>
    <xf numFmtId="3" fontId="0" fillId="0" borderId="0" xfId="73" applyNumberFormat="1" applyFont="1" applyAlignment="1">
      <alignment horizontal="center"/>
      <protection/>
    </xf>
    <xf numFmtId="177" fontId="0" fillId="0" borderId="0" xfId="42" applyNumberFormat="1" applyFont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10" borderId="0" xfId="42" applyNumberFormat="1" applyFont="1" applyFill="1" applyAlignment="1">
      <alignment horizontal="center" wrapText="1"/>
    </xf>
    <xf numFmtId="3" fontId="0" fillId="1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0" fontId="0" fillId="32" borderId="0" xfId="0" applyNumberFormat="1" applyFill="1" applyAlignment="1">
      <alignment horizontal="center"/>
    </xf>
    <xf numFmtId="172" fontId="0" fillId="0" borderId="0" xfId="0" applyNumberFormat="1" applyAlignment="1">
      <alignment horizontal="center" wrapText="1"/>
    </xf>
    <xf numFmtId="10" fontId="0" fillId="0" borderId="0" xfId="80" applyNumberFormat="1" applyFont="1" applyFill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6" fontId="0" fillId="0" borderId="0" xfId="80" applyNumberFormat="1" applyFont="1" applyAlignment="1">
      <alignment horizontal="center"/>
    </xf>
    <xf numFmtId="0" fontId="14" fillId="0" borderId="0" xfId="72" applyFont="1" applyAlignment="1">
      <alignment horizontal="center"/>
      <protection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0" fontId="15" fillId="0" borderId="0" xfId="72" applyFont="1">
      <alignment/>
      <protection/>
    </xf>
    <xf numFmtId="0" fontId="16" fillId="0" borderId="0" xfId="72" applyFont="1">
      <alignment/>
      <protection/>
    </xf>
    <xf numFmtId="41" fontId="15" fillId="32" borderId="0" xfId="72" applyNumberFormat="1" applyFont="1" applyFill="1">
      <alignment/>
      <protection/>
    </xf>
    <xf numFmtId="0" fontId="17" fillId="0" borderId="0" xfId="72" applyFont="1">
      <alignment/>
      <protection/>
    </xf>
    <xf numFmtId="191" fontId="15" fillId="0" borderId="0" xfId="72" applyNumberFormat="1" applyFont="1">
      <alignment/>
      <protection/>
    </xf>
    <xf numFmtId="177" fontId="15" fillId="0" borderId="0" xfId="45" applyNumberFormat="1" applyFont="1" applyFill="1" applyAlignment="1">
      <alignment/>
    </xf>
    <xf numFmtId="0" fontId="14" fillId="0" borderId="0" xfId="72" applyFont="1" applyFill="1" applyAlignment="1">
      <alignment horizontal="center"/>
      <protection/>
    </xf>
    <xf numFmtId="41" fontId="15" fillId="0" borderId="0" xfId="72" applyNumberFormat="1" applyFont="1" applyFill="1">
      <alignment/>
      <protection/>
    </xf>
    <xf numFmtId="0" fontId="15" fillId="0" borderId="13" xfId="72" applyFont="1" applyBorder="1">
      <alignment/>
      <protection/>
    </xf>
    <xf numFmtId="41" fontId="15" fillId="0" borderId="25" xfId="72" applyNumberFormat="1" applyFont="1" applyFill="1" applyBorder="1">
      <alignment/>
      <protection/>
    </xf>
    <xf numFmtId="41" fontId="15" fillId="0" borderId="0" xfId="72" applyNumberFormat="1" applyFont="1">
      <alignment/>
      <protection/>
    </xf>
    <xf numFmtId="41" fontId="15" fillId="0" borderId="0" xfId="72" applyNumberFormat="1" applyFont="1" applyFill="1" applyBorder="1">
      <alignment/>
      <protection/>
    </xf>
    <xf numFmtId="41" fontId="15" fillId="0" borderId="25" xfId="72" applyNumberFormat="1" applyFont="1" applyBorder="1">
      <alignment/>
      <protection/>
    </xf>
    <xf numFmtId="41" fontId="15" fillId="0" borderId="0" xfId="72" applyNumberFormat="1" applyFont="1" applyBorder="1">
      <alignment/>
      <protection/>
    </xf>
    <xf numFmtId="0" fontId="16" fillId="0" borderId="0" xfId="72" applyFont="1" applyFill="1" applyAlignment="1">
      <alignment horizontal="right"/>
      <protection/>
    </xf>
    <xf numFmtId="174" fontId="15" fillId="0" borderId="0" xfId="72" applyNumberFormat="1" applyFont="1">
      <alignment/>
      <protection/>
    </xf>
    <xf numFmtId="192" fontId="18" fillId="0" borderId="0" xfId="72" applyNumberFormat="1" applyFont="1" applyFill="1">
      <alignment/>
      <protection/>
    </xf>
    <xf numFmtId="174" fontId="16" fillId="0" borderId="0" xfId="72" applyNumberFormat="1" applyFont="1" applyFill="1">
      <alignment/>
      <protection/>
    </xf>
    <xf numFmtId="174" fontId="15" fillId="0" borderId="0" xfId="72" applyNumberFormat="1" applyFont="1" applyFill="1">
      <alignment/>
      <protection/>
    </xf>
    <xf numFmtId="0" fontId="19" fillId="0" borderId="0" xfId="72" applyFont="1">
      <alignment/>
      <protection/>
    </xf>
    <xf numFmtId="0" fontId="19" fillId="0" borderId="0" xfId="72" applyFont="1" applyAlignment="1">
      <alignment horizontal="center"/>
      <protection/>
    </xf>
    <xf numFmtId="174" fontId="15" fillId="0" borderId="0" xfId="80" applyNumberFormat="1" applyFont="1" applyFill="1" applyAlignment="1">
      <alignment/>
    </xf>
    <xf numFmtId="0" fontId="15" fillId="0" borderId="0" xfId="72" applyFont="1" applyFill="1">
      <alignment/>
      <protection/>
    </xf>
    <xf numFmtId="0" fontId="16" fillId="0" borderId="0" xfId="72" applyFont="1" applyFill="1">
      <alignment/>
      <protection/>
    </xf>
    <xf numFmtId="10" fontId="0" fillId="0" borderId="0" xfId="80" applyNumberFormat="1" applyFont="1" applyAlignment="1">
      <alignment/>
    </xf>
    <xf numFmtId="0" fontId="15" fillId="0" borderId="0" xfId="72" applyFont="1" applyAlignment="1">
      <alignment horizontal="left" indent="1"/>
      <protection/>
    </xf>
    <xf numFmtId="43" fontId="15" fillId="0" borderId="0" xfId="72" applyNumberFormat="1" applyFont="1" applyFill="1">
      <alignment/>
      <protection/>
    </xf>
    <xf numFmtId="0" fontId="20" fillId="0" borderId="0" xfId="72" applyFont="1" applyAlignment="1">
      <alignment horizontal="left" indent="2"/>
      <protection/>
    </xf>
    <xf numFmtId="175" fontId="15" fillId="0" borderId="0" xfId="72" applyNumberFormat="1" applyFont="1" applyFill="1">
      <alignment/>
      <protection/>
    </xf>
    <xf numFmtId="0" fontId="20" fillId="0" borderId="0" xfId="72" applyFont="1" applyAlignment="1">
      <alignment horizontal="center"/>
      <protection/>
    </xf>
    <xf numFmtId="0" fontId="15" fillId="0" borderId="0" xfId="72" applyFont="1" applyFill="1" applyAlignment="1">
      <alignment horizontal="right"/>
      <protection/>
    </xf>
    <xf numFmtId="0" fontId="15" fillId="0" borderId="0" xfId="72" applyFont="1" applyAlignment="1">
      <alignment horizontal="center"/>
      <protection/>
    </xf>
    <xf numFmtId="0" fontId="0" fillId="0" borderId="0" xfId="0" applyBorder="1" applyAlignment="1">
      <alignment vertical="top" wrapText="1"/>
    </xf>
    <xf numFmtId="5" fontId="3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left" indent="1"/>
    </xf>
    <xf numFmtId="37" fontId="3" fillId="0" borderId="19" xfId="0" applyNumberFormat="1" applyFont="1" applyBorder="1" applyAlignment="1">
      <alignment/>
    </xf>
    <xf numFmtId="43" fontId="0" fillId="0" borderId="11" xfId="42" applyFont="1" applyFill="1" applyBorder="1" applyAlignment="1">
      <alignment/>
    </xf>
    <xf numFmtId="178" fontId="0" fillId="0" borderId="0" xfId="50" applyNumberFormat="1" applyFont="1" applyAlignment="1">
      <alignment/>
    </xf>
    <xf numFmtId="172" fontId="0" fillId="0" borderId="0" xfId="80" applyNumberFormat="1" applyFont="1" applyAlignment="1">
      <alignment/>
    </xf>
    <xf numFmtId="3" fontId="0" fillId="0" borderId="0" xfId="0" applyNumberFormat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77" fontId="0" fillId="0" borderId="10" xfId="42" applyNumberFormat="1" applyFont="1" applyBorder="1" applyAlignment="1">
      <alignment/>
    </xf>
    <xf numFmtId="177" fontId="0" fillId="0" borderId="10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177" fontId="0" fillId="0" borderId="0" xfId="0" applyNumberFormat="1" applyBorder="1" applyAlignment="1">
      <alignment/>
    </xf>
    <xf numFmtId="9" fontId="0" fillId="0" borderId="10" xfId="80" applyFont="1" applyBorder="1" applyAlignment="1">
      <alignment horizontal="center"/>
    </xf>
    <xf numFmtId="172" fontId="0" fillId="32" borderId="10" xfId="0" applyNumberFormat="1" applyFill="1" applyBorder="1" applyAlignment="1">
      <alignment horizontal="center"/>
    </xf>
    <xf numFmtId="9" fontId="5" fillId="0" borderId="12" xfId="80" applyFont="1" applyFill="1" applyBorder="1" applyAlignment="1">
      <alignment horizontal="centerContinuous"/>
    </xf>
    <xf numFmtId="0" fontId="17" fillId="0" borderId="26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17" fillId="0" borderId="26" xfId="77" applyFont="1" applyFill="1" applyBorder="1" applyAlignment="1">
      <alignment horizontal="center" vertical="center"/>
      <protection/>
    </xf>
    <xf numFmtId="0" fontId="17" fillId="0" borderId="10" xfId="77" applyFont="1" applyFill="1" applyBorder="1" applyAlignment="1">
      <alignment horizontal="center" vertical="center" wrapText="1"/>
      <protection/>
    </xf>
    <xf numFmtId="0" fontId="25" fillId="0" borderId="26" xfId="0" applyFont="1" applyBorder="1" applyAlignment="1">
      <alignment horizontal="left" vertical="center"/>
    </xf>
    <xf numFmtId="9" fontId="25" fillId="0" borderId="10" xfId="76" applyNumberFormat="1" applyFont="1" applyFill="1" applyBorder="1" applyAlignment="1">
      <alignment horizontal="center" vertical="center"/>
      <protection/>
    </xf>
    <xf numFmtId="0" fontId="17" fillId="0" borderId="26" xfId="77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186" fontId="24" fillId="0" borderId="10" xfId="76" applyNumberFormat="1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0" fontId="17" fillId="0" borderId="26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left" vertical="center"/>
    </xf>
    <xf numFmtId="186" fontId="17" fillId="0" borderId="10" xfId="76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3" fontId="17" fillId="0" borderId="10" xfId="77" applyNumberFormat="1" applyFont="1" applyFill="1" applyBorder="1" applyAlignment="1">
      <alignment horizontal="center" vertical="center" wrapText="1"/>
      <protection/>
    </xf>
    <xf numFmtId="0" fontId="17" fillId="0" borderId="13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24" fillId="0" borderId="27" xfId="0" applyFont="1" applyBorder="1" applyAlignment="1">
      <alignment/>
    </xf>
    <xf numFmtId="0" fontId="24" fillId="0" borderId="10" xfId="0" applyFont="1" applyBorder="1" applyAlignment="1">
      <alignment/>
    </xf>
    <xf numFmtId="196" fontId="24" fillId="0" borderId="10" xfId="0" applyNumberFormat="1" applyFont="1" applyBorder="1" applyAlignment="1">
      <alignment horizontal="center"/>
    </xf>
    <xf numFmtId="186" fontId="24" fillId="0" borderId="0" xfId="0" applyNumberFormat="1" applyFont="1" applyAlignment="1">
      <alignment/>
    </xf>
    <xf numFmtId="0" fontId="24" fillId="0" borderId="19" xfId="0" applyFont="1" applyFill="1" applyBorder="1" applyAlignment="1">
      <alignment horizontal="left" vertical="center" wrapText="1"/>
    </xf>
    <xf numFmtId="196" fontId="24" fillId="0" borderId="10" xfId="0" applyNumberFormat="1" applyFont="1" applyBorder="1" applyAlignment="1">
      <alignment horizontal="center"/>
    </xf>
    <xf numFmtId="186" fontId="24" fillId="0" borderId="0" xfId="0" applyNumberFormat="1" applyFont="1" applyAlignment="1">
      <alignment/>
    </xf>
    <xf numFmtId="0" fontId="17" fillId="0" borderId="19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196" fontId="17" fillId="0" borderId="10" xfId="0" applyNumberFormat="1" applyFont="1" applyBorder="1" applyAlignment="1">
      <alignment horizontal="center"/>
    </xf>
    <xf numFmtId="186" fontId="17" fillId="0" borderId="0" xfId="0" applyNumberFormat="1" applyFont="1" applyAlignment="1">
      <alignment/>
    </xf>
    <xf numFmtId="196" fontId="24" fillId="0" borderId="28" xfId="0" applyNumberFormat="1" applyFont="1" applyFill="1" applyBorder="1" applyAlignment="1">
      <alignment vertical="center"/>
    </xf>
    <xf numFmtId="3" fontId="24" fillId="0" borderId="10" xfId="76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Alignment="1">
      <alignment/>
    </xf>
    <xf numFmtId="0" fontId="24" fillId="0" borderId="26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horizontal="left" vertical="center" wrapText="1"/>
    </xf>
    <xf numFmtId="3" fontId="17" fillId="0" borderId="10" xfId="76" applyNumberFormat="1" applyFont="1" applyFill="1" applyBorder="1" applyAlignment="1">
      <alignment horizontal="center" vertical="center"/>
      <protection/>
    </xf>
    <xf numFmtId="203" fontId="24" fillId="0" borderId="0" xfId="0" applyNumberFormat="1" applyFont="1" applyFill="1" applyBorder="1" applyAlignment="1">
      <alignment horizontal="left" vertical="center"/>
    </xf>
    <xf numFmtId="203" fontId="17" fillId="0" borderId="0" xfId="0" applyNumberFormat="1" applyFont="1" applyFill="1" applyBorder="1" applyAlignment="1">
      <alignment horizontal="left" vertical="center"/>
    </xf>
    <xf numFmtId="203" fontId="24" fillId="0" borderId="0" xfId="0" applyNumberFormat="1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24" fillId="0" borderId="10" xfId="76" applyNumberFormat="1" applyFont="1" applyFill="1" applyBorder="1" applyAlignment="1">
      <alignment horizontal="center" vertical="center"/>
      <protection/>
    </xf>
    <xf numFmtId="196" fontId="24" fillId="0" borderId="10" xfId="76" applyNumberFormat="1" applyFont="1" applyFill="1" applyBorder="1" applyAlignment="1">
      <alignment horizontal="center" vertical="center"/>
      <protection/>
    </xf>
    <xf numFmtId="1" fontId="24" fillId="0" borderId="15" xfId="0" applyNumberFormat="1" applyFont="1" applyFill="1" applyBorder="1" applyAlignment="1">
      <alignment horizontal="left" vertical="center" indent="1"/>
    </xf>
    <xf numFmtId="204" fontId="24" fillId="0" borderId="10" xfId="76" applyNumberFormat="1" applyFont="1" applyFill="1" applyBorder="1" applyAlignment="1">
      <alignment horizontal="center" vertical="center"/>
      <protection/>
    </xf>
    <xf numFmtId="203" fontId="24" fillId="0" borderId="19" xfId="76" applyNumberFormat="1" applyFont="1" applyFill="1" applyBorder="1" applyAlignment="1">
      <alignment horizontal="center" vertical="center"/>
      <protection/>
    </xf>
    <xf numFmtId="196" fontId="17" fillId="0" borderId="10" xfId="76" applyNumberFormat="1" applyFont="1" applyFill="1" applyBorder="1" applyAlignment="1">
      <alignment horizontal="center" vertical="center"/>
      <protection/>
    </xf>
    <xf numFmtId="203" fontId="17" fillId="0" borderId="19" xfId="76" applyNumberFormat="1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203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203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/>
    </xf>
    <xf numFmtId="3" fontId="17" fillId="0" borderId="0" xfId="77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vertical="center"/>
    </xf>
    <xf numFmtId="186" fontId="17" fillId="0" borderId="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204" fontId="17" fillId="0" borderId="0" xfId="0" applyNumberFormat="1" applyFont="1" applyFill="1" applyBorder="1" applyAlignment="1">
      <alignment horizontal="center" vertical="center" wrapText="1"/>
    </xf>
    <xf numFmtId="172" fontId="17" fillId="0" borderId="0" xfId="80" applyNumberFormat="1" applyFont="1" applyFill="1" applyBorder="1" applyAlignment="1">
      <alignment vertical="center"/>
    </xf>
    <xf numFmtId="201" fontId="17" fillId="0" borderId="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186" fontId="17" fillId="0" borderId="10" xfId="0" applyNumberFormat="1" applyFont="1" applyFill="1" applyBorder="1" applyAlignment="1">
      <alignment horizontal="center" vertical="center" wrapText="1"/>
    </xf>
    <xf numFmtId="186" fontId="17" fillId="0" borderId="28" xfId="0" applyNumberFormat="1" applyFont="1" applyFill="1" applyBorder="1" applyAlignment="1">
      <alignment horizontal="center" vertical="center" wrapText="1"/>
    </xf>
    <xf numFmtId="9" fontId="2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172" fontId="24" fillId="0" borderId="10" xfId="8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7" fillId="0" borderId="15" xfId="77" applyFont="1" applyFill="1" applyBorder="1" applyAlignment="1">
      <alignment vertical="center"/>
      <protection/>
    </xf>
    <xf numFmtId="204" fontId="17" fillId="0" borderId="10" xfId="0" applyNumberFormat="1" applyFont="1" applyFill="1" applyBorder="1" applyAlignment="1">
      <alignment horizontal="center" vertical="center" wrapText="1"/>
    </xf>
    <xf numFmtId="201" fontId="17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205" fontId="17" fillId="0" borderId="1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3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9" fontId="25" fillId="0" borderId="0" xfId="76" applyNumberFormat="1" applyFont="1" applyFill="1" applyBorder="1" applyAlignment="1">
      <alignment horizontal="center" vertical="center"/>
      <protection/>
    </xf>
    <xf numFmtId="9" fontId="24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73" fontId="24" fillId="0" borderId="10" xfId="42" applyNumberFormat="1" applyFont="1" applyFill="1" applyBorder="1" applyAlignment="1">
      <alignment horizontal="center"/>
    </xf>
    <xf numFmtId="202" fontId="24" fillId="0" borderId="10" xfId="42" applyNumberFormat="1" applyFont="1" applyFill="1" applyBorder="1" applyAlignment="1">
      <alignment horizontal="center"/>
    </xf>
    <xf numFmtId="2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17" fillId="0" borderId="10" xfId="76" applyNumberFormat="1" applyFont="1" applyFill="1" applyBorder="1" applyAlignment="1">
      <alignment horizontal="center" vertical="center"/>
      <protection/>
    </xf>
    <xf numFmtId="196" fontId="2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3" fontId="24" fillId="0" borderId="0" xfId="76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Border="1" applyAlignment="1">
      <alignment horizontal="center"/>
    </xf>
    <xf numFmtId="177" fontId="0" fillId="0" borderId="0" xfId="42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2" fontId="17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/>
    </xf>
    <xf numFmtId="205" fontId="24" fillId="0" borderId="10" xfId="0" applyNumberFormat="1" applyFont="1" applyFill="1" applyBorder="1" applyAlignment="1">
      <alignment horizontal="center" vertical="center" wrapText="1"/>
    </xf>
    <xf numFmtId="171" fontId="0" fillId="0" borderId="0" xfId="50" applyNumberFormat="1" applyAlignment="1">
      <alignment/>
    </xf>
    <xf numFmtId="0" fontId="3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43" fontId="0" fillId="0" borderId="0" xfId="0" applyNumberFormat="1" applyAlignment="1">
      <alignment/>
    </xf>
    <xf numFmtId="0" fontId="0" fillId="0" borderId="0" xfId="0" applyFont="1" applyBorder="1" applyAlignment="1">
      <alignment vertical="top" wrapText="1"/>
    </xf>
    <xf numFmtId="174" fontId="0" fillId="0" borderId="0" xfId="0" applyNumberFormat="1" applyFont="1" applyAlignment="1">
      <alignment horizontal="center"/>
    </xf>
    <xf numFmtId="9" fontId="0" fillId="0" borderId="10" xfId="80" applyFill="1" applyBorder="1" applyAlignment="1">
      <alignment/>
    </xf>
    <xf numFmtId="37" fontId="3" fillId="0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181" fontId="0" fillId="0" borderId="10" xfId="0" applyNumberForma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30" xfId="0" applyNumberFormat="1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180" fontId="0" fillId="0" borderId="10" xfId="0" applyNumberFormat="1" applyFill="1" applyBorder="1" applyAlignment="1">
      <alignment/>
    </xf>
    <xf numFmtId="182" fontId="0" fillId="0" borderId="1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5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 horizontal="center"/>
    </xf>
    <xf numFmtId="0" fontId="3" fillId="34" borderId="30" xfId="0" applyNumberFormat="1" applyFont="1" applyFill="1" applyBorder="1" applyAlignment="1">
      <alignment horizontal="center"/>
    </xf>
    <xf numFmtId="0" fontId="17" fillId="35" borderId="26" xfId="77" applyFont="1" applyFill="1" applyBorder="1" applyAlignment="1">
      <alignment horizontal="center" vertical="center"/>
      <protection/>
    </xf>
    <xf numFmtId="0" fontId="17" fillId="35" borderId="10" xfId="77" applyFont="1" applyFill="1" applyBorder="1" applyAlignment="1">
      <alignment horizontal="center" vertical="center" wrapText="1"/>
      <protection/>
    </xf>
    <xf numFmtId="0" fontId="17" fillId="35" borderId="10" xfId="77" applyFont="1" applyFill="1" applyBorder="1" applyAlignment="1">
      <alignment horizontal="center" vertical="center"/>
      <protection/>
    </xf>
    <xf numFmtId="3" fontId="17" fillId="35" borderId="10" xfId="77" applyNumberFormat="1" applyFont="1" applyFill="1" applyBorder="1" applyAlignment="1">
      <alignment horizontal="center" vertical="center" wrapText="1"/>
      <protection/>
    </xf>
    <xf numFmtId="0" fontId="17" fillId="35" borderId="10" xfId="77" applyFont="1" applyFill="1" applyBorder="1" applyAlignment="1">
      <alignment horizontal="left" vertical="center"/>
      <protection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17" fillId="35" borderId="10" xfId="77" applyFont="1" applyFill="1" applyBorder="1" applyAlignment="1">
      <alignment vertical="center"/>
      <protection/>
    </xf>
    <xf numFmtId="0" fontId="17" fillId="35" borderId="10" xfId="77" applyNumberFormat="1" applyFont="1" applyFill="1" applyBorder="1" applyAlignment="1">
      <alignment horizontal="center" vertical="center" wrapText="1"/>
      <protection/>
    </xf>
    <xf numFmtId="184" fontId="3" fillId="0" borderId="10" xfId="53" applyNumberFormat="1" applyFont="1" applyBorder="1" applyAlignment="1">
      <alignment/>
    </xf>
    <xf numFmtId="186" fontId="2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/>
    </xf>
    <xf numFmtId="196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12" fillId="34" borderId="32" xfId="0" applyFont="1" applyFill="1" applyBorder="1" applyAlignment="1">
      <alignment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3" fontId="0" fillId="0" borderId="20" xfId="0" applyNumberFormat="1" applyBorder="1" applyAlignment="1">
      <alignment/>
    </xf>
    <xf numFmtId="9" fontId="0" fillId="0" borderId="21" xfId="80" applyFill="1" applyBorder="1" applyAlignment="1">
      <alignment/>
    </xf>
    <xf numFmtId="0" fontId="3" fillId="0" borderId="22" xfId="0" applyFont="1" applyBorder="1" applyAlignment="1">
      <alignment horizontal="left" indent="1"/>
    </xf>
    <xf numFmtId="37" fontId="3" fillId="0" borderId="23" xfId="0" applyNumberFormat="1" applyFont="1" applyBorder="1" applyAlignment="1">
      <alignment/>
    </xf>
    <xf numFmtId="37" fontId="3" fillId="0" borderId="24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17" fillId="35" borderId="10" xfId="7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17" fillId="35" borderId="10" xfId="0" applyFont="1" applyFill="1" applyBorder="1" applyAlignment="1">
      <alignment horizontal="left" vertical="center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26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horizontal="center"/>
    </xf>
    <xf numFmtId="0" fontId="17" fillId="35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center"/>
    </xf>
    <xf numFmtId="3" fontId="25" fillId="0" borderId="15" xfId="0" applyNumberFormat="1" applyFont="1" applyBorder="1" applyAlignment="1">
      <alignment horizontal="left" vertical="center"/>
    </xf>
    <xf numFmtId="3" fontId="25" fillId="0" borderId="26" xfId="0" applyNumberFormat="1" applyFont="1" applyBorder="1" applyAlignment="1">
      <alignment horizontal="left" vertical="center"/>
    </xf>
    <xf numFmtId="0" fontId="17" fillId="0" borderId="15" xfId="77" applyFont="1" applyFill="1" applyBorder="1" applyAlignment="1">
      <alignment horizontal="left" vertical="center"/>
      <protection/>
    </xf>
    <xf numFmtId="0" fontId="17" fillId="0" borderId="26" xfId="77" applyFont="1" applyFill="1" applyBorder="1" applyAlignment="1">
      <alignment horizontal="left" vertical="center"/>
      <protection/>
    </xf>
    <xf numFmtId="0" fontId="17" fillId="0" borderId="1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96" fontId="24" fillId="0" borderId="18" xfId="0" applyNumberFormat="1" applyFont="1" applyFill="1" applyBorder="1" applyAlignment="1">
      <alignment horizontal="center" vertical="center"/>
    </xf>
    <xf numFmtId="196" fontId="24" fillId="0" borderId="25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35" borderId="10" xfId="77" applyFont="1" applyFill="1" applyBorder="1" applyAlignment="1">
      <alignment horizontal="left" vertical="center"/>
      <protection/>
    </xf>
    <xf numFmtId="0" fontId="24" fillId="0" borderId="1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17" fillId="35" borderId="15" xfId="77" applyFont="1" applyFill="1" applyBorder="1" applyAlignment="1">
      <alignment horizontal="left" vertical="center"/>
      <protection/>
    </xf>
    <xf numFmtId="0" fontId="17" fillId="35" borderId="26" xfId="77" applyFont="1" applyFill="1" applyBorder="1" applyAlignment="1">
      <alignment horizontal="left" vertical="center"/>
      <protection/>
    </xf>
    <xf numFmtId="0" fontId="17" fillId="35" borderId="15" xfId="0" applyFont="1" applyFill="1" applyBorder="1" applyAlignment="1">
      <alignment horizontal="left" vertical="center"/>
    </xf>
    <xf numFmtId="0" fontId="17" fillId="35" borderId="26" xfId="0" applyFont="1" applyFill="1" applyBorder="1" applyAlignment="1">
      <alignment horizontal="left" vertical="center"/>
    </xf>
    <xf numFmtId="0" fontId="17" fillId="35" borderId="19" xfId="0" applyFont="1" applyFill="1" applyBorder="1" applyAlignment="1">
      <alignment horizontal="left" vertical="center"/>
    </xf>
    <xf numFmtId="0" fontId="17" fillId="35" borderId="19" xfId="77" applyFont="1" applyFill="1" applyBorder="1" applyAlignment="1">
      <alignment horizontal="left" vertical="center"/>
      <protection/>
    </xf>
    <xf numFmtId="0" fontId="17" fillId="0" borderId="15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9" fontId="24" fillId="0" borderId="15" xfId="80" applyFont="1" applyFill="1" applyBorder="1" applyAlignment="1">
      <alignment horizontal="left"/>
    </xf>
    <xf numFmtId="9" fontId="24" fillId="0" borderId="19" xfId="80" applyFont="1" applyFill="1" applyBorder="1" applyAlignment="1">
      <alignment horizontal="left"/>
    </xf>
    <xf numFmtId="9" fontId="24" fillId="0" borderId="10" xfId="80" applyFont="1" applyFill="1" applyBorder="1" applyAlignment="1">
      <alignment horizontal="left"/>
    </xf>
    <xf numFmtId="0" fontId="17" fillId="35" borderId="15" xfId="0" applyFont="1" applyFill="1" applyBorder="1" applyAlignment="1">
      <alignment horizontal="left" wrapText="1"/>
    </xf>
    <xf numFmtId="0" fontId="17" fillId="35" borderId="26" xfId="0" applyFont="1" applyFill="1" applyBorder="1" applyAlignment="1">
      <alignment horizontal="left" wrapText="1"/>
    </xf>
    <xf numFmtId="0" fontId="17" fillId="35" borderId="19" xfId="0" applyFont="1" applyFill="1" applyBorder="1" applyAlignment="1">
      <alignment horizontal="left" wrapText="1"/>
    </xf>
    <xf numFmtId="0" fontId="17" fillId="0" borderId="15" xfId="77" applyFont="1" applyFill="1" applyBorder="1" applyAlignment="1">
      <alignment horizontal="left" vertical="center"/>
      <protection/>
    </xf>
    <xf numFmtId="0" fontId="17" fillId="0" borderId="26" xfId="77" applyFont="1" applyFill="1" applyBorder="1" applyAlignment="1">
      <alignment horizontal="left" vertical="center"/>
      <protection/>
    </xf>
    <xf numFmtId="0" fontId="17" fillId="0" borderId="3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/>
    </xf>
    <xf numFmtId="3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7" fillId="35" borderId="10" xfId="0" applyFont="1" applyFill="1" applyBorder="1" applyAlignment="1">
      <alignment horizontal="left"/>
    </xf>
    <xf numFmtId="0" fontId="17" fillId="35" borderId="10" xfId="0" applyFont="1" applyFill="1" applyBorder="1" applyAlignment="1">
      <alignment horizontal="left" vertical="center" wrapText="1"/>
    </xf>
    <xf numFmtId="0" fontId="0" fillId="10" borderId="0" xfId="0" applyFill="1" applyAlignment="1">
      <alignment horizontal="center"/>
    </xf>
    <xf numFmtId="0" fontId="0" fillId="3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18" xfId="0" applyNumberFormat="1" applyFont="1" applyFill="1" applyBorder="1" applyAlignment="1">
      <alignment horizontal="center"/>
    </xf>
    <xf numFmtId="0" fontId="3" fillId="34" borderId="25" xfId="0" applyNumberFormat="1" applyFont="1" applyFill="1" applyBorder="1" applyAlignment="1">
      <alignment horizontal="center"/>
    </xf>
    <xf numFmtId="0" fontId="3" fillId="34" borderId="19" xfId="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3" fillId="34" borderId="30" xfId="0" applyNumberFormat="1" applyFont="1" applyFill="1" applyBorder="1" applyAlignment="1">
      <alignment horizontal="center"/>
    </xf>
    <xf numFmtId="0" fontId="3" fillId="34" borderId="31" xfId="0" applyNumberFormat="1" applyFont="1" applyFill="1" applyBorder="1" applyAlignment="1">
      <alignment horizontal="center"/>
    </xf>
    <xf numFmtId="0" fontId="3" fillId="34" borderId="28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 wrapText="1"/>
    </xf>
    <xf numFmtId="0" fontId="3" fillId="34" borderId="14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 5 2" xfId="49"/>
    <cellStyle name="Comma_CDM monthly amounts" xfId="50"/>
    <cellStyle name="Comma_Horizon 2011 Load Forecast Model  June 25, 2010" xfId="51"/>
    <cellStyle name="Comma0" xfId="52"/>
    <cellStyle name="Currency" xfId="53"/>
    <cellStyle name="Currency [0]" xfId="54"/>
    <cellStyle name="Currency 2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2 2" xfId="71"/>
    <cellStyle name="Normal 3" xfId="72"/>
    <cellStyle name="Normal 4" xfId="73"/>
    <cellStyle name="Normal 4 2" xfId="74"/>
    <cellStyle name="Normal 4_Centre Wellington 2013 Load Foecast-April 4" xfId="75"/>
    <cellStyle name="Normal_OEB Trial Balance - Regulatory-July24-07" xfId="76"/>
    <cellStyle name="Normal_Sheet2" xfId="77"/>
    <cellStyle name="Note" xfId="78"/>
    <cellStyle name="Output" xfId="79"/>
    <cellStyle name="Percent" xfId="80"/>
    <cellStyle name="Percent 2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externalLink" Target="externalLinks/externalLink18.xml" /><Relationship Id="rId38" Type="http://schemas.openxmlformats.org/officeDocument/2006/relationships/externalLink" Target="externalLinks/externalLink19.xml" /><Relationship Id="rId39" Type="http://schemas.openxmlformats.org/officeDocument/2006/relationships/externalLink" Target="externalLinks/externalLink20.xml" /><Relationship Id="rId40" Type="http://schemas.openxmlformats.org/officeDocument/2006/relationships/externalLink" Target="externalLinks/externalLink21.xml" /><Relationship Id="rId41" Type="http://schemas.openxmlformats.org/officeDocument/2006/relationships/externalLink" Target="externalLinks/externalLink22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Documents%20and%20Settings\dg\Desktop\Dummy%20Fil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Users\fthiessen\AppData\Local\Microsoft\Windows\Temporary%20Internet%20Files\Content.Outlook\X29HICDZ\Weather%20Data\eng-daily-01012007-123120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Users\fthiessen\AppData\Local\Microsoft\Windows\Temporary%20Internet%20Files\Content.Outlook\X29HICDZ\Weather%20Data\eng-daily-01012008-1231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Users\fthiessen\AppData\Local\Microsoft\Windows\Temporary%20Internet%20Files\Content.Outlook\X29HICDZ\Weather%20Data\eng-daily-01012009-123120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Users\fthiessen\AppData\Local\Microsoft\Windows\Temporary%20Internet%20Files\Content.Outlook\X29HICDZ\Weather%20Data\eng-daily-01012010-1231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Users\fthiessen\AppData\Local\Microsoft\Windows\Temporary%20Internet%20Files\Content.Outlook\X29HICDZ\Weather%20Data\eng-daily-01012011-1231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Users\hblack\AppData\Local\Microsoft\Windows\Temporary%20Internet%20Files\Content.Outlook\78J3UVSR\Load%20Forecast%20Data%20Template%20(No%20Unbilled)%20Apr%2019%20Final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Documents%20and%20Settings\bbacon\Local%20Settings\Temporary%20Internet%20Files\Content.IE5\1ZESJT8Z\Central%20Wellington-RUN%202[1]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Users\hblack\AppData\Local\Microsoft\Windows\Temporary%20Internet%20Files\Content.Outlook\78J3UVSR\CW%20Hydro%202013_RTSR_Adjustment_Work_Form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Users\hblack\AppData\Local\Microsoft\Windows\Temporary%20Internet%20Files\Content.Outlook\78J3UVSR\2006-2010%20Final%20OPA%20CDM%20Results.Centre%20Wellington%20Hydro%20Ltd.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Documents%20and%20Settings\BBacon\My%20Documents\Norfolk\2011%20Rates\Evidence\Documents%20and%20Settings\dg\Desktop\Dummy%20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Documents%20and%20Settings\bbacon\My%20Documents\Midland\2013%20Rate%20Application\2013%20Load%20Forecast\Dummy%20Fil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Documents%20and%20Settings\BBacon\My%20Documents\Norfolk\2011%20Rates\Evidence\LDC%20FTY%20-%20LF\CostAllocat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Load%20Forecast%20Data\Load%20Forecast%20Data%20Template%20(No%20Unbilled)%20Apr%2019%20Final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CW%20Hydro%20Filing_Requirements_Chapter2_Appendices_V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LDC%20FTY%20-%20LF\CostAlloc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Documents%20and%20Settings\bbacon\My%20Documents\Midland\2013%20Rate%20Application\2013%20Load%20Forecast\Employment%20Sta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Users\fthiessen\AppData\Local\Microsoft\Windows\Temporary%20Internet%20Files\Content.Outlook\X29HICDZ\Weather%20Data\eng-daily-01012002-1231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Users\fthiessen\AppData\Local\Microsoft\Windows\Temporary%20Internet%20Files\Content.Outlook\X29HICDZ\Weather%20Data\eng-daily-01012003-1231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Users\fthiessen\AppData\Local\Microsoft\Windows\Temporary%20Internet%20Files\Content.Outlook\X29HICDZ\Weather%20Data\eng-daily-01012004-123120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Users\fthiessen\AppData\Local\Microsoft\Windows\Temporary%20Internet%20Files\Content.Outlook\X29HICDZ\Weather%20Data\eng-daily-01012005-1231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247\Data\Users\fthiessen\AppData\Local\Microsoft\Windows\Temporary%20Internet%20Files\Content.Outlook\X29HICDZ\Weather%20Data\eng-daily-01012006-1231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7-12312007"/>
    </sheetNames>
    <sheetDataSet>
      <sheetData sheetId="0">
        <row r="56">
          <cell r="M56">
            <v>711.8999999999999</v>
          </cell>
          <cell r="O56">
            <v>0</v>
          </cell>
        </row>
        <row r="85">
          <cell r="M85">
            <v>781.5999999999998</v>
          </cell>
          <cell r="O85">
            <v>0</v>
          </cell>
        </row>
        <row r="116">
          <cell r="M116">
            <v>596.4000000000001</v>
          </cell>
          <cell r="O116">
            <v>0</v>
          </cell>
        </row>
        <row r="146">
          <cell r="M146">
            <v>409.3999999999999</v>
          </cell>
          <cell r="O146">
            <v>0</v>
          </cell>
        </row>
        <row r="177">
          <cell r="M177">
            <v>144.79999999999998</v>
          </cell>
          <cell r="O177">
            <v>15.2</v>
          </cell>
        </row>
        <row r="207">
          <cell r="M207">
            <v>34.8</v>
          </cell>
          <cell r="O207">
            <v>69.29999999999998</v>
          </cell>
        </row>
        <row r="238">
          <cell r="M238">
            <v>20.099999999999998</v>
          </cell>
          <cell r="O238">
            <v>60.29999999999998</v>
          </cell>
        </row>
        <row r="269">
          <cell r="M269">
            <v>14.8</v>
          </cell>
          <cell r="O269">
            <v>79.59999999999998</v>
          </cell>
        </row>
        <row r="299">
          <cell r="M299">
            <v>56.800000000000004</v>
          </cell>
          <cell r="O299">
            <v>31.300000000000004</v>
          </cell>
        </row>
        <row r="330">
          <cell r="M330">
            <v>180.79999999999998</v>
          </cell>
          <cell r="O330">
            <v>10.399999999999999</v>
          </cell>
        </row>
        <row r="360">
          <cell r="M360">
            <v>491.99999999999994</v>
          </cell>
          <cell r="O360">
            <v>0</v>
          </cell>
        </row>
        <row r="391">
          <cell r="M391">
            <v>695.4</v>
          </cell>
          <cell r="O39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8-12312008"/>
    </sheetNames>
    <sheetDataSet>
      <sheetData sheetId="0">
        <row r="56">
          <cell r="M56">
            <v>707.0999999999998</v>
          </cell>
          <cell r="O56">
            <v>0</v>
          </cell>
        </row>
        <row r="85">
          <cell r="M85">
            <v>735.6999999999998</v>
          </cell>
          <cell r="O85">
            <v>0</v>
          </cell>
        </row>
        <row r="116">
          <cell r="M116">
            <v>689.9999999999999</v>
          </cell>
          <cell r="O116">
            <v>0</v>
          </cell>
        </row>
        <row r="146">
          <cell r="M146">
            <v>294.8999999999999</v>
          </cell>
          <cell r="O146">
            <v>0</v>
          </cell>
        </row>
        <row r="177">
          <cell r="M177">
            <v>238.39999999999998</v>
          </cell>
          <cell r="O177">
            <v>0</v>
          </cell>
        </row>
        <row r="207">
          <cell r="M207">
            <v>39.20000000000002</v>
          </cell>
          <cell r="O207">
            <v>44.5</v>
          </cell>
        </row>
        <row r="238">
          <cell r="M238">
            <v>4.4</v>
          </cell>
          <cell r="O238">
            <v>69.59999999999998</v>
          </cell>
        </row>
        <row r="269">
          <cell r="M269">
            <v>24.999999999999996</v>
          </cell>
          <cell r="O269">
            <v>37.699999999999996</v>
          </cell>
        </row>
        <row r="299">
          <cell r="M299">
            <v>80.60000000000002</v>
          </cell>
          <cell r="O299">
            <v>16.8</v>
          </cell>
        </row>
        <row r="330">
          <cell r="M330">
            <v>315.99999999999994</v>
          </cell>
          <cell r="O330">
            <v>0</v>
          </cell>
        </row>
        <row r="360">
          <cell r="M360">
            <v>500.1000000000001</v>
          </cell>
          <cell r="O360">
            <v>0</v>
          </cell>
        </row>
        <row r="391">
          <cell r="M391">
            <v>720.2999999999998</v>
          </cell>
          <cell r="O39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9-12312009"/>
    </sheetNames>
    <sheetDataSet>
      <sheetData sheetId="0">
        <row r="56">
          <cell r="M56">
            <v>859.9999999999998</v>
          </cell>
          <cell r="O56">
            <v>0</v>
          </cell>
        </row>
        <row r="85">
          <cell r="M85">
            <v>667.0999999999999</v>
          </cell>
          <cell r="O85">
            <v>0</v>
          </cell>
        </row>
        <row r="116">
          <cell r="M116">
            <v>575.8</v>
          </cell>
          <cell r="O116">
            <v>0</v>
          </cell>
        </row>
        <row r="146">
          <cell r="M146">
            <v>355.2999999999999</v>
          </cell>
          <cell r="O146">
            <v>0.8</v>
          </cell>
        </row>
        <row r="177">
          <cell r="M177">
            <v>180.79999999999995</v>
          </cell>
          <cell r="O177">
            <v>1.8</v>
          </cell>
        </row>
        <row r="207">
          <cell r="M207">
            <v>72.4</v>
          </cell>
          <cell r="O207">
            <v>25.8</v>
          </cell>
        </row>
        <row r="238">
          <cell r="M238">
            <v>35.5</v>
          </cell>
          <cell r="O238">
            <v>15.600000000000001</v>
          </cell>
        </row>
        <row r="269">
          <cell r="M269">
            <v>26.3</v>
          </cell>
          <cell r="O269">
            <v>59.499999999999986</v>
          </cell>
        </row>
        <row r="299">
          <cell r="M299">
            <v>79.60000000000002</v>
          </cell>
          <cell r="O299">
            <v>12</v>
          </cell>
        </row>
        <row r="330">
          <cell r="M330">
            <v>340.89999999999986</v>
          </cell>
          <cell r="O330">
            <v>0</v>
          </cell>
        </row>
        <row r="360">
          <cell r="M360">
            <v>385.0999999999999</v>
          </cell>
          <cell r="O360">
            <v>0</v>
          </cell>
        </row>
        <row r="391">
          <cell r="M391">
            <v>695.4</v>
          </cell>
          <cell r="O39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10-12312010"/>
    </sheetNames>
    <sheetDataSet>
      <sheetData sheetId="0">
        <row r="56">
          <cell r="M56">
            <v>781.5999999999999</v>
          </cell>
          <cell r="O56">
            <v>0</v>
          </cell>
        </row>
        <row r="85">
          <cell r="M85">
            <v>663.0999999999999</v>
          </cell>
          <cell r="O85">
            <v>0</v>
          </cell>
        </row>
        <row r="116">
          <cell r="M116">
            <v>489.09999999999985</v>
          </cell>
          <cell r="O116">
            <v>0</v>
          </cell>
        </row>
        <row r="146">
          <cell r="M146">
            <v>250.79999999999995</v>
          </cell>
          <cell r="O146">
            <v>0</v>
          </cell>
        </row>
        <row r="177">
          <cell r="M177">
            <v>131.39999999999998</v>
          </cell>
          <cell r="O177">
            <v>30.8</v>
          </cell>
        </row>
        <row r="207">
          <cell r="M207">
            <v>39.7</v>
          </cell>
          <cell r="O207">
            <v>30.5</v>
          </cell>
        </row>
        <row r="238">
          <cell r="M238">
            <v>5.9</v>
          </cell>
          <cell r="O238">
            <v>105.49999999999999</v>
          </cell>
        </row>
        <row r="269">
          <cell r="M269">
            <v>8.3</v>
          </cell>
          <cell r="O269">
            <v>85.39999999999998</v>
          </cell>
        </row>
        <row r="299">
          <cell r="M299">
            <v>116.20000000000002</v>
          </cell>
          <cell r="O299">
            <v>21.700000000000003</v>
          </cell>
        </row>
        <row r="330">
          <cell r="M330">
            <v>277.4999999999999</v>
          </cell>
          <cell r="O330">
            <v>0</v>
          </cell>
        </row>
        <row r="360">
          <cell r="M360">
            <v>444.4999999999999</v>
          </cell>
          <cell r="O360">
            <v>0</v>
          </cell>
        </row>
        <row r="391">
          <cell r="M391">
            <v>741.8</v>
          </cell>
          <cell r="O39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11-12312011"/>
    </sheetNames>
    <sheetDataSet>
      <sheetData sheetId="0">
        <row r="56">
          <cell r="M56">
            <v>838.4</v>
          </cell>
          <cell r="O56">
            <v>0</v>
          </cell>
        </row>
        <row r="85">
          <cell r="M85">
            <v>669.5999999999998</v>
          </cell>
          <cell r="O85">
            <v>0</v>
          </cell>
        </row>
        <row r="116">
          <cell r="M116">
            <v>639.9000000000001</v>
          </cell>
          <cell r="O116">
            <v>0</v>
          </cell>
        </row>
        <row r="146">
          <cell r="M146">
            <v>371.1999999999999</v>
          </cell>
          <cell r="O146">
            <v>0</v>
          </cell>
        </row>
        <row r="177">
          <cell r="M177">
            <v>161.29999999999995</v>
          </cell>
          <cell r="O177">
            <v>12.2</v>
          </cell>
        </row>
        <row r="207">
          <cell r="M207">
            <v>40.400000000000006</v>
          </cell>
          <cell r="O207">
            <v>23.500000000000004</v>
          </cell>
        </row>
        <row r="238">
          <cell r="M238">
            <v>0</v>
          </cell>
          <cell r="O238">
            <v>131.5</v>
          </cell>
        </row>
        <row r="269">
          <cell r="M269">
            <v>6.1000000000000005</v>
          </cell>
          <cell r="O269">
            <v>66.09999999999997</v>
          </cell>
        </row>
        <row r="299">
          <cell r="M299">
            <v>88.10000000000001</v>
          </cell>
          <cell r="O299">
            <v>26.100000000000005</v>
          </cell>
        </row>
        <row r="330">
          <cell r="M330">
            <v>271.2</v>
          </cell>
          <cell r="O330">
            <v>0.5</v>
          </cell>
        </row>
        <row r="360">
          <cell r="M360">
            <v>384.9</v>
          </cell>
          <cell r="O360">
            <v>0</v>
          </cell>
        </row>
        <row r="391">
          <cell r="M391">
            <v>607</v>
          </cell>
          <cell r="O39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Directions"/>
      <sheetName val="Wholesale + Generation"/>
      <sheetName val="101706"/>
      <sheetName val="RCB"/>
      <sheetName val="% of Purchased by class"/>
      <sheetName val="Loss Factors"/>
      <sheetName val="% power purchased"/>
      <sheetName val="H1 LT - included in power Purch"/>
      <sheetName val="IESO calculated from 4705 rec"/>
    </sheetNames>
    <sheetDataSet>
      <sheetData sheetId="0">
        <row r="9">
          <cell r="D9">
            <v>11724403.133333333</v>
          </cell>
          <cell r="CI9">
            <v>5563</v>
          </cell>
        </row>
        <row r="10">
          <cell r="D10">
            <v>12016349.394533334</v>
          </cell>
          <cell r="H10">
            <v>3316669.96</v>
          </cell>
          <cell r="J10">
            <v>4986</v>
          </cell>
          <cell r="O10">
            <v>1779751.81</v>
          </cell>
          <cell r="R10">
            <v>573</v>
          </cell>
          <cell r="CI10">
            <v>5565</v>
          </cell>
          <cell r="CR10">
            <v>48</v>
          </cell>
          <cell r="CT10">
            <v>4843401.399999999</v>
          </cell>
        </row>
        <row r="11">
          <cell r="D11">
            <v>13228170.693733335</v>
          </cell>
          <cell r="H11">
            <v>3720830.13</v>
          </cell>
          <cell r="J11">
            <v>4986</v>
          </cell>
          <cell r="O11">
            <v>1930841.42</v>
          </cell>
          <cell r="R11">
            <v>573</v>
          </cell>
          <cell r="CI11">
            <v>5568</v>
          </cell>
          <cell r="CR11">
            <v>51</v>
          </cell>
          <cell r="CT11">
            <v>4964308.52</v>
          </cell>
        </row>
        <row r="12">
          <cell r="D12">
            <v>12276645.726933334</v>
          </cell>
          <cell r="H12">
            <v>3583553.63</v>
          </cell>
          <cell r="J12">
            <v>4986</v>
          </cell>
          <cell r="O12">
            <v>1913233.04</v>
          </cell>
          <cell r="R12">
            <v>573</v>
          </cell>
          <cell r="CI12">
            <v>5568</v>
          </cell>
          <cell r="CR12">
            <v>51</v>
          </cell>
          <cell r="CT12">
            <v>5208532.48</v>
          </cell>
        </row>
        <row r="13">
          <cell r="D13">
            <v>12248400.614133334</v>
          </cell>
          <cell r="H13">
            <v>3147453.49</v>
          </cell>
          <cell r="J13">
            <v>4986</v>
          </cell>
          <cell r="O13">
            <v>1742560.65</v>
          </cell>
          <cell r="R13">
            <v>573</v>
          </cell>
          <cell r="CI13">
            <v>5568</v>
          </cell>
          <cell r="CR13">
            <v>51</v>
          </cell>
          <cell r="CT13">
            <v>4736911.07</v>
          </cell>
        </row>
        <row r="14">
          <cell r="D14">
            <v>12742389.170933334</v>
          </cell>
          <cell r="H14">
            <v>3367699.59</v>
          </cell>
          <cell r="J14">
            <v>4986</v>
          </cell>
          <cell r="O14">
            <v>1760677.16</v>
          </cell>
          <cell r="R14">
            <v>573</v>
          </cell>
          <cell r="CI14">
            <v>5568</v>
          </cell>
          <cell r="CR14">
            <v>51</v>
          </cell>
          <cell r="CT14">
            <v>4652837.08</v>
          </cell>
        </row>
        <row r="15">
          <cell r="D15">
            <v>13101900.052533334</v>
          </cell>
          <cell r="H15">
            <v>3664473.21</v>
          </cell>
          <cell r="J15">
            <v>4986</v>
          </cell>
          <cell r="O15">
            <v>1535897.45</v>
          </cell>
          <cell r="R15">
            <v>573</v>
          </cell>
          <cell r="CI15">
            <v>5568</v>
          </cell>
          <cell r="CR15">
            <v>51</v>
          </cell>
          <cell r="CT15">
            <v>4554846.22</v>
          </cell>
        </row>
        <row r="16">
          <cell r="D16">
            <v>13553187.635733334</v>
          </cell>
          <cell r="H16">
            <v>4493717.26</v>
          </cell>
          <cell r="J16">
            <v>4986</v>
          </cell>
          <cell r="O16">
            <v>1940659.16</v>
          </cell>
          <cell r="R16">
            <v>573</v>
          </cell>
          <cell r="CI16">
            <v>5568</v>
          </cell>
          <cell r="CR16">
            <v>51</v>
          </cell>
          <cell r="CT16">
            <v>4634143.49</v>
          </cell>
        </row>
        <row r="17">
          <cell r="D17">
            <v>14570873.324000001</v>
          </cell>
          <cell r="H17">
            <v>4493946.26</v>
          </cell>
          <cell r="J17">
            <v>5010</v>
          </cell>
          <cell r="O17">
            <v>1990876.8599999999</v>
          </cell>
          <cell r="R17">
            <v>576</v>
          </cell>
          <cell r="AE17">
            <v>116087.25</v>
          </cell>
          <cell r="AG17">
            <v>249.7</v>
          </cell>
          <cell r="AL17">
            <v>4848.18</v>
          </cell>
          <cell r="BY17">
            <v>2263334.4</v>
          </cell>
          <cell r="CB17">
            <v>4076.42</v>
          </cell>
          <cell r="CI17">
            <v>5595</v>
          </cell>
          <cell r="CR17">
            <v>51</v>
          </cell>
          <cell r="CT17">
            <v>5831902.42</v>
          </cell>
          <cell r="CY17">
            <v>14986.5</v>
          </cell>
        </row>
        <row r="18">
          <cell r="D18">
            <v>12971288.5396</v>
          </cell>
          <cell r="H18">
            <v>3927254.05</v>
          </cell>
          <cell r="J18">
            <v>5034</v>
          </cell>
          <cell r="O18">
            <v>1864213.91</v>
          </cell>
          <cell r="R18">
            <v>579</v>
          </cell>
          <cell r="AE18">
            <v>104853</v>
          </cell>
          <cell r="AG18">
            <v>249.7</v>
          </cell>
          <cell r="AL18">
            <v>3830.43</v>
          </cell>
          <cell r="BY18">
            <v>1902809.28</v>
          </cell>
          <cell r="CB18">
            <v>4220.99716</v>
          </cell>
          <cell r="CI18">
            <v>5622</v>
          </cell>
          <cell r="CR18">
            <v>51</v>
          </cell>
          <cell r="CT18">
            <v>5311144.13</v>
          </cell>
          <cell r="CY18">
            <v>13191.6</v>
          </cell>
        </row>
        <row r="19">
          <cell r="D19">
            <v>13181390.0048</v>
          </cell>
          <cell r="H19">
            <v>3853813.65</v>
          </cell>
          <cell r="J19">
            <v>5047</v>
          </cell>
          <cell r="O19">
            <v>1911079.1199999999</v>
          </cell>
          <cell r="R19">
            <v>582</v>
          </cell>
          <cell r="AE19">
            <v>116668.81</v>
          </cell>
          <cell r="AG19">
            <v>249.7</v>
          </cell>
          <cell r="AL19">
            <v>3572.74</v>
          </cell>
          <cell r="BY19">
            <v>2022275.04</v>
          </cell>
          <cell r="CB19">
            <v>3980.2170300000002</v>
          </cell>
          <cell r="CI19">
            <v>5638</v>
          </cell>
          <cell r="CR19">
            <v>51</v>
          </cell>
          <cell r="CT19">
            <v>4970084.38</v>
          </cell>
          <cell r="CY19">
            <v>12545.099999999999</v>
          </cell>
        </row>
        <row r="20">
          <cell r="D20">
            <v>11915238.1092</v>
          </cell>
          <cell r="H20">
            <v>3267426.84</v>
          </cell>
          <cell r="J20">
            <v>5059</v>
          </cell>
          <cell r="O20">
            <v>1676912.68</v>
          </cell>
          <cell r="R20">
            <v>585</v>
          </cell>
          <cell r="AE20">
            <v>86560.5</v>
          </cell>
          <cell r="AG20">
            <v>250.9</v>
          </cell>
          <cell r="AL20">
            <v>4041.83</v>
          </cell>
          <cell r="BY20">
            <v>1904004</v>
          </cell>
          <cell r="CB20">
            <v>3781.01449</v>
          </cell>
          <cell r="CI20">
            <v>5653</v>
          </cell>
          <cell r="CR20">
            <v>51</v>
          </cell>
          <cell r="CT20">
            <v>5512684.140000001</v>
          </cell>
          <cell r="CY20">
            <v>11040.4</v>
          </cell>
        </row>
        <row r="21">
          <cell r="D21">
            <v>11214524.3668</v>
          </cell>
          <cell r="H21">
            <v>3015667.95</v>
          </cell>
          <cell r="J21">
            <v>5071</v>
          </cell>
          <cell r="O21">
            <v>1604098.6199999999</v>
          </cell>
          <cell r="R21">
            <v>588</v>
          </cell>
          <cell r="AE21">
            <v>89445.85</v>
          </cell>
          <cell r="AG21">
            <v>250.9</v>
          </cell>
          <cell r="AL21">
            <v>4257.8</v>
          </cell>
          <cell r="BY21">
            <v>1524478.56</v>
          </cell>
          <cell r="CB21">
            <v>3741.7295523000003</v>
          </cell>
          <cell r="CI21">
            <v>5668</v>
          </cell>
          <cell r="CR21">
            <v>51</v>
          </cell>
          <cell r="CT21">
            <v>5380352.01</v>
          </cell>
          <cell r="CY21">
            <v>14164.8</v>
          </cell>
        </row>
        <row r="22">
          <cell r="D22">
            <v>11747389.018399999</v>
          </cell>
          <cell r="H22">
            <v>3142966.53</v>
          </cell>
          <cell r="J22">
            <v>5082</v>
          </cell>
          <cell r="O22">
            <v>1640940.1099999999</v>
          </cell>
          <cell r="R22">
            <v>591</v>
          </cell>
          <cell r="AE22">
            <v>86560.5</v>
          </cell>
          <cell r="AG22">
            <v>250.9</v>
          </cell>
          <cell r="AH22">
            <v>1504</v>
          </cell>
          <cell r="AL22">
            <v>3470.58</v>
          </cell>
          <cell r="AO22">
            <v>25</v>
          </cell>
          <cell r="BY22">
            <v>1872605.28</v>
          </cell>
          <cell r="CB22">
            <v>3797.6825523000007</v>
          </cell>
          <cell r="CC22">
            <v>1</v>
          </cell>
          <cell r="CI22">
            <v>5682</v>
          </cell>
          <cell r="CR22">
            <v>51</v>
          </cell>
          <cell r="CT22">
            <v>5217936.76</v>
          </cell>
          <cell r="CY22">
            <v>12486.099999999999</v>
          </cell>
        </row>
        <row r="23">
          <cell r="D23">
            <v>12580263.272400001</v>
          </cell>
          <cell r="H23">
            <v>3423900.38</v>
          </cell>
          <cell r="J23">
            <v>5094</v>
          </cell>
          <cell r="O23">
            <v>1744231.49</v>
          </cell>
          <cell r="R23">
            <v>594</v>
          </cell>
          <cell r="AE23">
            <v>68111.03</v>
          </cell>
          <cell r="AG23">
            <v>250.9</v>
          </cell>
          <cell r="AL23">
            <v>4351.81</v>
          </cell>
          <cell r="BY23">
            <v>1953761.28</v>
          </cell>
          <cell r="CB23">
            <v>3739.1941984000005</v>
          </cell>
          <cell r="CI23">
            <v>5697</v>
          </cell>
          <cell r="CR23">
            <v>51</v>
          </cell>
          <cell r="CT23">
            <v>5439350.35</v>
          </cell>
          <cell r="CY23">
            <v>12917.8</v>
          </cell>
        </row>
        <row r="24">
          <cell r="D24">
            <v>10786421.1812</v>
          </cell>
          <cell r="H24">
            <v>3352307.5</v>
          </cell>
          <cell r="J24">
            <v>5106</v>
          </cell>
          <cell r="O24">
            <v>1668783.65</v>
          </cell>
          <cell r="R24">
            <v>597</v>
          </cell>
          <cell r="AE24">
            <v>68111.03</v>
          </cell>
          <cell r="AG24">
            <v>251.1</v>
          </cell>
          <cell r="AL24">
            <v>4322.35</v>
          </cell>
          <cell r="BY24">
            <v>1423770.24</v>
          </cell>
          <cell r="CB24">
            <v>3878.3258099</v>
          </cell>
          <cell r="CI24">
            <v>5712</v>
          </cell>
          <cell r="CR24">
            <v>51</v>
          </cell>
          <cell r="CT24">
            <v>5138932.14</v>
          </cell>
          <cell r="CY24">
            <v>12718.400000000001</v>
          </cell>
        </row>
        <row r="25">
          <cell r="D25">
            <v>11859140.1096</v>
          </cell>
          <cell r="H25">
            <v>3052541.62</v>
          </cell>
          <cell r="J25">
            <v>5118</v>
          </cell>
          <cell r="O25">
            <v>1537831.96</v>
          </cell>
          <cell r="R25">
            <v>600</v>
          </cell>
          <cell r="AE25">
            <v>65913.9</v>
          </cell>
          <cell r="AG25">
            <v>251.1</v>
          </cell>
          <cell r="AL25">
            <v>3642.62</v>
          </cell>
          <cell r="BY25">
            <v>2010311.04</v>
          </cell>
          <cell r="CB25">
            <v>3726.8687972</v>
          </cell>
          <cell r="CI25">
            <v>5727</v>
          </cell>
          <cell r="CR25">
            <v>51</v>
          </cell>
          <cell r="CT25">
            <v>4419434</v>
          </cell>
          <cell r="CY25">
            <v>14261</v>
          </cell>
        </row>
        <row r="26">
          <cell r="D26">
            <v>12713743.9504</v>
          </cell>
          <cell r="H26">
            <v>3333446.74</v>
          </cell>
          <cell r="J26">
            <v>5126</v>
          </cell>
          <cell r="O26">
            <v>1592175.57</v>
          </cell>
          <cell r="R26">
            <v>603</v>
          </cell>
          <cell r="AE26">
            <v>97301.56</v>
          </cell>
          <cell r="AG26">
            <v>251.1</v>
          </cell>
          <cell r="AL26">
            <v>4288.84</v>
          </cell>
          <cell r="BY26">
            <v>2237968</v>
          </cell>
          <cell r="CB26">
            <v>3928.6434799999997</v>
          </cell>
          <cell r="CI26">
            <v>5738</v>
          </cell>
          <cell r="CR26">
            <v>51</v>
          </cell>
          <cell r="CT26">
            <v>5248324.68</v>
          </cell>
          <cell r="CY26">
            <v>11380</v>
          </cell>
        </row>
        <row r="27">
          <cell r="D27">
            <v>13054572.4112</v>
          </cell>
          <cell r="H27">
            <v>3662975</v>
          </cell>
          <cell r="J27">
            <v>5149</v>
          </cell>
          <cell r="O27">
            <v>1566052.66</v>
          </cell>
          <cell r="R27">
            <v>606</v>
          </cell>
          <cell r="AE27">
            <v>94162.8</v>
          </cell>
          <cell r="AG27">
            <v>251.1</v>
          </cell>
          <cell r="AL27">
            <v>4016.79</v>
          </cell>
          <cell r="BY27">
            <v>2059660.32</v>
          </cell>
          <cell r="CB27">
            <v>4324.010069999999</v>
          </cell>
          <cell r="CI27">
            <v>5764</v>
          </cell>
          <cell r="CR27">
            <v>51</v>
          </cell>
          <cell r="CT27">
            <v>5261860.37</v>
          </cell>
          <cell r="CY27">
            <v>12358</v>
          </cell>
        </row>
        <row r="28">
          <cell r="D28">
            <v>13588149.2692</v>
          </cell>
          <cell r="H28">
            <v>4380910.73</v>
          </cell>
          <cell r="J28">
            <v>5163</v>
          </cell>
          <cell r="O28">
            <v>1718743.86</v>
          </cell>
          <cell r="R28">
            <v>609</v>
          </cell>
          <cell r="AE28">
            <v>97301.56</v>
          </cell>
          <cell r="AG28">
            <v>251.1</v>
          </cell>
          <cell r="AL28">
            <v>3134.33</v>
          </cell>
          <cell r="BY28">
            <v>1711448.64</v>
          </cell>
          <cell r="CB28">
            <v>3947.2400000000002</v>
          </cell>
          <cell r="CI28">
            <v>5782</v>
          </cell>
          <cell r="CR28">
            <v>51</v>
          </cell>
          <cell r="CT28">
            <v>5282926.21</v>
          </cell>
          <cell r="CY28">
            <v>12006.8</v>
          </cell>
        </row>
        <row r="29">
          <cell r="D29">
            <v>15005906.907200001</v>
          </cell>
          <cell r="H29">
            <v>4591982.92</v>
          </cell>
          <cell r="J29">
            <v>5164</v>
          </cell>
          <cell r="O29">
            <v>1875622.49</v>
          </cell>
          <cell r="R29">
            <v>613</v>
          </cell>
          <cell r="AE29">
            <v>116761.81</v>
          </cell>
          <cell r="AG29">
            <v>251.1</v>
          </cell>
          <cell r="AL29">
            <v>4071.57</v>
          </cell>
          <cell r="BY29">
            <v>2253465.68</v>
          </cell>
          <cell r="CB29">
            <v>4038.71</v>
          </cell>
          <cell r="CI29">
            <v>5787</v>
          </cell>
          <cell r="CR29">
            <v>52</v>
          </cell>
          <cell r="CT29">
            <v>5646726.470000001</v>
          </cell>
          <cell r="CY29">
            <v>11741.900000000001</v>
          </cell>
        </row>
        <row r="30">
          <cell r="D30">
            <v>13600097.4324</v>
          </cell>
          <cell r="H30">
            <v>4019927.73</v>
          </cell>
          <cell r="J30">
            <v>5181</v>
          </cell>
          <cell r="O30">
            <v>1618937.9300000002</v>
          </cell>
          <cell r="R30">
            <v>611</v>
          </cell>
          <cell r="AE30">
            <v>109228.79000000001</v>
          </cell>
          <cell r="AG30">
            <v>251.1</v>
          </cell>
          <cell r="AL30">
            <v>3969.36</v>
          </cell>
          <cell r="BY30">
            <v>2035388.36</v>
          </cell>
          <cell r="CB30">
            <v>4280.44</v>
          </cell>
          <cell r="CI30">
            <v>5802</v>
          </cell>
          <cell r="CR30">
            <v>51</v>
          </cell>
          <cell r="CT30">
            <v>5176038.71</v>
          </cell>
          <cell r="CY30">
            <v>13232.599999999999</v>
          </cell>
        </row>
        <row r="31">
          <cell r="D31">
            <v>14047102.3668</v>
          </cell>
          <cell r="H31">
            <v>3940250.2</v>
          </cell>
          <cell r="J31">
            <v>5197</v>
          </cell>
          <cell r="O31">
            <v>1476215.74</v>
          </cell>
          <cell r="R31">
            <v>612</v>
          </cell>
          <cell r="AE31">
            <v>118017</v>
          </cell>
          <cell r="AG31">
            <v>251.1</v>
          </cell>
          <cell r="AL31">
            <v>3546.58</v>
          </cell>
          <cell r="BY31">
            <v>2252199</v>
          </cell>
          <cell r="CB31">
            <v>4127.28</v>
          </cell>
          <cell r="CI31">
            <v>5819</v>
          </cell>
          <cell r="CR31">
            <v>51</v>
          </cell>
          <cell r="CT31">
            <v>4877727.29</v>
          </cell>
          <cell r="CY31">
            <v>13283.8</v>
          </cell>
        </row>
        <row r="32">
          <cell r="D32">
            <v>12488543.1064</v>
          </cell>
          <cell r="H32">
            <v>2759925.54</v>
          </cell>
          <cell r="J32">
            <v>5203</v>
          </cell>
          <cell r="O32">
            <v>1185651.91</v>
          </cell>
          <cell r="R32">
            <v>612</v>
          </cell>
          <cell r="AE32">
            <v>87377.91999</v>
          </cell>
          <cell r="AG32">
            <v>253.8</v>
          </cell>
          <cell r="AL32">
            <v>2472.13</v>
          </cell>
          <cell r="BY32">
            <v>2136347.04</v>
          </cell>
          <cell r="CB32">
            <v>4201.61</v>
          </cell>
          <cell r="CI32">
            <v>5825</v>
          </cell>
          <cell r="CR32">
            <v>50</v>
          </cell>
          <cell r="CT32">
            <v>5052723.45</v>
          </cell>
          <cell r="CY32">
            <v>12413.699999999999</v>
          </cell>
        </row>
        <row r="33">
          <cell r="D33">
            <v>11867796.775600001</v>
          </cell>
          <cell r="H33">
            <v>3239453.75</v>
          </cell>
          <cell r="J33">
            <v>5216</v>
          </cell>
          <cell r="O33">
            <v>1568853.06</v>
          </cell>
          <cell r="R33">
            <v>614</v>
          </cell>
          <cell r="AE33">
            <v>91795.03</v>
          </cell>
          <cell r="AG33">
            <v>257.5</v>
          </cell>
          <cell r="AL33">
            <v>3081.68</v>
          </cell>
          <cell r="BY33">
            <v>1646259.84</v>
          </cell>
          <cell r="CB33">
            <v>4155.77</v>
          </cell>
          <cell r="CI33">
            <v>5840</v>
          </cell>
          <cell r="CR33">
            <v>50</v>
          </cell>
          <cell r="CT33">
            <v>5338005.51</v>
          </cell>
          <cell r="CY33">
            <v>12587.9</v>
          </cell>
        </row>
        <row r="34">
          <cell r="D34">
            <v>12302878.0228</v>
          </cell>
          <cell r="H34">
            <v>3224219.17</v>
          </cell>
          <cell r="J34">
            <v>5226</v>
          </cell>
          <cell r="O34">
            <v>1616969.56</v>
          </cell>
          <cell r="R34">
            <v>615</v>
          </cell>
          <cell r="AE34">
            <v>88833.9</v>
          </cell>
          <cell r="AG34">
            <v>257.5</v>
          </cell>
          <cell r="AH34">
            <v>1519</v>
          </cell>
          <cell r="AL34">
            <v>2982.17</v>
          </cell>
          <cell r="AO34">
            <v>27</v>
          </cell>
          <cell r="BY34">
            <v>2052062.88</v>
          </cell>
          <cell r="CB34">
            <v>4060.5099999999998</v>
          </cell>
          <cell r="CC34">
            <v>1</v>
          </cell>
          <cell r="CI34">
            <v>5851</v>
          </cell>
          <cell r="CR34">
            <v>50</v>
          </cell>
          <cell r="CT34">
            <v>5320615.699999999</v>
          </cell>
          <cell r="CY34">
            <v>14451.400000000001</v>
          </cell>
        </row>
        <row r="35">
          <cell r="D35">
            <v>12671087.5916</v>
          </cell>
          <cell r="H35">
            <v>3519653.25</v>
          </cell>
          <cell r="J35">
            <v>5251</v>
          </cell>
          <cell r="O35">
            <v>1756777.24</v>
          </cell>
          <cell r="R35">
            <v>622</v>
          </cell>
          <cell r="AE35">
            <v>69843.93</v>
          </cell>
          <cell r="AG35">
            <v>257.5</v>
          </cell>
          <cell r="AL35">
            <v>3081.68</v>
          </cell>
          <cell r="BY35">
            <v>1881037.92</v>
          </cell>
          <cell r="CB35">
            <v>3927.65</v>
          </cell>
          <cell r="CI35">
            <v>5883</v>
          </cell>
          <cell r="CR35">
            <v>44</v>
          </cell>
          <cell r="CT35">
            <v>5334938.8</v>
          </cell>
          <cell r="CY35">
            <v>12563.6</v>
          </cell>
        </row>
        <row r="36">
          <cell r="D36">
            <v>12462921.7132</v>
          </cell>
          <cell r="H36">
            <v>3487720.46</v>
          </cell>
          <cell r="J36">
            <v>5254</v>
          </cell>
          <cell r="O36">
            <v>1784761.03</v>
          </cell>
          <cell r="R36">
            <v>621</v>
          </cell>
          <cell r="AE36">
            <v>69845.439979</v>
          </cell>
          <cell r="AG36">
            <v>257.5</v>
          </cell>
          <cell r="AL36">
            <v>3082.14</v>
          </cell>
          <cell r="BY36">
            <v>1679316.96</v>
          </cell>
          <cell r="CB36">
            <v>4074.7</v>
          </cell>
          <cell r="CI36">
            <v>5885</v>
          </cell>
          <cell r="CR36">
            <v>50</v>
          </cell>
          <cell r="CT36">
            <v>5639271.07</v>
          </cell>
          <cell r="CY36">
            <v>14718.5</v>
          </cell>
        </row>
        <row r="37">
          <cell r="D37">
            <v>12376299.231999999</v>
          </cell>
          <cell r="H37">
            <v>3297016.24</v>
          </cell>
          <cell r="J37">
            <v>5268</v>
          </cell>
          <cell r="O37">
            <v>1679364.7799999998</v>
          </cell>
          <cell r="R37">
            <v>620</v>
          </cell>
          <cell r="AE37">
            <v>67987.5</v>
          </cell>
          <cell r="AG37">
            <v>259</v>
          </cell>
          <cell r="AL37">
            <v>2982.78</v>
          </cell>
          <cell r="BY37">
            <v>1844092.32</v>
          </cell>
          <cell r="CB37">
            <v>4038.63</v>
          </cell>
          <cell r="CI37">
            <v>5898</v>
          </cell>
          <cell r="CR37">
            <v>50</v>
          </cell>
          <cell r="CT37">
            <v>5627647.21</v>
          </cell>
          <cell r="CY37">
            <v>13232.2</v>
          </cell>
        </row>
        <row r="38">
          <cell r="D38">
            <v>12676725.685199998</v>
          </cell>
          <cell r="H38">
            <v>3617219.03</v>
          </cell>
          <cell r="J38">
            <v>5280</v>
          </cell>
          <cell r="O38">
            <v>1475113.5699999998</v>
          </cell>
          <cell r="R38">
            <v>620</v>
          </cell>
          <cell r="AE38">
            <v>100362.5</v>
          </cell>
          <cell r="AG38">
            <v>259</v>
          </cell>
          <cell r="AL38">
            <v>3082.04</v>
          </cell>
          <cell r="BY38">
            <v>1918745.28</v>
          </cell>
          <cell r="CB38">
            <v>3781.26</v>
          </cell>
          <cell r="CI38">
            <v>5910</v>
          </cell>
          <cell r="CR38">
            <v>51</v>
          </cell>
          <cell r="CT38">
            <v>5291026.09</v>
          </cell>
          <cell r="CY38">
            <v>13394.099999999999</v>
          </cell>
        </row>
        <row r="39">
          <cell r="D39">
            <v>13092336.3552</v>
          </cell>
          <cell r="H39">
            <v>3893360.87</v>
          </cell>
          <cell r="J39">
            <v>5294</v>
          </cell>
          <cell r="O39">
            <v>1673105.1300000001</v>
          </cell>
          <cell r="R39">
            <v>622</v>
          </cell>
          <cell r="AE39">
            <v>97500</v>
          </cell>
          <cell r="AG39">
            <v>259</v>
          </cell>
          <cell r="AL39">
            <v>2982.69</v>
          </cell>
          <cell r="BY39">
            <v>1807364.16</v>
          </cell>
          <cell r="CB39">
            <v>3948.0600000000004</v>
          </cell>
          <cell r="CI39">
            <v>5926</v>
          </cell>
          <cell r="CR39">
            <v>52</v>
          </cell>
          <cell r="CT39">
            <v>5523064.1</v>
          </cell>
          <cell r="CY39">
            <v>13690.5</v>
          </cell>
        </row>
        <row r="40">
          <cell r="D40">
            <v>14081851.4916</v>
          </cell>
          <cell r="H40">
            <v>4762808.94</v>
          </cell>
          <cell r="J40">
            <v>5319</v>
          </cell>
          <cell r="O40">
            <v>1853871.19</v>
          </cell>
          <cell r="R40">
            <v>627</v>
          </cell>
          <cell r="AE40">
            <v>104537.70589699999</v>
          </cell>
          <cell r="AG40">
            <v>260</v>
          </cell>
          <cell r="AL40">
            <v>3081.58</v>
          </cell>
          <cell r="BY40">
            <v>1488158.72</v>
          </cell>
          <cell r="CB40">
            <v>3764.86</v>
          </cell>
          <cell r="CI40">
            <v>5956</v>
          </cell>
          <cell r="CR40">
            <v>54</v>
          </cell>
          <cell r="CT40">
            <v>5882976.460000001</v>
          </cell>
          <cell r="CY40">
            <v>12327.099999999999</v>
          </cell>
        </row>
        <row r="41">
          <cell r="D41">
            <v>15095803.6584</v>
          </cell>
          <cell r="H41">
            <v>4897512.12</v>
          </cell>
          <cell r="J41">
            <v>5321</v>
          </cell>
          <cell r="O41">
            <v>1885886.8</v>
          </cell>
          <cell r="R41">
            <v>627</v>
          </cell>
          <cell r="AE41">
            <v>120567.321547</v>
          </cell>
          <cell r="AG41">
            <v>260</v>
          </cell>
          <cell r="AL41">
            <v>3081.38</v>
          </cell>
          <cell r="BY41">
            <v>1920766.67</v>
          </cell>
          <cell r="CB41">
            <v>3700.84</v>
          </cell>
          <cell r="CI41">
            <v>5958</v>
          </cell>
          <cell r="CR41">
            <v>54</v>
          </cell>
          <cell r="CT41">
            <v>5416459.29</v>
          </cell>
          <cell r="CY41">
            <v>12848.7</v>
          </cell>
        </row>
        <row r="42">
          <cell r="D42">
            <v>12727705.3808</v>
          </cell>
          <cell r="H42">
            <v>4113977.37</v>
          </cell>
          <cell r="J42">
            <v>5325</v>
          </cell>
          <cell r="O42">
            <v>1639012.75</v>
          </cell>
          <cell r="R42">
            <v>626</v>
          </cell>
          <cell r="AE42">
            <v>109476.92</v>
          </cell>
          <cell r="AG42">
            <v>260.7</v>
          </cell>
          <cell r="AL42">
            <v>2783.85</v>
          </cell>
          <cell r="BY42">
            <v>1905576</v>
          </cell>
          <cell r="CB42">
            <v>4024.1906500000005</v>
          </cell>
          <cell r="CI42">
            <v>5961</v>
          </cell>
          <cell r="CR42">
            <v>53</v>
          </cell>
          <cell r="CT42">
            <v>5733803.17</v>
          </cell>
          <cell r="CY42">
            <v>12694.4</v>
          </cell>
        </row>
        <row r="43">
          <cell r="D43">
            <v>14322671.207999999</v>
          </cell>
          <cell r="H43">
            <v>4150982.1</v>
          </cell>
          <cell r="J43">
            <v>5336</v>
          </cell>
          <cell r="O43">
            <v>1736021.14</v>
          </cell>
          <cell r="R43">
            <v>621</v>
          </cell>
          <cell r="AE43">
            <v>121206.59</v>
          </cell>
          <cell r="AG43">
            <v>260.7</v>
          </cell>
          <cell r="AL43">
            <v>3081.77</v>
          </cell>
          <cell r="BY43">
            <v>2027108.16</v>
          </cell>
          <cell r="CB43">
            <v>3955.4247300000006</v>
          </cell>
          <cell r="CI43">
            <v>5967</v>
          </cell>
          <cell r="CR43">
            <v>53</v>
          </cell>
          <cell r="CT43">
            <v>5188433.16</v>
          </cell>
          <cell r="CY43">
            <v>13663.3</v>
          </cell>
        </row>
        <row r="44">
          <cell r="D44">
            <v>12156872.5724</v>
          </cell>
          <cell r="H44">
            <v>3433209.68</v>
          </cell>
          <cell r="J44">
            <v>5343</v>
          </cell>
          <cell r="O44">
            <v>1531227.59</v>
          </cell>
          <cell r="R44">
            <v>621</v>
          </cell>
          <cell r="AE44">
            <v>90839.99997</v>
          </cell>
          <cell r="AG44">
            <v>260.7</v>
          </cell>
          <cell r="AL44">
            <v>2878.98</v>
          </cell>
          <cell r="BY44">
            <v>1842322.08</v>
          </cell>
          <cell r="CB44">
            <v>3841.2527200000004</v>
          </cell>
          <cell r="CI44">
            <v>5973</v>
          </cell>
          <cell r="CR44">
            <v>51</v>
          </cell>
          <cell r="CT44">
            <v>4911190.78</v>
          </cell>
          <cell r="CY44">
            <v>11836.900000000001</v>
          </cell>
        </row>
        <row r="45">
          <cell r="D45">
            <v>11666872.6776</v>
          </cell>
          <cell r="H45">
            <v>3331069.6</v>
          </cell>
          <cell r="J45">
            <v>5350</v>
          </cell>
          <cell r="O45">
            <v>1656440.15</v>
          </cell>
          <cell r="R45">
            <v>622</v>
          </cell>
          <cell r="AE45">
            <v>92925.29</v>
          </cell>
          <cell r="AG45">
            <v>260.7</v>
          </cell>
          <cell r="AL45">
            <v>3834.84</v>
          </cell>
          <cell r="BY45">
            <v>1465309.44</v>
          </cell>
          <cell r="CB45">
            <v>3752.8567599999997</v>
          </cell>
          <cell r="CI45">
            <v>5981</v>
          </cell>
          <cell r="CR45">
            <v>52</v>
          </cell>
          <cell r="CT45">
            <v>4916161.99</v>
          </cell>
          <cell r="CY45">
            <v>12516.6</v>
          </cell>
        </row>
        <row r="46">
          <cell r="D46">
            <v>13505238.1164</v>
          </cell>
          <cell r="H46">
            <v>3830183.48</v>
          </cell>
          <cell r="J46">
            <v>5360</v>
          </cell>
          <cell r="O46">
            <v>1851819.33</v>
          </cell>
          <cell r="R46">
            <v>622</v>
          </cell>
          <cell r="AE46">
            <v>89927.7</v>
          </cell>
          <cell r="AG46">
            <v>260.7</v>
          </cell>
          <cell r="AH46">
            <v>1553</v>
          </cell>
          <cell r="AL46">
            <v>3915</v>
          </cell>
          <cell r="AO46">
            <v>31</v>
          </cell>
          <cell r="BY46">
            <v>1690181.28</v>
          </cell>
          <cell r="CB46">
            <v>3697.44262</v>
          </cell>
          <cell r="CC46">
            <v>1</v>
          </cell>
          <cell r="CI46">
            <v>5991</v>
          </cell>
          <cell r="CR46">
            <v>51</v>
          </cell>
          <cell r="CT46">
            <v>5204983.35</v>
          </cell>
          <cell r="CY46">
            <v>13957.6</v>
          </cell>
        </row>
        <row r="47">
          <cell r="D47">
            <v>13589817.297600001</v>
          </cell>
          <cell r="H47">
            <v>4313821.82</v>
          </cell>
          <cell r="J47">
            <v>5364</v>
          </cell>
          <cell r="O47">
            <v>2048585.58</v>
          </cell>
          <cell r="R47">
            <v>622</v>
          </cell>
          <cell r="AE47">
            <v>71420.689975</v>
          </cell>
          <cell r="AG47">
            <v>260.7</v>
          </cell>
          <cell r="AL47">
            <v>4045.5</v>
          </cell>
          <cell r="BY47">
            <v>1708130.88</v>
          </cell>
          <cell r="CB47">
            <v>3713.3071099999997</v>
          </cell>
          <cell r="CI47">
            <v>5995</v>
          </cell>
          <cell r="CR47">
            <v>51</v>
          </cell>
          <cell r="CT47">
            <v>5071710.47</v>
          </cell>
          <cell r="CY47">
            <v>12495.5</v>
          </cell>
        </row>
        <row r="48">
          <cell r="D48">
            <v>13369748.1028</v>
          </cell>
          <cell r="H48">
            <v>3828829.8</v>
          </cell>
          <cell r="J48">
            <v>5371</v>
          </cell>
          <cell r="O48">
            <v>1923297.77</v>
          </cell>
          <cell r="R48">
            <v>623</v>
          </cell>
          <cell r="AE48">
            <v>70703.87</v>
          </cell>
          <cell r="AG48">
            <v>260.7</v>
          </cell>
          <cell r="AL48">
            <v>4045.5</v>
          </cell>
          <cell r="BY48">
            <v>1591796.4</v>
          </cell>
          <cell r="CB48">
            <v>3773.4146999999994</v>
          </cell>
          <cell r="CI48">
            <v>6003</v>
          </cell>
          <cell r="CR48">
            <v>51</v>
          </cell>
          <cell r="CT48">
            <v>5408583.51</v>
          </cell>
          <cell r="CY48">
            <v>14948.199999999999</v>
          </cell>
        </row>
        <row r="49">
          <cell r="D49">
            <v>12041003.474000001</v>
          </cell>
          <cell r="H49">
            <v>3278506.76</v>
          </cell>
          <cell r="J49">
            <v>5385</v>
          </cell>
          <cell r="O49">
            <v>1714842.07</v>
          </cell>
          <cell r="R49">
            <v>621</v>
          </cell>
          <cell r="AE49">
            <v>68423.1</v>
          </cell>
          <cell r="AG49">
            <v>260.7</v>
          </cell>
          <cell r="AL49">
            <v>3915</v>
          </cell>
          <cell r="BY49">
            <v>1857001.2</v>
          </cell>
          <cell r="CB49">
            <v>3758.55807</v>
          </cell>
          <cell r="CI49">
            <v>6015</v>
          </cell>
          <cell r="CR49">
            <v>51</v>
          </cell>
          <cell r="CT49">
            <v>5473435.3</v>
          </cell>
          <cell r="CY49">
            <v>14654.5</v>
          </cell>
        </row>
        <row r="50">
          <cell r="D50">
            <v>13069831.805599999</v>
          </cell>
          <cell r="H50">
            <v>3525985.83</v>
          </cell>
          <cell r="J50">
            <v>5401</v>
          </cell>
          <cell r="O50">
            <v>1694853.3299999998</v>
          </cell>
          <cell r="R50">
            <v>621</v>
          </cell>
          <cell r="AE50">
            <v>100027.969979</v>
          </cell>
          <cell r="AG50">
            <v>260.7</v>
          </cell>
          <cell r="AL50">
            <v>4224.42</v>
          </cell>
          <cell r="BY50">
            <v>2048932.8</v>
          </cell>
          <cell r="CB50">
            <v>3723.63153</v>
          </cell>
          <cell r="CI50">
            <v>6031</v>
          </cell>
          <cell r="CR50">
            <v>51</v>
          </cell>
          <cell r="CT50">
            <v>5173285.620000001</v>
          </cell>
          <cell r="CY50">
            <v>12294.400000000001</v>
          </cell>
        </row>
        <row r="51">
          <cell r="D51">
            <v>13568720.646</v>
          </cell>
          <cell r="H51">
            <v>3931823.92</v>
          </cell>
          <cell r="J51">
            <v>5404</v>
          </cell>
          <cell r="O51">
            <v>1753112.04</v>
          </cell>
          <cell r="R51">
            <v>622</v>
          </cell>
          <cell r="AE51">
            <v>97747.2</v>
          </cell>
          <cell r="AG51">
            <v>260.7</v>
          </cell>
          <cell r="AL51">
            <v>3915</v>
          </cell>
          <cell r="BY51">
            <v>2058486</v>
          </cell>
          <cell r="CB51">
            <v>3957.8115300000004</v>
          </cell>
          <cell r="CI51">
            <v>6035</v>
          </cell>
          <cell r="CR51">
            <v>51</v>
          </cell>
          <cell r="CT51">
            <v>5132287.2</v>
          </cell>
          <cell r="CY51">
            <v>14227.9</v>
          </cell>
        </row>
        <row r="52">
          <cell r="D52">
            <v>14296115.9496</v>
          </cell>
          <cell r="H52">
            <v>4676709.91</v>
          </cell>
          <cell r="J52">
            <v>5409</v>
          </cell>
          <cell r="O52">
            <v>1861094.56</v>
          </cell>
          <cell r="R52">
            <v>624</v>
          </cell>
          <cell r="AE52">
            <v>101005.44</v>
          </cell>
          <cell r="AG52">
            <v>260.7</v>
          </cell>
          <cell r="AL52">
            <v>4045.5</v>
          </cell>
          <cell r="BY52">
            <v>1692969.6</v>
          </cell>
          <cell r="CB52">
            <v>4022.95</v>
          </cell>
          <cell r="CI52">
            <v>6042</v>
          </cell>
          <cell r="CR52">
            <v>51</v>
          </cell>
          <cell r="CT52">
            <v>4749649.72</v>
          </cell>
          <cell r="CY52">
            <v>11546</v>
          </cell>
        </row>
        <row r="53">
          <cell r="D53">
            <v>14448335.718</v>
          </cell>
          <cell r="H53">
            <v>4505524.22</v>
          </cell>
          <cell r="J53">
            <v>5409</v>
          </cell>
          <cell r="O53">
            <v>1912063.41</v>
          </cell>
          <cell r="R53">
            <v>623</v>
          </cell>
          <cell r="AE53">
            <v>121090.34</v>
          </cell>
          <cell r="AG53">
            <v>260.7</v>
          </cell>
          <cell r="AL53">
            <v>3985.02</v>
          </cell>
          <cell r="BY53">
            <v>2067686.4</v>
          </cell>
          <cell r="CB53">
            <v>4149.59</v>
          </cell>
          <cell r="CI53">
            <v>6041</v>
          </cell>
          <cell r="CR53">
            <v>52</v>
          </cell>
          <cell r="CT53">
            <v>5326921.01</v>
          </cell>
          <cell r="CY53">
            <v>14041.000000000002</v>
          </cell>
        </row>
        <row r="54">
          <cell r="D54">
            <v>13369252.2196</v>
          </cell>
          <cell r="H54">
            <v>3984911.07</v>
          </cell>
          <cell r="J54">
            <v>5417</v>
          </cell>
          <cell r="O54">
            <v>1658764.3399999999</v>
          </cell>
          <cell r="R54">
            <v>623</v>
          </cell>
          <cell r="AE54">
            <v>109371.92</v>
          </cell>
          <cell r="AG54">
            <v>260.6</v>
          </cell>
          <cell r="AL54">
            <v>3654</v>
          </cell>
          <cell r="BY54">
            <v>1885098</v>
          </cell>
          <cell r="CB54">
            <v>3945</v>
          </cell>
          <cell r="CI54">
            <v>6050</v>
          </cell>
          <cell r="CR54">
            <v>54</v>
          </cell>
          <cell r="CT54">
            <v>4342101.26</v>
          </cell>
          <cell r="CY54">
            <v>13798.59</v>
          </cell>
        </row>
        <row r="55">
          <cell r="D55">
            <v>14192626.4572</v>
          </cell>
          <cell r="H55">
            <v>4063856.93</v>
          </cell>
          <cell r="J55">
            <v>5418</v>
          </cell>
          <cell r="O55">
            <v>1712881.8599999999</v>
          </cell>
          <cell r="R55">
            <v>622</v>
          </cell>
          <cell r="AE55">
            <v>121090.34</v>
          </cell>
          <cell r="AG55">
            <v>260.4</v>
          </cell>
          <cell r="AL55">
            <v>4045.5</v>
          </cell>
          <cell r="BY55">
            <v>1945808.4</v>
          </cell>
          <cell r="CB55">
            <v>3883.4</v>
          </cell>
          <cell r="CI55">
            <v>6052</v>
          </cell>
          <cell r="CR55">
            <v>54</v>
          </cell>
          <cell r="CT55">
            <v>5578944.35</v>
          </cell>
          <cell r="CY55">
            <v>14146.7</v>
          </cell>
        </row>
        <row r="56">
          <cell r="D56">
            <v>12146461.238799999</v>
          </cell>
          <cell r="H56">
            <v>3409069.93</v>
          </cell>
          <cell r="J56">
            <v>5422</v>
          </cell>
          <cell r="O56">
            <v>1548572.4000000001</v>
          </cell>
          <cell r="R56">
            <v>628</v>
          </cell>
          <cell r="AE56">
            <v>90752.72997</v>
          </cell>
          <cell r="AG56">
            <v>260.4</v>
          </cell>
          <cell r="AL56">
            <v>3593.92</v>
          </cell>
          <cell r="BY56">
            <v>1724810.4</v>
          </cell>
          <cell r="CB56">
            <v>3883</v>
          </cell>
          <cell r="CI56">
            <v>6062</v>
          </cell>
          <cell r="CR56">
            <v>54</v>
          </cell>
          <cell r="CT56">
            <v>5076820.2</v>
          </cell>
          <cell r="CY56">
            <v>11883.8</v>
          </cell>
        </row>
        <row r="57">
          <cell r="D57">
            <v>12284198.8804</v>
          </cell>
          <cell r="H57">
            <v>3321485.2</v>
          </cell>
          <cell r="J57">
            <v>5429</v>
          </cell>
          <cell r="O57">
            <v>1690495.4000000001</v>
          </cell>
          <cell r="R57">
            <v>626</v>
          </cell>
          <cell r="AE57">
            <v>92836.009938</v>
          </cell>
          <cell r="AG57">
            <v>260.4</v>
          </cell>
          <cell r="AL57">
            <v>3726.41</v>
          </cell>
          <cell r="BY57">
            <v>1490520</v>
          </cell>
          <cell r="CB57">
            <v>3379.2</v>
          </cell>
          <cell r="CI57">
            <v>6068</v>
          </cell>
          <cell r="CR57">
            <v>53</v>
          </cell>
          <cell r="CT57">
            <v>5306762.93</v>
          </cell>
          <cell r="CY57">
            <v>14480.8</v>
          </cell>
        </row>
        <row r="58">
          <cell r="D58">
            <v>12691476.2664</v>
          </cell>
          <cell r="H58">
            <v>3566259.56</v>
          </cell>
          <cell r="J58">
            <v>5430</v>
          </cell>
          <cell r="O58">
            <v>1788387.71</v>
          </cell>
          <cell r="R58">
            <v>637</v>
          </cell>
          <cell r="AE58">
            <v>89841.29994</v>
          </cell>
          <cell r="AG58">
            <v>260.4</v>
          </cell>
          <cell r="AH58">
            <v>1553</v>
          </cell>
          <cell r="AL58">
            <v>3917.72</v>
          </cell>
          <cell r="AO58">
            <v>31</v>
          </cell>
          <cell r="BY58">
            <v>1639046.4</v>
          </cell>
          <cell r="CB58">
            <v>3321.6</v>
          </cell>
          <cell r="CC58">
            <v>1</v>
          </cell>
          <cell r="CI58">
            <v>6080</v>
          </cell>
          <cell r="CR58">
            <v>53</v>
          </cell>
          <cell r="CT58">
            <v>5358384.63</v>
          </cell>
          <cell r="CY58">
            <v>13434.9</v>
          </cell>
        </row>
        <row r="59">
          <cell r="D59">
            <v>13465774.5408</v>
          </cell>
          <cell r="H59">
            <v>4152499.23</v>
          </cell>
          <cell r="J59">
            <v>5434</v>
          </cell>
          <cell r="O59">
            <v>1958848.58</v>
          </cell>
          <cell r="R59">
            <v>638</v>
          </cell>
          <cell r="AE59">
            <v>71352.109915</v>
          </cell>
          <cell r="AG59">
            <v>260.4</v>
          </cell>
          <cell r="AL59">
            <v>4048.31</v>
          </cell>
          <cell r="BY59">
            <v>1427754</v>
          </cell>
          <cell r="CB59">
            <v>3350.4</v>
          </cell>
          <cell r="CI59">
            <v>6085</v>
          </cell>
          <cell r="CR59">
            <v>53</v>
          </cell>
          <cell r="CT59">
            <v>5326927.449999999</v>
          </cell>
          <cell r="CY59">
            <v>12660.82</v>
          </cell>
        </row>
        <row r="60">
          <cell r="D60">
            <v>12433519.185600001</v>
          </cell>
          <cell r="H60">
            <v>3749698.25</v>
          </cell>
          <cell r="J60">
            <v>5437</v>
          </cell>
          <cell r="O60">
            <v>1907401.3399999999</v>
          </cell>
          <cell r="R60">
            <v>638</v>
          </cell>
          <cell r="AE60">
            <v>70635.979938</v>
          </cell>
          <cell r="AG60">
            <v>260.4</v>
          </cell>
          <cell r="AL60">
            <v>4031.39</v>
          </cell>
          <cell r="BY60">
            <v>1062921.6</v>
          </cell>
          <cell r="CB60">
            <v>2953</v>
          </cell>
          <cell r="CI60">
            <v>6088</v>
          </cell>
          <cell r="CR60">
            <v>53</v>
          </cell>
          <cell r="CT60">
            <v>5711093.050000001</v>
          </cell>
          <cell r="CY60">
            <v>15158.32</v>
          </cell>
        </row>
        <row r="61">
          <cell r="D61">
            <v>11807639.9028</v>
          </cell>
          <cell r="H61">
            <v>3274116.91</v>
          </cell>
          <cell r="J61">
            <v>5436</v>
          </cell>
          <cell r="O61">
            <v>1717069.78</v>
          </cell>
          <cell r="R61">
            <v>638</v>
          </cell>
          <cell r="AE61">
            <v>68357.39994</v>
          </cell>
          <cell r="AG61">
            <v>260.4</v>
          </cell>
          <cell r="AL61">
            <v>3748.52</v>
          </cell>
          <cell r="BY61">
            <v>1393928.4</v>
          </cell>
          <cell r="CB61">
            <v>3054.4</v>
          </cell>
          <cell r="CI61">
            <v>6088</v>
          </cell>
          <cell r="CR61">
            <v>54</v>
          </cell>
          <cell r="CT61">
            <v>5117143.32</v>
          </cell>
          <cell r="CY61">
            <v>14222.310000000001</v>
          </cell>
        </row>
        <row r="62">
          <cell r="D62">
            <v>12740013.477200001</v>
          </cell>
          <cell r="H62">
            <v>3654905.84</v>
          </cell>
          <cell r="J62">
            <v>5439</v>
          </cell>
          <cell r="O62">
            <v>1749967.8800000001</v>
          </cell>
          <cell r="R62">
            <v>639</v>
          </cell>
          <cell r="AE62">
            <v>98719.539928</v>
          </cell>
          <cell r="AG62">
            <v>260.4</v>
          </cell>
          <cell r="AL62">
            <v>3896.15</v>
          </cell>
          <cell r="BY62">
            <v>1581481.2</v>
          </cell>
          <cell r="CB62">
            <v>3000</v>
          </cell>
          <cell r="CI62">
            <v>6093</v>
          </cell>
          <cell r="CR62">
            <v>54</v>
          </cell>
          <cell r="CT62">
            <v>5315238.08</v>
          </cell>
          <cell r="CY62">
            <v>13635.52</v>
          </cell>
        </row>
        <row r="63">
          <cell r="D63">
            <v>13281120.4816</v>
          </cell>
          <cell r="H63">
            <v>3751993.3</v>
          </cell>
          <cell r="J63">
            <v>5467</v>
          </cell>
          <cell r="O63">
            <v>1708690</v>
          </cell>
          <cell r="R63">
            <v>639</v>
          </cell>
          <cell r="AE63">
            <v>96468.59994</v>
          </cell>
          <cell r="AG63">
            <v>259.6</v>
          </cell>
          <cell r="AL63">
            <v>3748.51</v>
          </cell>
          <cell r="BY63">
            <v>1578313.2</v>
          </cell>
          <cell r="CB63">
            <v>3364.8</v>
          </cell>
          <cell r="CI63">
            <v>6121</v>
          </cell>
          <cell r="CR63">
            <v>54</v>
          </cell>
          <cell r="CT63">
            <v>5350541.74</v>
          </cell>
          <cell r="CY63">
            <v>13504.02</v>
          </cell>
        </row>
        <row r="64">
          <cell r="D64">
            <v>13405779.6096</v>
          </cell>
          <cell r="H64">
            <v>4253029.32</v>
          </cell>
          <cell r="J64">
            <v>5466</v>
          </cell>
          <cell r="O64">
            <v>1826841.46</v>
          </cell>
          <cell r="R64">
            <v>639</v>
          </cell>
          <cell r="AE64">
            <v>99684.21993800001</v>
          </cell>
          <cell r="AG64">
            <v>257.2</v>
          </cell>
          <cell r="AL64">
            <v>3873.48</v>
          </cell>
          <cell r="BY64">
            <v>1222696.8</v>
          </cell>
          <cell r="CB64">
            <v>3283.2</v>
          </cell>
          <cell r="CI64">
            <v>6120</v>
          </cell>
          <cell r="CR64">
            <v>54</v>
          </cell>
          <cell r="CT64">
            <v>5127576.12</v>
          </cell>
          <cell r="CY64">
            <v>12998.189999999999</v>
          </cell>
        </row>
        <row r="65">
          <cell r="D65">
            <v>14641113.9892</v>
          </cell>
          <cell r="H65">
            <v>4461680.57</v>
          </cell>
          <cell r="J65">
            <v>5472</v>
          </cell>
          <cell r="O65">
            <v>1939836.74</v>
          </cell>
          <cell r="R65">
            <v>640</v>
          </cell>
          <cell r="AE65">
            <v>119621.25</v>
          </cell>
          <cell r="AG65">
            <v>257.2</v>
          </cell>
          <cell r="AL65">
            <v>3873.47</v>
          </cell>
          <cell r="BY65">
            <v>1839370.8</v>
          </cell>
          <cell r="CB65">
            <v>2932.8</v>
          </cell>
          <cell r="CI65">
            <v>6127</v>
          </cell>
          <cell r="CR65">
            <v>54</v>
          </cell>
          <cell r="CT65">
            <v>5730787.24</v>
          </cell>
          <cell r="CY65">
            <v>12914.820000000002</v>
          </cell>
        </row>
        <row r="66">
          <cell r="D66">
            <v>13805623.376799999</v>
          </cell>
          <cell r="H66">
            <v>4107604.27</v>
          </cell>
          <cell r="J66">
            <v>5477</v>
          </cell>
          <cell r="O66">
            <v>1734242.1400000001</v>
          </cell>
          <cell r="R66">
            <v>642</v>
          </cell>
          <cell r="AE66">
            <v>108045</v>
          </cell>
          <cell r="AG66">
            <v>257.2</v>
          </cell>
          <cell r="AL66">
            <v>3498.61</v>
          </cell>
          <cell r="BY66">
            <v>1755604.8</v>
          </cell>
          <cell r="CB66">
            <v>3537.6</v>
          </cell>
          <cell r="CI66">
            <v>6133</v>
          </cell>
          <cell r="CR66">
            <v>53</v>
          </cell>
          <cell r="CT66">
            <v>5204196.3100000005</v>
          </cell>
          <cell r="CY66">
            <v>13138.689999999999</v>
          </cell>
        </row>
        <row r="67">
          <cell r="D67">
            <v>14017925.7992</v>
          </cell>
          <cell r="H67">
            <v>3298119.67</v>
          </cell>
          <cell r="J67">
            <v>5472</v>
          </cell>
          <cell r="O67">
            <v>1803602.28</v>
          </cell>
          <cell r="R67">
            <v>665</v>
          </cell>
          <cell r="AE67">
            <v>119621.25</v>
          </cell>
          <cell r="AG67">
            <v>257.2</v>
          </cell>
          <cell r="AL67">
            <v>3872.83</v>
          </cell>
          <cell r="BY67">
            <v>1873308</v>
          </cell>
          <cell r="CB67">
            <v>3494.4</v>
          </cell>
          <cell r="CI67">
            <v>6151</v>
          </cell>
          <cell r="CR67">
            <v>53</v>
          </cell>
          <cell r="CT67">
            <v>5478827.74</v>
          </cell>
          <cell r="CY67">
            <v>13069.630000000001</v>
          </cell>
        </row>
        <row r="68">
          <cell r="D68">
            <v>12545102.378</v>
          </cell>
          <cell r="H68">
            <v>3300103.27</v>
          </cell>
          <cell r="J68">
            <v>5477</v>
          </cell>
          <cell r="O68">
            <v>1535399</v>
          </cell>
          <cell r="R68">
            <v>662</v>
          </cell>
          <cell r="AE68">
            <v>89651.77</v>
          </cell>
          <cell r="AG68">
            <v>257.2</v>
          </cell>
          <cell r="AL68">
            <v>2608.2</v>
          </cell>
          <cell r="AS68">
            <v>30345.07</v>
          </cell>
          <cell r="BY68">
            <v>1786214.4</v>
          </cell>
          <cell r="CB68">
            <v>3628.8</v>
          </cell>
          <cell r="CI68">
            <v>6154</v>
          </cell>
          <cell r="CR68">
            <v>52</v>
          </cell>
          <cell r="CT68">
            <v>4925344.0200000005</v>
          </cell>
          <cell r="CY68">
            <v>12456.8</v>
          </cell>
        </row>
        <row r="69">
          <cell r="D69">
            <v>11947966.207999999</v>
          </cell>
          <cell r="H69">
            <v>3160123.4</v>
          </cell>
          <cell r="J69">
            <v>5480</v>
          </cell>
          <cell r="O69">
            <v>1562315.1199999999</v>
          </cell>
          <cell r="R69">
            <v>663</v>
          </cell>
          <cell r="AE69">
            <v>91709.78</v>
          </cell>
          <cell r="AG69">
            <v>257.2</v>
          </cell>
          <cell r="AL69">
            <v>3870.66</v>
          </cell>
          <cell r="AS69">
            <v>36487.01</v>
          </cell>
          <cell r="BY69">
            <v>1552796.4</v>
          </cell>
          <cell r="CB69">
            <v>3508.8</v>
          </cell>
          <cell r="CI69">
            <v>6158</v>
          </cell>
          <cell r="CR69">
            <v>52</v>
          </cell>
          <cell r="CT69">
            <v>4950939.18</v>
          </cell>
          <cell r="CY69">
            <v>13598.23</v>
          </cell>
        </row>
        <row r="70">
          <cell r="D70">
            <v>13001660.374</v>
          </cell>
          <cell r="H70">
            <v>3284748.86</v>
          </cell>
          <cell r="J70">
            <v>5492</v>
          </cell>
          <cell r="O70">
            <v>1635696.97</v>
          </cell>
          <cell r="R70">
            <v>667</v>
          </cell>
          <cell r="AE70">
            <v>88751.4</v>
          </cell>
          <cell r="AG70">
            <v>257.2</v>
          </cell>
          <cell r="AH70">
            <v>1611</v>
          </cell>
          <cell r="AL70">
            <v>3745.8</v>
          </cell>
          <cell r="AO70">
            <v>31</v>
          </cell>
          <cell r="AS70">
            <v>32978.44</v>
          </cell>
          <cell r="AU70">
            <v>2</v>
          </cell>
          <cell r="BY70">
            <v>1711890</v>
          </cell>
          <cell r="CB70">
            <v>3782.4</v>
          </cell>
          <cell r="CC70">
            <v>1</v>
          </cell>
          <cell r="CI70">
            <v>6174</v>
          </cell>
          <cell r="CR70">
            <v>53</v>
          </cell>
          <cell r="CT70">
            <v>5038152.880000001</v>
          </cell>
          <cell r="CY70">
            <v>13075.66</v>
          </cell>
        </row>
        <row r="71">
          <cell r="D71">
            <v>12605628.675999999</v>
          </cell>
          <cell r="H71">
            <v>3613206.49</v>
          </cell>
          <cell r="J71">
            <v>5495</v>
          </cell>
          <cell r="O71">
            <v>1806293.88</v>
          </cell>
          <cell r="R71">
            <v>667</v>
          </cell>
          <cell r="AE71">
            <v>70486.58</v>
          </cell>
          <cell r="AG71">
            <v>257.2</v>
          </cell>
          <cell r="AL71">
            <v>3870.66</v>
          </cell>
          <cell r="AS71">
            <v>31419.79</v>
          </cell>
          <cell r="BY71">
            <v>1741683.6</v>
          </cell>
          <cell r="CB71">
            <v>3580.8</v>
          </cell>
          <cell r="CI71">
            <v>6177</v>
          </cell>
          <cell r="CR71">
            <v>53</v>
          </cell>
          <cell r="CT71">
            <v>4787520.46</v>
          </cell>
          <cell r="CY71">
            <v>14260.400000000001</v>
          </cell>
        </row>
        <row r="72">
          <cell r="D72">
            <v>12671872.988</v>
          </cell>
          <cell r="H72">
            <v>3612524.97</v>
          </cell>
          <cell r="J72">
            <v>5501</v>
          </cell>
          <cell r="O72">
            <v>1725750.95</v>
          </cell>
          <cell r="R72">
            <v>667</v>
          </cell>
          <cell r="AE72">
            <v>69779.14</v>
          </cell>
          <cell r="AG72">
            <v>257.2</v>
          </cell>
          <cell r="AL72">
            <v>3714.42</v>
          </cell>
          <cell r="AS72">
            <v>36655.7</v>
          </cell>
          <cell r="BY72">
            <v>1302474</v>
          </cell>
          <cell r="CB72">
            <v>3451.2</v>
          </cell>
          <cell r="CI72">
            <v>6183</v>
          </cell>
          <cell r="CR72">
            <v>54</v>
          </cell>
          <cell r="CT72">
            <v>5008395.56</v>
          </cell>
          <cell r="CY72">
            <v>13530.689999999999</v>
          </cell>
        </row>
        <row r="73">
          <cell r="D73">
            <v>12246713.421999998</v>
          </cell>
          <cell r="H73">
            <v>3205957.77</v>
          </cell>
          <cell r="J73">
            <v>5510</v>
          </cell>
          <cell r="O73">
            <v>1631593.96</v>
          </cell>
          <cell r="R73">
            <v>669</v>
          </cell>
          <cell r="AE73">
            <v>67528.2</v>
          </cell>
          <cell r="AG73">
            <v>257.2</v>
          </cell>
          <cell r="AL73">
            <v>3745.8</v>
          </cell>
          <cell r="AS73">
            <v>32811.16</v>
          </cell>
          <cell r="BY73">
            <v>1757574</v>
          </cell>
          <cell r="CB73">
            <v>3556.8</v>
          </cell>
          <cell r="CI73">
            <v>6194</v>
          </cell>
          <cell r="CR73">
            <v>54</v>
          </cell>
          <cell r="CT73">
            <v>4905752.13</v>
          </cell>
          <cell r="CY73">
            <v>14001.400000000001</v>
          </cell>
        </row>
        <row r="74">
          <cell r="D74">
            <v>12905565.751999998</v>
          </cell>
          <cell r="H74">
            <v>3342156.14</v>
          </cell>
          <cell r="J74">
            <v>5510</v>
          </cell>
          <cell r="O74">
            <v>1639277.48</v>
          </cell>
          <cell r="R74">
            <v>667</v>
          </cell>
          <cell r="AE74">
            <v>98719.54</v>
          </cell>
          <cell r="AG74">
            <v>257.2</v>
          </cell>
          <cell r="AL74">
            <v>3870.66</v>
          </cell>
          <cell r="AS74">
            <v>31978.64</v>
          </cell>
          <cell r="BY74">
            <v>1939602</v>
          </cell>
          <cell r="CB74">
            <v>3460.8</v>
          </cell>
          <cell r="CI74">
            <v>6191</v>
          </cell>
          <cell r="CR74">
            <v>54</v>
          </cell>
          <cell r="CT74">
            <v>5174567.12</v>
          </cell>
          <cell r="CY74">
            <v>14162.779999999999</v>
          </cell>
        </row>
        <row r="75">
          <cell r="D75">
            <v>13217711.656000001</v>
          </cell>
          <cell r="H75">
            <v>3728702.87</v>
          </cell>
          <cell r="J75">
            <v>5513</v>
          </cell>
          <cell r="O75">
            <v>1653262.08</v>
          </cell>
          <cell r="R75">
            <v>668</v>
          </cell>
          <cell r="AE75">
            <v>96468.6</v>
          </cell>
          <cell r="AG75">
            <v>257.2</v>
          </cell>
          <cell r="AL75">
            <v>3745.8</v>
          </cell>
          <cell r="AS75">
            <v>35704.48</v>
          </cell>
          <cell r="BY75">
            <v>1904468.4</v>
          </cell>
          <cell r="CB75">
            <v>3758.4</v>
          </cell>
          <cell r="CI75">
            <v>6195</v>
          </cell>
          <cell r="CR75">
            <v>54</v>
          </cell>
          <cell r="CT75">
            <v>5124865.54</v>
          </cell>
          <cell r="CY75">
            <v>13834.67</v>
          </cell>
        </row>
        <row r="76">
          <cell r="D76">
            <v>14047189.056000002</v>
          </cell>
          <cell r="H76">
            <v>4422402.16</v>
          </cell>
          <cell r="J76">
            <v>5510</v>
          </cell>
          <cell r="O76">
            <v>1795382.25</v>
          </cell>
          <cell r="R76">
            <v>671</v>
          </cell>
          <cell r="AE76">
            <v>101501.44</v>
          </cell>
          <cell r="AG76">
            <v>257.2</v>
          </cell>
          <cell r="AL76">
            <v>3870.66</v>
          </cell>
          <cell r="AS76">
            <v>33141.06</v>
          </cell>
          <cell r="BY76">
            <v>1482765.6</v>
          </cell>
          <cell r="CB76">
            <v>3724.8</v>
          </cell>
          <cell r="CI76">
            <v>6195</v>
          </cell>
          <cell r="CR76">
            <v>54</v>
          </cell>
          <cell r="CT76">
            <v>4947199.49</v>
          </cell>
          <cell r="CY76">
            <v>12673.17</v>
          </cell>
        </row>
        <row r="77">
          <cell r="D77">
            <v>15011871.316</v>
          </cell>
          <cell r="H77">
            <v>4418801.34</v>
          </cell>
          <cell r="J77">
            <v>5512</v>
          </cell>
          <cell r="O77">
            <v>1782904.35</v>
          </cell>
          <cell r="R77">
            <v>672</v>
          </cell>
          <cell r="AE77">
            <v>121801.79</v>
          </cell>
          <cell r="AG77">
            <v>262</v>
          </cell>
          <cell r="AL77">
            <v>3870.66</v>
          </cell>
          <cell r="AS77">
            <v>31901.17</v>
          </cell>
          <cell r="BY77">
            <v>2029219.2</v>
          </cell>
          <cell r="CB77">
            <v>3696</v>
          </cell>
          <cell r="CI77">
            <v>6198</v>
          </cell>
          <cell r="CR77">
            <v>55</v>
          </cell>
          <cell r="CT77">
            <v>7516255.32</v>
          </cell>
          <cell r="CY77">
            <v>12935.880000000001</v>
          </cell>
        </row>
        <row r="78">
          <cell r="D78">
            <v>13971626.544</v>
          </cell>
          <cell r="H78">
            <v>4060650.67</v>
          </cell>
          <cell r="J78">
            <v>5522</v>
          </cell>
          <cell r="O78">
            <v>1698774.01</v>
          </cell>
          <cell r="R78">
            <v>673</v>
          </cell>
          <cell r="AE78">
            <v>110014.52</v>
          </cell>
          <cell r="AG78">
            <v>262</v>
          </cell>
          <cell r="AL78">
            <v>3620.94</v>
          </cell>
          <cell r="AS78">
            <v>34256.36</v>
          </cell>
          <cell r="BY78">
            <v>1910893.2</v>
          </cell>
          <cell r="CB78">
            <v>3892.8</v>
          </cell>
          <cell r="CI78">
            <v>6209</v>
          </cell>
          <cell r="CR78">
            <v>55</v>
          </cell>
          <cell r="CT78">
            <v>5022592.38</v>
          </cell>
          <cell r="CY78">
            <v>13445.48</v>
          </cell>
        </row>
        <row r="79">
          <cell r="D79">
            <v>14261173.685999999</v>
          </cell>
          <cell r="H79">
            <v>3984822.59</v>
          </cell>
          <cell r="J79">
            <v>5523</v>
          </cell>
          <cell r="O79">
            <v>1590703.78</v>
          </cell>
          <cell r="R79">
            <v>676</v>
          </cell>
          <cell r="AE79">
            <v>121801.79</v>
          </cell>
          <cell r="AG79">
            <v>262</v>
          </cell>
          <cell r="AL79">
            <v>3870.66</v>
          </cell>
          <cell r="AS79">
            <v>33715.47</v>
          </cell>
          <cell r="BY79">
            <v>2029254</v>
          </cell>
          <cell r="CB79">
            <v>3859.2</v>
          </cell>
          <cell r="CI79">
            <v>6215</v>
          </cell>
          <cell r="CR79">
            <v>54</v>
          </cell>
          <cell r="CT79">
            <v>5716428.34</v>
          </cell>
          <cell r="CY79">
            <v>13292</v>
          </cell>
        </row>
        <row r="80">
          <cell r="D80">
            <v>12643502.586</v>
          </cell>
          <cell r="H80">
            <v>3265381.5</v>
          </cell>
          <cell r="J80">
            <v>5524</v>
          </cell>
          <cell r="O80">
            <v>1416910.24</v>
          </cell>
          <cell r="R80">
            <v>672</v>
          </cell>
          <cell r="AE80">
            <v>91286.08</v>
          </cell>
          <cell r="AG80">
            <v>262</v>
          </cell>
          <cell r="AL80">
            <v>3745.8</v>
          </cell>
          <cell r="AS80">
            <v>30328.54</v>
          </cell>
          <cell r="BY80">
            <v>1847287.2</v>
          </cell>
          <cell r="CB80">
            <v>3873.6</v>
          </cell>
          <cell r="CI80">
            <v>6214</v>
          </cell>
          <cell r="CR80">
            <v>58</v>
          </cell>
          <cell r="CT80">
            <v>5351170.64</v>
          </cell>
          <cell r="CY80">
            <v>13659.4</v>
          </cell>
        </row>
        <row r="81">
          <cell r="D81">
            <v>12164290.617999999</v>
          </cell>
          <cell r="H81">
            <v>3136318.5</v>
          </cell>
          <cell r="J81">
            <v>5530</v>
          </cell>
          <cell r="O81">
            <v>1495645</v>
          </cell>
          <cell r="R81">
            <v>672</v>
          </cell>
          <cell r="AE81">
            <v>93381.61</v>
          </cell>
          <cell r="AG81">
            <v>262</v>
          </cell>
          <cell r="AL81">
            <v>3870.66</v>
          </cell>
          <cell r="AS81">
            <v>36387.89</v>
          </cell>
          <cell r="BY81">
            <v>1600044</v>
          </cell>
          <cell r="CB81">
            <v>3528</v>
          </cell>
          <cell r="CI81">
            <v>6225</v>
          </cell>
          <cell r="CR81">
            <v>58</v>
          </cell>
          <cell r="CT81">
            <v>5274780.21</v>
          </cell>
          <cell r="CY81">
            <v>13863.42</v>
          </cell>
        </row>
        <row r="82">
          <cell r="D82">
            <v>12984485.151999999</v>
          </cell>
          <cell r="H82">
            <v>3313927.88</v>
          </cell>
          <cell r="J82">
            <v>5530</v>
          </cell>
          <cell r="O82">
            <v>1471144.49</v>
          </cell>
          <cell r="R82">
            <v>674</v>
          </cell>
          <cell r="AE82">
            <v>90369.3</v>
          </cell>
          <cell r="AG82">
            <v>262</v>
          </cell>
          <cell r="AL82">
            <v>3745.8</v>
          </cell>
          <cell r="AS82">
            <v>33156.57</v>
          </cell>
          <cell r="BY82">
            <v>1829247.6</v>
          </cell>
          <cell r="CB82">
            <v>3686.4</v>
          </cell>
          <cell r="CI82">
            <v>6227</v>
          </cell>
          <cell r="CR82">
            <v>58</v>
          </cell>
          <cell r="CT82">
            <v>5489928.609999999</v>
          </cell>
          <cell r="CY82">
            <v>14955.619999999999</v>
          </cell>
        </row>
        <row r="83">
          <cell r="D83">
            <v>13519471.598</v>
          </cell>
          <cell r="H83">
            <v>3645282.12</v>
          </cell>
          <cell r="J83">
            <v>5537</v>
          </cell>
          <cell r="O83">
            <v>1663441.54</v>
          </cell>
          <cell r="R83">
            <v>675</v>
          </cell>
          <cell r="AE83">
            <v>71771.41</v>
          </cell>
          <cell r="AG83">
            <v>262</v>
          </cell>
          <cell r="AH83">
            <v>1658</v>
          </cell>
          <cell r="AL83">
            <v>3870.66</v>
          </cell>
          <cell r="AO83">
            <v>31</v>
          </cell>
          <cell r="AS83">
            <v>31901.17</v>
          </cell>
          <cell r="AU83">
            <v>2</v>
          </cell>
          <cell r="BY83">
            <v>1823030.4</v>
          </cell>
          <cell r="CB83">
            <v>3715.2</v>
          </cell>
          <cell r="CC83">
            <v>1</v>
          </cell>
          <cell r="CI83">
            <v>6235</v>
          </cell>
          <cell r="CR83">
            <v>58</v>
          </cell>
          <cell r="CT83">
            <v>5505551.43</v>
          </cell>
          <cell r="CY83">
            <v>14242.02</v>
          </cell>
        </row>
        <row r="84">
          <cell r="D84">
            <v>12700972.37</v>
          </cell>
          <cell r="H84">
            <v>3464222.41</v>
          </cell>
          <cell r="J84">
            <v>5545</v>
          </cell>
          <cell r="O84">
            <v>1675967.26</v>
          </cell>
          <cell r="R84">
            <v>676</v>
          </cell>
          <cell r="AE84">
            <v>71051.07</v>
          </cell>
          <cell r="AG84">
            <v>262</v>
          </cell>
          <cell r="AL84">
            <v>3870.66</v>
          </cell>
          <cell r="AS84">
            <v>36711.95</v>
          </cell>
          <cell r="BY84">
            <v>1434222</v>
          </cell>
          <cell r="CB84">
            <v>3739.2</v>
          </cell>
          <cell r="CI84">
            <v>6244</v>
          </cell>
          <cell r="CR84">
            <v>58</v>
          </cell>
          <cell r="CT84">
            <v>5569239.68</v>
          </cell>
          <cell r="CY84">
            <v>14474.019999999999</v>
          </cell>
        </row>
        <row r="85">
          <cell r="D85">
            <v>12971249.196</v>
          </cell>
          <cell r="H85">
            <v>3176083.79</v>
          </cell>
          <cell r="J85">
            <v>5546</v>
          </cell>
          <cell r="O85">
            <v>1529479.42</v>
          </cell>
          <cell r="R85">
            <v>676</v>
          </cell>
          <cell r="AE85">
            <v>68759.1</v>
          </cell>
          <cell r="AG85">
            <v>262</v>
          </cell>
          <cell r="AL85">
            <v>3745.8</v>
          </cell>
          <cell r="AS85">
            <v>32139.21</v>
          </cell>
          <cell r="BY85">
            <v>1916119.2</v>
          </cell>
          <cell r="CB85">
            <v>3849.6</v>
          </cell>
          <cell r="CI85">
            <v>6245</v>
          </cell>
          <cell r="CR85">
            <v>59</v>
          </cell>
          <cell r="CT85">
            <v>5399515.92</v>
          </cell>
          <cell r="CY85">
            <v>15702.119999999999</v>
          </cell>
        </row>
        <row r="86">
          <cell r="D86">
            <v>13122178.284</v>
          </cell>
          <cell r="H86">
            <v>3393414.05</v>
          </cell>
          <cell r="J86">
            <v>5556</v>
          </cell>
          <cell r="O86">
            <v>1590667.19</v>
          </cell>
          <cell r="R86">
            <v>680</v>
          </cell>
          <cell r="AE86">
            <v>100470.57</v>
          </cell>
          <cell r="AG86">
            <v>262</v>
          </cell>
          <cell r="AL86">
            <v>3870.66</v>
          </cell>
          <cell r="AS86">
            <v>32561.62</v>
          </cell>
          <cell r="BY86">
            <v>1908195.6</v>
          </cell>
          <cell r="CB86">
            <v>3806.4</v>
          </cell>
          <cell r="CI86">
            <v>6260</v>
          </cell>
          <cell r="CR86">
            <v>59</v>
          </cell>
          <cell r="CT86">
            <v>5552895.14</v>
          </cell>
          <cell r="CY86">
            <v>13849.24</v>
          </cell>
        </row>
        <row r="87">
          <cell r="D87">
            <v>13520664.026</v>
          </cell>
          <cell r="H87">
            <v>3815770.92</v>
          </cell>
          <cell r="J87">
            <v>5559</v>
          </cell>
          <cell r="O87">
            <v>1717799.77</v>
          </cell>
          <cell r="R87">
            <v>682</v>
          </cell>
          <cell r="AE87">
            <v>98178.6</v>
          </cell>
          <cell r="AG87">
            <v>262.4</v>
          </cell>
          <cell r="AL87">
            <v>3822.94</v>
          </cell>
          <cell r="AS87">
            <v>35715.79</v>
          </cell>
          <cell r="BY87">
            <v>1918023.6</v>
          </cell>
          <cell r="CB87">
            <v>4452.8</v>
          </cell>
          <cell r="CI87">
            <v>6265</v>
          </cell>
          <cell r="CR87">
            <v>59</v>
          </cell>
          <cell r="CT87">
            <v>5353309.32</v>
          </cell>
          <cell r="CY87">
            <v>14121.43</v>
          </cell>
        </row>
        <row r="88">
          <cell r="D88">
            <v>14255916.175999999</v>
          </cell>
          <cell r="H88">
            <v>4592449.76</v>
          </cell>
          <cell r="J88">
            <v>5562</v>
          </cell>
          <cell r="O88">
            <v>1965644.99</v>
          </cell>
          <cell r="R88">
            <v>685</v>
          </cell>
          <cell r="AE88">
            <v>101451.22</v>
          </cell>
          <cell r="AG88">
            <v>261.8</v>
          </cell>
          <cell r="AL88">
            <v>3915.57</v>
          </cell>
          <cell r="AS88">
            <v>32618.61</v>
          </cell>
          <cell r="BY88">
            <v>1553581.2</v>
          </cell>
          <cell r="CB88">
            <v>4056</v>
          </cell>
          <cell r="CI88">
            <v>6271</v>
          </cell>
          <cell r="CR88">
            <v>59</v>
          </cell>
          <cell r="CT88">
            <v>5147153.4</v>
          </cell>
          <cell r="CY88">
            <v>14845.73</v>
          </cell>
        </row>
        <row r="89">
          <cell r="D89">
            <v>14975469.714</v>
          </cell>
          <cell r="H89">
            <v>4659637.16</v>
          </cell>
          <cell r="J89">
            <v>5565</v>
          </cell>
          <cell r="O89">
            <v>2003216.56</v>
          </cell>
          <cell r="R89">
            <v>686</v>
          </cell>
          <cell r="AE89">
            <v>121741.34</v>
          </cell>
          <cell r="AG89">
            <v>261.8</v>
          </cell>
          <cell r="AL89">
            <v>3920.03</v>
          </cell>
          <cell r="AS89">
            <v>32304.45</v>
          </cell>
          <cell r="BY89">
            <v>1850636.4</v>
          </cell>
          <cell r="CB89">
            <v>3710.4</v>
          </cell>
          <cell r="CI89">
            <v>6275</v>
          </cell>
          <cell r="CR89">
            <v>59</v>
          </cell>
          <cell r="CT89">
            <v>5517120.49</v>
          </cell>
          <cell r="CY89">
            <v>12961.64</v>
          </cell>
        </row>
        <row r="90">
          <cell r="D90">
            <v>13170978.806</v>
          </cell>
          <cell r="H90">
            <v>3956936.76</v>
          </cell>
          <cell r="J90">
            <v>5575</v>
          </cell>
          <cell r="O90">
            <v>1767918.83</v>
          </cell>
          <cell r="R90">
            <v>682</v>
          </cell>
          <cell r="AE90">
            <v>109959.92</v>
          </cell>
          <cell r="AG90">
            <v>261.8</v>
          </cell>
          <cell r="AL90">
            <v>3624.36</v>
          </cell>
          <cell r="AS90">
            <v>33178.53</v>
          </cell>
          <cell r="BY90">
            <v>1801460.4</v>
          </cell>
          <cell r="CB90">
            <v>3710.4</v>
          </cell>
          <cell r="CI90">
            <v>6281</v>
          </cell>
          <cell r="CR90">
            <v>59</v>
          </cell>
          <cell r="CT90">
            <v>4983742.65</v>
          </cell>
          <cell r="CY90">
            <v>13855.14</v>
          </cell>
        </row>
        <row r="91">
          <cell r="D91">
            <v>13812792.328</v>
          </cell>
          <cell r="H91">
            <v>3902427.11</v>
          </cell>
          <cell r="J91">
            <v>5569</v>
          </cell>
          <cell r="O91">
            <v>1808272.82</v>
          </cell>
          <cell r="R91">
            <v>689</v>
          </cell>
          <cell r="AE91">
            <v>121741.34</v>
          </cell>
          <cell r="AG91">
            <v>261.8</v>
          </cell>
          <cell r="AL91">
            <v>4004.32</v>
          </cell>
          <cell r="AS91">
            <v>33367</v>
          </cell>
          <cell r="BY91">
            <v>1932314.4</v>
          </cell>
          <cell r="CB91">
            <v>3888</v>
          </cell>
          <cell r="CI91">
            <v>6282</v>
          </cell>
          <cell r="CR91">
            <v>58</v>
          </cell>
          <cell r="CT91">
            <v>5208108.630000001</v>
          </cell>
          <cell r="CY91">
            <v>15338.239999999998</v>
          </cell>
        </row>
        <row r="92">
          <cell r="D92">
            <v>12422992.620000001</v>
          </cell>
          <cell r="H92">
            <v>3337530.47</v>
          </cell>
          <cell r="J92">
            <v>5572</v>
          </cell>
          <cell r="O92">
            <v>1606433.9100000001</v>
          </cell>
          <cell r="R92">
            <v>688</v>
          </cell>
          <cell r="AE92">
            <v>91240.63</v>
          </cell>
          <cell r="AG92">
            <v>261.8</v>
          </cell>
          <cell r="AL92">
            <v>3879.76</v>
          </cell>
          <cell r="AS92">
            <v>30969.78</v>
          </cell>
          <cell r="BY92">
            <v>1797451.2</v>
          </cell>
          <cell r="CB92">
            <v>3739.2</v>
          </cell>
          <cell r="CI92">
            <v>6284</v>
          </cell>
          <cell r="CR92">
            <v>58</v>
          </cell>
          <cell r="CT92">
            <v>5059748.74</v>
          </cell>
          <cell r="CY92">
            <v>12913.64</v>
          </cell>
        </row>
        <row r="93">
          <cell r="D93">
            <v>11568813.37</v>
          </cell>
          <cell r="H93">
            <v>3100139.5</v>
          </cell>
          <cell r="J93">
            <v>5573</v>
          </cell>
          <cell r="O93">
            <v>1540599.02</v>
          </cell>
          <cell r="R93">
            <v>689</v>
          </cell>
          <cell r="AE93">
            <v>93335.11</v>
          </cell>
          <cell r="AG93">
            <v>261.8</v>
          </cell>
          <cell r="AL93">
            <v>4013.72</v>
          </cell>
          <cell r="AS93">
            <v>36259.23</v>
          </cell>
          <cell r="BY93">
            <v>1384711.2</v>
          </cell>
          <cell r="CB93">
            <v>3619.2</v>
          </cell>
          <cell r="CI93">
            <v>6286</v>
          </cell>
          <cell r="CR93">
            <v>58</v>
          </cell>
          <cell r="CT93">
            <v>5014653.33</v>
          </cell>
          <cell r="CY93">
            <v>14042.949999999999</v>
          </cell>
        </row>
        <row r="94">
          <cell r="D94">
            <v>12161991.47</v>
          </cell>
          <cell r="H94">
            <v>3144420.6</v>
          </cell>
          <cell r="J94">
            <v>5576</v>
          </cell>
          <cell r="O94">
            <v>1563837.02</v>
          </cell>
          <cell r="R94">
            <v>691</v>
          </cell>
          <cell r="AE94">
            <v>90324.3</v>
          </cell>
          <cell r="AG94">
            <v>168.4</v>
          </cell>
          <cell r="AH94">
            <v>1658</v>
          </cell>
          <cell r="AL94">
            <v>3874.87</v>
          </cell>
          <cell r="AO94">
            <v>31</v>
          </cell>
          <cell r="AS94">
            <v>32175.29</v>
          </cell>
          <cell r="AU94">
            <v>2</v>
          </cell>
          <cell r="BY94">
            <v>1574421.6</v>
          </cell>
          <cell r="CB94">
            <v>3451.2</v>
          </cell>
          <cell r="CC94">
            <v>1</v>
          </cell>
          <cell r="CI94">
            <v>6291</v>
          </cell>
          <cell r="CR94">
            <v>60</v>
          </cell>
          <cell r="CT94">
            <v>5096481.609999999</v>
          </cell>
          <cell r="CY94">
            <v>14829.4</v>
          </cell>
        </row>
        <row r="95">
          <cell r="D95">
            <v>11870356.158</v>
          </cell>
          <cell r="H95">
            <v>3308524.3</v>
          </cell>
          <cell r="J95">
            <v>5584</v>
          </cell>
          <cell r="O95">
            <v>1601643.81</v>
          </cell>
          <cell r="R95">
            <v>694</v>
          </cell>
          <cell r="AE95">
            <v>71735.71</v>
          </cell>
          <cell r="AG95">
            <v>261.8</v>
          </cell>
          <cell r="AL95">
            <v>4008.13</v>
          </cell>
          <cell r="AS95">
            <v>32502.78</v>
          </cell>
          <cell r="BY95">
            <v>1406197.2</v>
          </cell>
          <cell r="CB95">
            <v>3264</v>
          </cell>
          <cell r="CI95">
            <v>6302</v>
          </cell>
          <cell r="CR95">
            <v>60</v>
          </cell>
          <cell r="CT95">
            <v>5015960.82</v>
          </cell>
          <cell r="CY95">
            <v>13654.599999999999</v>
          </cell>
        </row>
        <row r="96">
          <cell r="D96">
            <v>12313749.944</v>
          </cell>
          <cell r="H96">
            <v>3579621.75</v>
          </cell>
          <cell r="J96">
            <v>5587</v>
          </cell>
          <cell r="O96">
            <v>1657575.28</v>
          </cell>
          <cell r="R96">
            <v>693</v>
          </cell>
          <cell r="AE96">
            <v>71015.73</v>
          </cell>
          <cell r="AG96">
            <v>-336.7</v>
          </cell>
          <cell r="AL96">
            <v>4013.08</v>
          </cell>
          <cell r="AS96">
            <v>36786.93</v>
          </cell>
          <cell r="BY96">
            <v>1087531.2</v>
          </cell>
          <cell r="CB96">
            <v>3216</v>
          </cell>
          <cell r="CI96">
            <v>6305</v>
          </cell>
          <cell r="CR96">
            <v>61</v>
          </cell>
          <cell r="CT96">
            <v>5285812.55</v>
          </cell>
          <cell r="CY96">
            <v>14856.64</v>
          </cell>
        </row>
        <row r="97">
          <cell r="D97">
            <v>12142523.694</v>
          </cell>
          <cell r="H97">
            <v>3211319.99</v>
          </cell>
          <cell r="J97">
            <v>5593</v>
          </cell>
          <cell r="O97">
            <v>1525910.13</v>
          </cell>
          <cell r="R97">
            <v>696</v>
          </cell>
          <cell r="AE97">
            <v>68724.9</v>
          </cell>
          <cell r="AG97">
            <v>1047.2</v>
          </cell>
          <cell r="AL97">
            <v>3874.87</v>
          </cell>
          <cell r="AS97">
            <v>31494.64</v>
          </cell>
          <cell r="BY97">
            <v>1549344</v>
          </cell>
          <cell r="CB97">
            <v>3072</v>
          </cell>
          <cell r="CI97">
            <v>6314</v>
          </cell>
          <cell r="CR97">
            <v>61</v>
          </cell>
          <cell r="CT97">
            <v>5277097.64</v>
          </cell>
          <cell r="CY97">
            <v>14550.220000000001</v>
          </cell>
        </row>
        <row r="98">
          <cell r="D98">
            <v>12538315.326</v>
          </cell>
          <cell r="H98">
            <v>3499501.84</v>
          </cell>
          <cell r="J98">
            <v>5599</v>
          </cell>
          <cell r="O98">
            <v>1611159.77</v>
          </cell>
          <cell r="R98">
            <v>699</v>
          </cell>
          <cell r="AE98">
            <v>100469.43</v>
          </cell>
          <cell r="AG98">
            <v>261.8</v>
          </cell>
          <cell r="AL98">
            <v>3738.46</v>
          </cell>
          <cell r="AS98">
            <v>32685.84</v>
          </cell>
          <cell r="BY98">
            <v>1422025.2</v>
          </cell>
          <cell r="CB98">
            <v>3600</v>
          </cell>
          <cell r="CI98">
            <v>6323</v>
          </cell>
          <cell r="CR98">
            <v>62</v>
          </cell>
          <cell r="CT98">
            <v>5260474.74</v>
          </cell>
          <cell r="CY98">
            <v>13667.66</v>
          </cell>
        </row>
        <row r="99">
          <cell r="D99">
            <v>12724780.878</v>
          </cell>
          <cell r="H99">
            <v>3626244.78</v>
          </cell>
          <cell r="J99">
            <v>5602</v>
          </cell>
          <cell r="O99">
            <v>1635683.75</v>
          </cell>
          <cell r="R99">
            <v>700</v>
          </cell>
          <cell r="AE99">
            <v>98178.6</v>
          </cell>
          <cell r="AG99">
            <v>261.8</v>
          </cell>
          <cell r="AL99">
            <v>3553.48</v>
          </cell>
          <cell r="AS99">
            <v>36337.87</v>
          </cell>
          <cell r="BY99">
            <v>1549953.6</v>
          </cell>
          <cell r="CB99">
            <v>3379.2</v>
          </cell>
          <cell r="CI99">
            <v>6327</v>
          </cell>
          <cell r="CR99">
            <v>62</v>
          </cell>
          <cell r="CT99">
            <v>5388339.91</v>
          </cell>
          <cell r="CY99">
            <v>13796.15</v>
          </cell>
        </row>
        <row r="100">
          <cell r="D100">
            <v>14406804.299999999</v>
          </cell>
          <cell r="H100">
            <v>4449449.15</v>
          </cell>
          <cell r="J100">
            <v>5603</v>
          </cell>
          <cell r="O100">
            <v>1827360.93</v>
          </cell>
          <cell r="R100">
            <v>701</v>
          </cell>
          <cell r="AE100">
            <v>101451.22</v>
          </cell>
          <cell r="AG100">
            <v>261.8</v>
          </cell>
          <cell r="AL100">
            <v>3662.27</v>
          </cell>
          <cell r="AS100">
            <v>32380.82</v>
          </cell>
          <cell r="BY100">
            <v>1308934.8</v>
          </cell>
          <cell r="CB100">
            <v>3763.2</v>
          </cell>
          <cell r="CI100">
            <v>6329</v>
          </cell>
          <cell r="CR100">
            <v>62</v>
          </cell>
          <cell r="CT100">
            <v>5299573.92</v>
          </cell>
          <cell r="CY100">
            <v>14557.849999999999</v>
          </cell>
        </row>
        <row r="101">
          <cell r="D101">
            <v>14420889.116</v>
          </cell>
          <cell r="H101">
            <v>4596118</v>
          </cell>
          <cell r="J101">
            <v>5602</v>
          </cell>
          <cell r="O101">
            <v>1953265.68</v>
          </cell>
          <cell r="R101">
            <v>702</v>
          </cell>
          <cell r="AE101">
            <v>123415.34</v>
          </cell>
          <cell r="AG101">
            <v>261.8</v>
          </cell>
          <cell r="AL101">
            <v>3667.41</v>
          </cell>
          <cell r="AS101">
            <v>31528.82</v>
          </cell>
          <cell r="BY101">
            <v>1630399.2</v>
          </cell>
          <cell r="CB101">
            <v>3441.6</v>
          </cell>
          <cell r="CI101">
            <v>6329</v>
          </cell>
          <cell r="CR101">
            <v>62</v>
          </cell>
          <cell r="CT101">
            <v>5555439.0600000005</v>
          </cell>
          <cell r="CY101">
            <v>12829.85</v>
          </cell>
        </row>
        <row r="102">
          <cell r="D102">
            <v>12830985.026</v>
          </cell>
          <cell r="H102">
            <v>3846203.74</v>
          </cell>
          <cell r="J102">
            <v>5611</v>
          </cell>
          <cell r="O102">
            <v>1714289.67</v>
          </cell>
          <cell r="R102">
            <v>704</v>
          </cell>
          <cell r="AE102">
            <v>111471.92</v>
          </cell>
          <cell r="AG102">
            <v>265.4</v>
          </cell>
          <cell r="AL102">
            <v>3315.6</v>
          </cell>
          <cell r="AS102">
            <v>33291</v>
          </cell>
          <cell r="BY102">
            <v>1446738</v>
          </cell>
          <cell r="CB102">
            <v>3668.7</v>
          </cell>
          <cell r="CI102">
            <v>6340</v>
          </cell>
          <cell r="CR102">
            <v>60</v>
          </cell>
          <cell r="CT102">
            <v>5013773.95</v>
          </cell>
          <cell r="CY102">
            <v>13942.15</v>
          </cell>
        </row>
        <row r="103">
          <cell r="D103">
            <v>13447986.706</v>
          </cell>
          <cell r="H103">
            <v>3628771.3</v>
          </cell>
          <cell r="J103">
            <v>5615</v>
          </cell>
          <cell r="O103">
            <v>1697015.12</v>
          </cell>
          <cell r="R103">
            <v>707</v>
          </cell>
          <cell r="AE103">
            <v>123415.34</v>
          </cell>
          <cell r="AG103">
            <v>265.4</v>
          </cell>
          <cell r="AL103">
            <v>3662.61</v>
          </cell>
          <cell r="AS103">
            <v>32618.61</v>
          </cell>
          <cell r="BY103">
            <v>1658881.2</v>
          </cell>
          <cell r="CB103">
            <v>3882.4</v>
          </cell>
          <cell r="CI103">
            <v>6347</v>
          </cell>
          <cell r="CR103">
            <v>60</v>
          </cell>
          <cell r="CT103">
            <v>6205384.9399999995</v>
          </cell>
          <cell r="CY103">
            <v>15145.95</v>
          </cell>
        </row>
        <row r="104">
          <cell r="D104">
            <v>11680183.818</v>
          </cell>
          <cell r="H104">
            <v>3154852.32</v>
          </cell>
          <cell r="J104">
            <v>5620</v>
          </cell>
          <cell r="O104">
            <v>1536674.94</v>
          </cell>
          <cell r="R104">
            <v>706</v>
          </cell>
          <cell r="AE104">
            <v>92495.23</v>
          </cell>
          <cell r="AG104">
            <v>265.4</v>
          </cell>
          <cell r="AL104">
            <v>3548.66</v>
          </cell>
          <cell r="AS104">
            <v>31585.46</v>
          </cell>
          <cell r="BY104">
            <v>1435897.2</v>
          </cell>
          <cell r="CB104">
            <v>3784.5</v>
          </cell>
          <cell r="CI104">
            <v>6351</v>
          </cell>
          <cell r="CR104">
            <v>60</v>
          </cell>
          <cell r="CT104">
            <v>5049381.8100000005</v>
          </cell>
          <cell r="CY104">
            <v>14187.45</v>
          </cell>
        </row>
        <row r="105">
          <cell r="D105">
            <v>12024636.948</v>
          </cell>
          <cell r="H105">
            <v>3343667.34</v>
          </cell>
          <cell r="J105">
            <v>5626</v>
          </cell>
          <cell r="O105">
            <v>1613744.11</v>
          </cell>
          <cell r="R105">
            <v>705</v>
          </cell>
          <cell r="AE105">
            <v>94618.51</v>
          </cell>
          <cell r="AG105">
            <v>265.4</v>
          </cell>
          <cell r="AL105">
            <v>3670.84</v>
          </cell>
          <cell r="AS105">
            <v>36857.89</v>
          </cell>
          <cell r="BY105">
            <v>1124797.2</v>
          </cell>
          <cell r="CB105">
            <v>3696.2</v>
          </cell>
          <cell r="CI105">
            <v>6356</v>
          </cell>
          <cell r="CR105">
            <v>60</v>
          </cell>
          <cell r="CT105">
            <v>5353724.970000001</v>
          </cell>
          <cell r="CY105">
            <v>13724.25</v>
          </cell>
        </row>
        <row r="106">
          <cell r="D106">
            <v>12572885.992</v>
          </cell>
          <cell r="H106">
            <v>3527873.7</v>
          </cell>
          <cell r="J106">
            <v>5627</v>
          </cell>
          <cell r="O106">
            <v>1710930.11</v>
          </cell>
          <cell r="R106">
            <v>705</v>
          </cell>
          <cell r="AE106">
            <v>72722.11</v>
          </cell>
          <cell r="AG106">
            <v>265.4</v>
          </cell>
          <cell r="AH106">
            <v>1673</v>
          </cell>
          <cell r="AL106">
            <v>3380.64</v>
          </cell>
          <cell r="AO106">
            <v>31</v>
          </cell>
          <cell r="AS106">
            <v>31429.65</v>
          </cell>
          <cell r="AU106">
            <v>2</v>
          </cell>
          <cell r="BY106">
            <v>1431684</v>
          </cell>
          <cell r="CB106">
            <v>3494.4</v>
          </cell>
          <cell r="CC106">
            <v>1</v>
          </cell>
          <cell r="CI106">
            <v>6357</v>
          </cell>
          <cell r="CR106">
            <v>60</v>
          </cell>
          <cell r="CT106">
            <v>5394851.75</v>
          </cell>
          <cell r="CY106">
            <v>14876.85</v>
          </cell>
        </row>
        <row r="107">
          <cell r="D107">
            <v>13574189.908</v>
          </cell>
          <cell r="H107">
            <v>4107658.89</v>
          </cell>
          <cell r="J107">
            <v>5631</v>
          </cell>
          <cell r="O107">
            <v>1785940.38</v>
          </cell>
          <cell r="R107">
            <v>706</v>
          </cell>
          <cell r="AE107">
            <v>72722.11</v>
          </cell>
          <cell r="AG107">
            <v>265.4</v>
          </cell>
          <cell r="AL107">
            <v>4520.1</v>
          </cell>
          <cell r="AS107">
            <v>32878.55</v>
          </cell>
          <cell r="BY107">
            <v>1431684</v>
          </cell>
          <cell r="CB107">
            <v>3844.2</v>
          </cell>
          <cell r="CI107">
            <v>6362</v>
          </cell>
          <cell r="CR107">
            <v>60</v>
          </cell>
          <cell r="CT107">
            <v>5369307.02</v>
          </cell>
          <cell r="CY107">
            <v>14545.25</v>
          </cell>
        </row>
        <row r="108">
          <cell r="D108">
            <v>13146533.404</v>
          </cell>
          <cell r="H108">
            <v>3873689.46</v>
          </cell>
          <cell r="J108">
            <v>5631</v>
          </cell>
          <cell r="O108">
            <v>1719151</v>
          </cell>
          <cell r="R108">
            <v>708</v>
          </cell>
          <cell r="AE108">
            <v>71992.23</v>
          </cell>
          <cell r="AG108">
            <v>265.4</v>
          </cell>
          <cell r="AL108">
            <v>3495.03</v>
          </cell>
          <cell r="AS108">
            <v>36778</v>
          </cell>
          <cell r="BY108">
            <v>1241245.2</v>
          </cell>
          <cell r="CB108">
            <v>3743.7</v>
          </cell>
          <cell r="CI108">
            <v>6364</v>
          </cell>
          <cell r="CR108">
            <v>60</v>
          </cell>
          <cell r="CT108">
            <v>5474714.72</v>
          </cell>
          <cell r="CY108">
            <v>14579.350000000002</v>
          </cell>
        </row>
        <row r="109">
          <cell r="D109">
            <v>12371095.174</v>
          </cell>
          <cell r="H109">
            <v>3278202.85</v>
          </cell>
          <cell r="J109">
            <v>5632</v>
          </cell>
          <cell r="O109">
            <v>1514101.09</v>
          </cell>
          <cell r="R109">
            <v>707</v>
          </cell>
          <cell r="AE109">
            <v>69669</v>
          </cell>
          <cell r="AG109">
            <v>461.6</v>
          </cell>
          <cell r="AL109">
            <v>3374.36</v>
          </cell>
          <cell r="AS109">
            <v>31167.62</v>
          </cell>
          <cell r="BY109">
            <v>1648758</v>
          </cell>
          <cell r="CB109">
            <v>3556.8</v>
          </cell>
          <cell r="CI109">
            <v>6364</v>
          </cell>
          <cell r="CR109">
            <v>60</v>
          </cell>
          <cell r="CT109">
            <v>5300728.08</v>
          </cell>
          <cell r="CY109">
            <v>14666.45</v>
          </cell>
        </row>
        <row r="110">
          <cell r="D110">
            <v>12574419.986000001</v>
          </cell>
          <cell r="H110">
            <v>3342942.3</v>
          </cell>
          <cell r="J110">
            <v>5690</v>
          </cell>
          <cell r="O110">
            <v>1500516.02</v>
          </cell>
          <cell r="R110">
            <v>708</v>
          </cell>
          <cell r="AE110">
            <v>102813.69</v>
          </cell>
          <cell r="AG110">
            <v>265.4</v>
          </cell>
          <cell r="AL110">
            <v>3492.57</v>
          </cell>
          <cell r="AS110">
            <v>36788.21</v>
          </cell>
          <cell r="BY110">
            <v>1721421.6</v>
          </cell>
          <cell r="CB110">
            <v>3718.7</v>
          </cell>
          <cell r="CI110">
            <v>6423</v>
          </cell>
          <cell r="CR110">
            <v>61</v>
          </cell>
          <cell r="CT110">
            <v>5245082.21</v>
          </cell>
          <cell r="CY110">
            <v>14550.45</v>
          </cell>
        </row>
        <row r="111">
          <cell r="D111">
            <v>13305320.657999998</v>
          </cell>
          <cell r="H111">
            <v>3769609.06</v>
          </cell>
          <cell r="J111">
            <v>5691</v>
          </cell>
          <cell r="O111">
            <v>1713796.99</v>
          </cell>
          <cell r="R111">
            <v>706</v>
          </cell>
          <cell r="AE111">
            <v>100469.4</v>
          </cell>
          <cell r="AG111">
            <v>267.9</v>
          </cell>
          <cell r="AL111">
            <v>3396.57</v>
          </cell>
          <cell r="AS111">
            <v>78223.24</v>
          </cell>
          <cell r="BY111">
            <v>1672154.4</v>
          </cell>
          <cell r="CB111">
            <v>3729.6</v>
          </cell>
          <cell r="CI111">
            <v>6426</v>
          </cell>
          <cell r="CR111">
            <v>62</v>
          </cell>
          <cell r="CT111">
            <v>5280970.48</v>
          </cell>
          <cell r="CY111">
            <v>13698.25</v>
          </cell>
        </row>
        <row r="112">
          <cell r="D112">
            <v>13783365.311999999</v>
          </cell>
          <cell r="H112">
            <v>4623708.26</v>
          </cell>
          <cell r="J112">
            <v>5692</v>
          </cell>
          <cell r="O112">
            <v>1949943.3699999999</v>
          </cell>
          <cell r="R112">
            <v>705</v>
          </cell>
          <cell r="AE112">
            <v>103864.88</v>
          </cell>
          <cell r="AG112">
            <v>267.9</v>
          </cell>
          <cell r="AL112">
            <v>3489.36</v>
          </cell>
          <cell r="AS112">
            <v>39854.38</v>
          </cell>
          <cell r="BY112">
            <v>1285646.4</v>
          </cell>
          <cell r="CB112">
            <v>3816.9</v>
          </cell>
          <cell r="CI112">
            <v>6426</v>
          </cell>
          <cell r="CR112">
            <v>62</v>
          </cell>
          <cell r="CT112">
            <v>5133324.76</v>
          </cell>
          <cell r="CY112">
            <v>13456.85</v>
          </cell>
        </row>
        <row r="113">
          <cell r="D113">
            <v>14537467.292</v>
          </cell>
          <cell r="H113">
            <v>3304789.19</v>
          </cell>
          <cell r="J113">
            <v>5693</v>
          </cell>
          <cell r="O113">
            <v>2002270.85</v>
          </cell>
          <cell r="R113">
            <v>707</v>
          </cell>
          <cell r="AE113">
            <v>124637.98000000001</v>
          </cell>
          <cell r="AG113">
            <v>268</v>
          </cell>
          <cell r="AL113">
            <v>3490.86</v>
          </cell>
          <cell r="AS113">
            <v>41139.7</v>
          </cell>
          <cell r="BY113">
            <v>1691600.4</v>
          </cell>
          <cell r="CB113">
            <v>3792</v>
          </cell>
          <cell r="CI113">
            <v>6429</v>
          </cell>
          <cell r="CR113">
            <v>61</v>
          </cell>
          <cell r="CT113">
            <v>5500082.609999999</v>
          </cell>
          <cell r="CY113">
            <v>12187.95</v>
          </cell>
        </row>
        <row r="114">
          <cell r="D114">
            <v>12979100.904</v>
          </cell>
          <cell r="H114">
            <v>3976280.14</v>
          </cell>
          <cell r="J114">
            <v>5695</v>
          </cell>
          <cell r="O114">
            <v>1756663.9000000001</v>
          </cell>
          <cell r="R114">
            <v>707</v>
          </cell>
          <cell r="AE114">
            <v>112576.24</v>
          </cell>
          <cell r="AG114">
            <v>268</v>
          </cell>
          <cell r="AL114">
            <v>3157.68</v>
          </cell>
          <cell r="AS114">
            <v>41138.97</v>
          </cell>
          <cell r="BY114">
            <v>1526053.2</v>
          </cell>
          <cell r="CB114">
            <v>3906.2</v>
          </cell>
          <cell r="CI114">
            <v>6431</v>
          </cell>
          <cell r="CR114">
            <v>60</v>
          </cell>
          <cell r="CT114">
            <v>4946525.89</v>
          </cell>
          <cell r="CY114">
            <v>14276.26</v>
          </cell>
        </row>
        <row r="115">
          <cell r="D115">
            <v>13668924.3</v>
          </cell>
          <cell r="H115">
            <v>3985206.75</v>
          </cell>
          <cell r="J115">
            <v>5703</v>
          </cell>
          <cell r="O115">
            <v>1882432.61</v>
          </cell>
          <cell r="R115">
            <v>708</v>
          </cell>
          <cell r="AE115">
            <v>87428.99</v>
          </cell>
          <cell r="AG115">
            <v>268</v>
          </cell>
          <cell r="AL115">
            <v>3490.86</v>
          </cell>
          <cell r="AS115">
            <v>41141.03</v>
          </cell>
          <cell r="BY115">
            <v>1690124.4</v>
          </cell>
          <cell r="CB115">
            <v>3719.1</v>
          </cell>
          <cell r="CI115">
            <v>6440</v>
          </cell>
          <cell r="CR115">
            <v>60</v>
          </cell>
          <cell r="CT115">
            <v>5361918.63</v>
          </cell>
          <cell r="CY115">
            <v>12956.46</v>
          </cell>
        </row>
        <row r="116">
          <cell r="D116">
            <v>11899533.264</v>
          </cell>
          <cell r="H116">
            <v>3446412.59</v>
          </cell>
          <cell r="J116">
            <v>5707</v>
          </cell>
          <cell r="O116">
            <v>1568916.01</v>
          </cell>
          <cell r="R116">
            <v>708</v>
          </cell>
          <cell r="AE116">
            <v>93411.92</v>
          </cell>
          <cell r="AG116">
            <v>268</v>
          </cell>
          <cell r="AL116">
            <v>3455.4</v>
          </cell>
          <cell r="AS116">
            <v>41139.68</v>
          </cell>
          <cell r="BY116">
            <v>1520925.6</v>
          </cell>
          <cell r="CB116">
            <v>3691.6</v>
          </cell>
          <cell r="CI116">
            <v>6444</v>
          </cell>
          <cell r="CR116">
            <v>60</v>
          </cell>
          <cell r="CT116">
            <v>4665343.54</v>
          </cell>
          <cell r="CY116">
            <v>12904.56</v>
          </cell>
        </row>
        <row r="117">
          <cell r="D117">
            <v>11597436.967999998</v>
          </cell>
          <cell r="H117">
            <v>3265390.87</v>
          </cell>
          <cell r="J117">
            <v>5708</v>
          </cell>
          <cell r="O117">
            <v>1539748.74</v>
          </cell>
          <cell r="R117">
            <v>709</v>
          </cell>
          <cell r="AE117">
            <v>95556.26</v>
          </cell>
          <cell r="AG117">
            <v>268</v>
          </cell>
          <cell r="AL117">
            <v>3490.86</v>
          </cell>
          <cell r="AS117">
            <v>41140.32</v>
          </cell>
          <cell r="BY117">
            <v>1265604</v>
          </cell>
          <cell r="CB117">
            <v>3816.5</v>
          </cell>
          <cell r="CI117">
            <v>6446</v>
          </cell>
          <cell r="CR117">
            <v>59</v>
          </cell>
          <cell r="CT117">
            <v>4906208.38</v>
          </cell>
          <cell r="CY117">
            <v>12762.95</v>
          </cell>
        </row>
        <row r="118">
          <cell r="D118">
            <v>12188401.724</v>
          </cell>
          <cell r="H118">
            <v>3305774.35</v>
          </cell>
          <cell r="J118">
            <v>5711</v>
          </cell>
          <cell r="O118">
            <v>1578637.0499999998</v>
          </cell>
          <cell r="R118">
            <v>709</v>
          </cell>
          <cell r="AE118">
            <v>92473.8</v>
          </cell>
          <cell r="AG118">
            <v>268</v>
          </cell>
          <cell r="AH118">
            <v>1687</v>
          </cell>
          <cell r="AL118">
            <v>3379.8</v>
          </cell>
          <cell r="AO118">
            <v>31</v>
          </cell>
          <cell r="AS118">
            <v>41139.68</v>
          </cell>
          <cell r="AU118">
            <v>6</v>
          </cell>
          <cell r="BY118">
            <v>1598295.6</v>
          </cell>
          <cell r="CB118">
            <v>3608.6</v>
          </cell>
          <cell r="CC118">
            <v>1</v>
          </cell>
          <cell r="CI118">
            <v>6449</v>
          </cell>
          <cell r="CR118">
            <v>59</v>
          </cell>
          <cell r="CT118">
            <v>5074043.26</v>
          </cell>
          <cell r="CY118">
            <v>14454.45</v>
          </cell>
        </row>
        <row r="119">
          <cell r="D119">
            <v>13514283.678</v>
          </cell>
          <cell r="H119">
            <v>4396831.2</v>
          </cell>
          <cell r="J119">
            <v>5710</v>
          </cell>
          <cell r="O119">
            <v>1949364.71</v>
          </cell>
          <cell r="R119">
            <v>709</v>
          </cell>
          <cell r="AE119">
            <v>73442.66</v>
          </cell>
          <cell r="AG119">
            <v>268</v>
          </cell>
          <cell r="AL119">
            <v>3490.86</v>
          </cell>
          <cell r="AS119">
            <v>41140.32</v>
          </cell>
          <cell r="BY119">
            <v>1401618</v>
          </cell>
          <cell r="CB119">
            <v>3779.6</v>
          </cell>
          <cell r="CI119">
            <v>6448</v>
          </cell>
          <cell r="CR119">
            <v>59</v>
          </cell>
          <cell r="CT119">
            <v>5134785.51</v>
          </cell>
          <cell r="CY119">
            <v>14231.03</v>
          </cell>
        </row>
        <row r="120">
          <cell r="D120">
            <v>12758371.23</v>
          </cell>
          <cell r="H120">
            <v>3783202.83</v>
          </cell>
          <cell r="J120">
            <v>5716</v>
          </cell>
          <cell r="O120">
            <v>1741457.6199999999</v>
          </cell>
          <cell r="R120">
            <v>711</v>
          </cell>
          <cell r="AE120">
            <v>72705.54</v>
          </cell>
          <cell r="AG120">
            <v>268</v>
          </cell>
          <cell r="AL120">
            <v>3581.02</v>
          </cell>
          <cell r="AS120">
            <v>41140</v>
          </cell>
          <cell r="BY120">
            <v>1276164</v>
          </cell>
          <cell r="CB120">
            <v>3565.9</v>
          </cell>
          <cell r="CI120">
            <v>6456</v>
          </cell>
          <cell r="CR120">
            <v>59</v>
          </cell>
          <cell r="CT120">
            <v>5283195.8</v>
          </cell>
          <cell r="CY120">
            <v>13286.34</v>
          </cell>
        </row>
        <row r="121">
          <cell r="D121">
            <v>12135631.416</v>
          </cell>
          <cell r="H121">
            <v>3265013.1</v>
          </cell>
          <cell r="J121">
            <v>5718</v>
          </cell>
          <cell r="O121">
            <v>1555752.74</v>
          </cell>
          <cell r="R121">
            <v>713</v>
          </cell>
          <cell r="AE121">
            <v>70360.2</v>
          </cell>
          <cell r="AG121">
            <v>268</v>
          </cell>
          <cell r="AL121">
            <v>3379.8</v>
          </cell>
          <cell r="AS121">
            <v>41139.68</v>
          </cell>
          <cell r="BY121">
            <v>1540466.4</v>
          </cell>
          <cell r="CB121">
            <v>3540.5</v>
          </cell>
          <cell r="CI121">
            <v>6460</v>
          </cell>
          <cell r="CR121">
            <v>59</v>
          </cell>
          <cell r="CT121">
            <v>5127913.71</v>
          </cell>
          <cell r="CY121">
            <v>13513.34</v>
          </cell>
        </row>
        <row r="122">
          <cell r="D122">
            <v>12451657.964000002</v>
          </cell>
          <cell r="H122">
            <v>3483584.13</v>
          </cell>
          <cell r="J122">
            <v>5720</v>
          </cell>
          <cell r="O122">
            <v>1557032.37</v>
          </cell>
          <cell r="R122">
            <v>713</v>
          </cell>
          <cell r="AE122">
            <v>102859.74</v>
          </cell>
          <cell r="AG122">
            <v>268</v>
          </cell>
          <cell r="AL122">
            <v>3490.86</v>
          </cell>
          <cell r="AS122">
            <v>41140.32</v>
          </cell>
          <cell r="BY122">
            <v>1525582.8</v>
          </cell>
          <cell r="CB122">
            <v>3568.3</v>
          </cell>
          <cell r="CI122">
            <v>6462</v>
          </cell>
          <cell r="CR122">
            <v>59</v>
          </cell>
          <cell r="CT122">
            <v>5157725.91</v>
          </cell>
          <cell r="CY122">
            <v>13958.14</v>
          </cell>
        </row>
        <row r="123">
          <cell r="D123">
            <v>12725678.299999999</v>
          </cell>
          <cell r="H123">
            <v>3615837.32</v>
          </cell>
          <cell r="J123">
            <v>5722</v>
          </cell>
          <cell r="O123">
            <v>1617684.07</v>
          </cell>
          <cell r="R123">
            <v>710</v>
          </cell>
          <cell r="AE123">
            <v>99202.8</v>
          </cell>
          <cell r="AG123">
            <v>268</v>
          </cell>
          <cell r="AL123">
            <v>3379.8</v>
          </cell>
          <cell r="AS123">
            <v>41139.68</v>
          </cell>
          <cell r="BY123">
            <v>1720832.4</v>
          </cell>
          <cell r="CB123">
            <v>3614</v>
          </cell>
          <cell r="CI123">
            <v>6461</v>
          </cell>
          <cell r="CR123">
            <v>60</v>
          </cell>
          <cell r="CT123">
            <v>5190993.69</v>
          </cell>
          <cell r="CY123">
            <v>13742.54</v>
          </cell>
        </row>
        <row r="124">
          <cell r="D124">
            <v>13424111.544000002</v>
          </cell>
          <cell r="H124">
            <v>4423539.9</v>
          </cell>
          <cell r="J124">
            <v>5725</v>
          </cell>
          <cell r="O124">
            <v>1833115.85</v>
          </cell>
          <cell r="R124">
            <v>710</v>
          </cell>
          <cell r="AE124">
            <v>102509.56</v>
          </cell>
          <cell r="AG124">
            <v>267.5</v>
          </cell>
          <cell r="AL124">
            <v>3490.86</v>
          </cell>
          <cell r="AS124">
            <v>41466.32</v>
          </cell>
          <cell r="BY124">
            <v>1347376.8</v>
          </cell>
          <cell r="CB124">
            <v>3794.2</v>
          </cell>
          <cell r="CI124">
            <v>6464</v>
          </cell>
          <cell r="CR124">
            <v>60</v>
          </cell>
          <cell r="CT124">
            <v>5094019.52</v>
          </cell>
          <cell r="CY124">
            <v>12715.04</v>
          </cell>
        </row>
        <row r="126">
          <cell r="H126">
            <v>401186026.4699999</v>
          </cell>
          <cell r="O126">
            <v>183761153.11000004</v>
          </cell>
          <cell r="AE126">
            <v>10146616.586784001</v>
          </cell>
          <cell r="AG126">
            <v>28394.900000000016</v>
          </cell>
          <cell r="AL126">
            <v>396798.5099999999</v>
          </cell>
          <cell r="AS126">
            <v>2050365.99</v>
          </cell>
          <cell r="BY126">
            <v>183655309.94999993</v>
          </cell>
          <cell r="CB126">
            <v>402790.89356010006</v>
          </cell>
          <cell r="CT126">
            <v>569446053.4399999</v>
          </cell>
          <cell r="CZ126">
            <v>1463662.36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].xls].xls]Data summary"/>
      <sheetName val=".xls].xls].xls].xls].xls].xls].xls].xls].xls].xls].xls].xls].xls].xls].xls].xls].xls].xls].xls].xls].xls].xls].xls].xls].xls].xls].xls].xls].xls].xls]Hourly load shapes by class"/>
      <sheetName val=".xls].xls].xls].xls].xls].xls].xls].xls].xls].xls].xls].xls].xls].xls].xls].xls].xls].xls].xls].xls].xls].xls].xls].xls].xls].xls].xls].xls].xls].xls]Input to CA model"/>
      <sheetName val=".xls].xls].xls].xls].xls].xls].xls].xls].xls].xls].xls].xls].xls].xls].xls].xls].xls].xls].xls].xls].xls].xls].xls].xls].xls].xls].xls].xls].xls].xls].xls].xls]Data summary"/>
      <sheetName val=".xls].xls].xls].xls].xls].xls].xls].xls].xls].xls].xls].xls].xls].xls].xls].xls].xls].xls].xls].xls].xls].xls].xls].xls].xls].xls].xls].xls].xls].xls].xls].xls]Hourly load shapes by class"/>
      <sheetName val=".xls].xls].xls].xls].xls].xls].xls].xls].xls].xls].xls].xls].xls].xls].xls].xls].xls].xls].xls].xls].xls].xls].xls].xls].xls].xls].xls].xls].xls].xls].xls].xls]Input to CA model"/>
      <sheetName val=".xls].xls].xls].xls].xls].xls].xls].xls].xls].xls].xls].xls].xls].xls].xls].xls].xls].xls].xls].xls].xls].xls].xls].xls].xls].xls].xls].xls].xls].xls].xls]Data summary"/>
      <sheetName val=".xls].xls].xls].xls].xls].xls].xls].xls].xls].xls].xls].xls].xls].xls].xls].xls].xls].xls].xls].xls].xls].xls].xls].xls].xls].xls].xls].xls].xls].xls].xls]Hourly load shapes by class"/>
      <sheetName val=".xls].xls].xls].xls].xls].xls].xls].xls].xls].xls].xls].xls].xls].xls].xls].xls].xls].xls].xls].xls].xls].xls].xls].xls].xls].xls].xls].xls].xls].xls].xls]Input to CA model"/>
      <sheetName val=".xls].xls].xls].xls].xls].xls].xls].xls].xls].xls].xls].xls].xls].xls].xls].xls].xls].xls].xls].xls].xls].xls].xls].xls].xls].xls].xls].xls].xls].xls].xls].xls].xls]Data summary"/>
      <sheetName val=".xls].xls].xls].xls].xls].xls].xls].xls].xls].xls].xls].xls].xls].xls].xls].xls].xls].xls].xls].xls].xls].xls].xls].xls].xls].xls].xls].xls].xls].xls].xls].xls].xls]Hourly load shapes by class"/>
      <sheetName val=".xls].xls].xls].xls].xls].xls].xls].xls].xls].xls].xls].xls].xls].xls].xls].xls].xls].xls].xls].xls].xls].xls].xls].xls].xls].xls].xls].xls].xls].xls].xls].xls].xls]Input to CA model"/>
      <sheetName val=".xls].xls].xls].xls].xls].xls].xls].xls].xls].xls].xls].xls].xls].xls].xls].xls].xls].xls].xls].xls].xls].xls].xls].xls].xls].xls].xls].xls].xls].xls].xls].xls].xls].xls]Data summary"/>
      <sheetName val=".xls].xls].xls].xls].xls].xls].xls].xls].xls].xls].xls].xls].xls].xls].xls].xls].xls].xls].xls].xls].xls].xls].xls].xls].xls].xls].xls].xls].xls].xls].xls].xls].xls].xls]Hourly load shapes by class"/>
      <sheetName val=".xls].xls].xls].xls].xls].xls].xls].xls].xls].xls].xls].xls].xls].xls].xls].xls].xls].xls].xls].xls].xls].xls].xls].xls].xls].xls].xls].xls].xls].xls].xls].xls].xls].xls]Input to CA model"/>
      <sheetName val=".xls].xls].xls].xls].xls].xls].xls].xls].xls].xls].xls].xls].xls].xls].xls].xls].xls].xls].xls].xls].xls].xls].xls].xls].xls].xls].xls].xls].xls].xls].xls].xls].xls].xls].xls].xls]Data summary"/>
      <sheetName val=".xls].xls].xls].xls].xls].xls].xls].xls].xls].xls].xls].xls].xls].xls].xls].xls].xls].xls].xls].xls].xls].xls].xls].xls].xls].xls].xls].xls].xls].xls].xls].xls].xls].xls].xls].xls]Hourly load shapes by class"/>
      <sheetName val=".xls].xls].xls].xls].xls].xls].xls].xls].xls].xls].xls].xls].xls].xls].xls].xls].xls].xls].xls].xls].xls].xls].xls].xls].xls].xls].xls].xls].xls].xls].xls].xls].xls].xls].xls].xls]Input to CA model"/>
      <sheetName val=".xls].xls].xls].xls].xls].xls].xls].xls].xls].xls].xls].xls].xls].xls].xls].xls].xls].xls].xls].xls].xls].xls].xls].xls].xls].xls].xls].xls].xls].xls].xls].xls].xls].xls].xls]Data summary"/>
      <sheetName val=".xls].xls].xls].xls].xls].xls].xls].xls].xls].xls].xls].xls].xls].xls].xls].xls].xls].xls].xls].xls].xls].xls].xls].xls].xls].xls].xls].xls].xls].xls].xls].xls].xls].xls].xls]Hourly load shapes by class"/>
      <sheetName val=".xls].xls].xls].xls].xls].xls].xls].xls].xls].xls].xls].xls].xls].xls].xls].xls].xls].xls].xls].xls].xls].xls].xls].xls].xls].xls].xls].xls].xls].xls].xls].xls].xls].xls].xls]Input to CA model"/>
      <sheetName val=".xls].xls].xls].xls].xls].xls].xls].xls].xls].xls].xls].xls].xls].xls].xls].xls].xls].xls].xls].xls].xls].xls].xls].xls].xls].xls].xls].xls].xls].xls].xls].xls].xls].xls].xls].xls].xls]Data summary"/>
      <sheetName val=".xls].xls].xls].xls].xls].xls].xls].xls].xls].xls].xls].xls].xls].xls].xls].xls].xls].xls].xls].xls].xls].xls].xls].xls].xls].xls].xls].xls].xls].xls].xls].xls].xls].xls].xls].xls].xls]Hourly load shapes by class"/>
      <sheetName val=".xls].xls].xls].xls].xls].xls].xls].xls].xls].xls].xls].xls].xls].xls].xls].xls].xls].xls].xls].xls].xls].xls].xls].xls].xls].xls].xls].xls].xls].xls].xls].xls].xls].xls].xls].xls].xls]Input to CA model"/>
      <sheetName val=".xls].xls].xls].xls].xls].xls].xls].xls].xls].xls].xls].xls].xls].xls].xls].xls].xls].xls].xls].xls].xls].xls].xls].xls].xls].xls].xls].xls].xls].xls].xls].xls].xls].xls].xls].xls].xls].xls]Data summary"/>
      <sheetName val=".xls].xls].xls].xls].xls].xls].xls].xls].xls].xls].xls].xls].xls].xls].xls].xls].xls].xls].xls].xls].xls].xls].xls].xls].xls].xls].xls].xls].xls].xls].xls].xls].xls].xls].xls].xls].xls].xls]Hourly load shapes by class"/>
      <sheetName val=".xls].xls].xls].xls].xls].xls].xls].xls].xls].xls].xls].xls].xls].xls].xls].xls].xls].xls].xls].xls].xls].xls].xls].xls].xls].xls].xls].xls].xls].xls].xls].xls].xls].xls].xls].xls].xls].xls]Input to CA model"/>
      <sheetName val=".xls].xls].xls].xls].xls].xls].xls].xls].xls].xls].xls].xls].xls].xls].xls].xls].xls].xls].xls].xls].xls].xls].xls].xls].xls].xls].xls].xls].xls].xls].xls].xls].xls].xls].xls].xls].xls].xls].xls]Data summary"/>
      <sheetName val=".xls].xls].xls].xls].xls].xls].xls].xls].xls].xls].xls].xls].xls].xls].xls].xls].xls].xls].xls].xls].xls].xls].xls].xls].xls].xls].xls].xls].xls].xls].xls].xls].xls].xls].xls].xls].xls].xls].xls]Hourly load shapes by class"/>
      <sheetName val=".xls].xls].xls].xls].xls].xls].xls].xls].xls].xls].xls].xls].xls].xls].xls].xls].xls].xls].xls].xls].xls].xls].xls].xls].xls].xls].xls].xls].xls].xls].xls].xls].xls].xls].xls].xls].xls].xls].xls]Input to CA model"/>
      <sheetName val=".xls].xls].xls].xls].xls].xls].xls].xls].xls].xls].xls].xls].xls].xls].xls].xls].xls].xls].xls].xls].xls].xls].xls].xls].xls].xls].xls].xls].xls].xls].xls].xls].xls].xls].xls].xls].xls].xls].xls].xls]Data summary"/>
      <sheetName val=".xls].xls].xls].xls].xls].xls].xls].xls].xls].xls].xls].xls].xls].xls].xls].xls].xls].xls].xls].xls].xls].xls].xls].xls].xls].xls].xls].xls].xls].xls].xls].xls].xls].xls].xls].xls].xls].xls].xls].xls]Hourly load shapes by class"/>
      <sheetName val=".xls].xls].xls].xls].xls].xls].xls].xls].xls].xls].xls].xls].xls].xls].xls].xls].xls].xls].xls].xls].xls].xls].xls].xls].xls].xls].xls].xls].xls].xls].xls].xls].xls].xls].xls].xls].xls].xls].xls].xls]Input to CA model"/>
    </sheetNames>
    <sheetDataSet>
      <sheetData sheetId="27">
        <row r="38">
          <cell r="E38">
            <v>0.39431561529332304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 Info"/>
      <sheetName val="2. Table of Contents"/>
      <sheetName val="3. Rate Classes"/>
      <sheetName val="4. RRR Data"/>
      <sheetName val="5. UTRs and Sub-Transmission"/>
      <sheetName val="6. Historical Wholesale"/>
      <sheetName val="7. Current Wholesale"/>
      <sheetName val="8. Forecast Wholesale"/>
      <sheetName val="9. Adj Network to Current WS"/>
      <sheetName val="10. Adj Conn. to Current WS"/>
      <sheetName val="11. Adj Network to Forecast WS"/>
      <sheetName val="12. Adj Conn. to Forecast WS"/>
      <sheetName val="13. Final 2012 RTS Rates"/>
      <sheetName val="hidden1"/>
    </sheetNames>
    <sheetDataSet>
      <sheetData sheetId="2">
        <row r="24">
          <cell r="J24">
            <v>0.0053</v>
          </cell>
          <cell r="M24">
            <v>0.0044</v>
          </cell>
        </row>
        <row r="25">
          <cell r="J25">
            <v>0.0049</v>
          </cell>
          <cell r="M25">
            <v>0.0039</v>
          </cell>
        </row>
        <row r="26">
          <cell r="J26">
            <v>1.9796</v>
          </cell>
          <cell r="M26">
            <v>1.5571</v>
          </cell>
        </row>
        <row r="27">
          <cell r="J27">
            <v>2.214</v>
          </cell>
          <cell r="M27">
            <v>1.8365</v>
          </cell>
        </row>
        <row r="28">
          <cell r="M28">
            <v>0.0039</v>
          </cell>
        </row>
        <row r="29">
          <cell r="J29">
            <v>1.5006</v>
          </cell>
          <cell r="M29">
            <v>1.229</v>
          </cell>
        </row>
        <row r="30">
          <cell r="J30">
            <v>1.4929</v>
          </cell>
          <cell r="M30">
            <v>1.2038</v>
          </cell>
        </row>
      </sheetData>
      <sheetData sheetId="12">
        <row r="26">
          <cell r="F26">
            <v>0.0061361165494522585</v>
          </cell>
          <cell r="H26">
            <v>0.00495016524755935</v>
          </cell>
        </row>
        <row r="27">
          <cell r="F27">
            <v>0.005673013413644542</v>
          </cell>
          <cell r="H27">
            <v>0.004387646469427605</v>
          </cell>
        </row>
        <row r="28">
          <cell r="F28">
            <v>2.2918974191123946</v>
          </cell>
          <cell r="H28">
            <v>1.751795978857878</v>
          </cell>
        </row>
        <row r="29">
          <cell r="F29">
            <v>2.5632758566957174</v>
          </cell>
          <cell r="H29">
            <v>2.0661314720778967</v>
          </cell>
        </row>
        <row r="30">
          <cell r="F30">
            <v>0.005673013413644541</v>
          </cell>
          <cell r="H30">
            <v>0.004387646469427605</v>
          </cell>
        </row>
        <row r="31">
          <cell r="F31">
            <v>1.7373314139826528</v>
          </cell>
          <cell r="H31">
            <v>1.3826711566478276</v>
          </cell>
        </row>
        <row r="32">
          <cell r="F32">
            <v>1.7284166786183544</v>
          </cell>
          <cell r="H32">
            <v>1.3543202102299876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  <sheetName val="2006-2010 Final OPA CDM Results"/>
    </sheetNames>
    <sheetDataSet>
      <sheetData sheetId="2">
        <row r="24">
          <cell r="E24">
            <v>416.2779096959208</v>
          </cell>
          <cell r="F24">
            <v>1901.457680071434</v>
          </cell>
          <cell r="G24">
            <v>2162.7921144949883</v>
          </cell>
          <cell r="H24">
            <v>2555.243322018367</v>
          </cell>
          <cell r="I24">
            <v>2690.124263412845</v>
          </cell>
          <cell r="J24">
            <v>2496.7996787072343</v>
          </cell>
          <cell r="K24">
            <v>2458.5924454090905</v>
          </cell>
          <cell r="L24">
            <v>2446.482278856944</v>
          </cell>
        </row>
        <row r="44">
          <cell r="E44">
            <v>464.9007012334079</v>
          </cell>
          <cell r="F44">
            <v>2718.8787335122397</v>
          </cell>
          <cell r="G44">
            <v>2746.766126229376</v>
          </cell>
          <cell r="H44">
            <v>3259.276126648432</v>
          </cell>
          <cell r="I44">
            <v>3530.5006868111755</v>
          </cell>
          <cell r="J44">
            <v>3339.621713279203</v>
          </cell>
          <cell r="K44">
            <v>3255.9823874203194</v>
          </cell>
          <cell r="L44">
            <v>3232.179079275162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>
        <row r="8">
          <cell r="C8" t="str">
            <v>C:\Documents and Settings\jcochrane.ERA-INC\My Documents\2008EDR\FTYv1.3</v>
          </cell>
        </row>
      </sheetData>
      <sheetData sheetId="6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92033309.2224772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Directions"/>
      <sheetName val="Wholesale + Generation"/>
      <sheetName val="101706"/>
      <sheetName val="RCB"/>
      <sheetName val="% of Purchased by class"/>
      <sheetName val="Loss Factors"/>
      <sheetName val="% power purchased"/>
      <sheetName val="H1 LT - included in power Purch"/>
      <sheetName val="IESO calculated from 4705 rec"/>
    </sheetNames>
    <sheetDataSet>
      <sheetData sheetId="3">
        <row r="61">
          <cell r="F61">
            <v>50118.4</v>
          </cell>
        </row>
        <row r="62">
          <cell r="F62">
            <v>24076.8</v>
          </cell>
        </row>
        <row r="63">
          <cell r="F63">
            <v>16867.2</v>
          </cell>
        </row>
        <row r="64">
          <cell r="F64">
            <v>35596.8</v>
          </cell>
        </row>
        <row r="65">
          <cell r="F65">
            <v>38752</v>
          </cell>
        </row>
        <row r="66">
          <cell r="F66">
            <v>38152</v>
          </cell>
        </row>
        <row r="67">
          <cell r="F67">
            <v>21496</v>
          </cell>
        </row>
        <row r="68">
          <cell r="F68">
            <v>56224</v>
          </cell>
        </row>
        <row r="69">
          <cell r="F69">
            <v>54312</v>
          </cell>
        </row>
        <row r="70">
          <cell r="F70">
            <v>81088</v>
          </cell>
        </row>
        <row r="71">
          <cell r="F71">
            <v>89048</v>
          </cell>
        </row>
        <row r="72">
          <cell r="F72">
            <v>93144</v>
          </cell>
        </row>
        <row r="73">
          <cell r="F73">
            <v>111344</v>
          </cell>
        </row>
        <row r="74">
          <cell r="F74">
            <v>70584</v>
          </cell>
        </row>
        <row r="75">
          <cell r="F75">
            <v>58896</v>
          </cell>
        </row>
        <row r="76">
          <cell r="F76">
            <v>59624</v>
          </cell>
        </row>
        <row r="77">
          <cell r="F77">
            <v>52264</v>
          </cell>
        </row>
        <row r="78">
          <cell r="F78">
            <v>48832</v>
          </cell>
        </row>
        <row r="79">
          <cell r="F79">
            <v>45088</v>
          </cell>
        </row>
        <row r="80">
          <cell r="F80">
            <v>43192</v>
          </cell>
        </row>
        <row r="81">
          <cell r="F81">
            <v>37160</v>
          </cell>
        </row>
        <row r="82">
          <cell r="F82">
            <v>33744</v>
          </cell>
        </row>
        <row r="83">
          <cell r="F83">
            <v>53616</v>
          </cell>
        </row>
        <row r="84">
          <cell r="F84">
            <v>52304</v>
          </cell>
        </row>
        <row r="85">
          <cell r="F85">
            <v>30624</v>
          </cell>
        </row>
        <row r="86">
          <cell r="F86">
            <v>29496</v>
          </cell>
        </row>
        <row r="87">
          <cell r="F87">
            <v>26744</v>
          </cell>
        </row>
        <row r="88">
          <cell r="F88">
            <v>28672</v>
          </cell>
        </row>
        <row r="89">
          <cell r="F89">
            <v>7840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6872</v>
          </cell>
        </row>
        <row r="93">
          <cell r="F93">
            <v>17776</v>
          </cell>
        </row>
        <row r="94">
          <cell r="F94">
            <v>11656</v>
          </cell>
        </row>
        <row r="95">
          <cell r="F95">
            <v>16464</v>
          </cell>
        </row>
        <row r="96">
          <cell r="F96">
            <v>17032</v>
          </cell>
        </row>
        <row r="97">
          <cell r="F97">
            <v>17160</v>
          </cell>
        </row>
        <row r="98">
          <cell r="F98">
            <v>14784</v>
          </cell>
        </row>
        <row r="99">
          <cell r="F99">
            <v>15304</v>
          </cell>
        </row>
        <row r="100">
          <cell r="F100">
            <v>18344</v>
          </cell>
        </row>
        <row r="101">
          <cell r="F101">
            <v>15552</v>
          </cell>
        </row>
        <row r="102">
          <cell r="F102">
            <v>14672</v>
          </cell>
        </row>
        <row r="103">
          <cell r="F103">
            <v>15208</v>
          </cell>
        </row>
        <row r="104">
          <cell r="F104">
            <v>16672</v>
          </cell>
        </row>
        <row r="105">
          <cell r="F105">
            <v>19296</v>
          </cell>
        </row>
        <row r="106">
          <cell r="F106">
            <v>16296</v>
          </cell>
        </row>
        <row r="107">
          <cell r="F107">
            <v>17464</v>
          </cell>
        </row>
        <row r="108">
          <cell r="F108">
            <v>17792</v>
          </cell>
        </row>
        <row r="109">
          <cell r="F109">
            <v>17008</v>
          </cell>
        </row>
        <row r="110">
          <cell r="F110">
            <v>16408</v>
          </cell>
        </row>
        <row r="111">
          <cell r="F111">
            <v>14656</v>
          </cell>
        </row>
        <row r="112">
          <cell r="F112">
            <v>14960</v>
          </cell>
        </row>
        <row r="113">
          <cell r="F113">
            <v>13936</v>
          </cell>
        </row>
        <row r="114">
          <cell r="F114">
            <v>13992</v>
          </cell>
        </row>
        <row r="115">
          <cell r="F115">
            <v>21176</v>
          </cell>
        </row>
        <row r="116">
          <cell r="F116">
            <v>26712</v>
          </cell>
        </row>
        <row r="117">
          <cell r="F117">
            <v>28520</v>
          </cell>
        </row>
        <row r="118">
          <cell r="F118">
            <v>21464</v>
          </cell>
        </row>
        <row r="119">
          <cell r="F119">
            <v>27416</v>
          </cell>
        </row>
        <row r="120">
          <cell r="F120">
            <v>25040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Index"/>
      <sheetName val="App.2-A_Capital Projects"/>
      <sheetName val="App.2-B_Fixed Asset Cont 2009"/>
      <sheetName val="App.2-B_Fixed Asset Cont 2010"/>
      <sheetName val="App.2-B_Fixed Asset Cont 2011"/>
      <sheetName val="App.2-B_Fix Ass Cont 2012 CGAA "/>
      <sheetName val="App.2-B_Fix Ass Cont 2012 MIFRS"/>
      <sheetName val="App.2-B_Fix Ass Cont 2013 MIFRS"/>
      <sheetName val="App.2-CA_CGAAP_DepExp_2011"/>
      <sheetName val="App.2-CB_MIFRS_DepExp_2011"/>
      <sheetName val="App.2-CC_MIFRS_DepExp_2012"/>
      <sheetName val="App.2-CD_MIFRS_DepExp_2013"/>
      <sheetName val="App.2-CE_CGAAP_DepExp_2011"/>
      <sheetName val="App.2-CF_CGAAP_DepExp_2012"/>
      <sheetName val="App.2-CG_MIFRS_DepExp_2012"/>
      <sheetName val="App.2-CH_MIFRS_DepExp_2013"/>
      <sheetName val="App.2-CI_AltAccStd_DepExp"/>
      <sheetName val="App.2-D_Overhead"/>
      <sheetName val="App.2-EA_PP&amp;E Deferral Account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ers"/>
      <sheetName val="App.2-K_Employee Costs"/>
      <sheetName val="App.2-L_OM&amp;A_per_Cust_FTEE"/>
      <sheetName val="App.2-M_Regulatory_Costs"/>
      <sheetName val="App.2-N_Corp_Cost_Allocation"/>
      <sheetName val="App.2-OA Capital Structure 2009"/>
      <sheetName val="App.2-OA Capital Structure 2010"/>
      <sheetName val="App.2-OA Capital Structure 2011"/>
      <sheetName val="App.2-OA Capital Structure 2012"/>
      <sheetName val="App.2-OA Capital Structure 2013"/>
      <sheetName val="App.2-OB_Debt Instruments 2009"/>
      <sheetName val="App.2-OB_Debt Instruments 2010"/>
      <sheetName val="App.2-OB_Debt Instruments 2011"/>
      <sheetName val="App.2-OB_Debt Instruments 2012"/>
      <sheetName val="App.2-OB_Debt Instruments 2013"/>
      <sheetName val="App.2-P_Cost_Allocation"/>
      <sheetName val="App.2-Q_Cost of Serv. Emb. Dx"/>
      <sheetName val="App.2-R_Loss Factors"/>
      <sheetName val="App.2-S_Stranded Meters"/>
      <sheetName val="App.2-U_IFRS Transition Costs"/>
      <sheetName val="App.2-T_1592_Tax_Variance"/>
      <sheetName val="App.2-V_Rev_Reconciliation"/>
      <sheetName val="App.2-W_Bill Impacts"/>
      <sheetName val="App.2-X_CoS_Flowchart"/>
      <sheetName val="Bill Impacts App 2-W CW"/>
    </sheetNames>
    <sheetDataSet>
      <sheetData sheetId="42">
        <row r="17">
          <cell r="C17">
            <v>157122111.5</v>
          </cell>
          <cell r="D17">
            <v>161716845.1</v>
          </cell>
          <cell r="E17">
            <v>153664849.39</v>
          </cell>
          <cell r="F17">
            <v>155715325.54</v>
          </cell>
          <cell r="G17">
            <v>156683055.83</v>
          </cell>
        </row>
        <row r="18">
          <cell r="C18">
            <v>154991026.41</v>
          </cell>
          <cell r="D18">
            <v>159504886.31</v>
          </cell>
          <cell r="E18">
            <v>151573964.49</v>
          </cell>
          <cell r="F18">
            <v>153540168.89</v>
          </cell>
          <cell r="G18">
            <v>154560363.84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>
        <row r="8">
          <cell r="C8" t="str">
            <v>C:\Documents and Settings\jcochrane.ERA-INC\My Documents\2008EDR\FTYv1.3</v>
          </cell>
        </row>
      </sheetData>
      <sheetData sheetId="6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92033309.2224772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nsim3230794907820228566"/>
    </sheetNames>
    <sheetDataSet>
      <sheetData sheetId="0">
        <row r="18">
          <cell r="D18">
            <v>576.7</v>
          </cell>
        </row>
        <row r="19">
          <cell r="D19">
            <v>581.8</v>
          </cell>
        </row>
        <row r="20">
          <cell r="D20">
            <v>584.7</v>
          </cell>
        </row>
        <row r="21">
          <cell r="D21">
            <v>586.6</v>
          </cell>
        </row>
        <row r="22">
          <cell r="D22">
            <v>583.2</v>
          </cell>
        </row>
        <row r="23">
          <cell r="D23">
            <v>582.9</v>
          </cell>
        </row>
        <row r="24">
          <cell r="D24">
            <v>583.5</v>
          </cell>
        </row>
        <row r="25">
          <cell r="D25">
            <v>591.8</v>
          </cell>
        </row>
        <row r="26">
          <cell r="D26">
            <v>591.3</v>
          </cell>
        </row>
        <row r="27">
          <cell r="D27">
            <v>588.4</v>
          </cell>
        </row>
        <row r="28">
          <cell r="D28">
            <v>584.5</v>
          </cell>
        </row>
        <row r="29">
          <cell r="D29">
            <v>587.8</v>
          </cell>
        </row>
        <row r="30">
          <cell r="D30">
            <v>596.4</v>
          </cell>
        </row>
        <row r="31">
          <cell r="D31">
            <v>601.7</v>
          </cell>
        </row>
        <row r="32">
          <cell r="D32">
            <v>605.7</v>
          </cell>
        </row>
        <row r="33">
          <cell r="D33">
            <v>607.6</v>
          </cell>
        </row>
        <row r="34">
          <cell r="D34">
            <v>607.6</v>
          </cell>
        </row>
        <row r="35">
          <cell r="D35">
            <v>609.5</v>
          </cell>
        </row>
        <row r="36">
          <cell r="D36">
            <v>609</v>
          </cell>
        </row>
        <row r="37">
          <cell r="D37">
            <v>609.2</v>
          </cell>
        </row>
        <row r="38">
          <cell r="D38">
            <v>605</v>
          </cell>
        </row>
        <row r="39">
          <cell r="D39">
            <v>599.4</v>
          </cell>
        </row>
        <row r="40">
          <cell r="D40">
            <v>595.4</v>
          </cell>
        </row>
        <row r="41">
          <cell r="D41">
            <v>597.7</v>
          </cell>
        </row>
        <row r="42">
          <cell r="D42">
            <v>605.6</v>
          </cell>
        </row>
        <row r="43">
          <cell r="D43">
            <v>615.4</v>
          </cell>
        </row>
        <row r="44">
          <cell r="D44">
            <v>623.8</v>
          </cell>
        </row>
        <row r="45">
          <cell r="D45">
            <v>625.7</v>
          </cell>
        </row>
        <row r="46">
          <cell r="D46">
            <v>626.7</v>
          </cell>
        </row>
        <row r="47">
          <cell r="D47">
            <v>625.1</v>
          </cell>
        </row>
        <row r="48">
          <cell r="D48">
            <v>625.2</v>
          </cell>
        </row>
        <row r="49">
          <cell r="D49">
            <v>628.4</v>
          </cell>
        </row>
        <row r="50">
          <cell r="D50">
            <v>629.5</v>
          </cell>
        </row>
        <row r="51">
          <cell r="D51">
            <v>630.9</v>
          </cell>
        </row>
        <row r="52">
          <cell r="D52">
            <v>628.1</v>
          </cell>
        </row>
        <row r="53">
          <cell r="D53">
            <v>631.3</v>
          </cell>
        </row>
        <row r="54">
          <cell r="D54">
            <v>638.6</v>
          </cell>
        </row>
        <row r="55">
          <cell r="D55">
            <v>648.1</v>
          </cell>
        </row>
        <row r="56">
          <cell r="D56">
            <v>653.1</v>
          </cell>
        </row>
        <row r="57">
          <cell r="D57">
            <v>655.6</v>
          </cell>
        </row>
        <row r="58">
          <cell r="D58">
            <v>652.2</v>
          </cell>
        </row>
        <row r="59">
          <cell r="D59">
            <v>649.8</v>
          </cell>
        </row>
        <row r="60">
          <cell r="D60">
            <v>643.8</v>
          </cell>
        </row>
        <row r="61">
          <cell r="D61">
            <v>644.6</v>
          </cell>
        </row>
        <row r="62">
          <cell r="D62">
            <v>643.6</v>
          </cell>
        </row>
        <row r="63">
          <cell r="D63">
            <v>642.9</v>
          </cell>
        </row>
        <row r="64">
          <cell r="D64">
            <v>641</v>
          </cell>
        </row>
        <row r="65">
          <cell r="D65">
            <v>643.6</v>
          </cell>
        </row>
        <row r="66">
          <cell r="D66">
            <v>652.3</v>
          </cell>
        </row>
        <row r="67">
          <cell r="D67">
            <v>660</v>
          </cell>
        </row>
        <row r="68">
          <cell r="D68">
            <v>665.1</v>
          </cell>
        </row>
        <row r="69">
          <cell r="D69">
            <v>667.3</v>
          </cell>
        </row>
        <row r="70">
          <cell r="D70">
            <v>664.9</v>
          </cell>
        </row>
        <row r="71">
          <cell r="D71">
            <v>667</v>
          </cell>
        </row>
        <row r="72">
          <cell r="D72">
            <v>666.2</v>
          </cell>
        </row>
        <row r="73">
          <cell r="D73">
            <v>667.7</v>
          </cell>
        </row>
        <row r="74">
          <cell r="D74">
            <v>662.2</v>
          </cell>
        </row>
        <row r="75">
          <cell r="D75">
            <v>656.8</v>
          </cell>
        </row>
        <row r="76">
          <cell r="D76">
            <v>652.2</v>
          </cell>
        </row>
        <row r="77">
          <cell r="D77">
            <v>647.4</v>
          </cell>
        </row>
        <row r="78">
          <cell r="D78">
            <v>646.9</v>
          </cell>
        </row>
        <row r="79">
          <cell r="D79">
            <v>652.3</v>
          </cell>
        </row>
        <row r="80">
          <cell r="D80">
            <v>659.9</v>
          </cell>
        </row>
        <row r="81">
          <cell r="D81">
            <v>662.1</v>
          </cell>
        </row>
        <row r="82">
          <cell r="D82">
            <v>660.7</v>
          </cell>
        </row>
        <row r="83">
          <cell r="D83">
            <v>662.5</v>
          </cell>
        </row>
        <row r="84">
          <cell r="D84">
            <v>666.7</v>
          </cell>
        </row>
        <row r="85">
          <cell r="D85">
            <v>668.5</v>
          </cell>
        </row>
        <row r="86">
          <cell r="D86">
            <v>661.4</v>
          </cell>
        </row>
        <row r="87">
          <cell r="D87">
            <v>656.3</v>
          </cell>
        </row>
        <row r="88">
          <cell r="D88">
            <v>647</v>
          </cell>
        </row>
        <row r="89">
          <cell r="D89">
            <v>647.2</v>
          </cell>
        </row>
        <row r="90">
          <cell r="D90">
            <v>648.8</v>
          </cell>
        </row>
        <row r="91">
          <cell r="D91">
            <v>656.8</v>
          </cell>
        </row>
        <row r="92">
          <cell r="D92">
            <v>663.6</v>
          </cell>
        </row>
        <row r="93">
          <cell r="D93">
            <v>666.6</v>
          </cell>
        </row>
        <row r="94">
          <cell r="D94">
            <v>669.7</v>
          </cell>
        </row>
        <row r="95">
          <cell r="D95">
            <v>673</v>
          </cell>
        </row>
        <row r="96">
          <cell r="D96">
            <v>676.9</v>
          </cell>
        </row>
        <row r="97">
          <cell r="D97">
            <v>673.6</v>
          </cell>
        </row>
        <row r="98">
          <cell r="D98">
            <v>662.3</v>
          </cell>
        </row>
        <row r="99">
          <cell r="D99">
            <v>649.3</v>
          </cell>
        </row>
        <row r="100">
          <cell r="D100">
            <v>636.3</v>
          </cell>
        </row>
        <row r="101">
          <cell r="D101">
            <v>632.2</v>
          </cell>
        </row>
        <row r="102">
          <cell r="D102">
            <v>631.7</v>
          </cell>
        </row>
        <row r="103">
          <cell r="D103">
            <v>642.7</v>
          </cell>
        </row>
        <row r="104">
          <cell r="D104">
            <v>650</v>
          </cell>
        </row>
        <row r="105">
          <cell r="D105">
            <v>655.3</v>
          </cell>
        </row>
        <row r="106">
          <cell r="D106">
            <v>654.9</v>
          </cell>
        </row>
        <row r="107">
          <cell r="D107">
            <v>656.6</v>
          </cell>
        </row>
        <row r="108">
          <cell r="D108">
            <v>654.8</v>
          </cell>
        </row>
        <row r="109">
          <cell r="D109">
            <v>652.3</v>
          </cell>
        </row>
        <row r="110">
          <cell r="D110">
            <v>646</v>
          </cell>
        </row>
        <row r="111">
          <cell r="D111">
            <v>642.3</v>
          </cell>
        </row>
        <row r="112">
          <cell r="D112">
            <v>639.5</v>
          </cell>
        </row>
        <row r="113">
          <cell r="D113">
            <v>643.8</v>
          </cell>
        </row>
        <row r="114">
          <cell r="D114">
            <v>653.4</v>
          </cell>
        </row>
        <row r="115">
          <cell r="D115">
            <v>668.5</v>
          </cell>
        </row>
        <row r="116">
          <cell r="D116">
            <v>680.1</v>
          </cell>
        </row>
        <row r="117">
          <cell r="D117">
            <v>683.1</v>
          </cell>
        </row>
        <row r="118">
          <cell r="D118">
            <v>677.1</v>
          </cell>
        </row>
        <row r="119">
          <cell r="D119">
            <v>670.2</v>
          </cell>
        </row>
        <row r="120">
          <cell r="D120">
            <v>668.1</v>
          </cell>
        </row>
        <row r="121">
          <cell r="D121">
            <v>666.9</v>
          </cell>
        </row>
        <row r="122">
          <cell r="D122">
            <v>663.9</v>
          </cell>
        </row>
        <row r="123">
          <cell r="D123">
            <v>666.1</v>
          </cell>
        </row>
        <row r="124">
          <cell r="D124">
            <v>671.2</v>
          </cell>
        </row>
        <row r="125">
          <cell r="D125">
            <v>679.9</v>
          </cell>
        </row>
        <row r="126">
          <cell r="D126">
            <v>685.8</v>
          </cell>
        </row>
        <row r="127">
          <cell r="D127">
            <v>697.1</v>
          </cell>
        </row>
        <row r="128">
          <cell r="D128">
            <v>707.5</v>
          </cell>
        </row>
        <row r="129">
          <cell r="D129">
            <v>708.3</v>
          </cell>
        </row>
        <row r="130">
          <cell r="D130">
            <v>700.8</v>
          </cell>
        </row>
        <row r="131">
          <cell r="D131">
            <v>693.6</v>
          </cell>
        </row>
        <row r="132">
          <cell r="D132">
            <v>690.2</v>
          </cell>
        </row>
        <row r="133">
          <cell r="D133">
            <v>690.4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2-12312002"/>
    </sheetNames>
    <sheetDataSet>
      <sheetData sheetId="0">
        <row r="56">
          <cell r="M56">
            <v>645.9000000000001</v>
          </cell>
          <cell r="O56">
            <v>0</v>
          </cell>
        </row>
        <row r="85">
          <cell r="M85">
            <v>612.1000000000001</v>
          </cell>
          <cell r="O85">
            <v>0</v>
          </cell>
        </row>
        <row r="116">
          <cell r="M116">
            <v>603.0999999999999</v>
          </cell>
          <cell r="O116">
            <v>0</v>
          </cell>
        </row>
        <row r="146">
          <cell r="M146">
            <v>363.0999999999999</v>
          </cell>
          <cell r="O146">
            <v>4.1</v>
          </cell>
        </row>
        <row r="177">
          <cell r="M177">
            <v>266.0999999999999</v>
          </cell>
          <cell r="O177">
            <v>4.3999999999999995</v>
          </cell>
        </row>
        <row r="207">
          <cell r="M207">
            <v>48.7</v>
          </cell>
          <cell r="O207">
            <v>48.39999999999999</v>
          </cell>
        </row>
        <row r="238">
          <cell r="M238">
            <v>5.5</v>
          </cell>
          <cell r="O238">
            <v>122.09999999999998</v>
          </cell>
        </row>
        <row r="269">
          <cell r="M269">
            <v>11.499999999999998</v>
          </cell>
          <cell r="O269">
            <v>76.6</v>
          </cell>
        </row>
        <row r="299">
          <cell r="M299">
            <v>44.5</v>
          </cell>
          <cell r="O299">
            <v>46.59999999999999</v>
          </cell>
        </row>
        <row r="330">
          <cell r="M330">
            <v>336.8999999999999</v>
          </cell>
          <cell r="O330">
            <v>5.6</v>
          </cell>
        </row>
        <row r="360">
          <cell r="M360">
            <v>508.7</v>
          </cell>
          <cell r="O360">
            <v>0</v>
          </cell>
        </row>
        <row r="391">
          <cell r="M391">
            <v>688.7</v>
          </cell>
          <cell r="O39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3-12312003"/>
    </sheetNames>
    <sheetDataSet>
      <sheetData sheetId="0">
        <row r="56">
          <cell r="M56">
            <v>873.4999999999998</v>
          </cell>
          <cell r="O56">
            <v>0</v>
          </cell>
        </row>
        <row r="85">
          <cell r="M85">
            <v>761.8999999999999</v>
          </cell>
          <cell r="O85">
            <v>0</v>
          </cell>
        </row>
        <row r="116">
          <cell r="M116">
            <v>629.1</v>
          </cell>
          <cell r="O116">
            <v>0</v>
          </cell>
        </row>
        <row r="146">
          <cell r="M146">
            <v>407.0999999999999</v>
          </cell>
          <cell r="O146">
            <v>0</v>
          </cell>
        </row>
        <row r="177">
          <cell r="M177">
            <v>207.09999999999994</v>
          </cell>
          <cell r="O177">
            <v>0</v>
          </cell>
        </row>
        <row r="207">
          <cell r="M207">
            <v>57.70000000000001</v>
          </cell>
          <cell r="O207">
            <v>30.400000000000002</v>
          </cell>
        </row>
        <row r="238">
          <cell r="M238">
            <v>11.3</v>
          </cell>
          <cell r="O238">
            <v>59.09999999999998</v>
          </cell>
        </row>
        <row r="269">
          <cell r="M269">
            <v>9.600000000000001</v>
          </cell>
          <cell r="O269">
            <v>79.59999999999998</v>
          </cell>
        </row>
        <row r="299">
          <cell r="M299">
            <v>92.5</v>
          </cell>
          <cell r="O299">
            <v>8.899999999999999</v>
          </cell>
        </row>
        <row r="330">
          <cell r="M330">
            <v>319.59999999999997</v>
          </cell>
          <cell r="O330">
            <v>0</v>
          </cell>
        </row>
        <row r="360">
          <cell r="M360">
            <v>436.99999999999994</v>
          </cell>
          <cell r="O360">
            <v>0</v>
          </cell>
        </row>
        <row r="391">
          <cell r="M391">
            <v>630.6999999999999</v>
          </cell>
          <cell r="O39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4-12312004"/>
    </sheetNames>
    <sheetDataSet>
      <sheetData sheetId="0">
        <row r="56">
          <cell r="M56">
            <v>891.4999999999998</v>
          </cell>
          <cell r="O56">
            <v>0</v>
          </cell>
        </row>
        <row r="85">
          <cell r="M85">
            <v>689.2</v>
          </cell>
          <cell r="O85">
            <v>0</v>
          </cell>
        </row>
        <row r="116">
          <cell r="M116">
            <v>561.4000000000002</v>
          </cell>
          <cell r="O116">
            <v>0</v>
          </cell>
        </row>
        <row r="146">
          <cell r="M146">
            <v>361.6999999999999</v>
          </cell>
          <cell r="O146">
            <v>0</v>
          </cell>
        </row>
        <row r="177">
          <cell r="M177">
            <v>190.89999999999992</v>
          </cell>
          <cell r="O177">
            <v>7.1</v>
          </cell>
        </row>
        <row r="207">
          <cell r="M207">
            <v>71.30000000000003</v>
          </cell>
          <cell r="O207">
            <v>22.500000000000004</v>
          </cell>
        </row>
        <row r="238">
          <cell r="M238">
            <v>18.3</v>
          </cell>
          <cell r="O238">
            <v>53.5</v>
          </cell>
        </row>
        <row r="269">
          <cell r="M269">
            <v>44.699999999999996</v>
          </cell>
          <cell r="O269">
            <v>29.500000000000004</v>
          </cell>
        </row>
        <row r="299">
          <cell r="M299">
            <v>54.00000000000001</v>
          </cell>
          <cell r="O299">
            <v>21.700000000000003</v>
          </cell>
        </row>
        <row r="330">
          <cell r="M330">
            <v>275.3999999999999</v>
          </cell>
          <cell r="O330">
            <v>0</v>
          </cell>
        </row>
        <row r="360">
          <cell r="M360">
            <v>438.7999999999999</v>
          </cell>
          <cell r="O360">
            <v>0</v>
          </cell>
        </row>
        <row r="391">
          <cell r="M391">
            <v>721.8</v>
          </cell>
          <cell r="O39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5-12312005"/>
    </sheetNames>
    <sheetDataSet>
      <sheetData sheetId="0">
        <row r="56">
          <cell r="M56">
            <v>825.6999999999998</v>
          </cell>
          <cell r="O56">
            <v>0</v>
          </cell>
        </row>
        <row r="85">
          <cell r="M85">
            <v>672.5</v>
          </cell>
          <cell r="O85">
            <v>0</v>
          </cell>
        </row>
        <row r="116">
          <cell r="M116">
            <v>677.9000000000002</v>
          </cell>
          <cell r="O116">
            <v>0</v>
          </cell>
        </row>
        <row r="146">
          <cell r="M146">
            <v>349.5999999999999</v>
          </cell>
          <cell r="O146">
            <v>0</v>
          </cell>
        </row>
        <row r="177">
          <cell r="M177">
            <v>228.99999999999991</v>
          </cell>
          <cell r="O177">
            <v>0</v>
          </cell>
        </row>
        <row r="207">
          <cell r="M207">
            <v>16.599999999999998</v>
          </cell>
          <cell r="O207">
            <v>105.29999999999998</v>
          </cell>
        </row>
        <row r="238">
          <cell r="M238">
            <v>2.9</v>
          </cell>
          <cell r="O238">
            <v>116.19999999999997</v>
          </cell>
        </row>
        <row r="269">
          <cell r="M269">
            <v>3.9000000000000004</v>
          </cell>
          <cell r="O269">
            <v>82.49999999999999</v>
          </cell>
        </row>
        <row r="299">
          <cell r="M299">
            <v>45.6</v>
          </cell>
          <cell r="O299">
            <v>20.200000000000003</v>
          </cell>
        </row>
        <row r="330">
          <cell r="M330">
            <v>263.49999999999994</v>
          </cell>
          <cell r="O330">
            <v>6.6</v>
          </cell>
        </row>
        <row r="360">
          <cell r="M360">
            <v>443.90000000000003</v>
          </cell>
          <cell r="O360">
            <v>0</v>
          </cell>
        </row>
        <row r="391">
          <cell r="M391">
            <v>724.3999999999999</v>
          </cell>
          <cell r="O39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g-daily-01012006-12312006"/>
    </sheetNames>
    <sheetDataSet>
      <sheetData sheetId="0">
        <row r="56">
          <cell r="M56">
            <v>620.7</v>
          </cell>
          <cell r="O56">
            <v>0</v>
          </cell>
        </row>
        <row r="85">
          <cell r="M85">
            <v>682.6999999999999</v>
          </cell>
          <cell r="O85">
            <v>0</v>
          </cell>
        </row>
        <row r="116">
          <cell r="M116">
            <v>591.3000000000002</v>
          </cell>
          <cell r="O116">
            <v>0</v>
          </cell>
        </row>
        <row r="146">
          <cell r="M146">
            <v>321.3999999999999</v>
          </cell>
          <cell r="O146">
            <v>0</v>
          </cell>
        </row>
        <row r="177">
          <cell r="M177">
            <v>162.5</v>
          </cell>
          <cell r="O177">
            <v>20.6</v>
          </cell>
        </row>
        <row r="207">
          <cell r="M207">
            <v>32.800000000000004</v>
          </cell>
          <cell r="O207">
            <v>37.199999999999996</v>
          </cell>
        </row>
        <row r="238">
          <cell r="M238">
            <v>3.9000000000000004</v>
          </cell>
          <cell r="O238">
            <v>114.99999999999997</v>
          </cell>
        </row>
        <row r="269">
          <cell r="M269">
            <v>16.9</v>
          </cell>
          <cell r="O269">
            <v>54.29999999999999</v>
          </cell>
        </row>
        <row r="299">
          <cell r="M299">
            <v>128.40000000000003</v>
          </cell>
          <cell r="O299">
            <v>0.8</v>
          </cell>
        </row>
        <row r="330">
          <cell r="M330">
            <v>329.3999999999999</v>
          </cell>
          <cell r="O330">
            <v>0</v>
          </cell>
        </row>
        <row r="360">
          <cell r="M360">
            <v>423</v>
          </cell>
          <cell r="O360">
            <v>0</v>
          </cell>
        </row>
        <row r="391">
          <cell r="M391">
            <v>565.7999999999998</v>
          </cell>
          <cell r="O3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4"/>
  <sheetViews>
    <sheetView zoomScale="80" zoomScaleNormal="80" zoomScalePageLayoutView="0" workbookViewId="0" topLeftCell="A41">
      <selection activeCell="I58" sqref="I58"/>
    </sheetView>
  </sheetViews>
  <sheetFormatPr defaultColWidth="9.140625" defaultRowHeight="12.75"/>
  <cols>
    <col min="1" max="1" width="9.140625" style="224" customWidth="1"/>
    <col min="2" max="2" width="23.00390625" style="224" customWidth="1"/>
    <col min="3" max="3" width="22.7109375" style="224" hidden="1" customWidth="1"/>
    <col min="4" max="4" width="13.8515625" style="224" customWidth="1"/>
    <col min="5" max="6" width="14.8515625" style="224" customWidth="1"/>
    <col min="7" max="7" width="13.140625" style="224" customWidth="1"/>
    <col min="8" max="8" width="14.00390625" style="224" customWidth="1"/>
    <col min="9" max="9" width="15.57421875" style="224" customWidth="1"/>
    <col min="10" max="10" width="14.140625" style="224" customWidth="1"/>
    <col min="11" max="12" width="13.140625" style="224" customWidth="1"/>
    <col min="13" max="14" width="9.140625" style="224" customWidth="1"/>
    <col min="15" max="15" width="11.00390625" style="224" customWidth="1"/>
    <col min="16" max="16384" width="9.140625" style="224" customWidth="1"/>
  </cols>
  <sheetData>
    <row r="1" spans="1:5" ht="28.5" customHeight="1">
      <c r="A1" s="402" t="s">
        <v>232</v>
      </c>
      <c r="B1" s="402"/>
      <c r="C1" s="402"/>
      <c r="D1" s="402"/>
      <c r="E1" s="402"/>
    </row>
    <row r="2" spans="1:5" ht="30">
      <c r="A2" s="406" t="s">
        <v>233</v>
      </c>
      <c r="B2" s="407"/>
      <c r="C2" s="225"/>
      <c r="D2" s="226" t="str">
        <f>'Stats Sum'!A4</f>
        <v>R Square</v>
      </c>
      <c r="E2" s="226" t="str">
        <f>'Stats Sum'!A5</f>
        <v>Adjusted R Square</v>
      </c>
    </row>
    <row r="3" spans="1:5" ht="14.25">
      <c r="A3" s="404" t="str">
        <f>Summary!A11</f>
        <v>Residential</v>
      </c>
      <c r="B3" s="405"/>
      <c r="C3" s="227"/>
      <c r="D3" s="228">
        <f>'Stats Sum'!E4</f>
        <v>0.8217489064758576</v>
      </c>
      <c r="E3" s="228">
        <f>'Stats Sum'!E5</f>
        <v>0.8118460679467385</v>
      </c>
    </row>
    <row r="4" spans="1:5" ht="14.25">
      <c r="A4" s="404" t="str">
        <f>Summary!A15</f>
        <v>GS&lt;50</v>
      </c>
      <c r="B4" s="405"/>
      <c r="C4" s="227"/>
      <c r="D4" s="228">
        <f>'Stats Sum'!B16</f>
        <v>0.6596097331138181</v>
      </c>
      <c r="E4" s="228">
        <f>'Stats Sum'!B17</f>
        <v>0.6406991627312524</v>
      </c>
    </row>
    <row r="5" spans="1:5" ht="14.25">
      <c r="A5" s="310"/>
      <c r="B5" s="310"/>
      <c r="C5" s="311"/>
      <c r="D5" s="312"/>
      <c r="E5" s="312"/>
    </row>
    <row r="6" spans="1:7" ht="27.75" customHeight="1">
      <c r="A6" s="310"/>
      <c r="B6" s="310"/>
      <c r="C6" s="311"/>
      <c r="D6" s="429" t="s">
        <v>289</v>
      </c>
      <c r="E6" s="430"/>
      <c r="F6" s="430"/>
      <c r="G6" s="431"/>
    </row>
    <row r="7" spans="1:7" ht="14.25">
      <c r="A7" s="310"/>
      <c r="B7" s="310"/>
      <c r="C7" s="311"/>
      <c r="D7" s="426" t="str">
        <f>'Stats Sum'!A16</f>
        <v>R Square</v>
      </c>
      <c r="E7" s="427"/>
      <c r="F7" s="313">
        <f>'GS &gt; 50 kW '!P6</f>
        <v>0.15084389484058955</v>
      </c>
      <c r="G7" s="307"/>
    </row>
    <row r="8" spans="1:7" ht="14.25">
      <c r="A8" s="310"/>
      <c r="B8" s="310"/>
      <c r="C8" s="311"/>
      <c r="D8" s="428" t="str">
        <f>'Stats Sum'!A17</f>
        <v>Adjusted R Square</v>
      </c>
      <c r="E8" s="428"/>
      <c r="F8" s="313">
        <f>'GS &gt; 50 kW '!P7</f>
        <v>0.10366855566506675</v>
      </c>
      <c r="G8" s="307"/>
    </row>
    <row r="9" spans="1:7" ht="15">
      <c r="A9" s="310"/>
      <c r="B9" s="310"/>
      <c r="C9" s="311"/>
      <c r="D9" s="436" t="s">
        <v>290</v>
      </c>
      <c r="E9" s="437"/>
      <c r="F9" s="314" t="s">
        <v>35</v>
      </c>
      <c r="G9" s="314" t="s">
        <v>36</v>
      </c>
    </row>
    <row r="10" spans="1:7" ht="14.25">
      <c r="A10" s="310"/>
      <c r="B10" s="310"/>
      <c r="C10" s="311"/>
      <c r="D10" s="426" t="str">
        <f>'Stats Sum'!E19</f>
        <v>Intercept</v>
      </c>
      <c r="E10" s="427"/>
      <c r="F10" s="315">
        <f>'Stats Sum'!F19</f>
        <v>-325056.9376730337</v>
      </c>
      <c r="G10" s="316">
        <f>'Stats Sum'!G19</f>
        <v>-0.18083161279486945</v>
      </c>
    </row>
    <row r="11" spans="1:7" ht="14.25">
      <c r="A11" s="310"/>
      <c r="B11" s="310"/>
      <c r="C11" s="311"/>
      <c r="D11" s="426" t="str">
        <f>'Stats Sum'!E20</f>
        <v>Heating Degree Days</v>
      </c>
      <c r="E11" s="427"/>
      <c r="F11" s="315">
        <f>'Stats Sum'!F20</f>
        <v>208.04264820652867</v>
      </c>
      <c r="G11" s="316">
        <f>'Stats Sum'!G20</f>
        <v>0.9879528984054478</v>
      </c>
    </row>
    <row r="12" spans="1:7" ht="14.25">
      <c r="A12" s="310"/>
      <c r="B12" s="310"/>
      <c r="C12" s="311"/>
      <c r="D12" s="426" t="str">
        <f>'Stats Sum'!E21</f>
        <v>Cooling Degree Days</v>
      </c>
      <c r="E12" s="427"/>
      <c r="F12" s="315">
        <f>'Stats Sum'!F21</f>
        <v>-355.2686718558491</v>
      </c>
      <c r="G12" s="316">
        <f>'Stats Sum'!G21</f>
        <v>-0.294257114360736</v>
      </c>
    </row>
    <row r="13" spans="1:7" ht="14.25">
      <c r="A13" s="310"/>
      <c r="B13" s="310"/>
      <c r="C13" s="311"/>
      <c r="D13" s="426" t="str">
        <f>'Stats Sum'!E22</f>
        <v>Number of Peak Hours</v>
      </c>
      <c r="E13" s="427"/>
      <c r="F13" s="315">
        <f>'Stats Sum'!F22</f>
        <v>5046.487237831023</v>
      </c>
      <c r="G13" s="316">
        <f>'Stats Sum'!G22</f>
        <v>2.390995822531904</v>
      </c>
    </row>
    <row r="14" spans="1:7" ht="14.25">
      <c r="A14" s="310"/>
      <c r="B14" s="310"/>
      <c r="C14" s="311"/>
      <c r="D14" s="426" t="str">
        <f>'Stats Sum'!E23</f>
        <v>Spring Fall Flag</v>
      </c>
      <c r="E14" s="427"/>
      <c r="F14" s="315">
        <f>'Stats Sum'!F23</f>
        <v>-118828.11040203528</v>
      </c>
      <c r="G14" s="316">
        <f>'Stats Sum'!G23</f>
        <v>-1.3138494573835062</v>
      </c>
    </row>
    <row r="15" spans="1:7" ht="14.25">
      <c r="A15" s="310"/>
      <c r="B15" s="310"/>
      <c r="C15" s="311"/>
      <c r="D15" s="426" t="str">
        <f>'Stats Sum'!E24</f>
        <v>Trend</v>
      </c>
      <c r="E15" s="427"/>
      <c r="F15" s="315">
        <f>'Stats Sum'!F24</f>
        <v>33.32752350889265</v>
      </c>
      <c r="G15" s="316">
        <f>'Stats Sum'!G24</f>
        <v>1.0357701953003633</v>
      </c>
    </row>
    <row r="16" spans="1:7" ht="14.25">
      <c r="A16" s="310"/>
      <c r="B16" s="310"/>
      <c r="C16" s="311"/>
      <c r="D16" s="426" t="str">
        <f>'Stats Sum'!E25</f>
        <v>Number of Days in Month</v>
      </c>
      <c r="E16" s="427"/>
      <c r="F16" s="315">
        <f>'Stats Sum'!F25</f>
        <v>84774.8707753265</v>
      </c>
      <c r="G16" s="316">
        <f>'Stats Sum'!G25</f>
        <v>1.9084268584085435</v>
      </c>
    </row>
    <row r="17" spans="1:5" ht="14.25">
      <c r="A17" s="310"/>
      <c r="B17" s="310"/>
      <c r="C17" s="311"/>
      <c r="D17" s="312"/>
      <c r="E17" s="312"/>
    </row>
    <row r="19" spans="1:11" ht="14.25">
      <c r="A19"/>
      <c r="B19"/>
      <c r="C19"/>
      <c r="D19"/>
      <c r="E19"/>
      <c r="F19"/>
      <c r="G19"/>
      <c r="H19"/>
      <c r="I19"/>
      <c r="J19"/>
      <c r="K19" s="234"/>
    </row>
    <row r="20" spans="1:13" ht="15">
      <c r="A20" s="392" t="s">
        <v>240</v>
      </c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240"/>
      <c r="M20" s="241"/>
    </row>
    <row r="21" spans="1:11" ht="30">
      <c r="A21" s="432" t="s">
        <v>234</v>
      </c>
      <c r="B21" s="433"/>
      <c r="C21" s="229"/>
      <c r="D21" s="242" t="s">
        <v>241</v>
      </c>
      <c r="E21" s="242" t="str">
        <f>Summary!A15</f>
        <v>GS&lt;50</v>
      </c>
      <c r="F21" s="242" t="str">
        <f>Summary!A19</f>
        <v>GS&gt;50</v>
      </c>
      <c r="G21" s="242" t="s">
        <v>242</v>
      </c>
      <c r="H21" s="242" t="str">
        <f>Summary!A24</f>
        <v>Sentinels</v>
      </c>
      <c r="I21" s="242" t="str">
        <f>Summary!A34</f>
        <v>USL</v>
      </c>
      <c r="J21" s="242" t="str">
        <f>Summary!A38</f>
        <v>Intermediate </v>
      </c>
      <c r="K21" s="242" t="s">
        <v>9</v>
      </c>
    </row>
    <row r="22" spans="1:11" ht="14.25" customHeight="1">
      <c r="A22" s="403" t="s">
        <v>243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</row>
    <row r="23" spans="1:11" ht="14.25" customHeight="1">
      <c r="A23" s="434"/>
      <c r="B23" s="435"/>
      <c r="C23" s="243"/>
      <c r="D23" s="244"/>
      <c r="E23" s="244"/>
      <c r="F23" s="244"/>
      <c r="G23" s="244"/>
      <c r="H23" s="245"/>
      <c r="I23" s="244"/>
      <c r="J23" s="244"/>
      <c r="K23" s="246"/>
    </row>
    <row r="24" spans="1:11" ht="14.25" customHeight="1">
      <c r="A24" s="231" t="s">
        <v>235</v>
      </c>
      <c r="B24" s="223"/>
      <c r="C24" s="223"/>
      <c r="D24" s="375">
        <f>45046630/1000000</f>
        <v>45.04663</v>
      </c>
      <c r="E24" s="375">
        <f>21809071/1000000</f>
        <v>21.809071</v>
      </c>
      <c r="F24" s="375">
        <f>64439774/1000000</f>
        <v>64.439774</v>
      </c>
      <c r="G24" s="375">
        <f>1112732/1000000</f>
        <v>1.112732</v>
      </c>
      <c r="H24" s="376">
        <f>43755/1000000</f>
        <v>0.043755</v>
      </c>
      <c r="I24" s="377">
        <f>400443/1000000</f>
        <v>0.400443</v>
      </c>
      <c r="J24" s="377">
        <f>20979417/1000000</f>
        <v>20.979417</v>
      </c>
      <c r="K24" s="233">
        <f>SUM(D24:J24)</f>
        <v>153.83182200000002</v>
      </c>
    </row>
    <row r="25" spans="1:11" ht="14.25" customHeight="1">
      <c r="A25" s="408"/>
      <c r="B25" s="409"/>
      <c r="C25" s="223"/>
      <c r="D25" s="230"/>
      <c r="E25" s="230"/>
      <c r="F25" s="230"/>
      <c r="G25" s="230"/>
      <c r="H25" s="317"/>
      <c r="K25" s="230"/>
    </row>
    <row r="26" spans="1:12" ht="14.25">
      <c r="A26" s="231" t="s">
        <v>230</v>
      </c>
      <c r="B26" s="232"/>
      <c r="C26" s="232"/>
      <c r="D26" s="233">
        <f>Summary!B13/1000000</f>
        <v>42.90715725</v>
      </c>
      <c r="E26" s="233">
        <f>Summary!B17/1000000</f>
        <v>20.51594049</v>
      </c>
      <c r="F26" s="233">
        <f>Summary!B21/1000000</f>
        <v>63.014931589999996</v>
      </c>
      <c r="G26" s="233">
        <f>Summary!B31/1000000</f>
        <v>1.0910777900000004</v>
      </c>
      <c r="H26" s="318">
        <f>Summary!B26/1000000</f>
        <v>0.04777830000000001</v>
      </c>
      <c r="I26" s="247">
        <f>Summary!B36/1000000</f>
        <v>0</v>
      </c>
      <c r="J26" s="247">
        <f>Summary!B40/1000000</f>
        <v>22.88642608</v>
      </c>
      <c r="K26" s="233">
        <f>SUM(D26:J26)</f>
        <v>150.4633115</v>
      </c>
      <c r="L26" s="248"/>
    </row>
    <row r="27" spans="1:12" ht="14.25">
      <c r="A27" s="231" t="s">
        <v>231</v>
      </c>
      <c r="B27" s="232"/>
      <c r="C27" s="232"/>
      <c r="D27" s="233">
        <f>Summary!C13/1000000</f>
        <v>44.3535381</v>
      </c>
      <c r="E27" s="233">
        <f>Summary!C17/1000000</f>
        <v>19.56524363</v>
      </c>
      <c r="F27" s="233">
        <f>Summary!C21/1000000</f>
        <v>64.71076086</v>
      </c>
      <c r="G27" s="233">
        <f>Summary!C31/1000000</f>
        <v>1.122091525866</v>
      </c>
      <c r="H27" s="318">
        <f>Summary!C26/1000000</f>
        <v>0.0384164</v>
      </c>
      <c r="I27" s="247">
        <f>Summary!C36/1000000</f>
        <v>0</v>
      </c>
      <c r="J27" s="247">
        <f>Summary!C40/1000000</f>
        <v>22.99443816</v>
      </c>
      <c r="K27" s="233">
        <f aca="true" t="shared" si="0" ref="K27:K36">SUM(D27:J27)</f>
        <v>152.784488675866</v>
      </c>
      <c r="L27" s="248"/>
    </row>
    <row r="28" spans="1:12" ht="14.25">
      <c r="A28" s="231" t="s">
        <v>48</v>
      </c>
      <c r="B28" s="232"/>
      <c r="C28" s="232"/>
      <c r="D28" s="233">
        <f>Summary!D13/1000000</f>
        <v>47.31261239</v>
      </c>
      <c r="E28" s="233">
        <f>Summary!D17/1000000</f>
        <v>21.296193109999997</v>
      </c>
      <c r="F28" s="233">
        <f>Summary!D21/1000000</f>
        <v>62.37998356</v>
      </c>
      <c r="G28" s="233">
        <f>Summary!D31/1000000</f>
        <v>1.1342720914709998</v>
      </c>
      <c r="H28" s="318">
        <f>Summary!D26/1000000</f>
        <v>0.04376674</v>
      </c>
      <c r="I28" s="247">
        <f>Summary!D36/1000000</f>
        <v>0</v>
      </c>
      <c r="J28" s="247">
        <f>Summary!D40/1000000</f>
        <v>21.80858051</v>
      </c>
      <c r="K28" s="233">
        <f t="shared" si="0"/>
        <v>153.975408401471</v>
      </c>
      <c r="L28" s="248"/>
    </row>
    <row r="29" spans="1:12" ht="14.25">
      <c r="A29" s="231" t="s">
        <v>49</v>
      </c>
      <c r="B29" s="232"/>
      <c r="C29" s="232"/>
      <c r="D29" s="233">
        <f>Summary!E13/1000000</f>
        <v>45.68734976</v>
      </c>
      <c r="E29" s="233">
        <f>Summary!E17/1000000</f>
        <v>21.17998416</v>
      </c>
      <c r="F29" s="233">
        <f>Summary!E21/1000000</f>
        <v>62.93845413999999</v>
      </c>
      <c r="G29" s="233">
        <f>Summary!E31/1000000</f>
        <v>1.130200489447</v>
      </c>
      <c r="H29" s="318">
        <f>Summary!E26/1000000</f>
        <v>0.04626893000000001</v>
      </c>
      <c r="I29" s="247">
        <f>Summary!E36/1000000</f>
        <v>0</v>
      </c>
      <c r="J29" s="247">
        <f>Summary!E40/1000000</f>
        <v>19.0200648</v>
      </c>
      <c r="K29" s="233">
        <f t="shared" si="0"/>
        <v>150.002322279447</v>
      </c>
      <c r="L29" s="248"/>
    </row>
    <row r="30" spans="1:12" ht="12.75" customHeight="1">
      <c r="A30" s="231" t="s">
        <v>50</v>
      </c>
      <c r="B30" s="232"/>
      <c r="C30" s="232"/>
      <c r="D30" s="233">
        <f>Summary!F13/1000000</f>
        <v>43.53733044</v>
      </c>
      <c r="E30" s="233">
        <f>Summary!F17/1000000</f>
        <v>20.46265285</v>
      </c>
      <c r="F30" s="233">
        <f>Summary!F21/1000000</f>
        <v>61.27654767000001</v>
      </c>
      <c r="G30" s="233">
        <f>Summary!F31/1000000</f>
        <v>1.12188395</v>
      </c>
      <c r="H30" s="318">
        <f>Summary!F26/1000000</f>
        <v>0.044287570000000005</v>
      </c>
      <c r="I30" s="247">
        <f>Summary!F36/1000000</f>
        <v>0.30152134999999997</v>
      </c>
      <c r="J30" s="247">
        <f>Summary!F40/1000000</f>
        <v>20.647752</v>
      </c>
      <c r="K30" s="233">
        <f t="shared" si="0"/>
        <v>147.39197583</v>
      </c>
      <c r="L30" s="248"/>
    </row>
    <row r="31" spans="1:12" ht="14.25">
      <c r="A31" s="231" t="s">
        <v>236</v>
      </c>
      <c r="B31" s="232"/>
      <c r="C31" s="232"/>
      <c r="D31" s="233">
        <f>Summary!G13/1000000</f>
        <v>44.26712553</v>
      </c>
      <c r="E31" s="233">
        <f>Summary!G17/1000000</f>
        <v>19.59908204</v>
      </c>
      <c r="F31" s="233">
        <f>Summary!G21/1000000</f>
        <v>66.89882039</v>
      </c>
      <c r="G31" s="233">
        <f>Summary!G31/1000000</f>
        <v>1.14033706</v>
      </c>
      <c r="H31" s="318">
        <f>Summary!G26/1000000</f>
        <v>0.045820810000000003</v>
      </c>
      <c r="I31" s="247">
        <f>Summary!G36/1000000</f>
        <v>0.40139434999999996</v>
      </c>
      <c r="J31" s="247">
        <f>Summary!G40/1000000</f>
        <v>21.7991172</v>
      </c>
      <c r="K31" s="233">
        <f t="shared" si="0"/>
        <v>154.15169738000003</v>
      </c>
      <c r="L31" s="248"/>
    </row>
    <row r="32" spans="1:12" ht="14.25">
      <c r="A32" s="231" t="s">
        <v>237</v>
      </c>
      <c r="B32" s="232"/>
      <c r="C32" s="232"/>
      <c r="D32" s="233">
        <f>Summary!H13/1000000</f>
        <v>43.77575341000001</v>
      </c>
      <c r="E32" s="233">
        <f>Summary!H17/1000000</f>
        <v>20.149611829999998</v>
      </c>
      <c r="F32" s="233">
        <f>Summary!H21/1000000</f>
        <v>62.40711503</v>
      </c>
      <c r="G32" s="233">
        <f>Summary!H31/1000000</f>
        <v>1.13991823</v>
      </c>
      <c r="H32" s="318">
        <f>Summary!H26/1000000</f>
        <v>0.04616735</v>
      </c>
      <c r="I32" s="247">
        <f>Summary!H36/1000000</f>
        <v>0.40044316</v>
      </c>
      <c r="J32" s="247">
        <f>Summary!H40/1000000</f>
        <v>18.6649812</v>
      </c>
      <c r="K32" s="233">
        <f t="shared" si="0"/>
        <v>146.58399021000002</v>
      </c>
      <c r="L32" s="248"/>
    </row>
    <row r="33" spans="1:12" ht="14.25">
      <c r="A33" s="231" t="s">
        <v>71</v>
      </c>
      <c r="B33" s="232"/>
      <c r="C33" s="232"/>
      <c r="D33" s="233">
        <f>Summary!I13/1000000</f>
        <v>45.09329722</v>
      </c>
      <c r="E33" s="233">
        <f>Summary!I17/1000000</f>
        <v>20.409368479999998</v>
      </c>
      <c r="F33" s="233">
        <f>Summary!I21/1000000</f>
        <v>64.37668375</v>
      </c>
      <c r="G33" s="233">
        <f>Summary!I31/1000000</f>
        <v>1.13966976</v>
      </c>
      <c r="H33" s="318">
        <f>Summary!I26/1000000</f>
        <v>0.04301375</v>
      </c>
      <c r="I33" s="247">
        <f>Summary!I36/1000000</f>
        <v>0.45300143</v>
      </c>
      <c r="J33" s="247">
        <f>Summary!I40/1000000</f>
        <v>17.7293064</v>
      </c>
      <c r="K33" s="233">
        <f t="shared" si="0"/>
        <v>149.24434079000002</v>
      </c>
      <c r="L33" s="248"/>
    </row>
    <row r="34" spans="1:12" s="253" customFormat="1" ht="15">
      <c r="A34" s="231" t="s">
        <v>76</v>
      </c>
      <c r="B34" s="235"/>
      <c r="C34" s="249"/>
      <c r="D34" s="233">
        <f>Summary!J13/1000000</f>
        <v>44.251862370000005</v>
      </c>
      <c r="E34" s="233">
        <f>Summary!J17/1000000</f>
        <v>20.583076520000002</v>
      </c>
      <c r="F34" s="233">
        <f>Summary!J21/1000000</f>
        <v>61.44275644999999</v>
      </c>
      <c r="G34" s="233">
        <f>Summary!J31/1000000</f>
        <v>1.1271656900000002</v>
      </c>
      <c r="H34" s="319">
        <f>Summary!J26/1000000</f>
        <v>0.04127866</v>
      </c>
      <c r="I34" s="250">
        <f>Summary!J36/1000000</f>
        <v>0.4940057</v>
      </c>
      <c r="J34" s="250">
        <f>Summary!J40/1000000</f>
        <v>18.104643600000003</v>
      </c>
      <c r="K34" s="233">
        <f t="shared" si="0"/>
        <v>146.04478899</v>
      </c>
      <c r="L34" s="251"/>
    </row>
    <row r="35" spans="1:12" s="238" customFormat="1" ht="15">
      <c r="A35" s="236" t="s">
        <v>238</v>
      </c>
      <c r="B35" s="223"/>
      <c r="C35" s="223"/>
      <c r="D35" s="237">
        <f>Summary!K13/1000000</f>
        <v>45.13507130026162</v>
      </c>
      <c r="E35" s="237">
        <f>Summary!K17/1000000</f>
        <v>20.237889715676783</v>
      </c>
      <c r="F35" s="237">
        <f>Summary!K21/1000000</f>
        <v>61.35332277849253</v>
      </c>
      <c r="G35" s="237">
        <f>Summary!K31/1000000</f>
        <v>1.1282605770272556</v>
      </c>
      <c r="H35" s="320">
        <f>Summary!K26/1000000</f>
        <v>0.039308829154137394</v>
      </c>
      <c r="I35" s="254">
        <f>Summary!M36/1000000</f>
        <v>0.5568107201987758</v>
      </c>
      <c r="J35" s="254">
        <f>Summary!K40/1000000</f>
        <v>17.516480340998772</v>
      </c>
      <c r="K35" s="237">
        <f t="shared" si="0"/>
        <v>145.9671442618099</v>
      </c>
      <c r="L35" s="255"/>
    </row>
    <row r="36" spans="1:12" s="238" customFormat="1" ht="15">
      <c r="A36" s="230" t="s">
        <v>239</v>
      </c>
      <c r="B36" s="230"/>
      <c r="C36" s="223"/>
      <c r="D36" s="237">
        <f>Summary!$L$13/1000000</f>
        <v>45.39082466615313</v>
      </c>
      <c r="E36" s="237">
        <f>Summary!$L$17/1000000</f>
        <v>20.241263870171657</v>
      </c>
      <c r="F36" s="237">
        <f>Summary!$L$21/1000000</f>
        <v>61.26376588407113</v>
      </c>
      <c r="G36" s="237">
        <f>Summary!$L$31/1000000</f>
        <v>1.1293518563643514</v>
      </c>
      <c r="H36" s="321">
        <f>Summary!L26/1000000</f>
        <v>0.037432844436045706</v>
      </c>
      <c r="I36" s="237">
        <f>Summary!$N$36/1000000</f>
        <v>0.6038918255780762</v>
      </c>
      <c r="J36" s="237">
        <f>Summary!L40/1000000</f>
        <v>16.947354569535772</v>
      </c>
      <c r="K36" s="237">
        <f t="shared" si="0"/>
        <v>145.61388551631015</v>
      </c>
      <c r="L36" s="255"/>
    </row>
    <row r="37" spans="1:11" ht="14.25">
      <c r="A37" s="410"/>
      <c r="B37" s="411"/>
      <c r="C37" s="411"/>
      <c r="D37" s="411"/>
      <c r="E37" s="411"/>
      <c r="F37" s="411"/>
      <c r="G37" s="411"/>
      <c r="H37" s="411"/>
      <c r="I37" s="411"/>
      <c r="J37" s="322"/>
      <c r="K37" s="256"/>
    </row>
    <row r="38" spans="1:11" ht="15">
      <c r="A38" s="403" t="s">
        <v>244</v>
      </c>
      <c r="B38" s="403"/>
      <c r="C38" s="403"/>
      <c r="D38" s="403"/>
      <c r="E38" s="403"/>
      <c r="F38" s="403"/>
      <c r="G38" s="403"/>
      <c r="H38" s="403"/>
      <c r="I38" s="403"/>
      <c r="J38" s="403"/>
      <c r="K38" s="403"/>
    </row>
    <row r="39" spans="1:11" ht="14.25">
      <c r="A39" s="414"/>
      <c r="B39" s="415"/>
      <c r="C39" s="232"/>
      <c r="D39" s="257"/>
      <c r="E39" s="257"/>
      <c r="F39" s="257"/>
      <c r="G39" s="257"/>
      <c r="H39" s="257"/>
      <c r="I39" s="378"/>
      <c r="J39" s="378"/>
      <c r="K39" s="257"/>
    </row>
    <row r="40" spans="1:11" ht="14.25">
      <c r="A40" s="414"/>
      <c r="B40" s="415"/>
      <c r="C40" s="232"/>
      <c r="D40" s="257"/>
      <c r="E40" s="257"/>
      <c r="F40" s="257"/>
      <c r="G40" s="257"/>
      <c r="H40" s="257"/>
      <c r="I40" s="378"/>
      <c r="J40" s="378"/>
      <c r="K40" s="257"/>
    </row>
    <row r="41" spans="1:11" ht="14.25">
      <c r="A41" s="231" t="str">
        <f>A24</f>
        <v>2009 Board Approved</v>
      </c>
      <c r="B41" s="232"/>
      <c r="C41" s="232"/>
      <c r="D41" s="257">
        <v>5710</v>
      </c>
      <c r="E41" s="257">
        <v>687</v>
      </c>
      <c r="F41" s="257">
        <v>53</v>
      </c>
      <c r="G41" s="257">
        <v>1658</v>
      </c>
      <c r="H41" s="257">
        <v>35</v>
      </c>
      <c r="I41" s="257">
        <v>2</v>
      </c>
      <c r="J41" s="257">
        <v>1</v>
      </c>
      <c r="K41" s="257">
        <f>SUM(D41:J41)</f>
        <v>8146</v>
      </c>
    </row>
    <row r="42" spans="1:11" ht="14.25">
      <c r="A42" s="414"/>
      <c r="B42" s="415"/>
      <c r="C42" s="232"/>
      <c r="D42" s="257"/>
      <c r="E42" s="257"/>
      <c r="F42" s="257"/>
      <c r="G42" s="257"/>
      <c r="H42" s="257"/>
      <c r="I42" s="378"/>
      <c r="J42" s="378"/>
      <c r="K42" s="257"/>
    </row>
    <row r="43" spans="1:12" ht="14.25">
      <c r="A43" s="231" t="str">
        <f aca="true" t="shared" si="1" ref="A43:A53">A26</f>
        <v>2003 Actual </v>
      </c>
      <c r="B43" s="232"/>
      <c r="C43" s="232"/>
      <c r="D43" s="257">
        <f>Summary!B12</f>
        <v>5082</v>
      </c>
      <c r="E43" s="257">
        <f>Summary!B16</f>
        <v>591</v>
      </c>
      <c r="F43" s="257">
        <f>Summary!B20</f>
        <v>51</v>
      </c>
      <c r="G43" s="257">
        <f>Summary!B30</f>
        <v>1504</v>
      </c>
      <c r="H43" s="257">
        <f>Summary!B25</f>
        <v>25</v>
      </c>
      <c r="I43" s="257">
        <f>Summary!B35</f>
        <v>0</v>
      </c>
      <c r="J43" s="257">
        <f>Summary!B39</f>
        <v>1</v>
      </c>
      <c r="K43" s="257">
        <f>SUM(D43:J43)</f>
        <v>7254</v>
      </c>
      <c r="L43" s="258"/>
    </row>
    <row r="44" spans="1:12" ht="12.75" customHeight="1">
      <c r="A44" s="231" t="str">
        <f t="shared" si="1"/>
        <v>2004 Actual </v>
      </c>
      <c r="B44" s="232"/>
      <c r="C44" s="232"/>
      <c r="D44" s="257">
        <f>Summary!C12</f>
        <v>5226</v>
      </c>
      <c r="E44" s="257">
        <f>Summary!C16</f>
        <v>615</v>
      </c>
      <c r="F44" s="257">
        <f>Summary!C20</f>
        <v>50</v>
      </c>
      <c r="G44" s="257">
        <f>Summary!C30</f>
        <v>1519</v>
      </c>
      <c r="H44" s="257">
        <f>Summary!C25</f>
        <v>27</v>
      </c>
      <c r="I44" s="257">
        <f>Summary!C35</f>
        <v>0</v>
      </c>
      <c r="J44" s="257">
        <f>Summary!C39</f>
        <v>1</v>
      </c>
      <c r="K44" s="257">
        <f>SUM(D44:J44)</f>
        <v>7438</v>
      </c>
      <c r="L44" s="258"/>
    </row>
    <row r="45" spans="1:12" ht="14.25">
      <c r="A45" s="231" t="str">
        <f t="shared" si="1"/>
        <v>2005 Actual </v>
      </c>
      <c r="B45" s="232"/>
      <c r="C45" s="232"/>
      <c r="D45" s="257">
        <f>Summary!D12</f>
        <v>5360</v>
      </c>
      <c r="E45" s="257">
        <f>Summary!D16</f>
        <v>622</v>
      </c>
      <c r="F45" s="257">
        <f>Summary!D20</f>
        <v>51</v>
      </c>
      <c r="G45" s="257">
        <f>Summary!D30</f>
        <v>1553</v>
      </c>
      <c r="H45" s="257">
        <f>Summary!D25</f>
        <v>31</v>
      </c>
      <c r="I45" s="257">
        <f>Summary!D35</f>
        <v>0</v>
      </c>
      <c r="J45" s="257">
        <f>Summary!D39</f>
        <v>1</v>
      </c>
      <c r="K45" s="257">
        <f aca="true" t="shared" si="2" ref="K45:K51">SUM(D45:J45)</f>
        <v>7618</v>
      </c>
      <c r="L45" s="258"/>
    </row>
    <row r="46" spans="1:12" ht="14.25">
      <c r="A46" s="231" t="str">
        <f t="shared" si="1"/>
        <v>2006 Actual </v>
      </c>
      <c r="B46" s="232"/>
      <c r="C46" s="232"/>
      <c r="D46" s="257">
        <f>Summary!E12</f>
        <v>5430</v>
      </c>
      <c r="E46" s="257">
        <f>Summary!E16</f>
        <v>637</v>
      </c>
      <c r="F46" s="257">
        <f>Summary!E20</f>
        <v>53</v>
      </c>
      <c r="G46" s="257">
        <f>Summary!E30</f>
        <v>1553</v>
      </c>
      <c r="H46" s="257">
        <f>Summary!E25</f>
        <v>31</v>
      </c>
      <c r="I46" s="257">
        <f>Summary!E35</f>
        <v>0</v>
      </c>
      <c r="J46" s="257">
        <f>Summary!E39</f>
        <v>1</v>
      </c>
      <c r="K46" s="257">
        <f t="shared" si="2"/>
        <v>7705</v>
      </c>
      <c r="L46" s="258"/>
    </row>
    <row r="47" spans="1:12" ht="14.25">
      <c r="A47" s="231" t="str">
        <f t="shared" si="1"/>
        <v>2007 Actual </v>
      </c>
      <c r="B47" s="232"/>
      <c r="C47" s="232"/>
      <c r="D47" s="257">
        <f>Summary!F12</f>
        <v>5492</v>
      </c>
      <c r="E47" s="257">
        <f>Summary!F16</f>
        <v>667</v>
      </c>
      <c r="F47" s="257">
        <f>Summary!F20</f>
        <v>53</v>
      </c>
      <c r="G47" s="257">
        <f>Summary!F30</f>
        <v>1611</v>
      </c>
      <c r="H47" s="257">
        <f>Summary!F25</f>
        <v>31</v>
      </c>
      <c r="I47" s="257">
        <f>Summary!F35</f>
        <v>2</v>
      </c>
      <c r="J47" s="257">
        <f>Summary!F39</f>
        <v>1</v>
      </c>
      <c r="K47" s="257">
        <f t="shared" si="2"/>
        <v>7857</v>
      </c>
      <c r="L47" s="258"/>
    </row>
    <row r="48" spans="1:12" ht="12.75" customHeight="1">
      <c r="A48" s="231" t="str">
        <f t="shared" si="1"/>
        <v>2008 Actual </v>
      </c>
      <c r="B48" s="232"/>
      <c r="C48" s="232"/>
      <c r="D48" s="257">
        <f>Summary!G12</f>
        <v>5530</v>
      </c>
      <c r="E48" s="257">
        <f>Summary!G16</f>
        <v>674</v>
      </c>
      <c r="F48" s="257">
        <f>Summary!G20</f>
        <v>58</v>
      </c>
      <c r="G48" s="257">
        <f>Summary!G30</f>
        <v>1658</v>
      </c>
      <c r="H48" s="257">
        <f>Summary!G25</f>
        <v>31</v>
      </c>
      <c r="I48" s="257">
        <f>Summary!G35</f>
        <v>2</v>
      </c>
      <c r="J48" s="257">
        <f>Summary!G39</f>
        <v>1</v>
      </c>
      <c r="K48" s="257">
        <f t="shared" si="2"/>
        <v>7954</v>
      </c>
      <c r="L48" s="258"/>
    </row>
    <row r="49" spans="1:12" ht="14.25">
      <c r="A49" s="231" t="str">
        <f t="shared" si="1"/>
        <v>2009 Actual</v>
      </c>
      <c r="B49" s="232"/>
      <c r="C49" s="232"/>
      <c r="D49" s="257">
        <f>Summary!H12</f>
        <v>5576</v>
      </c>
      <c r="E49" s="257">
        <f>Summary!H16</f>
        <v>691</v>
      </c>
      <c r="F49" s="257">
        <f>Summary!H20</f>
        <v>60</v>
      </c>
      <c r="G49" s="257">
        <f>Summary!H30</f>
        <v>1658</v>
      </c>
      <c r="H49" s="257">
        <f>Summary!H25</f>
        <v>31</v>
      </c>
      <c r="I49" s="257">
        <f>Summary!H35</f>
        <v>2</v>
      </c>
      <c r="J49" s="257">
        <f>Summary!H39</f>
        <v>1</v>
      </c>
      <c r="K49" s="257">
        <f t="shared" si="2"/>
        <v>8019</v>
      </c>
      <c r="L49" s="258"/>
    </row>
    <row r="50" spans="1:12" ht="14.25">
      <c r="A50" s="231" t="str">
        <f t="shared" si="1"/>
        <v>2010 Actual </v>
      </c>
      <c r="B50" s="259"/>
      <c r="C50" s="232"/>
      <c r="D50" s="257">
        <f>Summary!I12</f>
        <v>5627</v>
      </c>
      <c r="E50" s="257">
        <f>Summary!I16</f>
        <v>705</v>
      </c>
      <c r="F50" s="257">
        <f>Summary!I20</f>
        <v>60</v>
      </c>
      <c r="G50" s="257">
        <f>Summary!I30</f>
        <v>1673</v>
      </c>
      <c r="H50" s="257">
        <f>Summary!I25</f>
        <v>31</v>
      </c>
      <c r="I50" s="257">
        <f>Summary!I35</f>
        <v>2</v>
      </c>
      <c r="J50" s="257">
        <f>Summary!I39</f>
        <v>1</v>
      </c>
      <c r="K50" s="257">
        <f t="shared" si="2"/>
        <v>8099</v>
      </c>
      <c r="L50" s="258"/>
    </row>
    <row r="51" spans="1:12" s="253" customFormat="1" ht="12.75" customHeight="1">
      <c r="A51" s="231" t="str">
        <f t="shared" si="1"/>
        <v>2011 Actual </v>
      </c>
      <c r="B51" s="260"/>
      <c r="C51" s="249"/>
      <c r="D51" s="257">
        <f>Summary!J12</f>
        <v>5711</v>
      </c>
      <c r="E51" s="257">
        <f>Summary!J16</f>
        <v>709</v>
      </c>
      <c r="F51" s="257">
        <f>Summary!J20</f>
        <v>59</v>
      </c>
      <c r="G51" s="257">
        <f>Summary!J30</f>
        <v>1687</v>
      </c>
      <c r="H51" s="257">
        <f>Summary!J25</f>
        <v>31</v>
      </c>
      <c r="I51" s="257">
        <f>Summary!J35</f>
        <v>6</v>
      </c>
      <c r="J51" s="257">
        <f>Summary!J39</f>
        <v>1</v>
      </c>
      <c r="K51" s="257">
        <f t="shared" si="2"/>
        <v>8204</v>
      </c>
      <c r="L51" s="258"/>
    </row>
    <row r="52" spans="1:12" ht="12.75" customHeight="1">
      <c r="A52" s="236" t="str">
        <f t="shared" si="1"/>
        <v>2012 Bridge</v>
      </c>
      <c r="B52" s="261"/>
      <c r="C52" s="261"/>
      <c r="D52" s="262">
        <f>Summary!$M$12</f>
        <v>5783.866602971631</v>
      </c>
      <c r="E52" s="262">
        <f>Summary!$M$16</f>
        <v>723.5535535863006</v>
      </c>
      <c r="F52" s="262">
        <f>Summary!$M$20</f>
        <v>60.41167395635739</v>
      </c>
      <c r="G52" s="262">
        <f>Summary!$M$30</f>
        <v>1712.4711731961468</v>
      </c>
      <c r="H52" s="262">
        <f>Summary!M25</f>
        <v>31</v>
      </c>
      <c r="I52" s="262">
        <f>Summary!M35</f>
        <v>7.896444077714955</v>
      </c>
      <c r="J52" s="262">
        <f>Summary!K39</f>
        <v>1</v>
      </c>
      <c r="K52" s="262">
        <f>SUM(D52:J52)</f>
        <v>8320.19944778815</v>
      </c>
      <c r="L52" s="258"/>
    </row>
    <row r="53" spans="1:12" ht="12.75" customHeight="1">
      <c r="A53" s="236" t="str">
        <f t="shared" si="1"/>
        <v>2013 Test</v>
      </c>
      <c r="B53" s="223"/>
      <c r="C53" s="223"/>
      <c r="D53" s="262">
        <f>Summary!$N$12</f>
        <v>5857.662910343302</v>
      </c>
      <c r="E53" s="262">
        <f>Summary!$N$16</f>
        <v>738.4058461316835</v>
      </c>
      <c r="F53" s="262">
        <f>Summary!$N$20</f>
        <v>61.85712457981745</v>
      </c>
      <c r="G53" s="262">
        <f>Summary!$N$30</f>
        <v>1738.326922956602</v>
      </c>
      <c r="H53" s="262">
        <f>Summary!N25</f>
        <v>31</v>
      </c>
      <c r="I53" s="262">
        <f>Summary!N35</f>
        <v>10</v>
      </c>
      <c r="J53" s="262">
        <f>Summary!L39</f>
        <v>1</v>
      </c>
      <c r="K53" s="262">
        <f>SUM(D53:J53)</f>
        <v>8438.252804011405</v>
      </c>
      <c r="L53" s="258"/>
    </row>
    <row r="55" spans="1:11" s="238" customFormat="1" ht="15">
      <c r="A55" s="263"/>
      <c r="B55" s="264"/>
      <c r="C55" s="264"/>
      <c r="D55" s="265"/>
      <c r="E55" s="265"/>
      <c r="F55" s="265"/>
      <c r="G55" s="265"/>
      <c r="H55" s="265"/>
      <c r="I55" s="265"/>
      <c r="J55" s="265"/>
      <c r="K55" s="234"/>
    </row>
    <row r="56" spans="4:11" ht="27.75" customHeight="1">
      <c r="D56" s="393" t="s">
        <v>293</v>
      </c>
      <c r="E56" s="394"/>
      <c r="F56" s="394"/>
      <c r="G56" s="394"/>
      <c r="H56" s="395"/>
      <c r="K56" s="234"/>
    </row>
    <row r="57" spans="4:11" ht="14.25">
      <c r="D57" s="391" t="s">
        <v>292</v>
      </c>
      <c r="E57" s="391"/>
      <c r="F57" s="391"/>
      <c r="G57" s="391"/>
      <c r="H57" s="391"/>
      <c r="K57" s="234"/>
    </row>
    <row r="58" spans="4:11" ht="14.25">
      <c r="D58" s="401">
        <f>'CDM Activity'!P3</f>
        <v>7810000</v>
      </c>
      <c r="E58" s="401"/>
      <c r="F58" s="401"/>
      <c r="G58" s="401"/>
      <c r="H58" s="401"/>
      <c r="K58" s="234"/>
    </row>
    <row r="59" spans="4:11" ht="14.25">
      <c r="D59" s="85">
        <v>2011</v>
      </c>
      <c r="E59" s="85">
        <v>2012</v>
      </c>
      <c r="F59" s="85">
        <v>2013</v>
      </c>
      <c r="G59" s="85">
        <v>2014</v>
      </c>
      <c r="H59" s="85" t="s">
        <v>9</v>
      </c>
      <c r="K59" s="234"/>
    </row>
    <row r="60" spans="4:11" ht="14.25" hidden="1">
      <c r="D60" s="266">
        <f>'CDM Activity'!P21</f>
        <v>0.1291455518565941</v>
      </c>
      <c r="E60" s="141">
        <f>'CDM Activity'!Q21</f>
        <v>0.18419651216389243</v>
      </c>
      <c r="F60" s="141">
        <f>E60</f>
        <v>0.18419651216389243</v>
      </c>
      <c r="G60" s="141">
        <f>F60</f>
        <v>0.18419651216389243</v>
      </c>
      <c r="H60" s="141">
        <f>SUM(D60:G60)</f>
        <v>0.6817350883482713</v>
      </c>
      <c r="K60" s="234"/>
    </row>
    <row r="61" spans="4:11" ht="14.25">
      <c r="D61" s="391" t="s">
        <v>314</v>
      </c>
      <c r="E61" s="391"/>
      <c r="F61" s="391"/>
      <c r="G61" s="391"/>
      <c r="H61" s="391"/>
      <c r="K61" s="234"/>
    </row>
    <row r="62" spans="4:8" ht="14.25">
      <c r="D62" s="119">
        <f>$D$58*D60</f>
        <v>1008626.7599999999</v>
      </c>
      <c r="E62" s="119">
        <f>$D$58*E60</f>
        <v>1438574.76</v>
      </c>
      <c r="F62" s="119">
        <f>$D$58*F60</f>
        <v>1438574.76</v>
      </c>
      <c r="G62" s="119">
        <f>$D$58*G60</f>
        <v>1438574.76</v>
      </c>
      <c r="H62" s="119">
        <f>SUM(D62:G62)</f>
        <v>5324351.04</v>
      </c>
    </row>
    <row r="63" spans="4:8" ht="14.25">
      <c r="D63" s="401" t="s">
        <v>245</v>
      </c>
      <c r="E63" s="401"/>
      <c r="F63" s="401"/>
      <c r="G63" s="401"/>
      <c r="H63" s="267"/>
    </row>
    <row r="64" spans="4:7" ht="14.25">
      <c r="D64" s="85">
        <v>2006</v>
      </c>
      <c r="E64" s="85">
        <v>2007</v>
      </c>
      <c r="F64" s="85">
        <v>2008</v>
      </c>
      <c r="G64" s="85">
        <v>2009</v>
      </c>
    </row>
    <row r="65" spans="4:7" ht="14.25">
      <c r="D65" s="119">
        <f>'[18]Summary - LDC'!E24*1000</f>
        <v>416277.9096959208</v>
      </c>
      <c r="E65" s="119">
        <f>'[18]Summary - LDC'!F24*1000</f>
        <v>1901457.680071434</v>
      </c>
      <c r="F65" s="119">
        <f>'[18]Summary - LDC'!G24*1000</f>
        <v>2162792.114494988</v>
      </c>
      <c r="G65" s="119">
        <f>'[18]Summary - LDC'!H24*1000</f>
        <v>2555243.3220183672</v>
      </c>
    </row>
    <row r="66" spans="4:8" ht="14.25">
      <c r="D66" s="85">
        <v>2010</v>
      </c>
      <c r="E66" s="85">
        <v>2011</v>
      </c>
      <c r="F66" s="85">
        <v>2012</v>
      </c>
      <c r="G66" s="85">
        <v>2013</v>
      </c>
      <c r="H66"/>
    </row>
    <row r="67" spans="4:7" ht="14.25">
      <c r="D67" s="119">
        <f>'[18]Summary - LDC'!I24*1000</f>
        <v>2690124.263412845</v>
      </c>
      <c r="E67" s="119">
        <f>'[18]Summary - LDC'!J24*1000</f>
        <v>2496799.678707234</v>
      </c>
      <c r="F67" s="119">
        <f>'[18]Summary - LDC'!K24*1000</f>
        <v>2458592.4454090903</v>
      </c>
      <c r="G67" s="119">
        <f>'[18]Summary - LDC'!L24*1000</f>
        <v>2446482.278856944</v>
      </c>
    </row>
    <row r="69" spans="1:5" ht="15">
      <c r="A69" s="392" t="s">
        <v>294</v>
      </c>
      <c r="B69" s="392"/>
      <c r="C69" s="392"/>
      <c r="D69" s="392"/>
      <c r="E69" s="392"/>
    </row>
    <row r="70" spans="1:11" ht="15">
      <c r="A70" s="416" t="s">
        <v>246</v>
      </c>
      <c r="B70" s="417"/>
      <c r="C70" s="365"/>
      <c r="D70" s="366" t="s">
        <v>60</v>
      </c>
      <c r="E70" s="366" t="s">
        <v>157</v>
      </c>
      <c r="K70" s="241"/>
    </row>
    <row r="71" spans="1:11" ht="14.25">
      <c r="A71" s="396" t="s">
        <v>22</v>
      </c>
      <c r="B71" s="397"/>
      <c r="C71" s="232"/>
      <c r="D71" s="268">
        <f>'Stats Sum'!E4</f>
        <v>0.8217489064758576</v>
      </c>
      <c r="E71" s="268">
        <f>'GS &lt; 50 kW'!P6</f>
        <v>0.6596097331138181</v>
      </c>
      <c r="K71"/>
    </row>
    <row r="72" spans="1:11" ht="14.25">
      <c r="A72" s="231" t="s">
        <v>23</v>
      </c>
      <c r="B72" s="232"/>
      <c r="C72" s="232"/>
      <c r="D72" s="268">
        <f>'Stats Sum'!E5</f>
        <v>0.8118460679467385</v>
      </c>
      <c r="E72" s="268">
        <f>'GS &lt; 50 kW'!P7</f>
        <v>0.6406991627312524</v>
      </c>
      <c r="K72"/>
    </row>
    <row r="73" spans="1:11" ht="14.25">
      <c r="A73" s="396" t="s">
        <v>247</v>
      </c>
      <c r="B73" s="397"/>
      <c r="C73" s="232"/>
      <c r="D73" s="269">
        <f>Residential!S13</f>
        <v>82.98114768402286</v>
      </c>
      <c r="E73" s="269">
        <f>'GS &lt; 50 kW'!S13</f>
        <v>34.880477942745514</v>
      </c>
      <c r="K73"/>
    </row>
    <row r="74" spans="1:11" ht="14.25">
      <c r="A74" s="231" t="s">
        <v>248</v>
      </c>
      <c r="B74" s="232"/>
      <c r="C74" s="232"/>
      <c r="D74" s="269"/>
      <c r="E74" s="269"/>
      <c r="K74"/>
    </row>
    <row r="75" spans="1:11" ht="14.25">
      <c r="A75" s="270" t="str">
        <f>Residential!O19</f>
        <v>Heating Degree Days</v>
      </c>
      <c r="B75" s="232"/>
      <c r="C75" s="232"/>
      <c r="D75" s="271">
        <f>Residential!R19</f>
        <v>14.638612164675454</v>
      </c>
      <c r="E75" s="271">
        <f>'GS &lt; 50 kW'!R19</f>
        <v>8.478610834954823</v>
      </c>
      <c r="K75"/>
    </row>
    <row r="76" spans="1:11" ht="14.25">
      <c r="A76" s="270" t="str">
        <f>Residential!O20</f>
        <v>Cooling Degree Days</v>
      </c>
      <c r="B76" s="232"/>
      <c r="C76" s="232"/>
      <c r="D76" s="271">
        <f>Residential!R20</f>
        <v>5.701073091827507</v>
      </c>
      <c r="E76" s="271">
        <f>'GS &lt; 50 kW'!R20</f>
        <v>6.111571920101033</v>
      </c>
      <c r="K76"/>
    </row>
    <row r="77" spans="1:11" ht="14.25">
      <c r="A77" s="270" t="str">
        <f>Residential!O21</f>
        <v>Spring Fall Flag</v>
      </c>
      <c r="B77" s="232"/>
      <c r="C77" s="232"/>
      <c r="D77" s="271">
        <f>Residential!R21</f>
        <v>-4.049616030738735</v>
      </c>
      <c r="E77" s="271">
        <f>'GS &lt; 50 kW'!R21</f>
        <v>-2.6532831645931485</v>
      </c>
      <c r="K77"/>
    </row>
    <row r="78" spans="1:11" ht="14.25">
      <c r="A78" s="270" t="str">
        <f>Residential!O22</f>
        <v>Number of Days in Month</v>
      </c>
      <c r="B78" s="232"/>
      <c r="C78" s="232"/>
      <c r="D78" s="271">
        <f>Residential!R22</f>
        <v>4.595126603481553</v>
      </c>
      <c r="E78" s="271">
        <f>'GS &lt; 50 kW'!R22</f>
        <v>4.146775326142114</v>
      </c>
      <c r="K78"/>
    </row>
    <row r="79" spans="1:5" ht="14.25">
      <c r="A79" s="270" t="str">
        <f>Residential!O23</f>
        <v>Employment</v>
      </c>
      <c r="B79" s="232"/>
      <c r="C79" s="232"/>
      <c r="D79" s="271">
        <f>Residential!R23</f>
        <v>4.996931730560894</v>
      </c>
      <c r="E79" s="271">
        <f>'GS &lt; 50 kW'!R23</f>
        <v>2.576213523652589</v>
      </c>
    </row>
    <row r="80" spans="1:5" ht="14.25">
      <c r="A80" s="270" t="str">
        <f>Residential!O24</f>
        <v>CDM Activity</v>
      </c>
      <c r="B80" s="232"/>
      <c r="C80" s="232"/>
      <c r="D80" s="271">
        <f>Residential!R24</f>
        <v>-3.46202840055326</v>
      </c>
      <c r="E80" s="271">
        <f>'GS &lt; 50 kW'!R24</f>
        <v>-3.0883891105388677</v>
      </c>
    </row>
    <row r="81" spans="1:5" ht="14.25">
      <c r="A81" s="270" t="str">
        <f>Residential!O18</f>
        <v>Intercept</v>
      </c>
      <c r="B81" s="232"/>
      <c r="C81" s="304"/>
      <c r="D81" s="271">
        <f>Residential!R18</f>
        <v>-3.4912884181114734</v>
      </c>
      <c r="E81" s="271">
        <f>'GS &lt; 50 kW'!R18</f>
        <v>-1.2086615674767898</v>
      </c>
    </row>
    <row r="82" ht="14.25">
      <c r="K82" s="241"/>
    </row>
    <row r="83" spans="1:11" ht="15">
      <c r="A83" s="418" t="s">
        <v>295</v>
      </c>
      <c r="B83" s="419"/>
      <c r="C83" s="419"/>
      <c r="D83" s="419"/>
      <c r="E83" s="419"/>
      <c r="F83" s="420"/>
      <c r="K83" s="234"/>
    </row>
    <row r="84" spans="1:11" ht="15">
      <c r="A84" s="416" t="s">
        <v>234</v>
      </c>
      <c r="B84" s="417"/>
      <c r="C84" s="365"/>
      <c r="D84" s="366" t="s">
        <v>249</v>
      </c>
      <c r="E84" s="366" t="s">
        <v>250</v>
      </c>
      <c r="F84" s="366" t="s">
        <v>8</v>
      </c>
      <c r="K84" s="234"/>
    </row>
    <row r="85" spans="1:11" ht="15">
      <c r="A85" s="398" t="s">
        <v>243</v>
      </c>
      <c r="B85" s="399"/>
      <c r="C85" s="399"/>
      <c r="D85" s="399"/>
      <c r="E85" s="399"/>
      <c r="F85" s="400"/>
      <c r="K85" s="234"/>
    </row>
    <row r="86" spans="1:11" ht="14.25">
      <c r="A86" s="396">
        <v>2003</v>
      </c>
      <c r="B86" s="397"/>
      <c r="C86" s="232"/>
      <c r="D86" s="233">
        <f>Residential!B146/1000000</f>
        <v>42.90715725</v>
      </c>
      <c r="E86" s="233">
        <f>Residential!M146/1000000</f>
        <v>43.529747319813694</v>
      </c>
      <c r="F86" s="272">
        <f aca="true" t="shared" si="3" ref="F86:F94">E86/D86-1</f>
        <v>0.014510168226390618</v>
      </c>
      <c r="G86"/>
      <c r="K86" s="234"/>
    </row>
    <row r="87" spans="1:11" ht="14.25">
      <c r="A87" s="396">
        <v>2004</v>
      </c>
      <c r="B87" s="397"/>
      <c r="C87" s="232"/>
      <c r="D87" s="233">
        <f>Residential!B147/1000000</f>
        <v>44.3535381</v>
      </c>
      <c r="E87" s="233">
        <f>Residential!M147/1000000</f>
        <v>43.72490829971348</v>
      </c>
      <c r="F87" s="272">
        <f t="shared" si="3"/>
        <v>-0.014173160185534717</v>
      </c>
      <c r="G87"/>
      <c r="K87" s="234"/>
    </row>
    <row r="88" spans="1:11" ht="14.25">
      <c r="A88" s="396">
        <v>2005</v>
      </c>
      <c r="B88" s="397"/>
      <c r="C88" s="232"/>
      <c r="D88" s="233">
        <f>Residential!B148/1000000</f>
        <v>47.31261239</v>
      </c>
      <c r="E88" s="233">
        <f>Residential!M148/1000000</f>
        <v>46.41453734169676</v>
      </c>
      <c r="F88" s="272">
        <f t="shared" si="3"/>
        <v>-0.018981726075498973</v>
      </c>
      <c r="G88"/>
      <c r="K88" s="234"/>
    </row>
    <row r="89" spans="1:11" ht="14.25">
      <c r="A89" s="396">
        <v>2006</v>
      </c>
      <c r="B89" s="397"/>
      <c r="C89" s="232"/>
      <c r="D89" s="233">
        <f>Residential!B149/1000000</f>
        <v>45.68734976</v>
      </c>
      <c r="E89" s="233">
        <f>Residential!M149/1000000</f>
        <v>45.47805699558297</v>
      </c>
      <c r="F89" s="272">
        <f t="shared" si="3"/>
        <v>-0.004580978444065242</v>
      </c>
      <c r="G89"/>
      <c r="K89" s="234"/>
    </row>
    <row r="90" spans="1:11" ht="14.25">
      <c r="A90" s="396">
        <v>2007</v>
      </c>
      <c r="B90" s="397"/>
      <c r="C90" s="232"/>
      <c r="D90" s="233">
        <f>Residential!B150/1000000</f>
        <v>43.53733044</v>
      </c>
      <c r="E90" s="233">
        <f>Residential!M150/1000000</f>
        <v>45.11683906341226</v>
      </c>
      <c r="F90" s="272">
        <f t="shared" si="3"/>
        <v>0.03627940912888583</v>
      </c>
      <c r="G90"/>
      <c r="K90" s="234"/>
    </row>
    <row r="91" spans="1:11" ht="14.25">
      <c r="A91" s="396">
        <v>2008</v>
      </c>
      <c r="B91" s="397"/>
      <c r="C91" s="232"/>
      <c r="D91" s="233">
        <f>Residential!B151/1000000</f>
        <v>44.26712553</v>
      </c>
      <c r="E91" s="233">
        <f>Residential!M151/1000000</f>
        <v>44.76128590949477</v>
      </c>
      <c r="F91" s="272">
        <f t="shared" si="3"/>
        <v>0.01116314586904621</v>
      </c>
      <c r="G91"/>
      <c r="K91" s="234"/>
    </row>
    <row r="92" spans="1:11" ht="14.25">
      <c r="A92" s="396">
        <v>2009</v>
      </c>
      <c r="B92" s="397"/>
      <c r="C92" s="232"/>
      <c r="D92" s="233">
        <f>Residential!B152/1000000</f>
        <v>43.77575341000001</v>
      </c>
      <c r="E92" s="233">
        <f>Residential!M152/1000000</f>
        <v>43.23207863626398</v>
      </c>
      <c r="F92" s="272">
        <f t="shared" si="3"/>
        <v>-0.01241954121597899</v>
      </c>
      <c r="G92"/>
      <c r="K92" s="234"/>
    </row>
    <row r="93" spans="1:11" ht="14.25">
      <c r="A93" s="396">
        <v>2010</v>
      </c>
      <c r="B93" s="397"/>
      <c r="C93" s="232"/>
      <c r="D93" s="233">
        <f>Residential!B153/1000000</f>
        <v>45.09329722</v>
      </c>
      <c r="E93" s="233">
        <f>Residential!M153/1000000</f>
        <v>44.24000715264883</v>
      </c>
      <c r="F93" s="272">
        <f t="shared" si="3"/>
        <v>-0.01892276945702498</v>
      </c>
      <c r="G93"/>
      <c r="K93" s="234"/>
    </row>
    <row r="94" spans="1:7" ht="12.75" customHeight="1">
      <c r="A94" s="396">
        <v>2011</v>
      </c>
      <c r="B94" s="397"/>
      <c r="C94" s="252"/>
      <c r="D94" s="233">
        <f>Residential!B154/1000000</f>
        <v>44.251862370000005</v>
      </c>
      <c r="E94" s="233">
        <f>Residential!M154/1000000</f>
        <v>45.227593070443184</v>
      </c>
      <c r="F94" s="272">
        <f t="shared" si="3"/>
        <v>0.022049483302756245</v>
      </c>
      <c r="G94"/>
    </row>
    <row r="95" spans="1:6" s="238" customFormat="1" ht="12.75" customHeight="1">
      <c r="A95" s="398" t="s">
        <v>251</v>
      </c>
      <c r="B95" s="399"/>
      <c r="C95" s="261"/>
      <c r="D95" s="273"/>
      <c r="E95" s="237">
        <f>Residential!M155/1000000</f>
        <v>45.303709819035745</v>
      </c>
      <c r="F95" s="274"/>
    </row>
    <row r="96" spans="1:11" s="238" customFormat="1" ht="15">
      <c r="A96" s="398" t="s">
        <v>252</v>
      </c>
      <c r="B96" s="399"/>
      <c r="C96" s="223"/>
      <c r="D96" s="273"/>
      <c r="E96" s="237">
        <f>Residential!M156/1000000</f>
        <v>45.73083565702802</v>
      </c>
      <c r="F96" s="274"/>
      <c r="K96" s="275"/>
    </row>
    <row r="97" spans="1:6" s="234" customFormat="1" ht="15">
      <c r="A97" s="236" t="s">
        <v>253</v>
      </c>
      <c r="B97" s="223"/>
      <c r="C97" s="223"/>
      <c r="D97" s="273"/>
      <c r="E97" s="237">
        <f>Residential!N176/1000000</f>
        <v>45.700522266878224</v>
      </c>
      <c r="F97" s="274"/>
    </row>
    <row r="98" spans="1:11" s="234" customFormat="1" ht="15">
      <c r="A98" s="236" t="s">
        <v>254</v>
      </c>
      <c r="B98" s="232"/>
      <c r="C98" s="232"/>
      <c r="D98" s="269"/>
      <c r="E98" s="237">
        <f>Residential!N190/1000000</f>
        <v>45.71247442556317</v>
      </c>
      <c r="F98" s="272"/>
      <c r="K98" s="276"/>
    </row>
    <row r="99" ht="14.25">
      <c r="K99"/>
    </row>
    <row r="100" spans="1:11" ht="15">
      <c r="A100" s="418" t="s">
        <v>296</v>
      </c>
      <c r="B100" s="419"/>
      <c r="C100" s="419"/>
      <c r="D100" s="419"/>
      <c r="E100" s="419"/>
      <c r="F100" s="420"/>
      <c r="K100"/>
    </row>
    <row r="101" spans="1:11" ht="15">
      <c r="A101" s="416" t="s">
        <v>234</v>
      </c>
      <c r="B101" s="417"/>
      <c r="C101" s="365"/>
      <c r="D101" s="366" t="s">
        <v>249</v>
      </c>
      <c r="E101" s="366" t="s">
        <v>250</v>
      </c>
      <c r="F101" s="366" t="s">
        <v>8</v>
      </c>
      <c r="K101"/>
    </row>
    <row r="102" spans="1:11" ht="15">
      <c r="A102" s="418" t="s">
        <v>243</v>
      </c>
      <c r="B102" s="419"/>
      <c r="C102" s="419"/>
      <c r="D102" s="419"/>
      <c r="E102" s="419"/>
      <c r="F102" s="420"/>
      <c r="K102"/>
    </row>
    <row r="103" spans="1:11" ht="14.25">
      <c r="A103" s="396">
        <v>2003</v>
      </c>
      <c r="B103" s="397"/>
      <c r="C103" s="232"/>
      <c r="D103" s="233">
        <f>'GS &lt; 50 kW'!B146/1000000</f>
        <v>20.51594049</v>
      </c>
      <c r="E103" s="233">
        <f>'GS &lt; 50 kW'!M146/1000000</f>
        <v>20.41108239173333</v>
      </c>
      <c r="F103" s="272">
        <f aca="true" t="shared" si="4" ref="F103:F111">E103/D103-1</f>
        <v>-0.005111054904735068</v>
      </c>
      <c r="K103"/>
    </row>
    <row r="104" spans="1:11" ht="14.25">
      <c r="A104" s="396">
        <v>2004</v>
      </c>
      <c r="B104" s="397"/>
      <c r="C104" s="232"/>
      <c r="D104" s="233">
        <f>'GS &lt; 50 kW'!B147/1000000</f>
        <v>19.56524363</v>
      </c>
      <c r="E104" s="233">
        <f>'GS &lt; 50 kW'!M147/1000000</f>
        <v>20.36826842542585</v>
      </c>
      <c r="F104" s="272">
        <f t="shared" si="4"/>
        <v>0.041043434501093934</v>
      </c>
      <c r="K104"/>
    </row>
    <row r="105" spans="1:11" ht="14.25">
      <c r="A105" s="396">
        <v>2005</v>
      </c>
      <c r="B105" s="397"/>
      <c r="C105" s="232"/>
      <c r="D105" s="233">
        <f>'GS &lt; 50 kW'!B148/1000000</f>
        <v>21.296193109999997</v>
      </c>
      <c r="E105" s="233">
        <f>'GS &lt; 50 kW'!M148/1000000</f>
        <v>21.269886833185666</v>
      </c>
      <c r="F105" s="272">
        <f t="shared" si="4"/>
        <v>-0.0012352572442621002</v>
      </c>
      <c r="K105"/>
    </row>
    <row r="106" spans="1:11" ht="14.25">
      <c r="A106" s="396">
        <v>2006</v>
      </c>
      <c r="B106" s="397"/>
      <c r="C106" s="232"/>
      <c r="D106" s="233">
        <f>'GS &lt; 50 kW'!B149/1000000</f>
        <v>21.17998416</v>
      </c>
      <c r="E106" s="233">
        <f>'GS &lt; 50 kW'!M149/1000000</f>
        <v>20.820869184442206</v>
      </c>
      <c r="F106" s="272">
        <f t="shared" si="4"/>
        <v>-0.016955393962758913</v>
      </c>
      <c r="K106"/>
    </row>
    <row r="107" spans="1:11" ht="14.25">
      <c r="A107" s="396">
        <v>2007</v>
      </c>
      <c r="B107" s="397"/>
      <c r="C107" s="232"/>
      <c r="D107" s="233">
        <f>'GS &lt; 50 kW'!B150/1000000</f>
        <v>20.46265285</v>
      </c>
      <c r="E107" s="233">
        <f>'GS &lt; 50 kW'!M150/1000000</f>
        <v>20.596942382689203</v>
      </c>
      <c r="F107" s="272">
        <f t="shared" si="4"/>
        <v>0.00656266485453294</v>
      </c>
      <c r="K107"/>
    </row>
    <row r="108" spans="1:11" ht="14.25">
      <c r="A108" s="396">
        <v>2008</v>
      </c>
      <c r="B108" s="397"/>
      <c r="C108" s="232"/>
      <c r="D108" s="233">
        <f>'GS &lt; 50 kW'!B151/1000000</f>
        <v>19.59908204</v>
      </c>
      <c r="E108" s="233">
        <f>'GS &lt; 50 kW'!M151/1000000</f>
        <v>20.342773360433565</v>
      </c>
      <c r="F108" s="272">
        <f t="shared" si="4"/>
        <v>0.03794521186838029</v>
      </c>
      <c r="K108"/>
    </row>
    <row r="109" spans="1:11" ht="14.25">
      <c r="A109" s="396">
        <v>2009</v>
      </c>
      <c r="B109" s="397"/>
      <c r="C109" s="232"/>
      <c r="D109" s="233">
        <f>'GS &lt; 50 kW'!B152/1000000</f>
        <v>20.149611829999998</v>
      </c>
      <c r="E109" s="233">
        <f>'GS &lt; 50 kW'!M152/1000000</f>
        <v>19.840669524613567</v>
      </c>
      <c r="F109" s="272">
        <f t="shared" si="4"/>
        <v>-0.0153324197008331</v>
      </c>
      <c r="K109"/>
    </row>
    <row r="110" spans="1:11" ht="14.25">
      <c r="A110" s="396">
        <v>2010</v>
      </c>
      <c r="B110" s="397"/>
      <c r="C110" s="232"/>
      <c r="D110" s="233">
        <f>'GS &lt; 50 kW'!B153/1000000</f>
        <v>20.409368479999998</v>
      </c>
      <c r="E110" s="233">
        <f>'GS &lt; 50 kW'!M153/1000000</f>
        <v>20.27663602086286</v>
      </c>
      <c r="F110" s="272">
        <f t="shared" si="4"/>
        <v>-0.006503506429765715</v>
      </c>
      <c r="K110"/>
    </row>
    <row r="111" spans="1:11" ht="15">
      <c r="A111" s="396">
        <v>2011</v>
      </c>
      <c r="B111" s="397"/>
      <c r="C111" s="252"/>
      <c r="D111" s="233">
        <f>'GS &lt; 50 kW'!B154/1000000</f>
        <v>20.583076520000002</v>
      </c>
      <c r="E111" s="233">
        <f>'GS &lt; 50 kW'!M154/1000000</f>
        <v>20.380221081031266</v>
      </c>
      <c r="F111" s="272">
        <f t="shared" si="4"/>
        <v>-0.009855447934210781</v>
      </c>
      <c r="K111"/>
    </row>
    <row r="112" spans="1:11" ht="15">
      <c r="A112" s="398" t="s">
        <v>251</v>
      </c>
      <c r="B112" s="399"/>
      <c r="C112" s="261"/>
      <c r="D112" s="273"/>
      <c r="E112" s="237">
        <f>'GS &lt; 50 kW'!M155/1000000</f>
        <v>20.313504700796926</v>
      </c>
      <c r="F112" s="274"/>
      <c r="K112"/>
    </row>
    <row r="113" spans="1:11" ht="15">
      <c r="A113" s="398" t="s">
        <v>252</v>
      </c>
      <c r="B113" s="399"/>
      <c r="C113" s="223"/>
      <c r="D113" s="273"/>
      <c r="E113" s="237">
        <f>'GS &lt; 50 kW'!M156/1000000</f>
        <v>20.392885970798286</v>
      </c>
      <c r="F113" s="274"/>
      <c r="K113"/>
    </row>
    <row r="114" spans="1:11" ht="15">
      <c r="A114" s="236" t="s">
        <v>253</v>
      </c>
      <c r="B114" s="223"/>
      <c r="C114" s="223"/>
      <c r="D114" s="273"/>
      <c r="E114" s="237">
        <f>'GS &lt; 50 kW'!N175/1000000</f>
        <v>20.385289850050718</v>
      </c>
      <c r="F114" s="274"/>
      <c r="K114"/>
    </row>
    <row r="115" spans="1:11" ht="15">
      <c r="A115" s="236" t="s">
        <v>254</v>
      </c>
      <c r="B115" s="232"/>
      <c r="C115" s="232"/>
      <c r="D115" s="269"/>
      <c r="E115" s="237">
        <f>'GS &lt; 50 kW'!N189/1000000</f>
        <v>20.43912141236089</v>
      </c>
      <c r="F115" s="272"/>
      <c r="K115"/>
    </row>
    <row r="116" ht="14.25">
      <c r="K116"/>
    </row>
    <row r="117" ht="14.25">
      <c r="K117"/>
    </row>
    <row r="118" spans="1:12" ht="15">
      <c r="A118" s="392" t="s">
        <v>255</v>
      </c>
      <c r="B118" s="392"/>
      <c r="C118" s="392"/>
      <c r="D118" s="392"/>
      <c r="E118" s="392"/>
      <c r="F118" s="392"/>
      <c r="G118" s="392"/>
      <c r="H118" s="392"/>
      <c r="I118" s="392"/>
      <c r="J118" s="392"/>
      <c r="K118" s="392"/>
      <c r="L118" s="241"/>
    </row>
    <row r="119" spans="1:11" ht="30">
      <c r="A119" s="390" t="s">
        <v>234</v>
      </c>
      <c r="B119" s="390"/>
      <c r="C119" s="367"/>
      <c r="D119" s="368" t="str">
        <f>D21</f>
        <v>Residential </v>
      </c>
      <c r="E119" s="368" t="str">
        <f aca="true" t="shared" si="5" ref="E119:J119">E21</f>
        <v>GS&lt;50</v>
      </c>
      <c r="F119" s="368" t="str">
        <f t="shared" si="5"/>
        <v>GS&gt;50</v>
      </c>
      <c r="G119" s="368" t="str">
        <f t="shared" si="5"/>
        <v>Street Lighting</v>
      </c>
      <c r="H119" s="368" t="str">
        <f t="shared" si="5"/>
        <v>Sentinels</v>
      </c>
      <c r="I119" s="368" t="str">
        <f t="shared" si="5"/>
        <v>USL</v>
      </c>
      <c r="J119" s="368" t="str">
        <f t="shared" si="5"/>
        <v>Intermediate </v>
      </c>
      <c r="K119" s="368" t="s">
        <v>9</v>
      </c>
    </row>
    <row r="120" spans="1:11" ht="15">
      <c r="A120" s="403" t="s">
        <v>244</v>
      </c>
      <c r="B120" s="403"/>
      <c r="C120" s="403"/>
      <c r="D120" s="403"/>
      <c r="E120" s="403"/>
      <c r="F120" s="403"/>
      <c r="G120" s="403"/>
      <c r="H120" s="403"/>
      <c r="I120" s="403"/>
      <c r="J120" s="403"/>
      <c r="K120" s="403"/>
    </row>
    <row r="121" spans="1:12" ht="14.25">
      <c r="A121" s="388">
        <f aca="true" t="shared" si="6" ref="A121:A129">A86</f>
        <v>2003</v>
      </c>
      <c r="B121" s="388"/>
      <c r="C121" s="277"/>
      <c r="D121" s="278">
        <f>'Rate Class Customer Model'!B3</f>
        <v>5082</v>
      </c>
      <c r="E121" s="278">
        <f>'Rate Class Customer Model'!C3</f>
        <v>591</v>
      </c>
      <c r="F121" s="278">
        <f>'Rate Class Customer Model'!D3</f>
        <v>51</v>
      </c>
      <c r="G121" s="278">
        <f>'Rate Class Customer Model'!F3</f>
        <v>1504</v>
      </c>
      <c r="H121" s="278">
        <f>'Rate Class Customer Model'!E3</f>
        <v>25</v>
      </c>
      <c r="I121" s="278">
        <f>'Rate Class Customer Model'!G3</f>
        <v>0</v>
      </c>
      <c r="J121" s="278">
        <f>'Rate Class Customer Model'!H3</f>
        <v>1</v>
      </c>
      <c r="K121" s="278">
        <f>SUM(D121:J121)</f>
        <v>7254</v>
      </c>
      <c r="L121" s="258"/>
    </row>
    <row r="122" spans="1:12" ht="14.25">
      <c r="A122" s="388">
        <f t="shared" si="6"/>
        <v>2004</v>
      </c>
      <c r="B122" s="388"/>
      <c r="C122" s="277"/>
      <c r="D122" s="278">
        <f>'Rate Class Customer Model'!B4</f>
        <v>5226</v>
      </c>
      <c r="E122" s="278">
        <f>'Rate Class Customer Model'!C4</f>
        <v>615</v>
      </c>
      <c r="F122" s="278">
        <f>'Rate Class Customer Model'!D4</f>
        <v>50</v>
      </c>
      <c r="G122" s="278">
        <f>'Rate Class Customer Model'!F4</f>
        <v>1519</v>
      </c>
      <c r="H122" s="278">
        <f>'Rate Class Customer Model'!E4</f>
        <v>27</v>
      </c>
      <c r="I122" s="278">
        <f>'Rate Class Customer Model'!G4</f>
        <v>0</v>
      </c>
      <c r="J122" s="278">
        <f>'Rate Class Customer Model'!H4</f>
        <v>1</v>
      </c>
      <c r="K122" s="278">
        <f aca="true" t="shared" si="7" ref="K122:K129">SUM(D122:J122)</f>
        <v>7438</v>
      </c>
      <c r="L122" s="258"/>
    </row>
    <row r="123" spans="1:12" ht="14.25">
      <c r="A123" s="388">
        <f t="shared" si="6"/>
        <v>2005</v>
      </c>
      <c r="B123" s="388"/>
      <c r="C123" s="277"/>
      <c r="D123" s="278">
        <f>'Rate Class Customer Model'!B5</f>
        <v>5360</v>
      </c>
      <c r="E123" s="278">
        <f>'Rate Class Customer Model'!C5</f>
        <v>622</v>
      </c>
      <c r="F123" s="278">
        <f>'Rate Class Customer Model'!D5</f>
        <v>51</v>
      </c>
      <c r="G123" s="278">
        <f>'Rate Class Customer Model'!F5</f>
        <v>1553</v>
      </c>
      <c r="H123" s="278">
        <f>'Rate Class Customer Model'!E5</f>
        <v>31</v>
      </c>
      <c r="I123" s="278">
        <f>'Rate Class Customer Model'!G5</f>
        <v>0</v>
      </c>
      <c r="J123" s="278">
        <f>'Rate Class Customer Model'!H5</f>
        <v>1</v>
      </c>
      <c r="K123" s="278">
        <f t="shared" si="7"/>
        <v>7618</v>
      </c>
      <c r="L123" s="258"/>
    </row>
    <row r="124" spans="1:12" ht="14.25">
      <c r="A124" s="388">
        <f t="shared" si="6"/>
        <v>2006</v>
      </c>
      <c r="B124" s="388"/>
      <c r="C124" s="277"/>
      <c r="D124" s="278">
        <f>'Rate Class Customer Model'!B6</f>
        <v>5430</v>
      </c>
      <c r="E124" s="278">
        <f>'Rate Class Customer Model'!C6</f>
        <v>637</v>
      </c>
      <c r="F124" s="278">
        <f>'Rate Class Customer Model'!D6</f>
        <v>53</v>
      </c>
      <c r="G124" s="278">
        <f>'Rate Class Customer Model'!F6</f>
        <v>1553</v>
      </c>
      <c r="H124" s="278">
        <f>'Rate Class Customer Model'!E6</f>
        <v>31</v>
      </c>
      <c r="I124" s="278">
        <f>'Rate Class Customer Model'!G6</f>
        <v>0</v>
      </c>
      <c r="J124" s="278">
        <f>'Rate Class Customer Model'!H6</f>
        <v>1</v>
      </c>
      <c r="K124" s="278">
        <f t="shared" si="7"/>
        <v>7705</v>
      </c>
      <c r="L124" s="258"/>
    </row>
    <row r="125" spans="1:12" ht="14.25">
      <c r="A125" s="388">
        <f t="shared" si="6"/>
        <v>2007</v>
      </c>
      <c r="B125" s="388"/>
      <c r="C125" s="277"/>
      <c r="D125" s="278">
        <f>'Rate Class Customer Model'!B7</f>
        <v>5492</v>
      </c>
      <c r="E125" s="278">
        <f>'Rate Class Customer Model'!C7</f>
        <v>667</v>
      </c>
      <c r="F125" s="278">
        <f>'Rate Class Customer Model'!D7</f>
        <v>53</v>
      </c>
      <c r="G125" s="278">
        <f>'Rate Class Customer Model'!F7</f>
        <v>1611</v>
      </c>
      <c r="H125" s="278">
        <f>'Rate Class Customer Model'!E7</f>
        <v>31</v>
      </c>
      <c r="I125" s="278">
        <f>'Rate Class Customer Model'!G7</f>
        <v>2</v>
      </c>
      <c r="J125" s="278">
        <f>'Rate Class Customer Model'!H7</f>
        <v>1</v>
      </c>
      <c r="K125" s="278">
        <f t="shared" si="7"/>
        <v>7857</v>
      </c>
      <c r="L125" s="258"/>
    </row>
    <row r="126" spans="1:12" ht="14.25">
      <c r="A126" s="388">
        <f t="shared" si="6"/>
        <v>2008</v>
      </c>
      <c r="B126" s="388"/>
      <c r="C126" s="277"/>
      <c r="D126" s="278">
        <f>'Rate Class Customer Model'!B8</f>
        <v>5530</v>
      </c>
      <c r="E126" s="278">
        <f>'Rate Class Customer Model'!C8</f>
        <v>674</v>
      </c>
      <c r="F126" s="278">
        <f>'Rate Class Customer Model'!D8</f>
        <v>58</v>
      </c>
      <c r="G126" s="278">
        <f>'Rate Class Customer Model'!F8</f>
        <v>1658</v>
      </c>
      <c r="H126" s="278">
        <f>'Rate Class Customer Model'!E8</f>
        <v>31</v>
      </c>
      <c r="I126" s="278">
        <f>'Rate Class Customer Model'!G8</f>
        <v>2</v>
      </c>
      <c r="J126" s="278">
        <f>'Rate Class Customer Model'!H8</f>
        <v>1</v>
      </c>
      <c r="K126" s="278">
        <f t="shared" si="7"/>
        <v>7954</v>
      </c>
      <c r="L126" s="258"/>
    </row>
    <row r="127" spans="1:12" ht="14.25">
      <c r="A127" s="388">
        <f t="shared" si="6"/>
        <v>2009</v>
      </c>
      <c r="B127" s="388"/>
      <c r="C127" s="277"/>
      <c r="D127" s="278">
        <f>'Rate Class Customer Model'!B9</f>
        <v>5576</v>
      </c>
      <c r="E127" s="278">
        <f>'Rate Class Customer Model'!C9</f>
        <v>691</v>
      </c>
      <c r="F127" s="278">
        <f>'Rate Class Customer Model'!D9</f>
        <v>60</v>
      </c>
      <c r="G127" s="278">
        <f>'Rate Class Customer Model'!F9</f>
        <v>1658</v>
      </c>
      <c r="H127" s="278">
        <f>'Rate Class Customer Model'!E9</f>
        <v>31</v>
      </c>
      <c r="I127" s="278">
        <f>'Rate Class Customer Model'!G9</f>
        <v>2</v>
      </c>
      <c r="J127" s="278">
        <f>'Rate Class Customer Model'!H9</f>
        <v>1</v>
      </c>
      <c r="K127" s="278">
        <f t="shared" si="7"/>
        <v>8019</v>
      </c>
      <c r="L127" s="258"/>
    </row>
    <row r="128" spans="1:12" ht="14.25">
      <c r="A128" s="388">
        <f t="shared" si="6"/>
        <v>2010</v>
      </c>
      <c r="B128" s="388"/>
      <c r="C128" s="277"/>
      <c r="D128" s="278">
        <f>'Rate Class Customer Model'!B10</f>
        <v>5627</v>
      </c>
      <c r="E128" s="278">
        <f>'Rate Class Customer Model'!C10</f>
        <v>705</v>
      </c>
      <c r="F128" s="278">
        <f>'Rate Class Customer Model'!D10</f>
        <v>60</v>
      </c>
      <c r="G128" s="278">
        <f>'Rate Class Customer Model'!F10</f>
        <v>1673</v>
      </c>
      <c r="H128" s="278">
        <f>'Rate Class Customer Model'!E10</f>
        <v>31</v>
      </c>
      <c r="I128" s="278">
        <f>'Rate Class Customer Model'!G10</f>
        <v>2</v>
      </c>
      <c r="J128" s="278">
        <f>'Rate Class Customer Model'!H10</f>
        <v>1</v>
      </c>
      <c r="K128" s="278">
        <f t="shared" si="7"/>
        <v>8099</v>
      </c>
      <c r="L128" s="258"/>
    </row>
    <row r="129" spans="1:12" ht="14.25">
      <c r="A129" s="388">
        <f t="shared" si="6"/>
        <v>2011</v>
      </c>
      <c r="B129" s="388"/>
      <c r="C129" s="277"/>
      <c r="D129" s="278">
        <f>'Rate Class Customer Model'!B11</f>
        <v>5711</v>
      </c>
      <c r="E129" s="278">
        <f>'Rate Class Customer Model'!C11</f>
        <v>709</v>
      </c>
      <c r="F129" s="278">
        <f>'Rate Class Customer Model'!D11</f>
        <v>59</v>
      </c>
      <c r="G129" s="278">
        <f>'Rate Class Customer Model'!F11</f>
        <v>1687</v>
      </c>
      <c r="H129" s="278">
        <f>'Rate Class Customer Model'!E11</f>
        <v>31</v>
      </c>
      <c r="I129" s="278">
        <f>'Rate Class Customer Model'!G11</f>
        <v>6</v>
      </c>
      <c r="J129" s="278">
        <f>'Rate Class Customer Model'!H11</f>
        <v>1</v>
      </c>
      <c r="K129" s="278">
        <f t="shared" si="7"/>
        <v>8204</v>
      </c>
      <c r="L129" s="258"/>
    </row>
    <row r="131" spans="1:11" ht="15">
      <c r="A131" s="392" t="s">
        <v>256</v>
      </c>
      <c r="B131" s="392"/>
      <c r="C131" s="392"/>
      <c r="D131" s="392"/>
      <c r="E131" s="392"/>
      <c r="F131" s="392"/>
      <c r="G131" s="392"/>
      <c r="H131" s="392"/>
      <c r="I131" s="392"/>
      <c r="J131" s="392"/>
      <c r="K131" s="234"/>
    </row>
    <row r="132" spans="1:11" ht="30">
      <c r="A132" s="390" t="s">
        <v>234</v>
      </c>
      <c r="B132" s="390"/>
      <c r="C132" s="367"/>
      <c r="D132" s="368" t="str">
        <f aca="true" t="shared" si="8" ref="D132:J132">D119</f>
        <v>Residential </v>
      </c>
      <c r="E132" s="368" t="str">
        <f t="shared" si="8"/>
        <v>GS&lt;50</v>
      </c>
      <c r="F132" s="368" t="str">
        <f t="shared" si="8"/>
        <v>GS&gt;50</v>
      </c>
      <c r="G132" s="368" t="str">
        <f t="shared" si="8"/>
        <v>Street Lighting</v>
      </c>
      <c r="H132" s="368" t="str">
        <f t="shared" si="8"/>
        <v>Sentinels</v>
      </c>
      <c r="I132" s="368" t="str">
        <f t="shared" si="8"/>
        <v>USL</v>
      </c>
      <c r="J132" s="368" t="str">
        <f t="shared" si="8"/>
        <v>Intermediate </v>
      </c>
      <c r="K132" s="241"/>
    </row>
    <row r="133" spans="1:10" ht="15">
      <c r="A133" s="403" t="s">
        <v>257</v>
      </c>
      <c r="B133" s="403"/>
      <c r="C133" s="403"/>
      <c r="D133" s="403"/>
      <c r="E133" s="403"/>
      <c r="F133" s="403"/>
      <c r="G133" s="403"/>
      <c r="H133" s="403"/>
      <c r="I133" s="403"/>
      <c r="J133" s="403"/>
    </row>
    <row r="134" spans="1:10" ht="14.25">
      <c r="A134" s="388">
        <f aca="true" t="shared" si="9" ref="A134:A142">A121</f>
        <v>2003</v>
      </c>
      <c r="B134" s="388"/>
      <c r="C134" s="277"/>
      <c r="D134" s="279"/>
      <c r="E134" s="279"/>
      <c r="F134" s="279"/>
      <c r="G134" s="279"/>
      <c r="H134" s="279"/>
      <c r="I134" s="279"/>
      <c r="J134" s="279"/>
    </row>
    <row r="135" spans="1:10" ht="14.25">
      <c r="A135" s="388">
        <f t="shared" si="9"/>
        <v>2004</v>
      </c>
      <c r="B135" s="388"/>
      <c r="C135" s="277"/>
      <c r="D135" s="279">
        <f aca="true" t="shared" si="10" ref="D135:H140">D122/D121-1</f>
        <v>0.02833530106257376</v>
      </c>
      <c r="E135" s="279">
        <f t="shared" si="10"/>
        <v>0.04060913705583746</v>
      </c>
      <c r="F135" s="279">
        <f t="shared" si="10"/>
        <v>-0.019607843137254943</v>
      </c>
      <c r="G135" s="279">
        <f t="shared" si="10"/>
        <v>0.00997340425531923</v>
      </c>
      <c r="H135" s="279">
        <f t="shared" si="10"/>
        <v>0.08000000000000007</v>
      </c>
      <c r="I135" s="279"/>
      <c r="J135" s="279">
        <f aca="true" t="shared" si="11" ref="J135:J142">J122/J121-1</f>
        <v>0</v>
      </c>
    </row>
    <row r="136" spans="1:10" ht="14.25">
      <c r="A136" s="388">
        <f t="shared" si="9"/>
        <v>2005</v>
      </c>
      <c r="B136" s="388"/>
      <c r="C136" s="277"/>
      <c r="D136" s="279">
        <f t="shared" si="10"/>
        <v>0.02564102564102555</v>
      </c>
      <c r="E136" s="279">
        <f t="shared" si="10"/>
        <v>0.011382113821138296</v>
      </c>
      <c r="F136" s="279">
        <f t="shared" si="10"/>
        <v>0.020000000000000018</v>
      </c>
      <c r="G136" s="279">
        <f t="shared" si="10"/>
        <v>0.022383146807109844</v>
      </c>
      <c r="H136" s="279">
        <f>H123/H122-1</f>
        <v>0.14814814814814814</v>
      </c>
      <c r="I136" s="279"/>
      <c r="J136" s="279">
        <f t="shared" si="11"/>
        <v>0</v>
      </c>
    </row>
    <row r="137" spans="1:13" ht="14.25">
      <c r="A137" s="388">
        <f t="shared" si="9"/>
        <v>2006</v>
      </c>
      <c r="B137" s="388"/>
      <c r="C137" s="277"/>
      <c r="D137" s="279">
        <f t="shared" si="10"/>
        <v>0.013059701492537323</v>
      </c>
      <c r="E137" s="279">
        <f t="shared" si="10"/>
        <v>0.02411575562700974</v>
      </c>
      <c r="F137" s="279">
        <f t="shared" si="10"/>
        <v>0.03921568627450989</v>
      </c>
      <c r="G137" s="279">
        <f t="shared" si="10"/>
        <v>0</v>
      </c>
      <c r="H137" s="279">
        <f>H124/H123-1</f>
        <v>0</v>
      </c>
      <c r="I137" s="279"/>
      <c r="J137" s="279">
        <f t="shared" si="11"/>
        <v>0</v>
      </c>
      <c r="M137" s="280"/>
    </row>
    <row r="138" spans="1:10" ht="14.25">
      <c r="A138" s="388">
        <f t="shared" si="9"/>
        <v>2007</v>
      </c>
      <c r="B138" s="388"/>
      <c r="C138" s="277"/>
      <c r="D138" s="279">
        <f t="shared" si="10"/>
        <v>0.011418047882136184</v>
      </c>
      <c r="E138" s="279">
        <f t="shared" si="10"/>
        <v>0.047095761381475754</v>
      </c>
      <c r="F138" s="279">
        <f t="shared" si="10"/>
        <v>0</v>
      </c>
      <c r="G138" s="279">
        <f t="shared" si="10"/>
        <v>0.03734707018673533</v>
      </c>
      <c r="H138" s="279">
        <f>H125/H124-1</f>
        <v>0</v>
      </c>
      <c r="I138" s="279"/>
      <c r="J138" s="279">
        <f t="shared" si="11"/>
        <v>0</v>
      </c>
    </row>
    <row r="139" spans="1:10" ht="14.25">
      <c r="A139" s="388">
        <f t="shared" si="9"/>
        <v>2008</v>
      </c>
      <c r="B139" s="388"/>
      <c r="C139" s="277"/>
      <c r="D139" s="279">
        <f t="shared" si="10"/>
        <v>0.006919155134741395</v>
      </c>
      <c r="E139" s="279">
        <f t="shared" si="10"/>
        <v>0.010494752623688264</v>
      </c>
      <c r="F139" s="279">
        <f t="shared" si="10"/>
        <v>0.09433962264150941</v>
      </c>
      <c r="G139" s="279">
        <f t="shared" si="10"/>
        <v>0.02917442582247043</v>
      </c>
      <c r="H139" s="279">
        <f>H126/H125-1</f>
        <v>0</v>
      </c>
      <c r="I139" s="279">
        <f>I126/I125-1</f>
        <v>0</v>
      </c>
      <c r="J139" s="279">
        <f t="shared" si="11"/>
        <v>0</v>
      </c>
    </row>
    <row r="140" spans="1:10" ht="14.25">
      <c r="A140" s="388">
        <f t="shared" si="9"/>
        <v>2009</v>
      </c>
      <c r="B140" s="388"/>
      <c r="C140" s="277"/>
      <c r="D140" s="279">
        <f t="shared" si="10"/>
        <v>0.008318264014466559</v>
      </c>
      <c r="E140" s="279">
        <f t="shared" si="10"/>
        <v>0.02522255192878342</v>
      </c>
      <c r="F140" s="279">
        <f t="shared" si="10"/>
        <v>0.034482758620689724</v>
      </c>
      <c r="G140" s="279">
        <f t="shared" si="10"/>
        <v>0</v>
      </c>
      <c r="H140" s="279">
        <f>H127/H126-1</f>
        <v>0</v>
      </c>
      <c r="I140" s="279">
        <f>I127/I126-1</f>
        <v>0</v>
      </c>
      <c r="J140" s="279">
        <f t="shared" si="11"/>
        <v>0</v>
      </c>
    </row>
    <row r="141" spans="1:10" ht="14.25">
      <c r="A141" s="388">
        <f t="shared" si="9"/>
        <v>2010</v>
      </c>
      <c r="B141" s="388"/>
      <c r="C141" s="277"/>
      <c r="D141" s="279">
        <f aca="true" t="shared" si="12" ref="D141:H142">D128/D127-1</f>
        <v>0.009146341463414531</v>
      </c>
      <c r="E141" s="279">
        <f t="shared" si="12"/>
        <v>0.02026049204052094</v>
      </c>
      <c r="F141" s="279">
        <f t="shared" si="12"/>
        <v>0</v>
      </c>
      <c r="G141" s="279">
        <f t="shared" si="12"/>
        <v>0.009047044632086942</v>
      </c>
      <c r="H141" s="279">
        <f t="shared" si="12"/>
        <v>0</v>
      </c>
      <c r="I141" s="279">
        <f>I128/I127-1</f>
        <v>0</v>
      </c>
      <c r="J141" s="279">
        <f t="shared" si="11"/>
        <v>0</v>
      </c>
    </row>
    <row r="142" spans="1:10" ht="14.25">
      <c r="A142" s="388">
        <f t="shared" si="9"/>
        <v>2011</v>
      </c>
      <c r="B142" s="388"/>
      <c r="C142" s="277"/>
      <c r="D142" s="279">
        <f t="shared" si="12"/>
        <v>0.014928025590901006</v>
      </c>
      <c r="E142" s="279">
        <f t="shared" si="12"/>
        <v>0.005673758865248235</v>
      </c>
      <c r="F142" s="279">
        <f t="shared" si="12"/>
        <v>-0.01666666666666672</v>
      </c>
      <c r="G142" s="279">
        <f t="shared" si="12"/>
        <v>0.008368200836819994</v>
      </c>
      <c r="H142" s="279">
        <f t="shared" si="12"/>
        <v>0</v>
      </c>
      <c r="I142" s="279">
        <f>I129/I128-1</f>
        <v>2</v>
      </c>
      <c r="J142" s="279">
        <f t="shared" si="11"/>
        <v>0</v>
      </c>
    </row>
    <row r="143" spans="1:10" ht="15">
      <c r="A143" s="403" t="s">
        <v>258</v>
      </c>
      <c r="B143" s="403"/>
      <c r="C143" s="230"/>
      <c r="D143" s="281">
        <f>'Rate Class Customer Model'!B27-1</f>
        <v>0.012758991940401199</v>
      </c>
      <c r="E143" s="281">
        <f>'Rate Class Customer Model'!C27-1</f>
        <v>0.020526873887589003</v>
      </c>
      <c r="F143" s="281">
        <f>'Rate Class Customer Model'!D27-1</f>
        <v>0.02392667722639641</v>
      </c>
      <c r="G143" s="281">
        <f>'Rate Class Customer Model'!F29-1</f>
        <v>0.01509850219095843</v>
      </c>
      <c r="H143" s="281">
        <f>'Rate Class Customer Model'!E29-1</f>
        <v>0.019931800330914795</v>
      </c>
      <c r="I143" s="281">
        <f>'Rate Class Customer Model'!G29-1</f>
        <v>0.3160740129524926</v>
      </c>
      <c r="J143" s="281">
        <f>'Rate Class Customer Model'!H29-1</f>
        <v>0</v>
      </c>
    </row>
    <row r="144" spans="9:12" ht="14.25">
      <c r="I144"/>
      <c r="J144"/>
      <c r="L144" s="234"/>
    </row>
    <row r="145" spans="1:12" ht="15">
      <c r="A145" s="392" t="s">
        <v>259</v>
      </c>
      <c r="B145" s="392"/>
      <c r="C145" s="392"/>
      <c r="D145" s="392"/>
      <c r="E145" s="392"/>
      <c r="F145" s="392"/>
      <c r="G145" s="392"/>
      <c r="H145" s="392"/>
      <c r="I145" s="392"/>
      <c r="J145" s="392"/>
      <c r="K145" s="392"/>
      <c r="L145" s="241"/>
    </row>
    <row r="146" spans="1:11" ht="30">
      <c r="A146" s="413" t="s">
        <v>234</v>
      </c>
      <c r="B146" s="413"/>
      <c r="C146" s="369"/>
      <c r="D146" s="368" t="str">
        <f aca="true" t="shared" si="13" ref="D146:J146">D119</f>
        <v>Residential </v>
      </c>
      <c r="E146" s="368" t="str">
        <f t="shared" si="13"/>
        <v>GS&lt;50</v>
      </c>
      <c r="F146" s="368" t="str">
        <f t="shared" si="13"/>
        <v>GS&gt;50</v>
      </c>
      <c r="G146" s="368" t="str">
        <f t="shared" si="13"/>
        <v>Street Lighting</v>
      </c>
      <c r="H146" s="368" t="str">
        <f t="shared" si="13"/>
        <v>Sentinels</v>
      </c>
      <c r="I146" s="368" t="str">
        <f t="shared" si="13"/>
        <v>USL</v>
      </c>
      <c r="J146" s="368" t="str">
        <f t="shared" si="13"/>
        <v>Intermediate </v>
      </c>
      <c r="K146" s="368" t="s">
        <v>9</v>
      </c>
    </row>
    <row r="147" spans="1:11" ht="15">
      <c r="A147" s="403" t="s">
        <v>260</v>
      </c>
      <c r="B147" s="403"/>
      <c r="C147" s="403"/>
      <c r="D147" s="403"/>
      <c r="E147" s="403"/>
      <c r="F147" s="403"/>
      <c r="G147" s="403"/>
      <c r="H147" s="403"/>
      <c r="I147" s="403"/>
      <c r="J147" s="403"/>
      <c r="K147" s="403"/>
    </row>
    <row r="148" spans="1:12" ht="15">
      <c r="A148" s="412">
        <v>2012</v>
      </c>
      <c r="B148" s="412"/>
      <c r="C148" s="282"/>
      <c r="D148" s="283">
        <f>D129*(1+D143)</f>
        <v>5783.866602971631</v>
      </c>
      <c r="E148" s="283">
        <f aca="true" t="shared" si="14" ref="E148:J148">E129*(1+E143)</f>
        <v>723.5535535863006</v>
      </c>
      <c r="F148" s="283">
        <f t="shared" si="14"/>
        <v>60.41167395635739</v>
      </c>
      <c r="G148" s="283">
        <f t="shared" si="14"/>
        <v>1712.4711731961468</v>
      </c>
      <c r="H148" s="283">
        <f>H129</f>
        <v>31</v>
      </c>
      <c r="I148" s="283">
        <v>8</v>
      </c>
      <c r="J148" s="283">
        <f t="shared" si="14"/>
        <v>1</v>
      </c>
      <c r="K148" s="283">
        <f>SUM(D148:J148)</f>
        <v>8320.303003710436</v>
      </c>
      <c r="L148" s="258"/>
    </row>
    <row r="149" spans="1:12" ht="15">
      <c r="A149" s="412">
        <v>2013</v>
      </c>
      <c r="B149" s="412"/>
      <c r="C149" s="277"/>
      <c r="D149" s="283">
        <f>D148*(1+D143)</f>
        <v>5857.662910343302</v>
      </c>
      <c r="E149" s="283">
        <f aca="true" t="shared" si="15" ref="E149:J149">E148*(1+E143)</f>
        <v>738.4058461316835</v>
      </c>
      <c r="F149" s="283">
        <f t="shared" si="15"/>
        <v>61.85712457981745</v>
      </c>
      <c r="G149" s="283">
        <f t="shared" si="15"/>
        <v>1738.326922956602</v>
      </c>
      <c r="H149" s="283">
        <f>H148</f>
        <v>31</v>
      </c>
      <c r="I149" s="283">
        <v>10</v>
      </c>
      <c r="J149" s="283">
        <f t="shared" si="15"/>
        <v>1</v>
      </c>
      <c r="K149" s="283">
        <f>SUM(D149:J149)</f>
        <v>8438.252804011405</v>
      </c>
      <c r="L149" s="258"/>
    </row>
    <row r="150" ht="14.25">
      <c r="K150"/>
    </row>
    <row r="151" spans="1:10" ht="15">
      <c r="A151" s="392" t="s">
        <v>261</v>
      </c>
      <c r="B151" s="392"/>
      <c r="C151" s="392"/>
      <c r="D151" s="392"/>
      <c r="E151" s="392"/>
      <c r="F151" s="392"/>
      <c r="G151" s="392"/>
      <c r="H151" s="392"/>
      <c r="I151"/>
      <c r="J151"/>
    </row>
    <row r="152" spans="1:11" ht="30">
      <c r="A152" s="413" t="s">
        <v>234</v>
      </c>
      <c r="B152" s="413"/>
      <c r="C152" s="367"/>
      <c r="D152" s="368" t="str">
        <f>F146</f>
        <v>GS&gt;50</v>
      </c>
      <c r="E152" s="368" t="str">
        <f>G146</f>
        <v>Street Lighting</v>
      </c>
      <c r="F152" s="368" t="str">
        <f>H146</f>
        <v>Sentinels</v>
      </c>
      <c r="G152" s="368" t="str">
        <f>I146</f>
        <v>USL</v>
      </c>
      <c r="H152" s="368" t="str">
        <f>J146</f>
        <v>Intermediate </v>
      </c>
      <c r="I152"/>
      <c r="J152"/>
      <c r="K152" s="241"/>
    </row>
    <row r="153" spans="1:11" ht="15">
      <c r="A153" s="403" t="s">
        <v>262</v>
      </c>
      <c r="B153" s="403"/>
      <c r="C153" s="403"/>
      <c r="D153" s="403"/>
      <c r="E153" s="403"/>
      <c r="F153" s="403"/>
      <c r="G153" s="403"/>
      <c r="H153" s="403"/>
      <c r="I153"/>
      <c r="J153"/>
      <c r="K153" s="285"/>
    </row>
    <row r="154" spans="1:11" ht="15">
      <c r="A154" s="388">
        <f aca="true" t="shared" si="16" ref="A154:A162">A134</f>
        <v>2003</v>
      </c>
      <c r="B154" s="388"/>
      <c r="C154" s="277"/>
      <c r="D154" s="278">
        <f>'Rate Class Energy Model'!J25</f>
        <v>1235586.8939215685</v>
      </c>
      <c r="E154" s="278">
        <f>'Rate Class Energy Model'!L25</f>
        <v>725.450658244681</v>
      </c>
      <c r="F154" s="278">
        <f>'Rate Class Energy Model'!K25</f>
        <v>1911.1320000000005</v>
      </c>
      <c r="G154" s="278">
        <f>'Rate Class Energy Model'!M25</f>
        <v>0</v>
      </c>
      <c r="H154" s="278">
        <f>'Rate Class Energy Model'!N25</f>
        <v>22886426.08</v>
      </c>
      <c r="I154"/>
      <c r="J154"/>
      <c r="K154" s="286"/>
    </row>
    <row r="155" spans="1:11" ht="15">
      <c r="A155" s="388">
        <f t="shared" si="16"/>
        <v>2004</v>
      </c>
      <c r="B155" s="388"/>
      <c r="C155" s="277"/>
      <c r="D155" s="278">
        <f>'Rate Class Energy Model'!J26</f>
        <v>1294215.2172</v>
      </c>
      <c r="E155" s="278">
        <f>'Rate Class Energy Model'!L26</f>
        <v>738.7040986609611</v>
      </c>
      <c r="F155" s="278">
        <f>'Rate Class Energy Model'!K26</f>
        <v>1422.8296296296296</v>
      </c>
      <c r="G155" s="278">
        <f>'Rate Class Energy Model'!M26</f>
        <v>0</v>
      </c>
      <c r="H155" s="278">
        <f>'Rate Class Energy Model'!N26</f>
        <v>22994438.16</v>
      </c>
      <c r="I155"/>
      <c r="J155"/>
      <c r="K155" s="287"/>
    </row>
    <row r="156" spans="1:11" ht="15">
      <c r="A156" s="388">
        <f t="shared" si="16"/>
        <v>2005</v>
      </c>
      <c r="B156" s="388"/>
      <c r="C156" s="277"/>
      <c r="D156" s="278">
        <f>'Rate Class Energy Model'!J27</f>
        <v>1223136.9325490196</v>
      </c>
      <c r="E156" s="278">
        <f>'Rate Class Energy Model'!L27</f>
        <v>730.374817431423</v>
      </c>
      <c r="F156" s="278">
        <f>'Rate Class Energy Model'!K27</f>
        <v>1411.830322580645</v>
      </c>
      <c r="G156" s="278">
        <f>'Rate Class Energy Model'!M27</f>
        <v>0</v>
      </c>
      <c r="H156" s="278">
        <f>'Rate Class Energy Model'!N27</f>
        <v>21808580.509999998</v>
      </c>
      <c r="I156"/>
      <c r="J156"/>
      <c r="K156" s="287"/>
    </row>
    <row r="157" spans="1:10" ht="14.25">
      <c r="A157" s="388">
        <f t="shared" si="16"/>
        <v>2006</v>
      </c>
      <c r="B157" s="388"/>
      <c r="C157" s="277"/>
      <c r="D157" s="278">
        <f>'Rate Class Energy Model'!J28</f>
        <v>1187518.0026415093</v>
      </c>
      <c r="E157" s="278">
        <f>'Rate Class Energy Model'!L28</f>
        <v>727.7530518010302</v>
      </c>
      <c r="F157" s="278">
        <f>'Rate Class Energy Model'!K28</f>
        <v>1492.5461290322582</v>
      </c>
      <c r="G157" s="278">
        <f>'Rate Class Energy Model'!M28</f>
        <v>0</v>
      </c>
      <c r="H157" s="278">
        <f>'Rate Class Energy Model'!N28</f>
        <v>19020064.8</v>
      </c>
      <c r="I157"/>
      <c r="J157"/>
    </row>
    <row r="158" spans="1:11" ht="14.25">
      <c r="A158" s="388">
        <f t="shared" si="16"/>
        <v>2007</v>
      </c>
      <c r="B158" s="388"/>
      <c r="C158" s="277"/>
      <c r="D158" s="278">
        <f>'Rate Class Energy Model'!J29</f>
        <v>1156161.276792453</v>
      </c>
      <c r="E158" s="278">
        <f>'Rate Class Energy Model'!L29</f>
        <v>696.3897889509622</v>
      </c>
      <c r="F158" s="278">
        <f>'Rate Class Energy Model'!K29</f>
        <v>1428.631290322581</v>
      </c>
      <c r="G158" s="278">
        <f>'Rate Class Energy Model'!M29</f>
        <v>150760.675</v>
      </c>
      <c r="H158" s="278">
        <f>'Rate Class Energy Model'!N29</f>
        <v>20647752</v>
      </c>
      <c r="I158"/>
      <c r="J158"/>
      <c r="K158" s="241"/>
    </row>
    <row r="159" spans="1:10" ht="14.25">
      <c r="A159" s="388">
        <f t="shared" si="16"/>
        <v>2008</v>
      </c>
      <c r="B159" s="388"/>
      <c r="C159" s="277"/>
      <c r="D159" s="278">
        <f>'Rate Class Energy Model'!J30</f>
        <v>1153427.9377586206</v>
      </c>
      <c r="E159" s="278">
        <f>'Rate Class Energy Model'!L30</f>
        <v>687.7786851628468</v>
      </c>
      <c r="F159" s="278">
        <f>'Rate Class Energy Model'!K30</f>
        <v>1478.0906451612905</v>
      </c>
      <c r="G159" s="278">
        <f>'Rate Class Energy Model'!M30</f>
        <v>200697.175</v>
      </c>
      <c r="H159" s="278">
        <f>'Rate Class Energy Model'!N30</f>
        <v>21799117.200000003</v>
      </c>
      <c r="I159"/>
      <c r="J159"/>
    </row>
    <row r="160" spans="1:10" ht="14.25">
      <c r="A160" s="388">
        <f t="shared" si="16"/>
        <v>2009</v>
      </c>
      <c r="B160" s="388"/>
      <c r="C160" s="277"/>
      <c r="D160" s="278">
        <f>'Rate Class Energy Model'!J31</f>
        <v>1040118.5838333333</v>
      </c>
      <c r="E160" s="278">
        <f>'Rate Class Energy Model'!L31</f>
        <v>687.5260735826297</v>
      </c>
      <c r="F160" s="278">
        <f>'Rate Class Energy Model'!K31</f>
        <v>1489.26935483871</v>
      </c>
      <c r="G160" s="278">
        <f>'Rate Class Energy Model'!M31</f>
        <v>200221.58000000002</v>
      </c>
      <c r="H160" s="278">
        <f>'Rate Class Energy Model'!N31</f>
        <v>18664981.2</v>
      </c>
      <c r="I160"/>
      <c r="J160"/>
    </row>
    <row r="161" spans="1:10" ht="14.25">
      <c r="A161" s="388">
        <f t="shared" si="16"/>
        <v>2010</v>
      </c>
      <c r="B161" s="388"/>
      <c r="C161" s="277"/>
      <c r="D161" s="278">
        <f>'Rate Class Energy Model'!J32</f>
        <v>1072944.7291666665</v>
      </c>
      <c r="E161" s="278">
        <f>'Rate Class Energy Model'!L32</f>
        <v>681.2132456664674</v>
      </c>
      <c r="F161" s="278">
        <f>'Rate Class Energy Model'!K32</f>
        <v>1387.5403225806451</v>
      </c>
      <c r="G161" s="278">
        <f>'Rate Class Energy Model'!M32</f>
        <v>226500.715</v>
      </c>
      <c r="H161" s="278">
        <f>'Rate Class Energy Model'!N32</f>
        <v>17729306.4</v>
      </c>
      <c r="I161"/>
      <c r="J161"/>
    </row>
    <row r="162" spans="1:10" ht="14.25">
      <c r="A162" s="388">
        <f t="shared" si="16"/>
        <v>2011</v>
      </c>
      <c r="B162" s="388"/>
      <c r="C162" s="277"/>
      <c r="D162" s="278">
        <f>'Rate Class Energy Model'!J33</f>
        <v>1041402.651694915</v>
      </c>
      <c r="E162" s="278">
        <f>'Rate Class Energy Model'!L33</f>
        <v>668.1480082987553</v>
      </c>
      <c r="F162" s="278">
        <f>'Rate Class Energy Model'!K33</f>
        <v>1331.569677419355</v>
      </c>
      <c r="G162" s="278">
        <f>'Rate Class Energy Model'!M33</f>
        <v>82334.28333333334</v>
      </c>
      <c r="H162" s="278">
        <f>'Rate Class Energy Model'!N33</f>
        <v>18104643.6</v>
      </c>
      <c r="I162" s="289"/>
      <c r="J162" s="289"/>
    </row>
    <row r="164" spans="1:10" ht="15">
      <c r="A164" s="392" t="s">
        <v>263</v>
      </c>
      <c r="B164" s="392"/>
      <c r="C164" s="392"/>
      <c r="D164" s="392"/>
      <c r="E164" s="392"/>
      <c r="F164" s="392"/>
      <c r="G164" s="392"/>
      <c r="H164" s="392"/>
      <c r="I164"/>
      <c r="J164"/>
    </row>
    <row r="165" spans="1:11" ht="30">
      <c r="A165" s="413" t="s">
        <v>234</v>
      </c>
      <c r="B165" s="413"/>
      <c r="C165" s="367"/>
      <c r="D165" s="366" t="str">
        <f>D152</f>
        <v>GS&gt;50</v>
      </c>
      <c r="E165" s="366" t="str">
        <f>E152</f>
        <v>Street Lighting</v>
      </c>
      <c r="F165" s="366" t="str">
        <f>F152</f>
        <v>Sentinels</v>
      </c>
      <c r="G165" s="366" t="str">
        <f>G152</f>
        <v>USL</v>
      </c>
      <c r="H165" s="366" t="str">
        <f>H152</f>
        <v>Intermediate </v>
      </c>
      <c r="I165"/>
      <c r="J165"/>
      <c r="K165" s="290"/>
    </row>
    <row r="166" spans="1:11" ht="15">
      <c r="A166" s="403" t="s">
        <v>264</v>
      </c>
      <c r="B166" s="403"/>
      <c r="C166" s="403"/>
      <c r="D166" s="403"/>
      <c r="E166" s="403"/>
      <c r="F166" s="403"/>
      <c r="G166" s="403"/>
      <c r="H166" s="133"/>
      <c r="I166"/>
      <c r="J166"/>
      <c r="K166" s="285"/>
    </row>
    <row r="167" spans="1:11" ht="15">
      <c r="A167" s="388">
        <f aca="true" t="shared" si="17" ref="A167:A175">A154</f>
        <v>2003</v>
      </c>
      <c r="B167" s="388"/>
      <c r="C167" s="277"/>
      <c r="D167" s="279"/>
      <c r="E167" s="279"/>
      <c r="F167" s="279"/>
      <c r="G167" s="279"/>
      <c r="H167" s="279"/>
      <c r="I167"/>
      <c r="J167"/>
      <c r="K167" s="286"/>
    </row>
    <row r="168" spans="1:11" ht="15">
      <c r="A168" s="388">
        <f t="shared" si="17"/>
        <v>2004</v>
      </c>
      <c r="B168" s="388"/>
      <c r="C168" s="277"/>
      <c r="D168" s="279">
        <f aca="true" t="shared" si="18" ref="D168:F175">D155/D154-1</f>
        <v>0.047449777564695594</v>
      </c>
      <c r="E168" s="279">
        <f t="shared" si="18"/>
        <v>0.018269251348325355</v>
      </c>
      <c r="F168" s="279">
        <f t="shared" si="18"/>
        <v>-0.2555042615425679</v>
      </c>
      <c r="G168" s="279"/>
      <c r="H168" s="279">
        <f aca="true" t="shared" si="19" ref="H168:H175">H155/H154-1</f>
        <v>0.004719482177883316</v>
      </c>
      <c r="I168"/>
      <c r="J168"/>
      <c r="K168" s="287"/>
    </row>
    <row r="169" spans="1:11" ht="15">
      <c r="A169" s="388">
        <f t="shared" si="17"/>
        <v>2005</v>
      </c>
      <c r="B169" s="388"/>
      <c r="C169" s="277"/>
      <c r="D169" s="279">
        <f t="shared" si="18"/>
        <v>-0.054919988349972026</v>
      </c>
      <c r="E169" s="279">
        <f t="shared" si="18"/>
        <v>-0.011275531359087432</v>
      </c>
      <c r="F169" s="279">
        <f t="shared" si="18"/>
        <v>-0.00773058616430955</v>
      </c>
      <c r="G169" s="279"/>
      <c r="H169" s="279">
        <f t="shared" si="19"/>
        <v>-0.05157149923597015</v>
      </c>
      <c r="I169"/>
      <c r="J169"/>
      <c r="K169" s="287"/>
    </row>
    <row r="170" spans="1:11" ht="15">
      <c r="A170" s="388">
        <f t="shared" si="17"/>
        <v>2006</v>
      </c>
      <c r="B170" s="388"/>
      <c r="C170" s="277"/>
      <c r="D170" s="279">
        <f t="shared" si="18"/>
        <v>-0.02912096672061104</v>
      </c>
      <c r="E170" s="279">
        <f t="shared" si="18"/>
        <v>-0.003589616684229413</v>
      </c>
      <c r="F170" s="279">
        <f t="shared" si="18"/>
        <v>0.05717103901273002</v>
      </c>
      <c r="G170" s="279"/>
      <c r="H170" s="279">
        <f t="shared" si="19"/>
        <v>-0.1278632375326475</v>
      </c>
      <c r="I170"/>
      <c r="J170"/>
      <c r="K170" s="286"/>
    </row>
    <row r="171" spans="1:11" ht="15">
      <c r="A171" s="388">
        <f t="shared" si="17"/>
        <v>2007</v>
      </c>
      <c r="B171" s="388"/>
      <c r="C171" s="277"/>
      <c r="D171" s="279">
        <f t="shared" si="18"/>
        <v>-0.0264052635659473</v>
      </c>
      <c r="E171" s="279">
        <f t="shared" si="18"/>
        <v>-0.04309602381254307</v>
      </c>
      <c r="F171" s="279">
        <f t="shared" si="18"/>
        <v>-0.04282268900534325</v>
      </c>
      <c r="G171" s="279"/>
      <c r="H171" s="279">
        <f t="shared" si="19"/>
        <v>0.0855773740581578</v>
      </c>
      <c r="I171"/>
      <c r="J171"/>
      <c r="K171" s="291"/>
    </row>
    <row r="172" spans="1:11" ht="15">
      <c r="A172" s="388">
        <f t="shared" si="17"/>
        <v>2008</v>
      </c>
      <c r="B172" s="388"/>
      <c r="C172" s="277"/>
      <c r="D172" s="279">
        <f t="shared" si="18"/>
        <v>-0.002364150303853285</v>
      </c>
      <c r="E172" s="279">
        <f t="shared" si="18"/>
        <v>-0.012365350447034906</v>
      </c>
      <c r="F172" s="279">
        <f t="shared" si="18"/>
        <v>0.034620097693325524</v>
      </c>
      <c r="G172" s="279">
        <f>G159/G158-1</f>
        <v>0.3312302760650283</v>
      </c>
      <c r="H172" s="279">
        <f t="shared" si="19"/>
        <v>0.055762254409099876</v>
      </c>
      <c r="I172"/>
      <c r="J172"/>
      <c r="K172" s="291"/>
    </row>
    <row r="173" spans="1:11" ht="15">
      <c r="A173" s="388">
        <f t="shared" si="17"/>
        <v>2009</v>
      </c>
      <c r="B173" s="388"/>
      <c r="C173" s="277"/>
      <c r="D173" s="279">
        <f t="shared" si="18"/>
        <v>-0.09823704647337894</v>
      </c>
      <c r="E173" s="279">
        <f t="shared" si="18"/>
        <v>-0.0003672861425726426</v>
      </c>
      <c r="F173" s="279">
        <f t="shared" si="18"/>
        <v>0.007562939197277352</v>
      </c>
      <c r="G173" s="279">
        <f>G160/G159-1</f>
        <v>-0.0023697144715663088</v>
      </c>
      <c r="H173" s="279">
        <f t="shared" si="19"/>
        <v>-0.1437735285904148</v>
      </c>
      <c r="I173"/>
      <c r="J173"/>
      <c r="K173" s="286"/>
    </row>
    <row r="174" spans="1:20" ht="15">
      <c r="A174" s="388">
        <f t="shared" si="17"/>
        <v>2010</v>
      </c>
      <c r="B174" s="388"/>
      <c r="C174" s="277"/>
      <c r="D174" s="279">
        <f t="shared" si="18"/>
        <v>0.03156000271849124</v>
      </c>
      <c r="E174" s="279">
        <f t="shared" si="18"/>
        <v>-0.009181946923506157</v>
      </c>
      <c r="F174" s="279">
        <f t="shared" si="18"/>
        <v>-0.06830801421350818</v>
      </c>
      <c r="G174" s="279">
        <f>G161/G160-1</f>
        <v>0.13125026283380636</v>
      </c>
      <c r="H174" s="279">
        <f t="shared" si="19"/>
        <v>-0.050129962091791436</v>
      </c>
      <c r="I174"/>
      <c r="J174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</row>
    <row r="175" spans="1:20" ht="15">
      <c r="A175" s="388">
        <f t="shared" si="17"/>
        <v>2011</v>
      </c>
      <c r="B175" s="388"/>
      <c r="C175" s="277"/>
      <c r="D175" s="279">
        <f t="shared" si="18"/>
        <v>-0.029397672232613137</v>
      </c>
      <c r="E175" s="279">
        <f t="shared" si="18"/>
        <v>-0.01917936483300431</v>
      </c>
      <c r="F175" s="279">
        <f t="shared" si="18"/>
        <v>-0.04033803144343362</v>
      </c>
      <c r="G175" s="279">
        <f>G162/G161-1</f>
        <v>-0.636494377806563</v>
      </c>
      <c r="H175" s="279">
        <f t="shared" si="19"/>
        <v>0.02117043901954352</v>
      </c>
      <c r="I175"/>
      <c r="J175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</row>
    <row r="176" spans="1:11" ht="15">
      <c r="A176" s="403" t="str">
        <f>A143</f>
        <v>Geometric Mean</v>
      </c>
      <c r="B176" s="403"/>
      <c r="C176" s="230"/>
      <c r="D176" s="281">
        <f>'Rate Class Energy Model'!J47-1</f>
        <v>-0.021145428863943883</v>
      </c>
      <c r="E176" s="281">
        <f>'Rate Class Energy Model'!L47-1</f>
        <v>-0.010232703602811699</v>
      </c>
      <c r="F176" s="281">
        <f>'Rate Class Energy Model'!K47-1</f>
        <v>-0.044162309557545965</v>
      </c>
      <c r="G176" s="281">
        <f>'Rate Class Energy Model'!M47-1</f>
        <v>-0.14034704754503324</v>
      </c>
      <c r="H176" s="281">
        <f>'Rate Class Energy Model'!N47-1</f>
        <v>-0.028871946252723824</v>
      </c>
      <c r="I176"/>
      <c r="J176"/>
      <c r="K176" s="293"/>
    </row>
    <row r="177" ht="15">
      <c r="K177" s="293"/>
    </row>
    <row r="178" spans="1:10" ht="15" customHeight="1">
      <c r="A178" s="392" t="s">
        <v>265</v>
      </c>
      <c r="B178" s="392"/>
      <c r="C178" s="392"/>
      <c r="D178" s="392"/>
      <c r="E178" s="392"/>
      <c r="F178" s="392"/>
      <c r="G178" s="392"/>
      <c r="H178" s="392"/>
      <c r="I178"/>
      <c r="J178"/>
    </row>
    <row r="179" spans="1:10" ht="30" customHeight="1">
      <c r="A179" s="416" t="s">
        <v>234</v>
      </c>
      <c r="B179" s="421"/>
      <c r="C179" s="367"/>
      <c r="D179" s="366" t="str">
        <f>D165</f>
        <v>GS&gt;50</v>
      </c>
      <c r="E179" s="366" t="str">
        <f>E165</f>
        <v>Street Lighting</v>
      </c>
      <c r="F179" s="366" t="str">
        <f>F165</f>
        <v>Sentinels</v>
      </c>
      <c r="G179" s="366" t="str">
        <f>G165</f>
        <v>USL</v>
      </c>
      <c r="H179" s="366" t="str">
        <f>H165</f>
        <v>Intermediate </v>
      </c>
      <c r="I179"/>
      <c r="J179"/>
    </row>
    <row r="180" spans="1:10" ht="15" customHeight="1">
      <c r="A180" s="294" t="s">
        <v>266</v>
      </c>
      <c r="B180" s="230"/>
      <c r="C180" s="230"/>
      <c r="D180" s="230"/>
      <c r="E180" s="230"/>
      <c r="F180" s="230"/>
      <c r="G180" s="230"/>
      <c r="H180" s="230"/>
      <c r="I180"/>
      <c r="J180"/>
    </row>
    <row r="181" spans="1:10" ht="15" customHeight="1">
      <c r="A181" s="422">
        <v>2012</v>
      </c>
      <c r="B181" s="423"/>
      <c r="C181" s="282"/>
      <c r="D181" s="283">
        <f>D162*(1+D176)</f>
        <v>1019381.7460047777</v>
      </c>
      <c r="E181" s="283">
        <f>E162*(1+E176)</f>
        <v>661.3110477670251</v>
      </c>
      <c r="F181" s="283">
        <f>F162*(1+F176)</f>
        <v>1272.7644851277198</v>
      </c>
      <c r="G181" s="283">
        <f>G162*(1+G176)</f>
        <v>70778.90975576377</v>
      </c>
      <c r="H181" s="283">
        <f>H162*(1+H176)</f>
        <v>17581927.30305608</v>
      </c>
      <c r="I181"/>
      <c r="J181"/>
    </row>
    <row r="182" spans="1:15" ht="15" customHeight="1">
      <c r="A182" s="422">
        <v>2013</v>
      </c>
      <c r="B182" s="423"/>
      <c r="C182" s="230"/>
      <c r="D182" s="283">
        <f>D181*(1+D176)</f>
        <v>997826.4818094308</v>
      </c>
      <c r="E182" s="283">
        <f>E181*(1+E176)</f>
        <v>654.5440478259603</v>
      </c>
      <c r="F182" s="283">
        <f>F181*(1+F176)</f>
        <v>1216.556265941659</v>
      </c>
      <c r="G182" s="283">
        <f>G181*(1+G176)</f>
        <v>60845.29874308598</v>
      </c>
      <c r="H182" s="283">
        <f>H181*(1+H176)</f>
        <v>17074302.842942946</v>
      </c>
      <c r="I182"/>
      <c r="J182"/>
      <c r="K182" s="258"/>
      <c r="L182" s="258"/>
      <c r="M182" s="258"/>
      <c r="N182" s="258"/>
      <c r="O182" s="258"/>
    </row>
    <row r="183" spans="8:10" ht="14.25">
      <c r="H183"/>
      <c r="I183"/>
      <c r="J183"/>
    </row>
    <row r="184" spans="1:12" ht="15">
      <c r="A184" s="392" t="s">
        <v>299</v>
      </c>
      <c r="B184" s="392"/>
      <c r="C184" s="392"/>
      <c r="D184" s="392"/>
      <c r="E184" s="392"/>
      <c r="F184" s="392"/>
      <c r="G184" s="392"/>
      <c r="H184" s="392"/>
      <c r="I184"/>
      <c r="J184" s="239"/>
      <c r="K184"/>
      <c r="L184" s="241"/>
    </row>
    <row r="185" spans="1:11" ht="30">
      <c r="A185" s="413" t="s">
        <v>234</v>
      </c>
      <c r="B185" s="413"/>
      <c r="C185" s="367"/>
      <c r="D185" s="366" t="str">
        <f>D179</f>
        <v>GS&gt;50</v>
      </c>
      <c r="E185" s="366" t="str">
        <f>E179</f>
        <v>Street Lighting</v>
      </c>
      <c r="F185" s="366" t="str">
        <f>F179</f>
        <v>Sentinels</v>
      </c>
      <c r="G185" s="366" t="str">
        <f>G179</f>
        <v>USL</v>
      </c>
      <c r="H185" s="368" t="str">
        <f>J146</f>
        <v>Intermediate </v>
      </c>
      <c r="I185"/>
      <c r="J185" s="285"/>
      <c r="K185"/>
    </row>
    <row r="186" spans="1:11" ht="15">
      <c r="A186" s="403" t="s">
        <v>298</v>
      </c>
      <c r="B186" s="403"/>
      <c r="C186" s="403"/>
      <c r="D186" s="403"/>
      <c r="E186" s="403"/>
      <c r="F186" s="403"/>
      <c r="G186" s="403"/>
      <c r="H186" s="403"/>
      <c r="I186"/>
      <c r="J186" s="239"/>
      <c r="K186"/>
    </row>
    <row r="187" spans="1:11" ht="15">
      <c r="A187" s="412">
        <v>2012</v>
      </c>
      <c r="B187" s="412"/>
      <c r="C187" s="230"/>
      <c r="D187" s="295">
        <f aca="true" t="shared" si="20" ref="D187:H188">D181*F148/1000000</f>
        <v>61.582557676702955</v>
      </c>
      <c r="E187" s="295">
        <f t="shared" si="20"/>
        <v>1.1324761058171706</v>
      </c>
      <c r="F187" s="295">
        <f t="shared" si="20"/>
        <v>0.03945569903895931</v>
      </c>
      <c r="G187" s="295">
        <f t="shared" si="20"/>
        <v>0.5662312780461102</v>
      </c>
      <c r="H187" s="295">
        <f t="shared" si="20"/>
        <v>17.58192730305608</v>
      </c>
      <c r="I187"/>
      <c r="J187" s="296"/>
      <c r="K187" s="296"/>
    </row>
    <row r="188" spans="1:11" ht="15">
      <c r="A188" s="412">
        <v>2013</v>
      </c>
      <c r="B188" s="412"/>
      <c r="C188" s="230"/>
      <c r="D188" s="295">
        <f t="shared" si="20"/>
        <v>61.72267699432691</v>
      </c>
      <c r="E188" s="295">
        <f t="shared" si="20"/>
        <v>1.1378115405968605</v>
      </c>
      <c r="F188" s="295">
        <f t="shared" si="20"/>
        <v>0.037713244244191424</v>
      </c>
      <c r="G188" s="295">
        <f t="shared" si="20"/>
        <v>0.6084529874308598</v>
      </c>
      <c r="H188" s="295">
        <f t="shared" si="20"/>
        <v>17.074302842942945</v>
      </c>
      <c r="I188"/>
      <c r="J188" s="296"/>
      <c r="K188" s="296"/>
    </row>
    <row r="189" spans="1:11" ht="15">
      <c r="A189" s="323"/>
      <c r="B189" s="323"/>
      <c r="C189" s="239"/>
      <c r="D189" s="287"/>
      <c r="E189" s="287"/>
      <c r="F189" s="287"/>
      <c r="G189" s="287"/>
      <c r="H189" s="287"/>
      <c r="I189"/>
      <c r="J189" s="287"/>
      <c r="K189" s="287"/>
    </row>
    <row r="190" spans="1:11" ht="15">
      <c r="A190" s="392" t="s">
        <v>300</v>
      </c>
      <c r="B190" s="392"/>
      <c r="C190" s="392"/>
      <c r="D190" s="392"/>
      <c r="E190" s="392"/>
      <c r="F190" s="392"/>
      <c r="G190" s="392"/>
      <c r="H190" s="392"/>
      <c r="I190" s="392"/>
      <c r="J190" s="392"/>
      <c r="K190" s="392"/>
    </row>
    <row r="191" spans="1:11" ht="30">
      <c r="A191" s="413" t="s">
        <v>234</v>
      </c>
      <c r="B191" s="413"/>
      <c r="C191" s="367"/>
      <c r="D191" s="366" t="str">
        <f>D21</f>
        <v>Residential </v>
      </c>
      <c r="E191" s="366" t="str">
        <f>E21</f>
        <v>GS&lt;50</v>
      </c>
      <c r="F191" s="366" t="str">
        <f>D185</f>
        <v>GS&gt;50</v>
      </c>
      <c r="G191" s="366" t="str">
        <f>E185</f>
        <v>Street Lighting</v>
      </c>
      <c r="H191" s="366" t="str">
        <f>F185</f>
        <v>Sentinels</v>
      </c>
      <c r="I191" s="366" t="str">
        <f>G185</f>
        <v>USL</v>
      </c>
      <c r="J191" s="366" t="str">
        <f>H185</f>
        <v>Intermediate </v>
      </c>
      <c r="K191" s="366" t="s">
        <v>9</v>
      </c>
    </row>
    <row r="192" spans="1:11" ht="15">
      <c r="A192" s="403" t="s">
        <v>298</v>
      </c>
      <c r="B192" s="403"/>
      <c r="C192" s="403"/>
      <c r="D192" s="403"/>
      <c r="E192" s="403"/>
      <c r="F192" s="403"/>
      <c r="G192" s="403"/>
      <c r="H192" s="403"/>
      <c r="I192" s="403"/>
      <c r="J192" s="403"/>
      <c r="K192" s="403"/>
    </row>
    <row r="193" spans="1:11" ht="15">
      <c r="A193" s="412">
        <v>2012</v>
      </c>
      <c r="B193" s="412"/>
      <c r="C193" s="230"/>
      <c r="D193" s="295">
        <f>E95</f>
        <v>45.303709819035745</v>
      </c>
      <c r="E193" s="295">
        <f>E112</f>
        <v>20.313504700796926</v>
      </c>
      <c r="F193" s="295">
        <f aca="true" t="shared" si="21" ref="F193:J194">D187</f>
        <v>61.582557676702955</v>
      </c>
      <c r="G193" s="295">
        <f t="shared" si="21"/>
        <v>1.1324761058171706</v>
      </c>
      <c r="H193" s="295">
        <f t="shared" si="21"/>
        <v>0.03945569903895931</v>
      </c>
      <c r="I193" s="295">
        <f t="shared" si="21"/>
        <v>0.5662312780461102</v>
      </c>
      <c r="J193" s="295">
        <f t="shared" si="21"/>
        <v>17.58192730305608</v>
      </c>
      <c r="K193" s="295">
        <f>SUM(D193:J193)</f>
        <v>146.51986258249397</v>
      </c>
    </row>
    <row r="194" spans="1:11" ht="15">
      <c r="A194" s="412">
        <v>2013</v>
      </c>
      <c r="B194" s="412"/>
      <c r="C194" s="230"/>
      <c r="D194" s="295">
        <f>E96</f>
        <v>45.73083565702802</v>
      </c>
      <c r="E194" s="295">
        <f>E113</f>
        <v>20.392885970798286</v>
      </c>
      <c r="F194" s="295">
        <f t="shared" si="21"/>
        <v>61.72267699432691</v>
      </c>
      <c r="G194" s="295">
        <f t="shared" si="21"/>
        <v>1.1378115405968605</v>
      </c>
      <c r="H194" s="295">
        <f t="shared" si="21"/>
        <v>0.037713244244191424</v>
      </c>
      <c r="I194" s="295">
        <f t="shared" si="21"/>
        <v>0.6084529874308598</v>
      </c>
      <c r="J194" s="295">
        <f t="shared" si="21"/>
        <v>17.074302842942945</v>
      </c>
      <c r="K194" s="295">
        <f>SUM(D194:J194)</f>
        <v>146.70467923736808</v>
      </c>
    </row>
    <row r="196" spans="4:10" ht="14.25">
      <c r="D196" s="297"/>
      <c r="E196" s="297"/>
      <c r="F196" s="297"/>
      <c r="G196" s="297"/>
      <c r="H196" s="297"/>
      <c r="I196"/>
      <c r="J196"/>
    </row>
    <row r="197" spans="4:8" ht="15">
      <c r="D197" s="392" t="s">
        <v>267</v>
      </c>
      <c r="E197" s="392"/>
      <c r="F197" s="392"/>
      <c r="G197" s="392"/>
      <c r="H197" s="392"/>
    </row>
    <row r="198" spans="4:8" ht="38.25">
      <c r="D198" s="370"/>
      <c r="E198" s="371" t="s">
        <v>268</v>
      </c>
      <c r="F198" s="371" t="s">
        <v>269</v>
      </c>
      <c r="G198" s="371" t="s">
        <v>211</v>
      </c>
      <c r="H198" s="371" t="s">
        <v>212</v>
      </c>
    </row>
    <row r="199" spans="4:8" ht="14.25">
      <c r="D199" s="298">
        <v>2006</v>
      </c>
      <c r="E199" s="278">
        <f>'[18]Summary - LDC'!$E$44*1000</f>
        <v>464900.7012334079</v>
      </c>
      <c r="F199" s="278">
        <f>'[18]Summary - LDC'!$E$24*1000</f>
        <v>416277.9096959208</v>
      </c>
      <c r="G199" s="278">
        <f aca="true" t="shared" si="22" ref="G199:G206">E199-F199</f>
        <v>48622.791537487064</v>
      </c>
      <c r="H199" s="299">
        <f aca="true" t="shared" si="23" ref="H199:H207">G199/F199</f>
        <v>0.11680367947702205</v>
      </c>
    </row>
    <row r="200" spans="4:8" ht="14.25">
      <c r="D200" s="298">
        <v>2007</v>
      </c>
      <c r="E200" s="278">
        <f>'[18]Summary - LDC'!$F$44*1000</f>
        <v>2718878.7335122395</v>
      </c>
      <c r="F200" s="278">
        <f>'[18]Summary - LDC'!$F$24*1000</f>
        <v>1901457.680071434</v>
      </c>
      <c r="G200" s="278">
        <f t="shared" si="22"/>
        <v>817421.0534408055</v>
      </c>
      <c r="H200" s="299">
        <f t="shared" si="23"/>
        <v>0.4298917940735324</v>
      </c>
    </row>
    <row r="201" spans="4:8" ht="14.25">
      <c r="D201" s="298">
        <v>2008</v>
      </c>
      <c r="E201" s="278">
        <f>'[18]Summary - LDC'!$G$44*1000</f>
        <v>2746766.126229376</v>
      </c>
      <c r="F201" s="278">
        <f>'[18]Summary - LDC'!$G$24*1000</f>
        <v>2162792.114494988</v>
      </c>
      <c r="G201" s="278">
        <f t="shared" si="22"/>
        <v>583974.0117343878</v>
      </c>
      <c r="H201" s="299">
        <f t="shared" si="23"/>
        <v>0.2700093124163927</v>
      </c>
    </row>
    <row r="202" spans="4:8" ht="14.25">
      <c r="D202" s="298">
        <v>2009</v>
      </c>
      <c r="E202" s="278">
        <f>'[18]Summary - LDC'!$H$44*1000</f>
        <v>3259276.126648432</v>
      </c>
      <c r="F202" s="278">
        <f>'[18]Summary - LDC'!$H$24*1000</f>
        <v>2555243.3220183672</v>
      </c>
      <c r="G202" s="278">
        <f t="shared" si="22"/>
        <v>704032.8046300649</v>
      </c>
      <c r="H202" s="299">
        <f t="shared" si="23"/>
        <v>0.27552476062199616</v>
      </c>
    </row>
    <row r="203" spans="4:8" ht="14.25">
      <c r="D203" s="298">
        <v>2010</v>
      </c>
      <c r="E203" s="278">
        <f>'[18]Summary - LDC'!$I$44*1000</f>
        <v>3530500.6868111757</v>
      </c>
      <c r="F203" s="278">
        <f>'[18]Summary - LDC'!$I$24*1000</f>
        <v>2690124.263412845</v>
      </c>
      <c r="G203" s="278">
        <f t="shared" si="22"/>
        <v>840376.4233983308</v>
      </c>
      <c r="H203" s="299">
        <f t="shared" si="23"/>
        <v>0.31239316147135204</v>
      </c>
    </row>
    <row r="204" spans="4:8" ht="14.25">
      <c r="D204" s="298">
        <v>2011</v>
      </c>
      <c r="E204" s="278">
        <f>'[18]Summary - LDC'!$J$44*1000</f>
        <v>3339621.713279203</v>
      </c>
      <c r="F204" s="278">
        <f>'[18]Summary - LDC'!$J$24*1000</f>
        <v>2496799.678707234</v>
      </c>
      <c r="G204" s="278">
        <f t="shared" si="22"/>
        <v>842822.034571969</v>
      </c>
      <c r="H204" s="299">
        <f t="shared" si="23"/>
        <v>0.3375609352082087</v>
      </c>
    </row>
    <row r="205" spans="4:8" ht="14.25">
      <c r="D205" s="298">
        <v>2012</v>
      </c>
      <c r="E205" s="278">
        <f>'[18]Summary - LDC'!$K$44*1000</f>
        <v>3255982.3874203195</v>
      </c>
      <c r="F205" s="278">
        <f>'[18]Summary - LDC'!$K$24*1000</f>
        <v>2458592.4454090903</v>
      </c>
      <c r="G205" s="278">
        <f t="shared" si="22"/>
        <v>797389.9420112292</v>
      </c>
      <c r="H205" s="299">
        <f t="shared" si="23"/>
        <v>0.3243278256630899</v>
      </c>
    </row>
    <row r="206" spans="4:8" ht="14.25">
      <c r="D206" s="298">
        <v>2013</v>
      </c>
      <c r="E206" s="278">
        <f>'[18]Summary - LDC'!$L$44*1000</f>
        <v>3232179.079275162</v>
      </c>
      <c r="F206" s="278">
        <f>'[18]Summary - LDC'!$L$24*1000</f>
        <v>2446482.278856944</v>
      </c>
      <c r="G206" s="278">
        <f t="shared" si="22"/>
        <v>785696.8004182181</v>
      </c>
      <c r="H206" s="299">
        <f t="shared" si="23"/>
        <v>0.3211536855216114</v>
      </c>
    </row>
    <row r="207" spans="4:8" ht="14.25">
      <c r="D207" s="298" t="s">
        <v>9</v>
      </c>
      <c r="E207" s="278">
        <f>SUM(E199:E206)</f>
        <v>22548105.554409314</v>
      </c>
      <c r="F207" s="278">
        <f>SUM(F199:F206)</f>
        <v>17127769.692666825</v>
      </c>
      <c r="G207" s="278">
        <f>SUM(G199:G206)</f>
        <v>5420335.861742493</v>
      </c>
      <c r="H207" s="299">
        <f t="shared" si="23"/>
        <v>0.3164647796533126</v>
      </c>
    </row>
    <row r="209" spans="2:8" ht="15">
      <c r="B209" s="440" t="s">
        <v>270</v>
      </c>
      <c r="C209" s="440"/>
      <c r="D209" s="440"/>
      <c r="E209" s="440"/>
      <c r="F209" s="440"/>
      <c r="G209" s="440"/>
      <c r="H209" s="440"/>
    </row>
    <row r="210" spans="2:8" ht="14.25">
      <c r="B210" s="439" t="s">
        <v>271</v>
      </c>
      <c r="C210" s="439"/>
      <c r="D210" s="439"/>
      <c r="E210" s="439"/>
      <c r="F210" s="439"/>
      <c r="G210" s="439"/>
      <c r="H210" s="439"/>
    </row>
    <row r="211" spans="2:8" ht="14.25">
      <c r="B211" s="438">
        <f>'CDM Activity'!P3</f>
        <v>7810000</v>
      </c>
      <c r="C211" s="438"/>
      <c r="D211" s="438"/>
      <c r="E211" s="438"/>
      <c r="F211" s="438"/>
      <c r="G211" s="438"/>
      <c r="H211" s="438"/>
    </row>
    <row r="212" spans="2:8" ht="14.25">
      <c r="B212" s="246"/>
      <c r="C212" s="246"/>
      <c r="D212" s="85">
        <v>2011</v>
      </c>
      <c r="E212" s="85">
        <v>2012</v>
      </c>
      <c r="F212" s="85">
        <v>2013</v>
      </c>
      <c r="G212" s="85">
        <v>2014</v>
      </c>
      <c r="H212" s="85" t="s">
        <v>9</v>
      </c>
    </row>
    <row r="213" spans="2:8" ht="14.25">
      <c r="B213" s="300" t="s">
        <v>272</v>
      </c>
      <c r="C213" s="246"/>
      <c r="D213" s="266">
        <f>'CDM Activity'!P21</f>
        <v>0.1291455518565941</v>
      </c>
      <c r="E213" s="266">
        <f>'CDM Activity'!Q21</f>
        <v>0.18419651216389243</v>
      </c>
      <c r="F213" s="141">
        <f>E213</f>
        <v>0.18419651216389243</v>
      </c>
      <c r="G213" s="141">
        <f>F213</f>
        <v>0.18419651216389243</v>
      </c>
      <c r="H213" s="141">
        <f>SUM(D213:G213)</f>
        <v>0.6817350883482713</v>
      </c>
    </row>
    <row r="214" spans="2:8" ht="14.25">
      <c r="B214" s="300" t="s">
        <v>273</v>
      </c>
      <c r="C214" s="246"/>
      <c r="D214" s="141"/>
      <c r="E214" s="141">
        <f>(100%-H213)/6</f>
        <v>0.053044151941954776</v>
      </c>
      <c r="F214" s="141">
        <f>E214</f>
        <v>0.053044151941954776</v>
      </c>
      <c r="G214" s="141">
        <f>F214</f>
        <v>0.053044151941954776</v>
      </c>
      <c r="H214" s="141">
        <f>SUM(D214:G214)</f>
        <v>0.15913245582586433</v>
      </c>
    </row>
    <row r="215" spans="2:8" ht="14.25">
      <c r="B215" s="300" t="s">
        <v>274</v>
      </c>
      <c r="C215" s="246"/>
      <c r="D215" s="145"/>
      <c r="E215" s="141"/>
      <c r="F215" s="141">
        <f>F214</f>
        <v>0.053044151941954776</v>
      </c>
      <c r="G215" s="141">
        <f>G214</f>
        <v>0.053044151941954776</v>
      </c>
      <c r="H215" s="141">
        <f>SUM(D215:G215)</f>
        <v>0.10608830388390955</v>
      </c>
    </row>
    <row r="216" spans="2:8" ht="14.25">
      <c r="B216" s="300" t="s">
        <v>275</v>
      </c>
      <c r="C216" s="246"/>
      <c r="D216" s="145"/>
      <c r="E216" s="145"/>
      <c r="F216" s="141"/>
      <c r="G216" s="141">
        <f>G215</f>
        <v>0.053044151941954776</v>
      </c>
      <c r="H216" s="141">
        <f>SUM(D216:G216)</f>
        <v>0.053044151941954776</v>
      </c>
    </row>
    <row r="217" spans="2:8" ht="14.25">
      <c r="B217" s="300"/>
      <c r="C217" s="246"/>
      <c r="D217" s="141">
        <f>SUM(D213:D216)</f>
        <v>0.1291455518565941</v>
      </c>
      <c r="E217" s="141">
        <f>SUM(E213:E216)</f>
        <v>0.2372406641058472</v>
      </c>
      <c r="F217" s="141">
        <f>SUM(F213:F216)</f>
        <v>0.290284816047802</v>
      </c>
      <c r="G217" s="141">
        <f>SUM(G213:G216)</f>
        <v>0.34332896798975676</v>
      </c>
      <c r="H217" s="141">
        <f>SUM(D217:G217)</f>
        <v>1</v>
      </c>
    </row>
    <row r="218" spans="2:8" ht="14.25">
      <c r="B218" s="391" t="s">
        <v>115</v>
      </c>
      <c r="C218" s="391"/>
      <c r="D218" s="391"/>
      <c r="E218" s="391"/>
      <c r="F218" s="391"/>
      <c r="G218" s="391"/>
      <c r="H218" s="391"/>
    </row>
    <row r="219" spans="2:8" ht="14.25">
      <c r="B219" s="300" t="s">
        <v>272</v>
      </c>
      <c r="C219" s="246"/>
      <c r="D219" s="119">
        <f>D213*$B$211</f>
        <v>1008626.7599999999</v>
      </c>
      <c r="E219" s="119">
        <f>E213*$B$211</f>
        <v>1438574.76</v>
      </c>
      <c r="F219" s="119">
        <f>F213*$B$211</f>
        <v>1438574.76</v>
      </c>
      <c r="G219" s="119">
        <f>G213*$B$211</f>
        <v>1438574.76</v>
      </c>
      <c r="H219" s="119">
        <f>SUM(D219:G219)</f>
        <v>5324351.04</v>
      </c>
    </row>
    <row r="220" spans="2:8" ht="14.25">
      <c r="B220" s="300" t="s">
        <v>273</v>
      </c>
      <c r="C220" s="246"/>
      <c r="D220" s="119"/>
      <c r="E220" s="119">
        <f>E214*$B$211</f>
        <v>414274.8266666668</v>
      </c>
      <c r="F220" s="119">
        <f>F214*$B$211</f>
        <v>414274.8266666668</v>
      </c>
      <c r="G220" s="119">
        <f>G214*$B$211</f>
        <v>414274.8266666668</v>
      </c>
      <c r="H220" s="119">
        <f>SUM(D220:G220)</f>
        <v>1242824.4800000004</v>
      </c>
    </row>
    <row r="221" spans="2:8" ht="14.25">
      <c r="B221" s="300" t="s">
        <v>274</v>
      </c>
      <c r="C221" s="246"/>
      <c r="D221" s="119"/>
      <c r="E221" s="119"/>
      <c r="F221" s="119">
        <f>F215*$B$211</f>
        <v>414274.8266666668</v>
      </c>
      <c r="G221" s="119">
        <f>G215*$B$211</f>
        <v>414274.8266666668</v>
      </c>
      <c r="H221" s="119">
        <f>SUM(D221:G221)</f>
        <v>828549.6533333336</v>
      </c>
    </row>
    <row r="222" spans="2:8" ht="14.25">
      <c r="B222" s="300" t="s">
        <v>275</v>
      </c>
      <c r="C222" s="246"/>
      <c r="D222" s="119"/>
      <c r="E222" s="119"/>
      <c r="F222" s="119"/>
      <c r="G222" s="119">
        <f>G216*$B$211</f>
        <v>414274.8266666668</v>
      </c>
      <c r="H222" s="119">
        <f>SUM(D222:G222)</f>
        <v>414274.8266666668</v>
      </c>
    </row>
    <row r="223" spans="2:8" ht="14.25">
      <c r="B223" s="246"/>
      <c r="C223" s="246"/>
      <c r="D223" s="119">
        <f>SUM(D219:D222)</f>
        <v>1008626.7599999999</v>
      </c>
      <c r="E223" s="119">
        <f>SUM(E219:E222)</f>
        <v>1852849.586666667</v>
      </c>
      <c r="F223" s="119">
        <f>SUM(F219:F222)</f>
        <v>2267124.4133333336</v>
      </c>
      <c r="G223" s="119">
        <f>SUM(G219:G222)</f>
        <v>2681399.24</v>
      </c>
      <c r="H223" s="119">
        <f>SUM(D223:G223)</f>
        <v>7810000</v>
      </c>
    </row>
    <row r="225" spans="2:11" ht="15">
      <c r="B225" s="392" t="s">
        <v>276</v>
      </c>
      <c r="C225" s="392"/>
      <c r="D225" s="392"/>
      <c r="E225" s="392"/>
      <c r="F225" s="392"/>
      <c r="G225" s="392"/>
      <c r="H225" s="392"/>
      <c r="I225" s="392"/>
      <c r="J225" s="392"/>
      <c r="K225" s="392"/>
    </row>
    <row r="226" spans="1:11" ht="30">
      <c r="A226" s="301"/>
      <c r="B226" s="372"/>
      <c r="C226" s="367"/>
      <c r="D226" s="366" t="str">
        <f>D191</f>
        <v>Residential </v>
      </c>
      <c r="E226" s="366" t="str">
        <f aca="true" t="shared" si="24" ref="E226:J226">E191</f>
        <v>GS&lt;50</v>
      </c>
      <c r="F226" s="366" t="str">
        <f t="shared" si="24"/>
        <v>GS&gt;50</v>
      </c>
      <c r="G226" s="366" t="str">
        <f t="shared" si="24"/>
        <v>Street Lighting</v>
      </c>
      <c r="H226" s="366" t="str">
        <f t="shared" si="24"/>
        <v>Sentinels</v>
      </c>
      <c r="I226" s="366" t="str">
        <f t="shared" si="24"/>
        <v>USL</v>
      </c>
      <c r="J226" s="366" t="str">
        <f t="shared" si="24"/>
        <v>Intermediate </v>
      </c>
      <c r="K226" s="366" t="str">
        <f>K191</f>
        <v>Total</v>
      </c>
    </row>
    <row r="227" spans="2:11" ht="15">
      <c r="B227" s="230" t="s">
        <v>115</v>
      </c>
      <c r="C227" s="277"/>
      <c r="D227" s="284">
        <f>D194/$K$194*$F$223</f>
        <v>706708.8418661316</v>
      </c>
      <c r="E227" s="284">
        <f aca="true" t="shared" si="25" ref="E227:J227">E194/$K$194*$F$223</f>
        <v>315144.7512312428</v>
      </c>
      <c r="F227" s="284">
        <f t="shared" si="25"/>
        <v>953841.3402868682</v>
      </c>
      <c r="G227" s="284">
        <f t="shared" si="25"/>
        <v>17583.35408842568</v>
      </c>
      <c r="H227" s="284">
        <f t="shared" si="25"/>
        <v>582.8077003165608</v>
      </c>
      <c r="I227" s="284">
        <f t="shared" si="25"/>
        <v>9402.826340243528</v>
      </c>
      <c r="J227" s="284">
        <f t="shared" si="25"/>
        <v>263860.49182010506</v>
      </c>
      <c r="K227" s="284">
        <f>SUM(D227:J227)</f>
        <v>2267124.413333333</v>
      </c>
    </row>
    <row r="228" spans="2:11" ht="15">
      <c r="B228" s="230" t="s">
        <v>277</v>
      </c>
      <c r="C228" s="277"/>
      <c r="D228" s="295"/>
      <c r="E228" s="295"/>
      <c r="F228" s="284">
        <f>F227*'Rate Class Load Model'!B25</f>
        <v>2452.5343359068074</v>
      </c>
      <c r="G228" s="284">
        <f>G227*'Rate Class Load Model'!D25</f>
        <v>49.1998660564358</v>
      </c>
      <c r="H228" s="283">
        <f>H227*'Rate Class Load Model'!C25</f>
        <v>1.6189102786571135</v>
      </c>
      <c r="I228" s="284"/>
      <c r="J228" s="284">
        <f>J227*'Rate Class Load Model'!E25</f>
        <v>582.1070409963562</v>
      </c>
      <c r="K228" s="284">
        <f>SUM(D228:J228)</f>
        <v>3085.4601532382567</v>
      </c>
    </row>
    <row r="230" spans="1:12" ht="15">
      <c r="A230" s="392" t="s">
        <v>301</v>
      </c>
      <c r="B230" s="392"/>
      <c r="C230" s="392"/>
      <c r="D230" s="392"/>
      <c r="E230" s="392"/>
      <c r="F230" s="392"/>
      <c r="G230" s="392"/>
      <c r="H230" s="392"/>
      <c r="I230" s="392"/>
      <c r="J230" s="392"/>
      <c r="K230" s="392"/>
      <c r="L230" s="241"/>
    </row>
    <row r="231" spans="1:11" ht="30">
      <c r="A231" s="413" t="s">
        <v>234</v>
      </c>
      <c r="B231" s="413"/>
      <c r="C231" s="367"/>
      <c r="D231" s="366" t="str">
        <f>D226</f>
        <v>Residential </v>
      </c>
      <c r="E231" s="366" t="str">
        <f aca="true" t="shared" si="26" ref="E231:K231">E226</f>
        <v>GS&lt;50</v>
      </c>
      <c r="F231" s="366" t="str">
        <f t="shared" si="26"/>
        <v>GS&gt;50</v>
      </c>
      <c r="G231" s="366" t="str">
        <f t="shared" si="26"/>
        <v>Street Lighting</v>
      </c>
      <c r="H231" s="366" t="str">
        <f t="shared" si="26"/>
        <v>Sentinels</v>
      </c>
      <c r="I231" s="366" t="str">
        <f t="shared" si="26"/>
        <v>USL</v>
      </c>
      <c r="J231" s="366" t="str">
        <f t="shared" si="26"/>
        <v>Intermediate </v>
      </c>
      <c r="K231" s="366" t="str">
        <f t="shared" si="26"/>
        <v>Total</v>
      </c>
    </row>
    <row r="232" spans="1:11" ht="15">
      <c r="A232" s="403" t="s">
        <v>298</v>
      </c>
      <c r="B232" s="403"/>
      <c r="C232" s="403"/>
      <c r="D232" s="403"/>
      <c r="E232" s="403"/>
      <c r="F232" s="403"/>
      <c r="G232" s="403"/>
      <c r="H232" s="403"/>
      <c r="I232" s="403"/>
      <c r="J232" s="403"/>
      <c r="K232" s="403"/>
    </row>
    <row r="233" spans="1:11" ht="15">
      <c r="A233" s="403">
        <v>2012</v>
      </c>
      <c r="B233" s="403"/>
      <c r="C233" s="277"/>
      <c r="D233" s="295">
        <f>D193</f>
        <v>45.303709819035745</v>
      </c>
      <c r="E233" s="295">
        <f aca="true" t="shared" si="27" ref="E233:J234">E193</f>
        <v>20.313504700796926</v>
      </c>
      <c r="F233" s="295">
        <f t="shared" si="27"/>
        <v>61.582557676702955</v>
      </c>
      <c r="G233" s="295">
        <f t="shared" si="27"/>
        <v>1.1324761058171706</v>
      </c>
      <c r="H233" s="327">
        <f t="shared" si="27"/>
        <v>0.03945569903895931</v>
      </c>
      <c r="I233" s="295">
        <f t="shared" si="27"/>
        <v>0.5662312780461102</v>
      </c>
      <c r="J233" s="295">
        <f t="shared" si="27"/>
        <v>17.58192730305608</v>
      </c>
      <c r="K233" s="295">
        <f>SUM(D233:J233)</f>
        <v>146.51986258249397</v>
      </c>
    </row>
    <row r="234" spans="1:11" ht="15">
      <c r="A234" s="403">
        <v>2013</v>
      </c>
      <c r="B234" s="403"/>
      <c r="C234" s="277"/>
      <c r="D234" s="295">
        <f>D194</f>
        <v>45.73083565702802</v>
      </c>
      <c r="E234" s="295">
        <f t="shared" si="27"/>
        <v>20.392885970798286</v>
      </c>
      <c r="F234" s="295">
        <f t="shared" si="27"/>
        <v>61.72267699432691</v>
      </c>
      <c r="G234" s="295">
        <f t="shared" si="27"/>
        <v>1.1378115405968605</v>
      </c>
      <c r="H234" s="327">
        <f t="shared" si="27"/>
        <v>0.037713244244191424</v>
      </c>
      <c r="I234" s="295">
        <f t="shared" si="27"/>
        <v>0.6084529874308598</v>
      </c>
      <c r="J234" s="295">
        <f t="shared" si="27"/>
        <v>17.074302842942945</v>
      </c>
      <c r="K234" s="295">
        <f>SUM(D234:J234)</f>
        <v>146.70467923736808</v>
      </c>
    </row>
    <row r="235" spans="1:11" ht="15" customHeight="1">
      <c r="A235" s="403" t="s">
        <v>278</v>
      </c>
      <c r="B235" s="403"/>
      <c r="C235" s="403"/>
      <c r="D235" s="403"/>
      <c r="E235" s="403"/>
      <c r="F235" s="403"/>
      <c r="G235" s="403"/>
      <c r="H235" s="403"/>
      <c r="I235" s="403"/>
      <c r="J235" s="403"/>
      <c r="K235" s="403"/>
    </row>
    <row r="236" spans="1:11" ht="15">
      <c r="A236" s="403">
        <v>2012</v>
      </c>
      <c r="B236" s="403"/>
      <c r="C236" s="277"/>
      <c r="D236" s="302">
        <f>'Rate Class Energy Model'!H73/1000000</f>
        <v>-0.16863851877412211</v>
      </c>
      <c r="E236" s="302">
        <f>'Rate Class Energy Model'!I73/1000000</f>
        <v>-0.0756149851201407</v>
      </c>
      <c r="F236" s="302">
        <f>'Rate Class Energy Model'!J73/1000000</f>
        <v>-0.22923489821042145</v>
      </c>
      <c r="G236" s="302">
        <f>'Rate Class Energy Model'!L73/1000000</f>
        <v>-0.004215528789914858</v>
      </c>
      <c r="H236" s="328">
        <f>'Rate Class Energy Model'!K73/1000000</f>
        <v>-0.0001468698848219241</v>
      </c>
      <c r="I236" s="302">
        <f>'Rate Class Energy Model'!M73/1000000</f>
        <v>-0.0020804555669198393</v>
      </c>
      <c r="J236" s="302">
        <f>'Rate Class Energy Model'!N73/1000000</f>
        <v>-0.06544696205730687</v>
      </c>
      <c r="K236" s="302">
        <f>SUM(D236:J236)</f>
        <v>-0.5453782184036478</v>
      </c>
    </row>
    <row r="237" spans="1:11" ht="15">
      <c r="A237" s="403">
        <v>2013</v>
      </c>
      <c r="B237" s="403"/>
      <c r="C237" s="277"/>
      <c r="D237" s="302">
        <f>'Rate Class Energy Model'!H79/1000000</f>
        <v>-0.34001099087488645</v>
      </c>
      <c r="E237" s="302">
        <f>'Rate Class Energy Model'!I79/1000000</f>
        <v>-0.15162210062662812</v>
      </c>
      <c r="F237" s="302">
        <f>'Rate Class Energy Model'!J79/1000000</f>
        <v>-0.4589111102557868</v>
      </c>
      <c r="G237" s="302">
        <f>'Rate Class Energy Model'!L79/1000000</f>
        <v>-0.008459684232508986</v>
      </c>
      <c r="H237" s="328">
        <f>'Rate Class Energy Model'!K79/1000000</f>
        <v>-0.00028039980814572056</v>
      </c>
      <c r="I237" s="302">
        <f>'Rate Class Energy Model'!M79/1000000</f>
        <v>-0.004523877602165741</v>
      </c>
      <c r="J237" s="302">
        <f>'Rate Class Energy Model'!N79/1000000</f>
        <v>-0.1269482734071737</v>
      </c>
      <c r="K237" s="302">
        <f>SUM(D237:J237)</f>
        <v>-1.0907564368072955</v>
      </c>
    </row>
    <row r="238" spans="1:11" ht="15">
      <c r="A238" s="403" t="s">
        <v>302</v>
      </c>
      <c r="B238" s="403"/>
      <c r="C238" s="403"/>
      <c r="D238" s="403"/>
      <c r="E238" s="403"/>
      <c r="F238" s="403"/>
      <c r="G238" s="403"/>
      <c r="H238" s="403"/>
      <c r="I238" s="403"/>
      <c r="J238" s="403"/>
      <c r="K238" s="403"/>
    </row>
    <row r="239" spans="1:11" ht="15">
      <c r="A239" s="403">
        <v>2012</v>
      </c>
      <c r="B239" s="403"/>
      <c r="C239" s="282"/>
      <c r="D239" s="303">
        <f>D233+D236</f>
        <v>45.13507130026162</v>
      </c>
      <c r="E239" s="303">
        <f aca="true" t="shared" si="28" ref="E239:J240">E233+E236</f>
        <v>20.237889715676786</v>
      </c>
      <c r="F239" s="303">
        <f t="shared" si="28"/>
        <v>61.35332277849253</v>
      </c>
      <c r="G239" s="303">
        <f t="shared" si="28"/>
        <v>1.1282605770272558</v>
      </c>
      <c r="H239" s="329">
        <f t="shared" si="28"/>
        <v>0.03930882915413739</v>
      </c>
      <c r="I239" s="303">
        <f t="shared" si="28"/>
        <v>0.5641508224791904</v>
      </c>
      <c r="J239" s="303">
        <f t="shared" si="28"/>
        <v>17.516480340998772</v>
      </c>
      <c r="K239" s="295">
        <f>SUM(D239:J239)</f>
        <v>145.9744843640903</v>
      </c>
    </row>
    <row r="240" spans="1:11" ht="15">
      <c r="A240" s="403">
        <v>2013</v>
      </c>
      <c r="B240" s="403"/>
      <c r="C240" s="277"/>
      <c r="D240" s="303">
        <f>D234+D237</f>
        <v>45.39082466615313</v>
      </c>
      <c r="E240" s="303">
        <f t="shared" si="28"/>
        <v>20.241263870171657</v>
      </c>
      <c r="F240" s="303">
        <f t="shared" si="28"/>
        <v>61.26376588407113</v>
      </c>
      <c r="G240" s="303">
        <f t="shared" si="28"/>
        <v>1.1293518563643514</v>
      </c>
      <c r="H240" s="329">
        <f t="shared" si="28"/>
        <v>0.037432844436045706</v>
      </c>
      <c r="I240" s="303">
        <f t="shared" si="28"/>
        <v>0.6039291098286941</v>
      </c>
      <c r="J240" s="303">
        <f t="shared" si="28"/>
        <v>16.947354569535772</v>
      </c>
      <c r="K240" s="295">
        <f>SUM(D240:J240)</f>
        <v>145.61392280056077</v>
      </c>
    </row>
    <row r="242" spans="1:8" ht="15">
      <c r="A242" s="392" t="s">
        <v>279</v>
      </c>
      <c r="B242" s="392"/>
      <c r="C242" s="392"/>
      <c r="D242" s="392"/>
      <c r="E242" s="392"/>
      <c r="F242" s="392"/>
      <c r="G242" s="392"/>
      <c r="H242" s="392"/>
    </row>
    <row r="243" spans="1:8" ht="30">
      <c r="A243" s="413" t="s">
        <v>234</v>
      </c>
      <c r="B243" s="413"/>
      <c r="C243" s="367"/>
      <c r="D243" s="368" t="str">
        <f>F231</f>
        <v>GS&gt;50</v>
      </c>
      <c r="E243" s="368" t="str">
        <f>G231</f>
        <v>Street Lighting</v>
      </c>
      <c r="F243" s="368" t="str">
        <f>H231</f>
        <v>Sentinels</v>
      </c>
      <c r="G243" s="368" t="str">
        <f>J231</f>
        <v>Intermediate </v>
      </c>
      <c r="H243" s="368" t="str">
        <f>K231</f>
        <v>Total</v>
      </c>
    </row>
    <row r="244" spans="1:8" ht="15">
      <c r="A244" s="403" t="s">
        <v>280</v>
      </c>
      <c r="B244" s="403"/>
      <c r="C244" s="403"/>
      <c r="D244" s="403"/>
      <c r="E244" s="403"/>
      <c r="F244" s="403"/>
      <c r="G244" s="403"/>
      <c r="H244" s="403"/>
    </row>
    <row r="245" spans="1:10" ht="15">
      <c r="A245" s="388">
        <f aca="true" t="shared" si="29" ref="A245:A253">A167</f>
        <v>2003</v>
      </c>
      <c r="B245" s="388"/>
      <c r="C245" s="230"/>
      <c r="D245" s="278">
        <f>'Rate Class Load Model'!B2</f>
        <v>154056.5</v>
      </c>
      <c r="E245" s="278">
        <f>'Rate Class Load Model'!D2</f>
        <v>3008.2</v>
      </c>
      <c r="F245" s="278">
        <f>'Rate Class Load Model'!C2</f>
        <v>132.71750000000003</v>
      </c>
      <c r="G245" s="278">
        <f>'Rate Class Load Model'!E2</f>
        <v>47142.3431401</v>
      </c>
      <c r="H245" s="330">
        <f>SUM(D245:G245)</f>
        <v>204339.7606401</v>
      </c>
      <c r="J245" s="258"/>
    </row>
    <row r="246" spans="1:10" ht="14.25">
      <c r="A246" s="388">
        <f t="shared" si="29"/>
        <v>2004</v>
      </c>
      <c r="B246" s="388"/>
      <c r="C246" s="277"/>
      <c r="D246" s="278">
        <f>'Rate Class Load Model'!B3</f>
        <v>157637.30000000002</v>
      </c>
      <c r="E246" s="278">
        <f>'Rate Class Load Model'!D3</f>
        <v>3074.1</v>
      </c>
      <c r="F246" s="278">
        <f>'Rate Class Load Model'!C3</f>
        <v>106.71222222222222</v>
      </c>
      <c r="G246" s="278">
        <f>'Rate Class Load Model'!E3</f>
        <v>48399.479999999996</v>
      </c>
      <c r="H246" s="330">
        <f aca="true" t="shared" si="30" ref="H246:H253">SUM(D246:G246)</f>
        <v>209217.59222222224</v>
      </c>
      <c r="J246" s="258"/>
    </row>
    <row r="247" spans="1:10" ht="14.25">
      <c r="A247" s="388">
        <f t="shared" si="29"/>
        <v>2005</v>
      </c>
      <c r="B247" s="388"/>
      <c r="C247" s="277"/>
      <c r="D247" s="278">
        <f>'Rate Class Load Model'!B4</f>
        <v>157684</v>
      </c>
      <c r="E247" s="278">
        <f>'Rate Class Load Model'!D4</f>
        <v>3127.6999999999994</v>
      </c>
      <c r="F247" s="278">
        <f>'Rate Class Load Model'!C4</f>
        <v>121.57427777777777</v>
      </c>
      <c r="G247" s="278">
        <f>'Rate Class Load Model'!E4</f>
        <v>45921.68042</v>
      </c>
      <c r="H247" s="330">
        <f t="shared" si="30"/>
        <v>206854.95469777778</v>
      </c>
      <c r="J247" s="258"/>
    </row>
    <row r="248" spans="1:10" ht="14.25">
      <c r="A248" s="388">
        <f t="shared" si="29"/>
        <v>2006</v>
      </c>
      <c r="B248" s="388"/>
      <c r="C248" s="277"/>
      <c r="D248" s="278">
        <f>'Rate Class Load Model'!B5</f>
        <v>163964.97</v>
      </c>
      <c r="E248" s="278">
        <f>'Rate Class Load Model'!D5</f>
        <v>3121.3</v>
      </c>
      <c r="F248" s="278">
        <f>'Rate Class Load Model'!C5</f>
        <v>128.5248055555556</v>
      </c>
      <c r="G248" s="278">
        <f>'Rate Class Load Model'!E5</f>
        <v>41567.59</v>
      </c>
      <c r="H248" s="330">
        <f t="shared" si="30"/>
        <v>208782.38480555554</v>
      </c>
      <c r="J248" s="258"/>
    </row>
    <row r="249" spans="1:10" ht="14.25">
      <c r="A249" s="388">
        <f t="shared" si="29"/>
        <v>2007</v>
      </c>
      <c r="B249" s="388"/>
      <c r="C249" s="277"/>
      <c r="D249" s="278">
        <f>'Rate Class Load Model'!B6</f>
        <v>160716.94000000003</v>
      </c>
      <c r="E249" s="278">
        <f>'Rate Class Load Model'!D6</f>
        <v>3086.399999999999</v>
      </c>
      <c r="F249" s="278">
        <f>'Rate Class Load Model'!C6</f>
        <v>123.0210277777778</v>
      </c>
      <c r="G249" s="278">
        <f>'Rate Class Load Model'!E6</f>
        <v>42417.600000000006</v>
      </c>
      <c r="H249" s="330">
        <f t="shared" si="30"/>
        <v>206343.9610277778</v>
      </c>
      <c r="J249" s="258"/>
    </row>
    <row r="250" spans="1:10" ht="14.25">
      <c r="A250" s="388">
        <f t="shared" si="29"/>
        <v>2008</v>
      </c>
      <c r="B250" s="388"/>
      <c r="C250" s="277"/>
      <c r="D250" s="278">
        <f>'Rate Class Load Model'!B7</f>
        <v>169386.36000000002</v>
      </c>
      <c r="E250" s="278">
        <f>'Rate Class Load Model'!D7</f>
        <v>3144.2000000000003</v>
      </c>
      <c r="F250" s="278">
        <f>'Rate Class Load Model'!C7</f>
        <v>127.28002777777779</v>
      </c>
      <c r="G250" s="278">
        <f>'Rate Class Load Model'!E7</f>
        <v>46155.200000000004</v>
      </c>
      <c r="H250" s="330">
        <f t="shared" si="30"/>
        <v>218813.0400277778</v>
      </c>
      <c r="J250" s="258"/>
    </row>
    <row r="251" spans="1:10" ht="14.25">
      <c r="A251" s="388">
        <f t="shared" si="29"/>
        <v>2009</v>
      </c>
      <c r="B251" s="388"/>
      <c r="C251" s="277"/>
      <c r="D251" s="278">
        <f>'Rate Class Load Model'!B8</f>
        <v>169024.12999999998</v>
      </c>
      <c r="E251" s="278">
        <f>'Rate Class Load Model'!D8</f>
        <v>3235.1000000000004</v>
      </c>
      <c r="F251" s="278">
        <f>'Rate Class Load Model'!C8</f>
        <v>128.2426388888889</v>
      </c>
      <c r="G251" s="278">
        <f>'Rate Class Load Model'!E8</f>
        <v>42412.799999999996</v>
      </c>
      <c r="H251" s="330">
        <f t="shared" si="30"/>
        <v>214800.27263888885</v>
      </c>
      <c r="J251" s="258"/>
    </row>
    <row r="252" spans="1:10" ht="14.25">
      <c r="A252" s="388">
        <f t="shared" si="29"/>
        <v>2010</v>
      </c>
      <c r="B252" s="388"/>
      <c r="C252" s="277"/>
      <c r="D252" s="278">
        <f>'Rate Class Load Model'!B9</f>
        <v>170203.1</v>
      </c>
      <c r="E252" s="278">
        <f>'Rate Class Load Model'!D9</f>
        <v>3382.4000000000005</v>
      </c>
      <c r="F252" s="278">
        <f>'Rate Class Load Model'!C9</f>
        <v>119.48263888888889</v>
      </c>
      <c r="G252" s="278">
        <f>'Rate Class Load Model'!E9</f>
        <v>44377.7</v>
      </c>
      <c r="H252" s="330">
        <f t="shared" si="30"/>
        <v>218082.6826388889</v>
      </c>
      <c r="J252" s="258"/>
    </row>
    <row r="253" spans="1:10" ht="14.25">
      <c r="A253" s="388">
        <f t="shared" si="29"/>
        <v>2011</v>
      </c>
      <c r="B253" s="388"/>
      <c r="C253" s="277"/>
      <c r="D253" s="278">
        <f>'Rate Class Load Model'!B10</f>
        <v>160989.06</v>
      </c>
      <c r="E253" s="278">
        <f>'Rate Class Load Model'!D10</f>
        <v>3215.5</v>
      </c>
      <c r="F253" s="278">
        <f>'Rate Class Load Model'!C10</f>
        <v>114.66294444444445</v>
      </c>
      <c r="G253" s="278">
        <f>'Rate Class Load Model'!E10</f>
        <v>44396.5</v>
      </c>
      <c r="H253" s="330">
        <f t="shared" si="30"/>
        <v>208715.72294444445</v>
      </c>
      <c r="J253" s="258"/>
    </row>
    <row r="255" spans="1:7" ht="27.75" customHeight="1">
      <c r="A255" s="441" t="s">
        <v>281</v>
      </c>
      <c r="B255" s="441"/>
      <c r="C255" s="441"/>
      <c r="D255" s="441"/>
      <c r="E255" s="441"/>
      <c r="F255" s="441"/>
      <c r="G255" s="441"/>
    </row>
    <row r="256" spans="1:7" ht="30">
      <c r="A256" s="413" t="s">
        <v>234</v>
      </c>
      <c r="B256" s="413"/>
      <c r="C256" s="367"/>
      <c r="D256" s="368" t="str">
        <f>D243</f>
        <v>GS&gt;50</v>
      </c>
      <c r="E256" s="368" t="str">
        <f>E243</f>
        <v>Street Lighting</v>
      </c>
      <c r="F256" s="368" t="str">
        <f>F243</f>
        <v>Sentinels</v>
      </c>
      <c r="G256" s="368" t="str">
        <f>G243</f>
        <v>Intermediate </v>
      </c>
    </row>
    <row r="257" spans="1:7" ht="15">
      <c r="A257" s="294" t="s">
        <v>282</v>
      </c>
      <c r="B257" s="294"/>
      <c r="C257" s="294"/>
      <c r="D257" s="294"/>
      <c r="E257" s="294"/>
      <c r="F257" s="133"/>
      <c r="G257" s="246"/>
    </row>
    <row r="258" spans="1:7" ht="15">
      <c r="A258" s="388">
        <f aca="true" t="shared" si="31" ref="A258:A266">A245</f>
        <v>2003</v>
      </c>
      <c r="B258" s="388"/>
      <c r="C258" s="294"/>
      <c r="D258" s="331">
        <f>'Rate Class Load Model'!B15</f>
        <v>0.002444761838390183</v>
      </c>
      <c r="E258" s="331">
        <f>'Rate Class Load Model'!D15</f>
        <v>0.0027570903079238733</v>
      </c>
      <c r="F258" s="331">
        <f>'Rate Class Load Model'!C15</f>
        <v>0.002777777777777778</v>
      </c>
      <c r="G258" s="331">
        <f>'Rate Class Load Model'!E15</f>
        <v>0.0020598385687355864</v>
      </c>
    </row>
    <row r="259" spans="1:7" ht="14.25">
      <c r="A259" s="388">
        <f t="shared" si="31"/>
        <v>2004</v>
      </c>
      <c r="B259" s="388"/>
      <c r="C259" s="277"/>
      <c r="D259" s="331">
        <f>'Rate Class Load Model'!B16</f>
        <v>0.0024360291534980417</v>
      </c>
      <c r="E259" s="331">
        <f>'Rate Class Load Model'!D16</f>
        <v>0.002739616091145054</v>
      </c>
      <c r="F259" s="331">
        <f>'Rate Class Load Model'!C16</f>
        <v>0.002777777777777778</v>
      </c>
      <c r="G259" s="331">
        <f>'Rate Class Load Model'!E16</f>
        <v>0.002104834206568846</v>
      </c>
    </row>
    <row r="260" spans="1:7" ht="14.25">
      <c r="A260" s="388">
        <f t="shared" si="31"/>
        <v>2005</v>
      </c>
      <c r="B260" s="388"/>
      <c r="C260" s="277"/>
      <c r="D260" s="331">
        <f>'Rate Class Load Model'!B17</f>
        <v>0.002527798037143311</v>
      </c>
      <c r="E260" s="331">
        <f>'Rate Class Load Model'!D17</f>
        <v>0.0027574512531149285</v>
      </c>
      <c r="F260" s="331">
        <f>'Rate Class Load Model'!C17</f>
        <v>0.0027777777777777775</v>
      </c>
      <c r="G260" s="331">
        <f>'Rate Class Load Model'!E17</f>
        <v>0.0021056703071042748</v>
      </c>
    </row>
    <row r="261" spans="1:7" ht="14.25">
      <c r="A261" s="388">
        <f t="shared" si="31"/>
        <v>2006</v>
      </c>
      <c r="B261" s="388"/>
      <c r="C261" s="277"/>
      <c r="D261" s="331">
        <f>'Rate Class Load Model'!B18</f>
        <v>0.002605163603721139</v>
      </c>
      <c r="E261" s="331">
        <f>'Rate Class Load Model'!D18</f>
        <v>0.002761722392747532</v>
      </c>
      <c r="F261" s="331">
        <f>'Rate Class Load Model'!C18</f>
        <v>0.002777777777777778</v>
      </c>
      <c r="G261" s="331">
        <f>'Rate Class Load Model'!E18</f>
        <v>0.00218545995700288</v>
      </c>
    </row>
    <row r="262" spans="1:7" ht="14.25">
      <c r="A262" s="388">
        <f t="shared" si="31"/>
        <v>2007</v>
      </c>
      <c r="B262" s="388"/>
      <c r="C262" s="277"/>
      <c r="D262" s="331">
        <f>'Rate Class Load Model'!B19</f>
        <v>0.002622813231344696</v>
      </c>
      <c r="E262" s="331">
        <f>'Rate Class Load Model'!D19</f>
        <v>0.0027510866877095436</v>
      </c>
      <c r="F262" s="331">
        <f>'Rate Class Load Model'!C19</f>
        <v>0.002777777777777778</v>
      </c>
      <c r="G262" s="331">
        <f>'Rate Class Load Model'!E19</f>
        <v>0.002054344705418779</v>
      </c>
    </row>
    <row r="263" spans="1:7" ht="14.25">
      <c r="A263" s="388">
        <f t="shared" si="31"/>
        <v>2008</v>
      </c>
      <c r="B263" s="388"/>
      <c r="C263" s="277"/>
      <c r="D263" s="331">
        <f>'Rate Class Load Model'!B20</f>
        <v>0.0025319782772331182</v>
      </c>
      <c r="E263" s="331">
        <f>'Rate Class Load Model'!D20</f>
        <v>0.0027572549470592494</v>
      </c>
      <c r="F263" s="331">
        <f>'Rate Class Load Model'!C20</f>
        <v>0.002777777777777778</v>
      </c>
      <c r="G263" s="331">
        <f>'Rate Class Load Model'!E20</f>
        <v>0.0021172967499803155</v>
      </c>
    </row>
    <row r="264" spans="1:7" ht="14.25">
      <c r="A264" s="388">
        <f t="shared" si="31"/>
        <v>2009</v>
      </c>
      <c r="B264" s="388"/>
      <c r="C264" s="277"/>
      <c r="D264" s="331">
        <f>'Rate Class Load Model'!B21</f>
        <v>0.0027084112111054586</v>
      </c>
      <c r="E264" s="331">
        <f>'Rate Class Load Model'!D21</f>
        <v>0.002838010582566085</v>
      </c>
      <c r="F264" s="331">
        <f>'Rate Class Load Model'!C21</f>
        <v>0.002777777777777778</v>
      </c>
      <c r="G264" s="331">
        <f>'Rate Class Load Model'!E21</f>
        <v>0.002272319459930664</v>
      </c>
    </row>
    <row r="265" spans="1:7" ht="14.25">
      <c r="A265" s="388">
        <f t="shared" si="31"/>
        <v>2010</v>
      </c>
      <c r="B265" s="388"/>
      <c r="C265" s="277"/>
      <c r="D265" s="331">
        <f>'Rate Class Load Model'!B22</f>
        <v>0.0026438624993633665</v>
      </c>
      <c r="E265" s="331">
        <f>'Rate Class Load Model'!D22</f>
        <v>0.0029678772910496465</v>
      </c>
      <c r="F265" s="331">
        <f>'Rate Class Load Model'!C22</f>
        <v>0.002777777777777778</v>
      </c>
      <c r="G265" s="331">
        <f>'Rate Class Load Model'!E22</f>
        <v>0.002503070283674493</v>
      </c>
    </row>
    <row r="266" spans="1:7" ht="14.25">
      <c r="A266" s="388">
        <f t="shared" si="31"/>
        <v>2011</v>
      </c>
      <c r="B266" s="388"/>
      <c r="C266" s="277"/>
      <c r="D266" s="331">
        <f>'Rate Class Load Model'!B23</f>
        <v>0.0026201470979090495</v>
      </c>
      <c r="E266" s="331">
        <f>'Rate Class Load Model'!D23</f>
        <v>0.0028527305510869477</v>
      </c>
      <c r="F266" s="331">
        <f>'Rate Class Load Model'!C23</f>
        <v>0.0027777777777777775</v>
      </c>
      <c r="G266" s="331">
        <f>'Rate Class Load Model'!E23</f>
        <v>0.0024522161817093157</v>
      </c>
    </row>
    <row r="267" spans="1:8" ht="15">
      <c r="A267" s="403" t="s">
        <v>303</v>
      </c>
      <c r="B267" s="403"/>
      <c r="C267" s="230"/>
      <c r="D267" s="305">
        <f>'Rate Class Load Model'!B25</f>
        <v>0.002571218327745374</v>
      </c>
      <c r="E267" s="305">
        <f>'Rate Class Load Model'!D25</f>
        <v>0.0027980933449336513</v>
      </c>
      <c r="F267" s="305">
        <f>'Rate Class Load Model'!C25</f>
        <v>0.002777777777777778</v>
      </c>
      <c r="G267" s="305">
        <f>'Rate Class Load Model'!E25</f>
        <v>0.002206116713347239</v>
      </c>
      <c r="H267" s="238"/>
    </row>
    <row r="268" ht="14.25">
      <c r="J268"/>
    </row>
    <row r="269" spans="1:10" ht="15">
      <c r="A269" s="392" t="s">
        <v>283</v>
      </c>
      <c r="B269" s="392"/>
      <c r="C269" s="392"/>
      <c r="D269" s="392"/>
      <c r="E269" s="392"/>
      <c r="F269" s="392"/>
      <c r="G269" s="392"/>
      <c r="H269" s="392"/>
      <c r="J269"/>
    </row>
    <row r="270" spans="1:8" ht="30">
      <c r="A270" s="390" t="s">
        <v>234</v>
      </c>
      <c r="B270" s="390"/>
      <c r="C270" s="367"/>
      <c r="D270" s="366" t="str">
        <f>D243</f>
        <v>GS&gt;50</v>
      </c>
      <c r="E270" s="366" t="str">
        <f>E243</f>
        <v>Street Lighting</v>
      </c>
      <c r="F270" s="366" t="str">
        <f>F243</f>
        <v>Sentinels</v>
      </c>
      <c r="G270" s="366" t="str">
        <f>G243</f>
        <v>Intermediate </v>
      </c>
      <c r="H270" s="366" t="str">
        <f>H243</f>
        <v>Total</v>
      </c>
    </row>
    <row r="271" spans="1:9" ht="15">
      <c r="A271" s="230" t="s">
        <v>284</v>
      </c>
      <c r="B271" s="230"/>
      <c r="C271" s="230"/>
      <c r="D271" s="230"/>
      <c r="E271" s="230"/>
      <c r="F271" s="246"/>
      <c r="G271" s="246"/>
      <c r="H271" s="246"/>
      <c r="I271"/>
    </row>
    <row r="272" spans="1:9" ht="15">
      <c r="A272" s="403">
        <v>2012</v>
      </c>
      <c r="B272" s="403"/>
      <c r="C272" s="277"/>
      <c r="D272" s="283">
        <f>D267*F239*1000000</f>
        <v>157752.78799613775</v>
      </c>
      <c r="E272" s="283">
        <f>E267*G239*1000000</f>
        <v>3156.9784119309656</v>
      </c>
      <c r="F272" s="283">
        <f>F267*H239*1000000</f>
        <v>109.19119209482608</v>
      </c>
      <c r="G272" s="283">
        <f>G267*J239*1000000</f>
        <v>38643.40003929573</v>
      </c>
      <c r="H272" s="283">
        <f>SUM(D272:G272)</f>
        <v>199662.35763945925</v>
      </c>
      <c r="I272"/>
    </row>
    <row r="273" spans="1:9" ht="15">
      <c r="A273" s="403">
        <v>2013</v>
      </c>
      <c r="B273" s="403"/>
      <c r="C273" s="277"/>
      <c r="D273" s="283">
        <f>D267*F240*1000000</f>
        <v>157522.51766782545</v>
      </c>
      <c r="E273" s="283">
        <f>E267*G240*1000000</f>
        <v>3160.0319133815565</v>
      </c>
      <c r="F273" s="283">
        <f>F267*H240*1000000</f>
        <v>103.9801234334603</v>
      </c>
      <c r="G273" s="283">
        <f>G267*J240*1000000</f>
        <v>37387.84216287457</v>
      </c>
      <c r="H273" s="283">
        <f>SUM(D273:G273)</f>
        <v>198174.37186751503</v>
      </c>
      <c r="I273"/>
    </row>
    <row r="274" spans="1:7" ht="15">
      <c r="A274" s="239"/>
      <c r="B274" s="304"/>
      <c r="C274" s="304"/>
      <c r="D274" s="306"/>
      <c r="E274" s="306"/>
      <c r="F274" s="306"/>
      <c r="G274" s="306"/>
    </row>
    <row r="275" spans="1:10" ht="15">
      <c r="A275" s="392" t="s">
        <v>285</v>
      </c>
      <c r="B275" s="392"/>
      <c r="C275" s="392"/>
      <c r="D275" s="392"/>
      <c r="E275" s="392"/>
      <c r="F275" s="392"/>
      <c r="G275" s="392"/>
      <c r="H275" s="392"/>
      <c r="I275" s="392"/>
      <c r="J275" s="239"/>
    </row>
    <row r="276" spans="1:10" ht="60">
      <c r="A276" s="390"/>
      <c r="B276" s="390"/>
      <c r="C276" s="367"/>
      <c r="D276" s="373" t="s">
        <v>235</v>
      </c>
      <c r="E276" s="373">
        <v>2009</v>
      </c>
      <c r="F276" s="373">
        <v>2010</v>
      </c>
      <c r="G276" s="373">
        <v>2011</v>
      </c>
      <c r="H276" s="368" t="s">
        <v>286</v>
      </c>
      <c r="I276" s="368" t="s">
        <v>287</v>
      </c>
      <c r="J276" s="285"/>
    </row>
    <row r="277" spans="1:10" ht="15">
      <c r="A277" s="403" t="s">
        <v>288</v>
      </c>
      <c r="B277" s="403"/>
      <c r="C277" s="403"/>
      <c r="D277" s="403"/>
      <c r="E277" s="403"/>
      <c r="F277" s="403"/>
      <c r="G277" s="403"/>
      <c r="H277" s="403"/>
      <c r="I277" s="403"/>
      <c r="J277" s="239"/>
    </row>
    <row r="278" spans="1:10" ht="14.25">
      <c r="A278" s="288" t="s">
        <v>60</v>
      </c>
      <c r="B278" s="277"/>
      <c r="C278" s="277"/>
      <c r="D278" s="257"/>
      <c r="E278" s="257"/>
      <c r="F278" s="308"/>
      <c r="G278" s="308"/>
      <c r="H278" s="308"/>
      <c r="I278" s="246"/>
      <c r="J278" s="280"/>
    </row>
    <row r="279" spans="1:10" ht="14.25">
      <c r="A279" s="277" t="s">
        <v>45</v>
      </c>
      <c r="B279" s="277"/>
      <c r="C279" s="277"/>
      <c r="D279" s="257">
        <f>D41</f>
        <v>5710</v>
      </c>
      <c r="E279" s="257">
        <f>Summary!H12</f>
        <v>5576</v>
      </c>
      <c r="F279" s="257">
        <f>Summary!I12</f>
        <v>5627</v>
      </c>
      <c r="G279" s="257">
        <f>Summary!J12</f>
        <v>5711</v>
      </c>
      <c r="H279" s="257">
        <f>Summary!K12</f>
        <v>5783.866602971631</v>
      </c>
      <c r="I279" s="257">
        <f>Summary!L12</f>
        <v>5857.662910343302</v>
      </c>
      <c r="J279" s="324"/>
    </row>
    <row r="280" spans="1:10" ht="14.25">
      <c r="A280" s="388" t="s">
        <v>46</v>
      </c>
      <c r="B280" s="388"/>
      <c r="C280" s="277"/>
      <c r="D280" s="257">
        <f>D24*1000000</f>
        <v>45046630</v>
      </c>
      <c r="E280" s="257">
        <f>Summary!H13</f>
        <v>43775753.410000004</v>
      </c>
      <c r="F280" s="257">
        <f>Summary!I13</f>
        <v>45093297.22</v>
      </c>
      <c r="G280" s="257">
        <f>Summary!J13</f>
        <v>44251862.370000005</v>
      </c>
      <c r="H280" s="257">
        <f>Summary!K13</f>
        <v>45135071.300261624</v>
      </c>
      <c r="I280" s="257">
        <f>Summary!L13</f>
        <v>45390824.66615313</v>
      </c>
      <c r="J280" s="324"/>
    </row>
    <row r="281" spans="1:10" ht="14.25">
      <c r="A281" s="389"/>
      <c r="B281" s="389"/>
      <c r="C281" s="389"/>
      <c r="D281" s="389"/>
      <c r="E281" s="389"/>
      <c r="F281" s="389"/>
      <c r="G281" s="389"/>
      <c r="H281" s="389"/>
      <c r="I281" s="389"/>
      <c r="J281" s="280"/>
    </row>
    <row r="282" spans="1:10" ht="14.25">
      <c r="A282" s="387" t="str">
        <f>E231</f>
        <v>GS&lt;50</v>
      </c>
      <c r="B282" s="387"/>
      <c r="C282" s="277"/>
      <c r="D282" s="257"/>
      <c r="E282" s="257"/>
      <c r="F282" s="308"/>
      <c r="G282" s="308"/>
      <c r="H282" s="308"/>
      <c r="I282" s="246"/>
      <c r="J282" s="280"/>
    </row>
    <row r="283" spans="1:10" ht="14.25">
      <c r="A283" s="277" t="s">
        <v>45</v>
      </c>
      <c r="B283" s="277"/>
      <c r="C283" s="277"/>
      <c r="D283" s="257">
        <f>E41</f>
        <v>687</v>
      </c>
      <c r="E283" s="257">
        <f>Summary!H16</f>
        <v>691</v>
      </c>
      <c r="F283" s="257">
        <f>Summary!I16</f>
        <v>705</v>
      </c>
      <c r="G283" s="257">
        <f>Summary!J16</f>
        <v>709</v>
      </c>
      <c r="H283" s="257">
        <f>Summary!K16</f>
        <v>723.5535535863006</v>
      </c>
      <c r="I283" s="257">
        <f>Summary!L16</f>
        <v>738.4058461316835</v>
      </c>
      <c r="J283" s="324"/>
    </row>
    <row r="284" spans="1:10" ht="14.25">
      <c r="A284" s="388" t="s">
        <v>46</v>
      </c>
      <c r="B284" s="388"/>
      <c r="C284" s="277"/>
      <c r="D284" s="257">
        <f>E24*1000000</f>
        <v>21809071</v>
      </c>
      <c r="E284" s="257">
        <f>Summary!H17</f>
        <v>20149611.83</v>
      </c>
      <c r="F284" s="257">
        <f>Summary!I17</f>
        <v>20409368.479999997</v>
      </c>
      <c r="G284" s="257">
        <f>Summary!J17</f>
        <v>20583076.520000003</v>
      </c>
      <c r="H284" s="257">
        <f>Summary!K17</f>
        <v>20237889.715676785</v>
      </c>
      <c r="I284" s="257">
        <f>Summary!L17</f>
        <v>20241263.87017166</v>
      </c>
      <c r="J284" s="324"/>
    </row>
    <row r="285" spans="1:12" ht="14.25">
      <c r="A285" s="389"/>
      <c r="B285" s="389"/>
      <c r="C285" s="389"/>
      <c r="D285" s="389"/>
      <c r="E285" s="389"/>
      <c r="F285" s="389"/>
      <c r="G285" s="389"/>
      <c r="H285" s="389"/>
      <c r="I285" s="389"/>
      <c r="J285" s="280"/>
      <c r="L285" s="234"/>
    </row>
    <row r="286" spans="1:10" ht="14.25">
      <c r="A286" s="387" t="str">
        <f>Summary!A19</f>
        <v>GS&gt;50</v>
      </c>
      <c r="B286" s="387"/>
      <c r="C286" s="277"/>
      <c r="D286" s="257"/>
      <c r="E286" s="257"/>
      <c r="F286" s="308"/>
      <c r="G286" s="308"/>
      <c r="H286" s="308"/>
      <c r="I286" s="246"/>
      <c r="J286" s="280"/>
    </row>
    <row r="287" spans="1:10" ht="14.25">
      <c r="A287" s="277" t="s">
        <v>45</v>
      </c>
      <c r="B287" s="277"/>
      <c r="C287" s="277"/>
      <c r="D287" s="257">
        <f>F41</f>
        <v>53</v>
      </c>
      <c r="E287" s="257">
        <f>Summary!H20</f>
        <v>60</v>
      </c>
      <c r="F287" s="257">
        <f>Summary!I20</f>
        <v>60</v>
      </c>
      <c r="G287" s="257">
        <f>Summary!J20</f>
        <v>59</v>
      </c>
      <c r="H287" s="257">
        <f>Summary!K20</f>
        <v>60.41167395635739</v>
      </c>
      <c r="I287" s="257">
        <f>Summary!L20</f>
        <v>61.85712457981745</v>
      </c>
      <c r="J287" s="324"/>
    </row>
    <row r="288" spans="1:10" ht="14.25">
      <c r="A288" s="388" t="s">
        <v>46</v>
      </c>
      <c r="B288" s="388"/>
      <c r="C288" s="277"/>
      <c r="D288" s="257">
        <f>F24*1000000</f>
        <v>64439774</v>
      </c>
      <c r="E288" s="257">
        <f>Summary!H21</f>
        <v>62407115.03</v>
      </c>
      <c r="F288" s="257">
        <f>Summary!I21</f>
        <v>64376683.74999999</v>
      </c>
      <c r="G288" s="257">
        <f>Summary!J21</f>
        <v>61442756.44999999</v>
      </c>
      <c r="H288" s="257">
        <f>Summary!K21</f>
        <v>61353322.77849253</v>
      </c>
      <c r="I288" s="257">
        <f>Summary!L21</f>
        <v>61263765.88407113</v>
      </c>
      <c r="J288" s="324"/>
    </row>
    <row r="289" spans="1:10" ht="14.25">
      <c r="A289" s="388" t="s">
        <v>47</v>
      </c>
      <c r="B289" s="388"/>
      <c r="C289" s="277"/>
      <c r="D289" s="257">
        <v>166526</v>
      </c>
      <c r="E289" s="257">
        <f>Summary!H22</f>
        <v>169024.12999999998</v>
      </c>
      <c r="F289" s="257">
        <f>Summary!I22</f>
        <v>170203.1</v>
      </c>
      <c r="G289" s="257">
        <f>Summary!J22</f>
        <v>160989.06</v>
      </c>
      <c r="H289" s="257">
        <f>Summary!K22</f>
        <v>157752.78799613772</v>
      </c>
      <c r="I289" s="257">
        <f>Summary!L22</f>
        <v>157522.51766782545</v>
      </c>
      <c r="J289" s="324"/>
    </row>
    <row r="290" spans="1:10" ht="14.25">
      <c r="A290" s="389"/>
      <c r="B290" s="389"/>
      <c r="C290" s="389"/>
      <c r="D290" s="389"/>
      <c r="E290" s="389"/>
      <c r="F290" s="389"/>
      <c r="G290" s="389"/>
      <c r="H290" s="389"/>
      <c r="I290" s="389"/>
      <c r="J290" s="280"/>
    </row>
    <row r="291" spans="1:10" ht="14.25">
      <c r="A291" s="387" t="str">
        <f>Summary!A24</f>
        <v>Sentinels</v>
      </c>
      <c r="B291" s="387"/>
      <c r="C291" s="277"/>
      <c r="D291" s="257"/>
      <c r="E291" s="257"/>
      <c r="F291" s="257"/>
      <c r="G291" s="257"/>
      <c r="H291" s="257"/>
      <c r="I291" s="246"/>
      <c r="J291" s="280"/>
    </row>
    <row r="292" spans="1:10" ht="14.25">
      <c r="A292" s="277" t="s">
        <v>66</v>
      </c>
      <c r="B292" s="277"/>
      <c r="C292" s="277"/>
      <c r="D292" s="257">
        <f>H41</f>
        <v>35</v>
      </c>
      <c r="E292" s="257">
        <f>Summary!H25</f>
        <v>31</v>
      </c>
      <c r="F292" s="257">
        <f>Summary!I25</f>
        <v>31</v>
      </c>
      <c r="G292" s="257">
        <f>Summary!J25</f>
        <v>31</v>
      </c>
      <c r="H292" s="257">
        <f>Summary!K25</f>
        <v>31</v>
      </c>
      <c r="I292" s="257">
        <f>Summary!L25</f>
        <v>31</v>
      </c>
      <c r="J292" s="324"/>
    </row>
    <row r="293" spans="1:10" ht="14.25">
      <c r="A293" s="388" t="s">
        <v>46</v>
      </c>
      <c r="B293" s="388"/>
      <c r="C293" s="277"/>
      <c r="D293" s="257">
        <f>H24*1000000</f>
        <v>43755</v>
      </c>
      <c r="E293" s="257">
        <f>Summary!H26</f>
        <v>46167.350000000006</v>
      </c>
      <c r="F293" s="257">
        <f>Summary!I26</f>
        <v>43013.75</v>
      </c>
      <c r="G293" s="257">
        <f>Summary!J26</f>
        <v>41278.66</v>
      </c>
      <c r="H293" s="257">
        <f>Summary!K26</f>
        <v>39308.82915413739</v>
      </c>
      <c r="I293" s="257">
        <f>Summary!L26</f>
        <v>37432.84443604571</v>
      </c>
      <c r="J293" s="324"/>
    </row>
    <row r="294" spans="1:10" ht="14.25">
      <c r="A294" s="388" t="s">
        <v>47</v>
      </c>
      <c r="B294" s="388"/>
      <c r="C294" s="277"/>
      <c r="D294" s="257">
        <v>122</v>
      </c>
      <c r="E294" s="257">
        <f>Summary!H27</f>
        <v>128.2426388888889</v>
      </c>
      <c r="F294" s="257">
        <f>Summary!I27</f>
        <v>119.48263888888889</v>
      </c>
      <c r="G294" s="257">
        <f>Summary!J27</f>
        <v>114.66294444444445</v>
      </c>
      <c r="H294" s="257">
        <f>Summary!K27</f>
        <v>109.19119209482609</v>
      </c>
      <c r="I294" s="257">
        <f>Summary!L27</f>
        <v>103.9801234334603</v>
      </c>
      <c r="J294" s="324"/>
    </row>
    <row r="295" spans="1:10" ht="14.25">
      <c r="A295" s="389"/>
      <c r="B295" s="389"/>
      <c r="C295" s="389"/>
      <c r="D295" s="389"/>
      <c r="E295" s="389"/>
      <c r="F295" s="389"/>
      <c r="G295" s="389"/>
      <c r="H295" s="389"/>
      <c r="I295" s="389"/>
      <c r="J295" s="280"/>
    </row>
    <row r="296" spans="1:10" ht="14.25">
      <c r="A296" s="288" t="s">
        <v>242</v>
      </c>
      <c r="B296" s="277"/>
      <c r="C296" s="277"/>
      <c r="D296" s="257"/>
      <c r="E296" s="257"/>
      <c r="F296" s="308"/>
      <c r="G296" s="308"/>
      <c r="H296" s="308"/>
      <c r="I296" s="246"/>
      <c r="J296" s="280"/>
    </row>
    <row r="297" spans="1:10" ht="14.25">
      <c r="A297" s="277" t="str">
        <f>A292</f>
        <v>  Connections</v>
      </c>
      <c r="B297" s="277"/>
      <c r="C297" s="277"/>
      <c r="D297" s="257">
        <f>G41</f>
        <v>1658</v>
      </c>
      <c r="E297" s="257">
        <f>Summary!H30</f>
        <v>1658</v>
      </c>
      <c r="F297" s="257">
        <f>Summary!I30</f>
        <v>1673</v>
      </c>
      <c r="G297" s="257">
        <f>Summary!J30</f>
        <v>1687</v>
      </c>
      <c r="H297" s="257">
        <f>Summary!K30</f>
        <v>1712.4711731961468</v>
      </c>
      <c r="I297" s="257">
        <f>Summary!L30</f>
        <v>1738.326922956602</v>
      </c>
      <c r="J297" s="324"/>
    </row>
    <row r="298" spans="1:10" ht="14.25">
      <c r="A298" s="388" t="s">
        <v>46</v>
      </c>
      <c r="B298" s="388"/>
      <c r="C298" s="277"/>
      <c r="D298" s="257">
        <f>G24*1000000</f>
        <v>1112732</v>
      </c>
      <c r="E298" s="257">
        <f>Summary!H31</f>
        <v>1139918.23</v>
      </c>
      <c r="F298" s="257">
        <f>Summary!I31</f>
        <v>1139669.76</v>
      </c>
      <c r="G298" s="257">
        <f>Summary!J31</f>
        <v>1127165.6900000002</v>
      </c>
      <c r="H298" s="257">
        <f>Summary!K31</f>
        <v>1128260.5770272557</v>
      </c>
      <c r="I298" s="257">
        <f>Summary!L31</f>
        <v>1129351.8563643515</v>
      </c>
      <c r="J298" s="324"/>
    </row>
    <row r="299" spans="1:10" ht="14.25">
      <c r="A299" s="388" t="s">
        <v>47</v>
      </c>
      <c r="B299" s="388"/>
      <c r="C299" s="277"/>
      <c r="D299" s="257">
        <v>3066</v>
      </c>
      <c r="E299" s="257">
        <f>Summary!H32</f>
        <v>3235.1000000000004</v>
      </c>
      <c r="F299" s="257">
        <f>Summary!I32</f>
        <v>3382.4000000000005</v>
      </c>
      <c r="G299" s="257">
        <f>Summary!J32</f>
        <v>3215.5</v>
      </c>
      <c r="H299" s="257">
        <f>Summary!K32</f>
        <v>3156.978411930965</v>
      </c>
      <c r="I299" s="257">
        <f>Summary!L32</f>
        <v>3160.0319133815565</v>
      </c>
      <c r="J299" s="324"/>
    </row>
    <row r="300" spans="1:10" ht="14.25">
      <c r="A300" s="389"/>
      <c r="B300" s="389"/>
      <c r="C300" s="389"/>
      <c r="D300" s="389"/>
      <c r="E300" s="389"/>
      <c r="F300" s="389"/>
      <c r="G300" s="389"/>
      <c r="H300" s="389"/>
      <c r="I300" s="389"/>
      <c r="J300" s="280"/>
    </row>
    <row r="301" spans="1:10" ht="14.25">
      <c r="A301" s="387" t="str">
        <f>Summary!A34</f>
        <v>USL</v>
      </c>
      <c r="B301" s="387"/>
      <c r="C301" s="277"/>
      <c r="D301" s="257"/>
      <c r="E301" s="257"/>
      <c r="F301" s="257"/>
      <c r="G301" s="257"/>
      <c r="H301" s="257"/>
      <c r="I301" s="246"/>
      <c r="J301" s="280"/>
    </row>
    <row r="302" spans="1:10" ht="14.25">
      <c r="A302" s="277" t="str">
        <f>A297</f>
        <v>  Connections</v>
      </c>
      <c r="B302" s="277"/>
      <c r="C302" s="277"/>
      <c r="D302" s="257">
        <f>I41</f>
        <v>2</v>
      </c>
      <c r="E302" s="257">
        <f>Summary!H35</f>
        <v>2</v>
      </c>
      <c r="F302" s="257">
        <f>Summary!I35</f>
        <v>2</v>
      </c>
      <c r="G302" s="257">
        <f>Summary!J35</f>
        <v>6</v>
      </c>
      <c r="H302" s="257">
        <f>Summary!K35</f>
        <v>7.896444077714955</v>
      </c>
      <c r="I302" s="257">
        <f>Summary!L35</f>
        <v>10</v>
      </c>
      <c r="J302" s="324"/>
    </row>
    <row r="303" spans="1:10" ht="14.25">
      <c r="A303" s="388" t="s">
        <v>46</v>
      </c>
      <c r="B303" s="388"/>
      <c r="C303" s="277"/>
      <c r="D303" s="257">
        <f>I24*1000000</f>
        <v>400443</v>
      </c>
      <c r="E303" s="257">
        <f>Summary!H36</f>
        <v>400443.16000000003</v>
      </c>
      <c r="F303" s="257">
        <f>Summary!I36</f>
        <v>453001.43</v>
      </c>
      <c r="G303" s="257">
        <f>Summary!J36</f>
        <v>494005.7</v>
      </c>
      <c r="H303" s="257">
        <f>Summary!K36</f>
        <v>556821.2472011022</v>
      </c>
      <c r="I303" s="257">
        <f>Summary!L36</f>
        <v>603929.109828694</v>
      </c>
      <c r="J303" s="324"/>
    </row>
    <row r="304" spans="1:10" ht="14.25">
      <c r="A304" s="389"/>
      <c r="B304" s="389"/>
      <c r="C304" s="389"/>
      <c r="D304" s="389"/>
      <c r="E304" s="389"/>
      <c r="F304" s="389"/>
      <c r="G304" s="389"/>
      <c r="H304" s="389"/>
      <c r="I304" s="389"/>
      <c r="J304" s="324"/>
    </row>
    <row r="305" spans="1:10" ht="14.25">
      <c r="A305" s="387" t="str">
        <f>Summary!A38</f>
        <v>Intermediate </v>
      </c>
      <c r="B305" s="387"/>
      <c r="C305" s="277"/>
      <c r="D305" s="257"/>
      <c r="E305" s="257"/>
      <c r="F305" s="257"/>
      <c r="G305" s="257"/>
      <c r="H305" s="257"/>
      <c r="I305" s="257"/>
      <c r="J305" s="324"/>
    </row>
    <row r="306" spans="1:10" ht="14.25">
      <c r="A306" s="277" t="s">
        <v>45</v>
      </c>
      <c r="B306" s="277"/>
      <c r="C306" s="277"/>
      <c r="D306" s="257">
        <f>J41</f>
        <v>1</v>
      </c>
      <c r="E306" s="257">
        <f>Summary!H39</f>
        <v>1</v>
      </c>
      <c r="F306" s="257">
        <f>Summary!I39</f>
        <v>1</v>
      </c>
      <c r="G306" s="257">
        <f>Summary!J39</f>
        <v>1</v>
      </c>
      <c r="H306" s="257">
        <f>Summary!K39</f>
        <v>1</v>
      </c>
      <c r="I306" s="257">
        <f>Summary!L39</f>
        <v>1</v>
      </c>
      <c r="J306" s="324"/>
    </row>
    <row r="307" spans="1:10" ht="14.25">
      <c r="A307" s="388" t="s">
        <v>46</v>
      </c>
      <c r="B307" s="388"/>
      <c r="C307" s="277"/>
      <c r="D307" s="257">
        <f>J24*1000000</f>
        <v>20979417</v>
      </c>
      <c r="E307" s="257">
        <f>Summary!H40</f>
        <v>18664981.2</v>
      </c>
      <c r="F307" s="257">
        <f>Summary!I40</f>
        <v>17729306.4</v>
      </c>
      <c r="G307" s="257">
        <f>Summary!J40</f>
        <v>18104643.6</v>
      </c>
      <c r="H307" s="257">
        <f>Summary!K40</f>
        <v>17516480.340998773</v>
      </c>
      <c r="I307" s="257">
        <f>Summary!L40</f>
        <v>16947354.569535773</v>
      </c>
      <c r="J307" s="324"/>
    </row>
    <row r="308" spans="1:10" ht="14.25">
      <c r="A308" s="388" t="s">
        <v>47</v>
      </c>
      <c r="B308" s="388"/>
      <c r="C308" s="277"/>
      <c r="D308" s="257">
        <v>43874</v>
      </c>
      <c r="E308" s="257">
        <f>Summary!H41</f>
        <v>42412.799999999996</v>
      </c>
      <c r="F308" s="257">
        <f>Summary!I41</f>
        <v>44377.7</v>
      </c>
      <c r="G308" s="257">
        <f>Summary!J41</f>
        <v>44396.5</v>
      </c>
      <c r="H308" s="257">
        <f>Summary!K41</f>
        <v>38643.40003929574</v>
      </c>
      <c r="I308" s="257">
        <f>Summary!L41</f>
        <v>37387.84216287457</v>
      </c>
      <c r="J308" s="280"/>
    </row>
    <row r="309" spans="1:10" ht="14.25">
      <c r="A309" s="389"/>
      <c r="B309" s="389"/>
      <c r="C309" s="389"/>
      <c r="D309" s="389"/>
      <c r="E309" s="389"/>
      <c r="F309" s="389"/>
      <c r="G309" s="389"/>
      <c r="H309" s="389"/>
      <c r="I309" s="389"/>
      <c r="J309" s="280"/>
    </row>
    <row r="310" spans="1:10" ht="14.25">
      <c r="A310" s="424" t="s">
        <v>16</v>
      </c>
      <c r="B310" s="424"/>
      <c r="C310" s="277"/>
      <c r="D310" s="257"/>
      <c r="E310" s="257"/>
      <c r="F310" s="257"/>
      <c r="G310" s="257"/>
      <c r="H310" s="257"/>
      <c r="I310" s="246"/>
      <c r="J310" s="280"/>
    </row>
    <row r="311" spans="1:10" ht="14.25">
      <c r="A311" s="307" t="s">
        <v>52</v>
      </c>
      <c r="B311" s="277"/>
      <c r="C311" s="277"/>
      <c r="D311" s="309">
        <f aca="true" t="shared" si="32" ref="D311:I312">D279+D283+D287+D292+D297+D302+D306</f>
        <v>8146</v>
      </c>
      <c r="E311" s="309">
        <f t="shared" si="32"/>
        <v>8019</v>
      </c>
      <c r="F311" s="309">
        <f t="shared" si="32"/>
        <v>8099</v>
      </c>
      <c r="G311" s="309">
        <f t="shared" si="32"/>
        <v>8204</v>
      </c>
      <c r="H311" s="309">
        <f t="shared" si="32"/>
        <v>8320.19944778815</v>
      </c>
      <c r="I311" s="309">
        <f t="shared" si="32"/>
        <v>8438.252804011405</v>
      </c>
      <c r="J311" s="325"/>
    </row>
    <row r="312" spans="1:10" ht="14.25">
      <c r="A312" s="425" t="s">
        <v>46</v>
      </c>
      <c r="B312" s="425"/>
      <c r="C312" s="277"/>
      <c r="D312" s="309">
        <f t="shared" si="32"/>
        <v>153831822</v>
      </c>
      <c r="E312" s="309">
        <f t="shared" si="32"/>
        <v>146583990.21</v>
      </c>
      <c r="F312" s="309">
        <f t="shared" si="32"/>
        <v>149244340.79</v>
      </c>
      <c r="G312" s="309">
        <f t="shared" si="32"/>
        <v>146044788.99</v>
      </c>
      <c r="H312" s="309">
        <f t="shared" si="32"/>
        <v>145967154.78881222</v>
      </c>
      <c r="I312" s="309">
        <f t="shared" si="32"/>
        <v>145613922.80056077</v>
      </c>
      <c r="J312" s="325"/>
    </row>
    <row r="313" spans="1:10" ht="14.25">
      <c r="A313" s="425" t="s">
        <v>51</v>
      </c>
      <c r="B313" s="425"/>
      <c r="C313" s="277"/>
      <c r="D313" s="309">
        <f aca="true" t="shared" si="33" ref="D313:I313">D281+D285+D289+D294+D299+D308</f>
        <v>213588</v>
      </c>
      <c r="E313" s="309">
        <f t="shared" si="33"/>
        <v>214800.27263888885</v>
      </c>
      <c r="F313" s="309">
        <f t="shared" si="33"/>
        <v>218082.6826388889</v>
      </c>
      <c r="G313" s="309">
        <f t="shared" si="33"/>
        <v>208715.72294444445</v>
      </c>
      <c r="H313" s="309">
        <f t="shared" si="33"/>
        <v>199662.35763945925</v>
      </c>
      <c r="I313" s="309">
        <f t="shared" si="33"/>
        <v>198174.37186751503</v>
      </c>
      <c r="J313" s="325"/>
    </row>
    <row r="314" spans="5:10" ht="12.75">
      <c r="E314" s="211"/>
      <c r="F314" s="211"/>
      <c r="G314" s="211"/>
      <c r="H314" s="211"/>
      <c r="I314" s="211"/>
      <c r="J314" s="211"/>
    </row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</sheetData>
  <sheetProtection/>
  <mergeCells count="205">
    <mergeCell ref="A309:I309"/>
    <mergeCell ref="A304:I304"/>
    <mergeCell ref="A300:I300"/>
    <mergeCell ref="A242:H242"/>
    <mergeCell ref="A244:H244"/>
    <mergeCell ref="A245:B245"/>
    <mergeCell ref="A258:B258"/>
    <mergeCell ref="A255:G255"/>
    <mergeCell ref="A288:B288"/>
    <mergeCell ref="A289:B289"/>
    <mergeCell ref="A191:B191"/>
    <mergeCell ref="A193:B193"/>
    <mergeCell ref="D197:H197"/>
    <mergeCell ref="B211:H211"/>
    <mergeCell ref="B210:H210"/>
    <mergeCell ref="B209:H209"/>
    <mergeCell ref="A188:B188"/>
    <mergeCell ref="A184:H184"/>
    <mergeCell ref="A186:H186"/>
    <mergeCell ref="A233:B233"/>
    <mergeCell ref="A234:B234"/>
    <mergeCell ref="A230:K230"/>
    <mergeCell ref="A232:K232"/>
    <mergeCell ref="A194:B194"/>
    <mergeCell ref="A190:K190"/>
    <mergeCell ref="A192:K192"/>
    <mergeCell ref="A112:B112"/>
    <mergeCell ref="A113:B113"/>
    <mergeCell ref="A131:J131"/>
    <mergeCell ref="A133:J133"/>
    <mergeCell ref="A145:K145"/>
    <mergeCell ref="A147:K147"/>
    <mergeCell ref="A143:B143"/>
    <mergeCell ref="A146:B146"/>
    <mergeCell ref="A136:B136"/>
    <mergeCell ref="A137:B137"/>
    <mergeCell ref="A39:B39"/>
    <mergeCell ref="A40:B40"/>
    <mergeCell ref="D14:E14"/>
    <mergeCell ref="D15:E15"/>
    <mergeCell ref="D16:E16"/>
    <mergeCell ref="D9:E9"/>
    <mergeCell ref="D10:E10"/>
    <mergeCell ref="D11:E11"/>
    <mergeCell ref="D12:E12"/>
    <mergeCell ref="D13:E13"/>
    <mergeCell ref="A299:B299"/>
    <mergeCell ref="A301:B301"/>
    <mergeCell ref="D7:E7"/>
    <mergeCell ref="D8:E8"/>
    <mergeCell ref="D6:G6"/>
    <mergeCell ref="A69:E69"/>
    <mergeCell ref="A21:B21"/>
    <mergeCell ref="A23:B23"/>
    <mergeCell ref="A20:K20"/>
    <mergeCell ref="A22:K22"/>
    <mergeCell ref="A295:I295"/>
    <mergeCell ref="A290:I290"/>
    <mergeCell ref="A310:B310"/>
    <mergeCell ref="A312:B312"/>
    <mergeCell ref="A313:B313"/>
    <mergeCell ref="D63:G63"/>
    <mergeCell ref="A303:B303"/>
    <mergeCell ref="A308:B308"/>
    <mergeCell ref="A293:B293"/>
    <mergeCell ref="A298:B298"/>
    <mergeCell ref="A286:B286"/>
    <mergeCell ref="A277:I277"/>
    <mergeCell ref="A280:B280"/>
    <mergeCell ref="A284:B284"/>
    <mergeCell ref="A282:B282"/>
    <mergeCell ref="A294:B294"/>
    <mergeCell ref="A291:B291"/>
    <mergeCell ref="A256:B256"/>
    <mergeCell ref="A267:B267"/>
    <mergeCell ref="A259:B259"/>
    <mergeCell ref="A260:B260"/>
    <mergeCell ref="A275:I275"/>
    <mergeCell ref="A272:B272"/>
    <mergeCell ref="A273:B273"/>
    <mergeCell ref="A269:H269"/>
    <mergeCell ref="A264:B264"/>
    <mergeCell ref="A181:B181"/>
    <mergeCell ref="A182:B182"/>
    <mergeCell ref="A270:B270"/>
    <mergeCell ref="A237:B237"/>
    <mergeCell ref="A239:B239"/>
    <mergeCell ref="A265:B265"/>
    <mergeCell ref="A240:B240"/>
    <mergeCell ref="A185:B185"/>
    <mergeCell ref="A249:B249"/>
    <mergeCell ref="A187:B187"/>
    <mergeCell ref="A172:B172"/>
    <mergeCell ref="A173:B173"/>
    <mergeCell ref="A174:B174"/>
    <mergeCell ref="A176:B176"/>
    <mergeCell ref="A175:B175"/>
    <mergeCell ref="A179:B179"/>
    <mergeCell ref="A178:H178"/>
    <mergeCell ref="A167:B167"/>
    <mergeCell ref="A164:H164"/>
    <mergeCell ref="A168:B168"/>
    <mergeCell ref="A169:B169"/>
    <mergeCell ref="A170:B170"/>
    <mergeCell ref="A171:B171"/>
    <mergeCell ref="A158:B158"/>
    <mergeCell ref="A159:B159"/>
    <mergeCell ref="A160:B160"/>
    <mergeCell ref="A161:B161"/>
    <mergeCell ref="A166:G166"/>
    <mergeCell ref="A165:B165"/>
    <mergeCell ref="A162:B162"/>
    <mergeCell ref="A119:B119"/>
    <mergeCell ref="A121:B121"/>
    <mergeCell ref="A94:B94"/>
    <mergeCell ref="A95:B95"/>
    <mergeCell ref="A100:F100"/>
    <mergeCell ref="A101:B101"/>
    <mergeCell ref="A102:F102"/>
    <mergeCell ref="A103:B103"/>
    <mergeCell ref="A110:B110"/>
    <mergeCell ref="A111:B111"/>
    <mergeCell ref="A84:B84"/>
    <mergeCell ref="A73:B73"/>
    <mergeCell ref="A104:B104"/>
    <mergeCell ref="A105:B105"/>
    <mergeCell ref="A106:B106"/>
    <mergeCell ref="A107:B107"/>
    <mergeCell ref="A92:B92"/>
    <mergeCell ref="A93:B93"/>
    <mergeCell ref="A88:B88"/>
    <mergeCell ref="A71:B71"/>
    <mergeCell ref="A83:F83"/>
    <mergeCell ref="A96:B96"/>
    <mergeCell ref="A129:B129"/>
    <mergeCell ref="A118:K118"/>
    <mergeCell ref="A120:K120"/>
    <mergeCell ref="A122:B122"/>
    <mergeCell ref="A126:B126"/>
    <mergeCell ref="A108:B108"/>
    <mergeCell ref="A109:B109"/>
    <mergeCell ref="A141:B141"/>
    <mergeCell ref="A128:B128"/>
    <mergeCell ref="A132:B132"/>
    <mergeCell ref="A134:B134"/>
    <mergeCell ref="A135:B135"/>
    <mergeCell ref="A42:B42"/>
    <mergeCell ref="A123:B123"/>
    <mergeCell ref="A124:B124"/>
    <mergeCell ref="A125:B125"/>
    <mergeCell ref="A70:B70"/>
    <mergeCell ref="A153:H153"/>
    <mergeCell ref="A148:B148"/>
    <mergeCell ref="A152:B152"/>
    <mergeCell ref="A154:B154"/>
    <mergeCell ref="A155:B155"/>
    <mergeCell ref="A127:B127"/>
    <mergeCell ref="A142:B142"/>
    <mergeCell ref="A138:B138"/>
    <mergeCell ref="A139:B139"/>
    <mergeCell ref="A140:B140"/>
    <mergeCell ref="A156:B156"/>
    <mergeCell ref="A157:B157"/>
    <mergeCell ref="A149:B149"/>
    <mergeCell ref="A243:B243"/>
    <mergeCell ref="A246:B246"/>
    <mergeCell ref="A231:B231"/>
    <mergeCell ref="A236:B236"/>
    <mergeCell ref="A235:K235"/>
    <mergeCell ref="A238:K238"/>
    <mergeCell ref="A151:H151"/>
    <mergeCell ref="A1:E1"/>
    <mergeCell ref="A38:K38"/>
    <mergeCell ref="A4:B4"/>
    <mergeCell ref="A3:B3"/>
    <mergeCell ref="A2:B2"/>
    <mergeCell ref="A25:B25"/>
    <mergeCell ref="A37:I37"/>
    <mergeCell ref="D56:H56"/>
    <mergeCell ref="A89:B89"/>
    <mergeCell ref="A90:B90"/>
    <mergeCell ref="A91:B91"/>
    <mergeCell ref="A85:F85"/>
    <mergeCell ref="A86:B86"/>
    <mergeCell ref="A87:B87"/>
    <mergeCell ref="D57:H57"/>
    <mergeCell ref="D58:H58"/>
    <mergeCell ref="D61:H61"/>
    <mergeCell ref="A250:B250"/>
    <mergeCell ref="A251:B251"/>
    <mergeCell ref="A252:B252"/>
    <mergeCell ref="A247:B247"/>
    <mergeCell ref="A248:B248"/>
    <mergeCell ref="B218:H218"/>
    <mergeCell ref="B225:K225"/>
    <mergeCell ref="A305:B305"/>
    <mergeCell ref="A307:B307"/>
    <mergeCell ref="A285:I285"/>
    <mergeCell ref="A281:I281"/>
    <mergeCell ref="A253:B253"/>
    <mergeCell ref="A266:B266"/>
    <mergeCell ref="A261:B261"/>
    <mergeCell ref="A262:B262"/>
    <mergeCell ref="A263:B263"/>
    <mergeCell ref="A276:B276"/>
  </mergeCells>
  <printOptions/>
  <pageMargins left="0.7" right="0.7" top="0.75" bottom="0.75" header="0.3" footer="0.3"/>
  <pageSetup horizontalDpi="200" verticalDpi="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21.57421875" style="6" customWidth="1"/>
    <col min="3" max="3" width="14.140625" style="6" customWidth="1"/>
    <col min="4" max="5" width="17.7109375" style="6" customWidth="1"/>
    <col min="6" max="7" width="12.7109375" style="6" bestFit="1" customWidth="1"/>
    <col min="8" max="8" width="11.7109375" style="0" bestFit="1" customWidth="1"/>
    <col min="9" max="9" width="10.7109375" style="0" bestFit="1" customWidth="1"/>
  </cols>
  <sheetData>
    <row r="1" spans="2:6" ht="42" customHeight="1">
      <c r="B1" s="8" t="str">
        <f>'Rate Class Customer Model'!D2</f>
        <v>GS&gt;50</v>
      </c>
      <c r="C1" s="8" t="str">
        <f>'Rate Class Customer Model'!E2</f>
        <v>Sentinels</v>
      </c>
      <c r="D1" s="8" t="str">
        <f>'Rate Class Customer Model'!F2</f>
        <v>Streetlights</v>
      </c>
      <c r="E1" s="8" t="str">
        <f>'Rate Class Energy Model'!N2</f>
        <v>Intermediate </v>
      </c>
      <c r="F1" s="6" t="s">
        <v>9</v>
      </c>
    </row>
    <row r="2" spans="1:6" ht="12.75">
      <c r="A2" s="31">
        <v>2003</v>
      </c>
      <c r="B2" s="58">
        <f>SUM('[15]Data Input'!$CY$17:$CY$28)</f>
        <v>154056.5</v>
      </c>
      <c r="C2" s="58">
        <f>'Rate Class Energy Model'!K7/360</f>
        <v>132.71750000000003</v>
      </c>
      <c r="D2" s="58">
        <f>SUM('[15]Data Input'!AG$17:AG$28)</f>
        <v>3008.2</v>
      </c>
      <c r="E2" s="58">
        <f>SUM('[15]Data Input'!CB$17:CB$28)</f>
        <v>47142.3431401</v>
      </c>
      <c r="F2" s="6">
        <f>SUM(B2:E2)</f>
        <v>204339.7606401</v>
      </c>
    </row>
    <row r="3" spans="1:6" ht="12.75">
      <c r="A3" s="31">
        <v>2004</v>
      </c>
      <c r="B3" s="58">
        <f>SUM('[15]Data Input'!$CY$29:$CY$40)</f>
        <v>157637.30000000002</v>
      </c>
      <c r="C3" s="58">
        <f>'Rate Class Energy Model'!K8/360</f>
        <v>106.71222222222222</v>
      </c>
      <c r="D3" s="58">
        <f>SUM('[15]Data Input'!AG$29:AG$40)</f>
        <v>3074.1</v>
      </c>
      <c r="E3" s="58">
        <f>SUM('[15]Data Input'!CB$29:CB$40)</f>
        <v>48399.479999999996</v>
      </c>
      <c r="F3" s="6">
        <f>SUM(B3:E3)</f>
        <v>209217.59222222224</v>
      </c>
    </row>
    <row r="4" spans="1:6" ht="12.75">
      <c r="A4" s="31">
        <v>2005</v>
      </c>
      <c r="B4" s="58">
        <f>SUM('[15]Data Input'!$CY$41:$CY$52)</f>
        <v>157684</v>
      </c>
      <c r="C4" s="58">
        <f>'Rate Class Energy Model'!K9/360</f>
        <v>121.57427777777777</v>
      </c>
      <c r="D4" s="58">
        <f>SUM('[15]Data Input'!AG$41:AG$52)</f>
        <v>3127.6999999999994</v>
      </c>
      <c r="E4" s="58">
        <f>SUM('[15]Data Input'!CB$41:CB$52)</f>
        <v>45921.68042</v>
      </c>
      <c r="F4" s="6">
        <f aca="true" t="shared" si="0" ref="F4:F12">SUM(B4:E4)</f>
        <v>206854.95469777778</v>
      </c>
    </row>
    <row r="5" spans="1:6" ht="12.75">
      <c r="A5" s="31">
        <v>2006</v>
      </c>
      <c r="B5" s="58">
        <f>SUM('[15]Data Input'!$CY$53:$CY$64)</f>
        <v>163964.97</v>
      </c>
      <c r="C5" s="58">
        <f>'Rate Class Energy Model'!K10/360</f>
        <v>128.5248055555556</v>
      </c>
      <c r="D5" s="58">
        <f>SUM('[15]Data Input'!AG$53:AG$64)</f>
        <v>3121.3</v>
      </c>
      <c r="E5" s="58">
        <f>SUM('[15]Data Input'!CB$53:CB$64)</f>
        <v>41567.59</v>
      </c>
      <c r="F5" s="6">
        <f t="shared" si="0"/>
        <v>208782.38480555554</v>
      </c>
    </row>
    <row r="6" spans="1:6" ht="12.75">
      <c r="A6" s="31">
        <v>2007</v>
      </c>
      <c r="B6" s="58">
        <f>SUM('[15]Data Input'!$CY$65:$CY$76)</f>
        <v>160716.94000000003</v>
      </c>
      <c r="C6" s="58">
        <f>'Rate Class Energy Model'!K11/360</f>
        <v>123.0210277777778</v>
      </c>
      <c r="D6" s="58">
        <f>SUM('[15]Data Input'!AG$65:AG$76)</f>
        <v>3086.399999999999</v>
      </c>
      <c r="E6" s="58">
        <f>SUM('[15]Data Input'!CB$65:CB$76)</f>
        <v>42417.600000000006</v>
      </c>
      <c r="F6" s="6">
        <f t="shared" si="0"/>
        <v>206343.9610277778</v>
      </c>
    </row>
    <row r="7" spans="1:6" ht="12.75">
      <c r="A7" s="31">
        <v>2008</v>
      </c>
      <c r="B7" s="58">
        <f>SUM('[15]Data Input'!$CY$77:$CY$88)</f>
        <v>169386.36000000002</v>
      </c>
      <c r="C7" s="58">
        <f>'Rate Class Energy Model'!K12/360</f>
        <v>127.28002777777779</v>
      </c>
      <c r="D7" s="58">
        <f>SUM('[15]Data Input'!AG$77:AG$88)</f>
        <v>3144.2000000000003</v>
      </c>
      <c r="E7" s="58">
        <f>SUM('[15]Data Input'!CB$77:CB$88)</f>
        <v>46155.200000000004</v>
      </c>
      <c r="F7" s="6">
        <f t="shared" si="0"/>
        <v>218813.0400277778</v>
      </c>
    </row>
    <row r="8" spans="1:6" ht="12.75">
      <c r="A8" s="31">
        <v>2009</v>
      </c>
      <c r="B8" s="58">
        <f>SUM('[15]Data Input'!$CY$89:$CY$100)</f>
        <v>169024.12999999998</v>
      </c>
      <c r="C8" s="58">
        <f>'Rate Class Energy Model'!K13/360</f>
        <v>128.2426388888889</v>
      </c>
      <c r="D8" s="58">
        <f>SUM('[15]Data Input'!AG$89:AG$100)</f>
        <v>3235.1000000000004</v>
      </c>
      <c r="E8" s="58">
        <f>SUM('[15]Data Input'!CB$89:CB$100)</f>
        <v>42412.799999999996</v>
      </c>
      <c r="F8" s="6">
        <f t="shared" si="0"/>
        <v>214800.27263888885</v>
      </c>
    </row>
    <row r="9" spans="1:6" ht="12.75">
      <c r="A9" s="31">
        <v>2010</v>
      </c>
      <c r="B9" s="58">
        <f>SUM('[15]Data Input'!$CY$101:$CY$112)</f>
        <v>170203.1</v>
      </c>
      <c r="C9" s="58">
        <f>'Rate Class Energy Model'!K14/360</f>
        <v>119.48263888888889</v>
      </c>
      <c r="D9" s="58">
        <f>SUM('[15]Data Input'!AG$101:AG$112)</f>
        <v>3382.4000000000005</v>
      </c>
      <c r="E9" s="58">
        <f>SUM('[15]Data Input'!CB$101:CB$112)</f>
        <v>44377.7</v>
      </c>
      <c r="F9" s="6">
        <f t="shared" si="0"/>
        <v>218082.6826388889</v>
      </c>
    </row>
    <row r="10" spans="1:6" ht="12.75">
      <c r="A10" s="31">
        <v>2011</v>
      </c>
      <c r="B10" s="58">
        <f>SUM('[15]Data Input'!$CY$113:$CY$124)</f>
        <v>160989.06</v>
      </c>
      <c r="C10" s="58">
        <f>'Rate Class Energy Model'!K15/360</f>
        <v>114.66294444444445</v>
      </c>
      <c r="D10" s="58">
        <f>SUM('[15]Data Input'!AG$113:AG$124)</f>
        <v>3215.5</v>
      </c>
      <c r="E10" s="58">
        <f>SUM('[15]Data Input'!CB$113:CB$124)</f>
        <v>44396.5</v>
      </c>
      <c r="F10" s="6">
        <f t="shared" si="0"/>
        <v>208715.72294444445</v>
      </c>
    </row>
    <row r="11" spans="1:12" ht="12.75">
      <c r="A11" s="31">
        <v>2012</v>
      </c>
      <c r="B11" s="32">
        <f>'Rate Class Energy Model'!J56*'Rate Class Load Model'!B25</f>
        <v>161947.59939689699</v>
      </c>
      <c r="C11" s="32">
        <f>'Rate Class Energy Model'!K56*'Rate Class Load Model'!C25</f>
        <v>109.1891277771676</v>
      </c>
      <c r="D11" s="32">
        <f>'Rate Class Energy Model'!L56*'Rate Class Load Model'!D25</f>
        <v>3156.9187275721983</v>
      </c>
      <c r="E11" s="32">
        <f>'Rate Class Energy Model'!N56*'Rate Class Load Model'!E25</f>
        <v>38642.66946523061</v>
      </c>
      <c r="F11" s="6">
        <f t="shared" si="0"/>
        <v>203856.37671747696</v>
      </c>
      <c r="H11" s="211">
        <f>SUM(B2:B10)</f>
        <v>1463662.36</v>
      </c>
      <c r="I11" s="211">
        <f>SUM(C2:C10)</f>
        <v>1102.2180833333334</v>
      </c>
      <c r="J11" s="211">
        <f>SUM(D2:D10)</f>
        <v>28394.9</v>
      </c>
      <c r="K11" s="211">
        <f>SUM(E2:E10)</f>
        <v>402790.8935601</v>
      </c>
      <c r="L11" s="211"/>
    </row>
    <row r="12" spans="1:11" ht="12.75">
      <c r="A12" s="31">
        <v>2013</v>
      </c>
      <c r="B12" s="32">
        <f>'Rate Class Energy Model'!J57*'Rate Class Load Model'!B25</f>
        <v>163046.5788632334</v>
      </c>
      <c r="C12" s="32">
        <f>'Rate Class Energy Model'!K57*'Rate Class Load Model'!C25</f>
        <v>103.97370410225356</v>
      </c>
      <c r="D12" s="32">
        <f>'Rate Class Energy Model'!L57*'Rate Class Load Model'!D25</f>
        <v>3159.8368252165687</v>
      </c>
      <c r="E12" s="32">
        <f>'Rate Class Energy Model'!N57*E25</f>
        <v>37385.53398190668</v>
      </c>
      <c r="F12" s="6">
        <f t="shared" si="0"/>
        <v>203695.9233744589</v>
      </c>
      <c r="H12" s="211">
        <f>'[15]Data Input'!$CZ$126</f>
        <v>1463662.36</v>
      </c>
      <c r="J12" s="211">
        <f>'[15]Data Input'!$AG$126</f>
        <v>28394.900000000016</v>
      </c>
      <c r="K12" s="211">
        <f>'[15]Data Input'!$CB$126</f>
        <v>402790.89356010006</v>
      </c>
    </row>
    <row r="13" ht="12.75">
      <c r="A13" s="21"/>
    </row>
    <row r="14" spans="1:5" ht="12.75">
      <c r="A14" s="20" t="s">
        <v>56</v>
      </c>
      <c r="B14" s="5"/>
      <c r="C14" s="5"/>
      <c r="D14" s="5"/>
      <c r="E14" s="5"/>
    </row>
    <row r="15" spans="1:5" ht="12.75">
      <c r="A15" s="4">
        <v>2003</v>
      </c>
      <c r="B15" s="29">
        <f>B2/'Rate Class Energy Model'!J7</f>
        <v>0.002444761838390183</v>
      </c>
      <c r="C15" s="29">
        <f>C2/'Rate Class Energy Model'!K7</f>
        <v>0.002777777777777778</v>
      </c>
      <c r="D15" s="29">
        <f>D2/'Rate Class Energy Model'!L7</f>
        <v>0.0027570903079238733</v>
      </c>
      <c r="E15" s="29">
        <f>E2/'Rate Class Energy Model'!N7</f>
        <v>0.0020598385687355864</v>
      </c>
    </row>
    <row r="16" spans="1:5" ht="12.75">
      <c r="A16" s="4">
        <v>2004</v>
      </c>
      <c r="B16" s="29">
        <f>B3/'Rate Class Energy Model'!J8</f>
        <v>0.0024360291534980417</v>
      </c>
      <c r="C16" s="29">
        <f>C3/'Rate Class Energy Model'!K8</f>
        <v>0.002777777777777778</v>
      </c>
      <c r="D16" s="29">
        <f>D3/'Rate Class Energy Model'!L8</f>
        <v>0.002739616091145054</v>
      </c>
      <c r="E16" s="29">
        <f>E3/'Rate Class Energy Model'!N8</f>
        <v>0.002104834206568846</v>
      </c>
    </row>
    <row r="17" spans="1:5" ht="12.75">
      <c r="A17" s="4">
        <v>2005</v>
      </c>
      <c r="B17" s="29">
        <f>B4/'Rate Class Energy Model'!J9</f>
        <v>0.002527798037143311</v>
      </c>
      <c r="C17" s="29">
        <f>C4/'Rate Class Energy Model'!K9</f>
        <v>0.0027777777777777775</v>
      </c>
      <c r="D17" s="29">
        <f>D4/'Rate Class Energy Model'!L9</f>
        <v>0.0027574512531149285</v>
      </c>
      <c r="E17" s="29">
        <f>E4/'Rate Class Energy Model'!N9</f>
        <v>0.0021056703071042748</v>
      </c>
    </row>
    <row r="18" spans="1:5" ht="12.75">
      <c r="A18" s="4">
        <v>2006</v>
      </c>
      <c r="B18" s="29">
        <f>B5/'Rate Class Energy Model'!J10</f>
        <v>0.002605163603721139</v>
      </c>
      <c r="C18" s="29">
        <f>C5/'Rate Class Energy Model'!K10</f>
        <v>0.002777777777777778</v>
      </c>
      <c r="D18" s="29">
        <f>D5/'Rate Class Energy Model'!L10</f>
        <v>0.002761722392747532</v>
      </c>
      <c r="E18" s="29">
        <f>E5/'Rate Class Energy Model'!N10</f>
        <v>0.00218545995700288</v>
      </c>
    </row>
    <row r="19" spans="1:5" ht="12.75">
      <c r="A19" s="4">
        <v>2007</v>
      </c>
      <c r="B19" s="29">
        <f>B6/'Rate Class Energy Model'!J11</f>
        <v>0.002622813231344696</v>
      </c>
      <c r="C19" s="29">
        <f>C6/'Rate Class Energy Model'!K11</f>
        <v>0.002777777777777778</v>
      </c>
      <c r="D19" s="29">
        <f>D6/'Rate Class Energy Model'!L11</f>
        <v>0.0027510866877095436</v>
      </c>
      <c r="E19" s="29">
        <f>E6/'Rate Class Energy Model'!N11</f>
        <v>0.002054344705418779</v>
      </c>
    </row>
    <row r="20" spans="1:5" ht="12.75">
      <c r="A20" s="4">
        <v>2008</v>
      </c>
      <c r="B20" s="29">
        <f>B7/'Rate Class Energy Model'!J12</f>
        <v>0.0025319782772331182</v>
      </c>
      <c r="C20" s="29">
        <f>C7/'Rate Class Energy Model'!K12</f>
        <v>0.002777777777777778</v>
      </c>
      <c r="D20" s="29">
        <f>D7/'Rate Class Energy Model'!L12</f>
        <v>0.0027572549470592494</v>
      </c>
      <c r="E20" s="29">
        <f>E7/'Rate Class Energy Model'!N12</f>
        <v>0.0021172967499803155</v>
      </c>
    </row>
    <row r="21" spans="1:5" ht="12.75">
      <c r="A21" s="4">
        <v>2009</v>
      </c>
      <c r="B21" s="29">
        <f>B8/'Rate Class Energy Model'!J13</f>
        <v>0.0027084112111054586</v>
      </c>
      <c r="C21" s="29">
        <f>C8/'Rate Class Energy Model'!K13</f>
        <v>0.002777777777777778</v>
      </c>
      <c r="D21" s="29">
        <f>D8/'Rate Class Energy Model'!L13</f>
        <v>0.002838010582566085</v>
      </c>
      <c r="E21" s="29">
        <f>E8/'Rate Class Energy Model'!N13</f>
        <v>0.002272319459930664</v>
      </c>
    </row>
    <row r="22" spans="1:5" ht="12.75">
      <c r="A22" s="4">
        <v>2010</v>
      </c>
      <c r="B22" s="29">
        <f>B9/'Rate Class Energy Model'!J14</f>
        <v>0.0026438624993633665</v>
      </c>
      <c r="C22" s="29">
        <f>C9/'Rate Class Energy Model'!K14</f>
        <v>0.002777777777777778</v>
      </c>
      <c r="D22" s="29">
        <f>D9/'Rate Class Energy Model'!L14</f>
        <v>0.0029678772910496465</v>
      </c>
      <c r="E22" s="29">
        <f>E9/'Rate Class Energy Model'!N14</f>
        <v>0.002503070283674493</v>
      </c>
    </row>
    <row r="23" spans="1:5" ht="12.75">
      <c r="A23" s="4">
        <v>2011</v>
      </c>
      <c r="B23" s="29">
        <f>B10/'Rate Class Energy Model'!J15</f>
        <v>0.0026201470979090495</v>
      </c>
      <c r="C23" s="29">
        <f>C10/'Rate Class Energy Model'!K15</f>
        <v>0.0027777777777777775</v>
      </c>
      <c r="D23" s="29">
        <f>D10/'Rate Class Energy Model'!L15</f>
        <v>0.0028527305510869477</v>
      </c>
      <c r="E23" s="29">
        <f>E10/'Rate Class Energy Model'!N15</f>
        <v>0.0024522161817093157</v>
      </c>
    </row>
    <row r="25" spans="1:5" ht="12.75">
      <c r="A25" t="s">
        <v>13</v>
      </c>
      <c r="B25" s="29">
        <f>AVERAGE(B15:B23)</f>
        <v>0.002571218327745374</v>
      </c>
      <c r="C25" s="29">
        <f>AVERAGE(C15:C23)</f>
        <v>0.002777777777777778</v>
      </c>
      <c r="D25" s="29">
        <f>AVERAGE(D15:D23)</f>
        <v>0.0027980933449336513</v>
      </c>
      <c r="E25" s="29">
        <f>AVERAGE(E15:E23)</f>
        <v>0.002206116713347239</v>
      </c>
    </row>
    <row r="32" spans="2:5" ht="12.75">
      <c r="B32" s="27"/>
      <c r="C32" s="27"/>
      <c r="D32" s="27"/>
      <c r="E32" s="27"/>
    </row>
    <row r="33" spans="2:5" ht="12.75">
      <c r="B33" s="27"/>
      <c r="C33" s="27"/>
      <c r="D33" s="27"/>
      <c r="E33" s="27"/>
    </row>
    <row r="52" spans="2:5" ht="12.75">
      <c r="B52" s="15"/>
      <c r="C52" s="15"/>
      <c r="D52" s="15"/>
      <c r="E52" s="15"/>
    </row>
    <row r="53" spans="2:5" ht="12.75">
      <c r="B53" s="15"/>
      <c r="C53" s="15"/>
      <c r="D53" s="15"/>
      <c r="E53" s="15"/>
    </row>
  </sheetData>
  <sheetProtection/>
  <printOptions/>
  <pageMargins left="0.38" right="0.75" top="0.73" bottom="0.74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F1">
      <selection activeCell="P38" sqref="P38"/>
    </sheetView>
  </sheetViews>
  <sheetFormatPr defaultColWidth="9.140625" defaultRowHeight="12.75"/>
  <cols>
    <col min="6" max="6" width="9.28125" style="62" customWidth="1"/>
    <col min="7" max="7" width="9.57421875" style="62" customWidth="1"/>
    <col min="22" max="22" width="9.8515625" style="0" bestFit="1" customWidth="1"/>
    <col min="23" max="23" width="11.00390625" style="0" bestFit="1" customWidth="1"/>
  </cols>
  <sheetData>
    <row r="1" spans="1:10" ht="12.75">
      <c r="A1" s="20" t="s">
        <v>78</v>
      </c>
      <c r="E1" s="444" t="s">
        <v>147</v>
      </c>
      <c r="F1" s="444"/>
      <c r="G1" s="20" t="s">
        <v>148</v>
      </c>
      <c r="H1" s="20"/>
      <c r="I1" s="20"/>
      <c r="J1" s="20"/>
    </row>
    <row r="2" spans="1:2" ht="12.75">
      <c r="A2" s="63"/>
      <c r="B2" s="63"/>
    </row>
    <row r="3" spans="1:7" ht="12.75">
      <c r="A3" s="64" t="s">
        <v>79</v>
      </c>
      <c r="B3" s="64"/>
      <c r="C3" s="64"/>
      <c r="D3" s="64"/>
      <c r="E3" s="64"/>
      <c r="F3" s="65"/>
      <c r="G3" s="65"/>
    </row>
    <row r="4" spans="1:7" ht="12.75">
      <c r="A4" s="66"/>
      <c r="B4" s="66"/>
      <c r="C4" s="66"/>
      <c r="D4" s="66"/>
      <c r="E4" s="66"/>
      <c r="F4" s="67"/>
      <c r="G4" s="67"/>
    </row>
    <row r="5" spans="1:23" ht="12.75">
      <c r="A5" s="68" t="s">
        <v>80</v>
      </c>
      <c r="B5" s="68">
        <v>1992</v>
      </c>
      <c r="C5" s="68">
        <v>1993</v>
      </c>
      <c r="D5" s="68">
        <v>1994</v>
      </c>
      <c r="E5" s="68">
        <v>1995</v>
      </c>
      <c r="F5" s="68">
        <v>1996</v>
      </c>
      <c r="G5" s="68">
        <v>1997</v>
      </c>
      <c r="H5" s="68">
        <v>1998</v>
      </c>
      <c r="I5" s="68">
        <v>1999</v>
      </c>
      <c r="J5" s="68">
        <v>2000</v>
      </c>
      <c r="K5" s="68">
        <f aca="true" t="shared" si="0" ref="K5:Q5">K25</f>
        <v>2001</v>
      </c>
      <c r="L5" s="68">
        <f t="shared" si="0"/>
        <v>2002</v>
      </c>
      <c r="M5" s="68">
        <f t="shared" si="0"/>
        <v>2003</v>
      </c>
      <c r="N5" s="68">
        <f t="shared" si="0"/>
        <v>2004</v>
      </c>
      <c r="O5" s="68">
        <f t="shared" si="0"/>
        <v>2005</v>
      </c>
      <c r="P5" s="68">
        <f t="shared" si="0"/>
        <v>2006</v>
      </c>
      <c r="Q5" s="68">
        <f t="shared" si="0"/>
        <v>2007</v>
      </c>
      <c r="R5" s="68">
        <v>2008</v>
      </c>
      <c r="S5" s="68">
        <v>2009</v>
      </c>
      <c r="T5" s="68">
        <v>2010</v>
      </c>
      <c r="U5" s="68">
        <v>2011</v>
      </c>
      <c r="V5" s="73" t="s">
        <v>94</v>
      </c>
      <c r="W5" s="73" t="s">
        <v>95</v>
      </c>
    </row>
    <row r="6" spans="1:7" ht="12.75">
      <c r="A6" s="66"/>
      <c r="B6" s="66"/>
      <c r="C6" s="66"/>
      <c r="D6" s="66"/>
      <c r="E6" s="66"/>
      <c r="F6" s="65"/>
      <c r="G6" s="65"/>
    </row>
    <row r="7" spans="1:9" ht="12.75">
      <c r="A7" s="69"/>
      <c r="B7" s="69"/>
      <c r="C7" s="69"/>
      <c r="D7" s="69"/>
      <c r="E7" s="69"/>
      <c r="F7" s="65"/>
      <c r="G7" s="65"/>
      <c r="H7" s="65"/>
      <c r="I7" s="65"/>
    </row>
    <row r="8" spans="1:23" ht="12.75">
      <c r="A8" s="69" t="s">
        <v>81</v>
      </c>
      <c r="B8" s="70">
        <v>687.9</v>
      </c>
      <c r="C8" s="70">
        <v>635.1</v>
      </c>
      <c r="D8" s="70">
        <v>941.4</v>
      </c>
      <c r="E8" s="70">
        <v>653.2</v>
      </c>
      <c r="F8" s="70">
        <v>765.2</v>
      </c>
      <c r="G8" s="70">
        <v>756.6</v>
      </c>
      <c r="H8" s="70">
        <v>624.8</v>
      </c>
      <c r="I8" s="70">
        <v>749.8</v>
      </c>
      <c r="J8" s="70">
        <v>738.9</v>
      </c>
      <c r="K8" s="70">
        <v>684.9</v>
      </c>
      <c r="L8" s="70">
        <v>572.2</v>
      </c>
      <c r="M8" s="70">
        <v>814.5</v>
      </c>
      <c r="N8" s="70">
        <v>849.1</v>
      </c>
      <c r="O8" s="70">
        <v>770</v>
      </c>
      <c r="P8" s="70">
        <v>551.8</v>
      </c>
      <c r="Q8" s="70">
        <v>647.1</v>
      </c>
      <c r="R8" s="70">
        <v>623.5</v>
      </c>
      <c r="S8" s="70">
        <v>830.2</v>
      </c>
      <c r="T8" s="70">
        <v>720</v>
      </c>
      <c r="U8" s="70">
        <v>775.3</v>
      </c>
      <c r="V8" s="71">
        <f aca="true" t="shared" si="1" ref="V8:V19">AVERAGE(L8:U8)</f>
        <v>715.3700000000001</v>
      </c>
      <c r="W8" s="72">
        <f aca="true" t="shared" si="2" ref="W8:W19">TREND(B8:U8,$B$25:$U$25,2013)</f>
        <v>715.55</v>
      </c>
    </row>
    <row r="9" spans="1:23" ht="12.75">
      <c r="A9" s="69" t="s">
        <v>82</v>
      </c>
      <c r="B9" s="70">
        <v>635.7</v>
      </c>
      <c r="C9" s="70">
        <v>686.8</v>
      </c>
      <c r="D9" s="70">
        <v>737.5</v>
      </c>
      <c r="E9" s="70">
        <v>707</v>
      </c>
      <c r="F9" s="70">
        <v>689.8</v>
      </c>
      <c r="G9" s="70">
        <v>593</v>
      </c>
      <c r="H9" s="70">
        <v>512.2</v>
      </c>
      <c r="I9" s="70">
        <v>548.1</v>
      </c>
      <c r="J9" s="70">
        <v>612.7</v>
      </c>
      <c r="K9" s="70">
        <v>587.6</v>
      </c>
      <c r="L9" s="70">
        <v>540.2</v>
      </c>
      <c r="M9" s="70">
        <v>699</v>
      </c>
      <c r="N9" s="70">
        <v>631.7</v>
      </c>
      <c r="O9" s="70">
        <v>616.4</v>
      </c>
      <c r="P9" s="70">
        <v>604.3</v>
      </c>
      <c r="Q9" s="70">
        <v>740.1</v>
      </c>
      <c r="R9" s="70">
        <v>674.7</v>
      </c>
      <c r="S9" s="70">
        <v>606.4</v>
      </c>
      <c r="T9" s="70">
        <v>598.3</v>
      </c>
      <c r="U9" s="70">
        <v>654.2</v>
      </c>
      <c r="V9" s="71">
        <f t="shared" si="1"/>
        <v>636.53</v>
      </c>
      <c r="W9" s="72">
        <f t="shared" si="2"/>
        <v>620.5945864661653</v>
      </c>
    </row>
    <row r="10" spans="1:23" ht="12.75">
      <c r="A10" s="69" t="s">
        <v>83</v>
      </c>
      <c r="B10" s="70">
        <v>593</v>
      </c>
      <c r="C10" s="70">
        <v>530.1</v>
      </c>
      <c r="D10" s="70">
        <v>581.5</v>
      </c>
      <c r="E10" s="70">
        <v>498.1</v>
      </c>
      <c r="F10" s="70">
        <v>645.6</v>
      </c>
      <c r="G10" s="70">
        <v>600</v>
      </c>
      <c r="H10" s="70">
        <v>492.3</v>
      </c>
      <c r="I10" s="70">
        <v>550.6</v>
      </c>
      <c r="J10" s="70">
        <v>418.6</v>
      </c>
      <c r="K10" s="70">
        <v>566.6</v>
      </c>
      <c r="L10" s="70">
        <v>545.6</v>
      </c>
      <c r="M10" s="70">
        <v>581.1</v>
      </c>
      <c r="N10" s="70">
        <v>487.3</v>
      </c>
      <c r="O10" s="70">
        <v>608.6</v>
      </c>
      <c r="P10" s="70">
        <v>516.6</v>
      </c>
      <c r="Q10" s="70">
        <v>546.7</v>
      </c>
      <c r="R10" s="70">
        <v>610.2</v>
      </c>
      <c r="S10" s="70">
        <v>533.8</v>
      </c>
      <c r="T10" s="70">
        <v>422.8</v>
      </c>
      <c r="U10" s="70">
        <v>572.8</v>
      </c>
      <c r="V10" s="71">
        <f t="shared" si="1"/>
        <v>542.55</v>
      </c>
      <c r="W10" s="72">
        <f t="shared" si="2"/>
        <v>524.8575939849625</v>
      </c>
    </row>
    <row r="11" spans="1:23" ht="12.75">
      <c r="A11" s="69" t="s">
        <v>84</v>
      </c>
      <c r="B11" s="70">
        <v>372.8</v>
      </c>
      <c r="C11" s="70">
        <v>280.3</v>
      </c>
      <c r="D11" s="70">
        <v>320.2</v>
      </c>
      <c r="E11" s="70">
        <v>417.6</v>
      </c>
      <c r="F11" s="70">
        <v>408.2</v>
      </c>
      <c r="G11" s="70">
        <v>366.8</v>
      </c>
      <c r="H11" s="70">
        <v>282</v>
      </c>
      <c r="I11" s="70">
        <v>296.7</v>
      </c>
      <c r="J11" s="70">
        <v>339.2</v>
      </c>
      <c r="K11" s="70">
        <v>293.8</v>
      </c>
      <c r="L11" s="70">
        <v>329.5</v>
      </c>
      <c r="M11" s="70">
        <v>372.5</v>
      </c>
      <c r="N11" s="70">
        <v>331.5</v>
      </c>
      <c r="O11" s="70">
        <v>306.8</v>
      </c>
      <c r="P11" s="70">
        <v>293.3</v>
      </c>
      <c r="Q11" s="70">
        <v>356.4</v>
      </c>
      <c r="R11" s="70">
        <v>253.9</v>
      </c>
      <c r="S11" s="70">
        <v>305.8</v>
      </c>
      <c r="T11" s="70">
        <v>225.1</v>
      </c>
      <c r="U11" s="70">
        <v>332.3</v>
      </c>
      <c r="V11" s="71">
        <f t="shared" si="1"/>
        <v>310.71000000000004</v>
      </c>
      <c r="W11" s="72">
        <f t="shared" si="2"/>
        <v>282.7303759398492</v>
      </c>
    </row>
    <row r="12" spans="1:23" ht="12.75">
      <c r="A12" s="69" t="s">
        <v>85</v>
      </c>
      <c r="B12" s="70">
        <v>179.2</v>
      </c>
      <c r="C12" s="70">
        <v>182</v>
      </c>
      <c r="D12" s="70">
        <v>199.7</v>
      </c>
      <c r="E12" s="70">
        <v>149.2</v>
      </c>
      <c r="F12" s="70">
        <v>205.9</v>
      </c>
      <c r="G12" s="70">
        <v>260.8</v>
      </c>
      <c r="H12" s="70">
        <v>59.1</v>
      </c>
      <c r="I12" s="70">
        <v>97.1</v>
      </c>
      <c r="J12" s="70">
        <v>139.6</v>
      </c>
      <c r="K12" s="70">
        <v>111.5</v>
      </c>
      <c r="L12" s="70">
        <v>227.5</v>
      </c>
      <c r="M12" s="70">
        <v>177.9</v>
      </c>
      <c r="N12" s="70">
        <v>158.9</v>
      </c>
      <c r="O12" s="70">
        <v>189.4</v>
      </c>
      <c r="P12" s="70">
        <v>136.9</v>
      </c>
      <c r="Q12" s="70">
        <v>136.4</v>
      </c>
      <c r="R12" s="70">
        <v>193.5</v>
      </c>
      <c r="S12" s="70">
        <v>158.8</v>
      </c>
      <c r="T12" s="70">
        <v>107.9</v>
      </c>
      <c r="U12" s="70">
        <v>134.1</v>
      </c>
      <c r="V12" s="71">
        <f t="shared" si="1"/>
        <v>162.13</v>
      </c>
      <c r="W12" s="72">
        <f t="shared" si="2"/>
        <v>137.9461654135339</v>
      </c>
    </row>
    <row r="13" spans="1:23" ht="12.75">
      <c r="A13" s="69" t="s">
        <v>86</v>
      </c>
      <c r="B13" s="70">
        <v>67.1</v>
      </c>
      <c r="C13" s="70">
        <v>46.5</v>
      </c>
      <c r="D13" s="70">
        <v>35.6</v>
      </c>
      <c r="E13" s="70">
        <v>20</v>
      </c>
      <c r="F13" s="70">
        <v>20.9</v>
      </c>
      <c r="G13" s="70">
        <v>20.6</v>
      </c>
      <c r="H13" s="70">
        <v>54.7</v>
      </c>
      <c r="I13" s="70">
        <v>25</v>
      </c>
      <c r="J13" s="70">
        <v>34.5</v>
      </c>
      <c r="K13" s="70">
        <v>29.8</v>
      </c>
      <c r="L13" s="70">
        <v>36.2</v>
      </c>
      <c r="M13" s="70">
        <v>43.4</v>
      </c>
      <c r="N13" s="70">
        <v>44.2</v>
      </c>
      <c r="O13" s="70">
        <v>8.9</v>
      </c>
      <c r="P13" s="70">
        <v>19.5</v>
      </c>
      <c r="Q13" s="70">
        <v>16.5</v>
      </c>
      <c r="R13" s="70">
        <v>22.7</v>
      </c>
      <c r="S13" s="70">
        <v>49.3</v>
      </c>
      <c r="T13" s="70">
        <v>21.7</v>
      </c>
      <c r="U13" s="70">
        <v>19</v>
      </c>
      <c r="V13" s="71">
        <f t="shared" si="1"/>
        <v>28.139999999999997</v>
      </c>
      <c r="W13" s="72">
        <f t="shared" si="2"/>
        <v>20.17789473684229</v>
      </c>
    </row>
    <row r="14" spans="1:23" ht="12.75">
      <c r="A14" s="69" t="s">
        <v>87</v>
      </c>
      <c r="B14" s="70">
        <v>23.7</v>
      </c>
      <c r="C14" s="70">
        <v>0.6</v>
      </c>
      <c r="D14" s="70">
        <v>2.4</v>
      </c>
      <c r="E14" s="70">
        <v>10.3</v>
      </c>
      <c r="F14" s="70">
        <v>10.3</v>
      </c>
      <c r="G14" s="70">
        <v>12.4</v>
      </c>
      <c r="H14" s="70">
        <v>1</v>
      </c>
      <c r="I14" s="70">
        <v>0</v>
      </c>
      <c r="J14" s="70">
        <v>6.6</v>
      </c>
      <c r="K14" s="70">
        <v>9.3</v>
      </c>
      <c r="L14" s="70">
        <v>0</v>
      </c>
      <c r="M14" s="70">
        <v>0.2</v>
      </c>
      <c r="N14" s="70">
        <v>3.6</v>
      </c>
      <c r="O14" s="70">
        <v>0</v>
      </c>
      <c r="P14" s="70">
        <v>0</v>
      </c>
      <c r="Q14" s="70">
        <v>3.2</v>
      </c>
      <c r="R14" s="70">
        <v>1</v>
      </c>
      <c r="S14" s="70">
        <v>6.2</v>
      </c>
      <c r="T14" s="70">
        <v>1.8</v>
      </c>
      <c r="U14" s="70">
        <v>0</v>
      </c>
      <c r="V14" s="71">
        <f t="shared" si="1"/>
        <v>1.6</v>
      </c>
      <c r="W14" s="72">
        <f t="shared" si="2"/>
        <v>-1.4312781954886304</v>
      </c>
    </row>
    <row r="15" spans="1:23" ht="12.75">
      <c r="A15" s="69" t="s">
        <v>88</v>
      </c>
      <c r="B15" s="70">
        <v>35.3</v>
      </c>
      <c r="C15" s="70">
        <v>9.7</v>
      </c>
      <c r="D15" s="70">
        <v>24.5</v>
      </c>
      <c r="E15" s="70">
        <v>4.6</v>
      </c>
      <c r="F15" s="70">
        <v>2.5</v>
      </c>
      <c r="G15" s="70">
        <v>17</v>
      </c>
      <c r="H15" s="70">
        <v>3.4</v>
      </c>
      <c r="I15" s="70">
        <v>8.4</v>
      </c>
      <c r="J15" s="70">
        <v>11.5</v>
      </c>
      <c r="K15" s="70">
        <v>0</v>
      </c>
      <c r="L15" s="70">
        <v>0.2</v>
      </c>
      <c r="M15" s="70">
        <v>2</v>
      </c>
      <c r="N15" s="70">
        <v>12.8</v>
      </c>
      <c r="O15" s="70">
        <v>0.2</v>
      </c>
      <c r="P15" s="70">
        <v>4.2</v>
      </c>
      <c r="Q15" s="70">
        <v>5.2</v>
      </c>
      <c r="R15" s="70">
        <v>12.7</v>
      </c>
      <c r="S15" s="70">
        <v>9.8</v>
      </c>
      <c r="T15" s="70">
        <v>2.1</v>
      </c>
      <c r="U15" s="70">
        <v>0</v>
      </c>
      <c r="V15" s="71">
        <f t="shared" si="1"/>
        <v>4.92</v>
      </c>
      <c r="W15" s="72">
        <f t="shared" si="2"/>
        <v>-0.594962406014929</v>
      </c>
    </row>
    <row r="16" spans="1:23" ht="12.75">
      <c r="A16" s="69" t="s">
        <v>89</v>
      </c>
      <c r="B16" s="70">
        <v>123.5</v>
      </c>
      <c r="C16" s="70">
        <v>77.2</v>
      </c>
      <c r="D16" s="70">
        <v>76.2</v>
      </c>
      <c r="E16" s="70">
        <v>133.7</v>
      </c>
      <c r="F16" s="70">
        <v>71.6</v>
      </c>
      <c r="G16" s="70">
        <v>87.1</v>
      </c>
      <c r="H16" s="70">
        <v>39.7</v>
      </c>
      <c r="I16" s="70">
        <v>49.3</v>
      </c>
      <c r="J16" s="70">
        <v>99.5</v>
      </c>
      <c r="K16" s="70">
        <v>73.6</v>
      </c>
      <c r="L16" s="70">
        <v>21.8</v>
      </c>
      <c r="M16" s="70">
        <v>54.9</v>
      </c>
      <c r="N16" s="70">
        <v>30</v>
      </c>
      <c r="O16" s="70">
        <v>22.6</v>
      </c>
      <c r="P16" s="70">
        <v>80.9</v>
      </c>
      <c r="Q16" s="70">
        <v>36.9</v>
      </c>
      <c r="R16" s="70">
        <v>59</v>
      </c>
      <c r="S16" s="70">
        <v>55.2</v>
      </c>
      <c r="T16" s="70">
        <v>78.1</v>
      </c>
      <c r="U16" s="70">
        <v>48.2</v>
      </c>
      <c r="V16" s="71">
        <f t="shared" si="1"/>
        <v>48.76</v>
      </c>
      <c r="W16" s="72">
        <f t="shared" si="2"/>
        <v>35.33406015037599</v>
      </c>
    </row>
    <row r="17" spans="1:23" ht="12.75">
      <c r="A17" s="69" t="s">
        <v>90</v>
      </c>
      <c r="B17" s="70">
        <v>328.5</v>
      </c>
      <c r="C17" s="70">
        <v>200.8</v>
      </c>
      <c r="D17" s="70">
        <v>249.3</v>
      </c>
      <c r="E17" s="70">
        <v>219.4</v>
      </c>
      <c r="F17" s="70">
        <v>273.1</v>
      </c>
      <c r="G17" s="70">
        <v>266.9</v>
      </c>
      <c r="H17" s="70">
        <v>223.4</v>
      </c>
      <c r="I17" s="70">
        <v>267.6</v>
      </c>
      <c r="J17" s="70">
        <v>212.7</v>
      </c>
      <c r="K17" s="70">
        <v>232.5</v>
      </c>
      <c r="L17" s="70">
        <v>292.2</v>
      </c>
      <c r="M17" s="70">
        <v>276</v>
      </c>
      <c r="N17" s="70">
        <v>226.3</v>
      </c>
      <c r="O17" s="70">
        <v>220.2</v>
      </c>
      <c r="P17" s="70">
        <v>288.3</v>
      </c>
      <c r="Q17" s="70">
        <v>137.7</v>
      </c>
      <c r="R17" s="70">
        <v>278.6</v>
      </c>
      <c r="S17" s="70">
        <v>287.8</v>
      </c>
      <c r="T17" s="70">
        <v>241.6</v>
      </c>
      <c r="U17" s="70">
        <v>235.5</v>
      </c>
      <c r="V17" s="71">
        <f t="shared" si="1"/>
        <v>248.42000000000002</v>
      </c>
      <c r="W17" s="72">
        <f t="shared" si="2"/>
        <v>239.25263157894756</v>
      </c>
    </row>
    <row r="18" spans="1:23" ht="12.75">
      <c r="A18" s="69" t="s">
        <v>91</v>
      </c>
      <c r="B18" s="70">
        <v>456.2</v>
      </c>
      <c r="C18" s="70">
        <v>312.5</v>
      </c>
      <c r="D18" s="70">
        <v>379</v>
      </c>
      <c r="E18" s="70">
        <v>511.4</v>
      </c>
      <c r="F18" s="70">
        <v>512.1</v>
      </c>
      <c r="G18" s="70">
        <v>466.5</v>
      </c>
      <c r="H18" s="70">
        <v>392.6</v>
      </c>
      <c r="I18" s="70">
        <v>367.5</v>
      </c>
      <c r="J18" s="70">
        <v>432</v>
      </c>
      <c r="K18" s="70">
        <v>325.8</v>
      </c>
      <c r="L18" s="70">
        <v>445</v>
      </c>
      <c r="M18" s="70">
        <v>398.5</v>
      </c>
      <c r="N18" s="70">
        <v>379.1</v>
      </c>
      <c r="O18" s="70">
        <v>388.4</v>
      </c>
      <c r="P18" s="70">
        <v>382.2</v>
      </c>
      <c r="Q18" s="70">
        <v>462.5</v>
      </c>
      <c r="R18" s="70">
        <v>451.6</v>
      </c>
      <c r="S18" s="70">
        <v>361.2</v>
      </c>
      <c r="T18" s="70">
        <v>405.3</v>
      </c>
      <c r="U18" s="70">
        <v>342.1</v>
      </c>
      <c r="V18" s="71">
        <f t="shared" si="1"/>
        <v>401.59</v>
      </c>
      <c r="W18" s="72">
        <f t="shared" si="2"/>
        <v>383.57157894736883</v>
      </c>
    </row>
    <row r="19" spans="1:23" ht="12.75">
      <c r="A19" s="69" t="s">
        <v>92</v>
      </c>
      <c r="B19" s="70">
        <v>518.1</v>
      </c>
      <c r="C19" s="70">
        <v>503.5</v>
      </c>
      <c r="D19" s="70">
        <v>562.5</v>
      </c>
      <c r="E19" s="70">
        <v>717.5</v>
      </c>
      <c r="F19" s="70">
        <v>571.6</v>
      </c>
      <c r="G19" s="70">
        <v>586.2</v>
      </c>
      <c r="H19" s="70">
        <v>535.1</v>
      </c>
      <c r="I19" s="70">
        <v>579.3</v>
      </c>
      <c r="J19" s="70">
        <v>780.3</v>
      </c>
      <c r="K19" s="70">
        <v>505</v>
      </c>
      <c r="L19" s="70">
        <v>619.4</v>
      </c>
      <c r="M19" s="70">
        <v>561.5</v>
      </c>
      <c r="N19" s="70">
        <v>643.4</v>
      </c>
      <c r="O19" s="70">
        <v>665.3</v>
      </c>
      <c r="P19" s="70">
        <v>500.5</v>
      </c>
      <c r="Q19" s="70">
        <v>630.7</v>
      </c>
      <c r="R19" s="70">
        <v>654.6</v>
      </c>
      <c r="S19" s="70">
        <v>631.3</v>
      </c>
      <c r="T19" s="70">
        <v>676.2</v>
      </c>
      <c r="U19" s="70">
        <v>534</v>
      </c>
      <c r="V19" s="71">
        <f t="shared" si="1"/>
        <v>611.69</v>
      </c>
      <c r="W19" s="72">
        <f t="shared" si="2"/>
        <v>633.5680451127819</v>
      </c>
    </row>
    <row r="20" spans="1:21" ht="12.75">
      <c r="A20" s="69"/>
      <c r="B20" s="69"/>
      <c r="C20" s="69"/>
      <c r="D20" s="69"/>
      <c r="E20" s="69"/>
      <c r="F20" s="69"/>
      <c r="G20" s="69"/>
      <c r="R20" s="69"/>
      <c r="S20" s="69"/>
      <c r="T20" s="69"/>
      <c r="U20" s="69"/>
    </row>
    <row r="21" spans="1:21" ht="12.75">
      <c r="A21" s="69" t="s">
        <v>9</v>
      </c>
      <c r="B21" s="70">
        <f aca="true" t="shared" si="3" ref="B21:U21">SUM(B8:B19)</f>
        <v>4020.9999999999995</v>
      </c>
      <c r="C21" s="70">
        <f t="shared" si="3"/>
        <v>3465.1</v>
      </c>
      <c r="D21" s="70">
        <f t="shared" si="3"/>
        <v>4109.799999999999</v>
      </c>
      <c r="E21" s="70">
        <f t="shared" si="3"/>
        <v>4042</v>
      </c>
      <c r="F21" s="70">
        <f t="shared" si="3"/>
        <v>4176.8</v>
      </c>
      <c r="G21" s="70">
        <f t="shared" si="3"/>
        <v>4033.9000000000005</v>
      </c>
      <c r="H21" s="70">
        <f t="shared" si="3"/>
        <v>3220.2999999999997</v>
      </c>
      <c r="I21" s="70">
        <f t="shared" si="3"/>
        <v>3539.3999999999996</v>
      </c>
      <c r="J21" s="70">
        <f t="shared" si="3"/>
        <v>3826.0999999999995</v>
      </c>
      <c r="K21" s="70">
        <f t="shared" si="3"/>
        <v>3420.4000000000005</v>
      </c>
      <c r="L21" s="70">
        <f t="shared" si="3"/>
        <v>3629.7999999999997</v>
      </c>
      <c r="M21" s="70">
        <f t="shared" si="3"/>
        <v>3981.5</v>
      </c>
      <c r="N21" s="70">
        <f t="shared" si="3"/>
        <v>3797.9000000000005</v>
      </c>
      <c r="O21" s="70">
        <f t="shared" si="3"/>
        <v>3796.8</v>
      </c>
      <c r="P21" s="70">
        <f t="shared" si="3"/>
        <v>3378.4999999999995</v>
      </c>
      <c r="Q21" s="70">
        <f t="shared" si="3"/>
        <v>3719.3999999999996</v>
      </c>
      <c r="R21" s="70">
        <f t="shared" si="3"/>
        <v>3835.9999999999995</v>
      </c>
      <c r="S21" s="70">
        <f t="shared" si="3"/>
        <v>3835.8</v>
      </c>
      <c r="T21" s="70">
        <f t="shared" si="3"/>
        <v>3500.8999999999996</v>
      </c>
      <c r="U21" s="70">
        <f t="shared" si="3"/>
        <v>3647.4999999999995</v>
      </c>
    </row>
    <row r="22" spans="1:7" ht="12.75">
      <c r="A22" s="64"/>
      <c r="B22" s="64"/>
      <c r="C22" s="64"/>
      <c r="D22" s="64"/>
      <c r="E22" s="64"/>
      <c r="F22" s="65"/>
      <c r="G22" s="65"/>
    </row>
    <row r="23" spans="1:7" ht="12.75">
      <c r="A23" s="64" t="s">
        <v>93</v>
      </c>
      <c r="B23" s="64"/>
      <c r="C23" s="64"/>
      <c r="D23" s="64"/>
      <c r="E23" s="64"/>
      <c r="F23" s="65"/>
      <c r="G23" s="65"/>
    </row>
    <row r="24" spans="1:7" ht="12.75">
      <c r="A24" s="66"/>
      <c r="B24" s="66"/>
      <c r="C24" s="66"/>
      <c r="D24" s="66"/>
      <c r="E24" s="66"/>
      <c r="F24" s="67"/>
      <c r="G24" s="67"/>
    </row>
    <row r="25" spans="1:23" ht="12.75">
      <c r="A25" s="68" t="s">
        <v>80</v>
      </c>
      <c r="B25" s="68">
        <v>1992</v>
      </c>
      <c r="C25" s="68">
        <v>1993</v>
      </c>
      <c r="D25" s="68">
        <v>1994</v>
      </c>
      <c r="E25" s="68">
        <v>1995</v>
      </c>
      <c r="F25" s="68">
        <v>1996</v>
      </c>
      <c r="G25" s="68">
        <v>1997</v>
      </c>
      <c r="H25" s="68">
        <v>1998</v>
      </c>
      <c r="I25" s="68">
        <v>1999</v>
      </c>
      <c r="J25" s="68">
        <v>2000</v>
      </c>
      <c r="K25" s="68">
        <v>2001</v>
      </c>
      <c r="L25" s="68">
        <v>2002</v>
      </c>
      <c r="M25" s="68">
        <v>2003</v>
      </c>
      <c r="N25" s="68">
        <v>2004</v>
      </c>
      <c r="O25" s="68">
        <v>2005</v>
      </c>
      <c r="P25" s="68">
        <v>2006</v>
      </c>
      <c r="Q25" s="68">
        <v>2007</v>
      </c>
      <c r="R25" s="68">
        <v>2008</v>
      </c>
      <c r="S25" s="68">
        <v>2009</v>
      </c>
      <c r="T25" s="68">
        <v>2010</v>
      </c>
      <c r="U25" s="68">
        <v>2011</v>
      </c>
      <c r="V25" s="73" t="s">
        <v>94</v>
      </c>
      <c r="W25" s="73" t="s">
        <v>95</v>
      </c>
    </row>
    <row r="26" spans="1:23" ht="12.75">
      <c r="A26" s="66"/>
      <c r="B26" s="66"/>
      <c r="C26" s="66"/>
      <c r="D26" s="66"/>
      <c r="E26" s="66"/>
      <c r="F26" s="65"/>
      <c r="G26" s="65"/>
      <c r="V26" s="74"/>
      <c r="W26" s="74"/>
    </row>
    <row r="27" spans="6:23" ht="12.75">
      <c r="F27" s="65"/>
      <c r="G27" s="65"/>
      <c r="V27" s="74"/>
      <c r="W27" s="74"/>
    </row>
    <row r="28" spans="1:23" ht="12.75">
      <c r="A28" s="69" t="s">
        <v>81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1">
        <f aca="true" t="shared" si="4" ref="V28:V39">AVERAGE(L28:U28)</f>
        <v>0</v>
      </c>
      <c r="W28" s="72">
        <f aca="true" t="shared" si="5" ref="W28:W39">TREND(B28:U28,$B$25:$U$25,2013)</f>
        <v>0</v>
      </c>
    </row>
    <row r="29" spans="1:23" ht="12.75">
      <c r="A29" s="69" t="s">
        <v>82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1">
        <f t="shared" si="4"/>
        <v>0</v>
      </c>
      <c r="W29" s="72">
        <f t="shared" si="5"/>
        <v>0</v>
      </c>
    </row>
    <row r="30" spans="1:23" ht="12.75">
      <c r="A30" s="69" t="s">
        <v>83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1">
        <f t="shared" si="4"/>
        <v>0</v>
      </c>
      <c r="W30" s="72">
        <f t="shared" si="5"/>
        <v>0</v>
      </c>
    </row>
    <row r="31" spans="1:23" ht="12.75">
      <c r="A31" s="69" t="s">
        <v>84</v>
      </c>
      <c r="B31" s="70">
        <v>0</v>
      </c>
      <c r="C31" s="70">
        <v>0</v>
      </c>
      <c r="D31" s="70">
        <v>0.5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1.4</v>
      </c>
      <c r="L31" s="70">
        <v>8.3</v>
      </c>
      <c r="M31" s="70">
        <v>2.4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1.2</v>
      </c>
      <c r="T31" s="70">
        <v>0</v>
      </c>
      <c r="U31" s="70">
        <v>0</v>
      </c>
      <c r="V31" s="71">
        <f t="shared" si="4"/>
        <v>1.19</v>
      </c>
      <c r="W31" s="72">
        <f t="shared" si="5"/>
        <v>0.9027067669172908</v>
      </c>
    </row>
    <row r="32" spans="1:23" ht="12.75">
      <c r="A32" s="69" t="s">
        <v>85</v>
      </c>
      <c r="B32" s="70">
        <v>3.3</v>
      </c>
      <c r="C32" s="70">
        <v>4.3</v>
      </c>
      <c r="D32" s="70">
        <v>8.2</v>
      </c>
      <c r="E32" s="70">
        <v>3.5</v>
      </c>
      <c r="F32" s="70">
        <v>8.6</v>
      </c>
      <c r="G32" s="70">
        <v>0</v>
      </c>
      <c r="H32" s="70">
        <v>28.6</v>
      </c>
      <c r="I32" s="70">
        <v>19.4</v>
      </c>
      <c r="J32" s="70">
        <v>23.7</v>
      </c>
      <c r="K32" s="70">
        <v>12.2</v>
      </c>
      <c r="L32" s="70">
        <v>7.8</v>
      </c>
      <c r="M32" s="70">
        <v>0</v>
      </c>
      <c r="N32" s="70">
        <v>8.6</v>
      </c>
      <c r="O32" s="70">
        <v>0.8</v>
      </c>
      <c r="P32" s="70">
        <v>26</v>
      </c>
      <c r="Q32" s="70">
        <v>22.4</v>
      </c>
      <c r="R32" s="70">
        <v>2.5</v>
      </c>
      <c r="S32" s="70">
        <v>6.9</v>
      </c>
      <c r="T32" s="70">
        <v>45.7</v>
      </c>
      <c r="U32" s="70">
        <v>13</v>
      </c>
      <c r="V32" s="71">
        <f t="shared" si="4"/>
        <v>13.37</v>
      </c>
      <c r="W32" s="72">
        <f t="shared" si="5"/>
        <v>20.2065413533835</v>
      </c>
    </row>
    <row r="33" spans="1:23" ht="12.75">
      <c r="A33" s="69" t="s">
        <v>86</v>
      </c>
      <c r="B33" s="70">
        <v>18.5</v>
      </c>
      <c r="C33" s="70">
        <v>17.9</v>
      </c>
      <c r="D33" s="70">
        <v>67.7</v>
      </c>
      <c r="E33" s="70">
        <v>77.9</v>
      </c>
      <c r="F33" s="70">
        <v>38.3</v>
      </c>
      <c r="G33" s="70">
        <v>73.2</v>
      </c>
      <c r="H33" s="70">
        <v>82.4</v>
      </c>
      <c r="I33" s="70">
        <v>96</v>
      </c>
      <c r="J33" s="70">
        <v>41.1</v>
      </c>
      <c r="K33" s="70">
        <v>79.7</v>
      </c>
      <c r="L33" s="70">
        <v>70</v>
      </c>
      <c r="M33" s="70">
        <v>52.9</v>
      </c>
      <c r="N33" s="70">
        <v>31.6</v>
      </c>
      <c r="O33" s="70">
        <v>146.3</v>
      </c>
      <c r="P33" s="70">
        <v>73.6</v>
      </c>
      <c r="Q33" s="70">
        <v>99.2</v>
      </c>
      <c r="R33" s="70">
        <v>71.5</v>
      </c>
      <c r="S33" s="70">
        <v>34.2</v>
      </c>
      <c r="T33" s="70">
        <v>58.7</v>
      </c>
      <c r="U33" s="70">
        <v>52.2</v>
      </c>
      <c r="V33" s="71">
        <f t="shared" si="4"/>
        <v>69.02000000000001</v>
      </c>
      <c r="W33" s="72">
        <f t="shared" si="5"/>
        <v>77.74353383458674</v>
      </c>
    </row>
    <row r="34" spans="1:23" ht="12.75">
      <c r="A34" s="69" t="s">
        <v>87</v>
      </c>
      <c r="B34" s="70">
        <v>24.5</v>
      </c>
      <c r="C34" s="70">
        <v>107.8</v>
      </c>
      <c r="D34" s="70">
        <v>111.2</v>
      </c>
      <c r="E34" s="70">
        <v>130.9</v>
      </c>
      <c r="F34" s="70">
        <v>59.6</v>
      </c>
      <c r="G34" s="70">
        <v>103</v>
      </c>
      <c r="H34" s="70">
        <v>101.3</v>
      </c>
      <c r="I34" s="70">
        <v>196.5</v>
      </c>
      <c r="J34" s="70">
        <v>71.8</v>
      </c>
      <c r="K34" s="70">
        <v>100.9</v>
      </c>
      <c r="L34" s="70">
        <v>192.4</v>
      </c>
      <c r="M34" s="70">
        <v>118.3</v>
      </c>
      <c r="N34" s="70">
        <v>86.4</v>
      </c>
      <c r="O34" s="70">
        <v>188.7</v>
      </c>
      <c r="P34" s="70">
        <v>167.3</v>
      </c>
      <c r="Q34" s="70">
        <v>106.1</v>
      </c>
      <c r="R34" s="70">
        <v>111</v>
      </c>
      <c r="S34" s="70">
        <v>43.7</v>
      </c>
      <c r="T34" s="70">
        <v>164.9</v>
      </c>
      <c r="U34" s="70">
        <v>198.5</v>
      </c>
      <c r="V34" s="71">
        <f t="shared" si="4"/>
        <v>137.73</v>
      </c>
      <c r="W34" s="72">
        <f t="shared" si="5"/>
        <v>157.18135338345837</v>
      </c>
    </row>
    <row r="35" spans="1:25" ht="12.75">
      <c r="A35" s="69" t="s">
        <v>88</v>
      </c>
      <c r="B35" s="70">
        <v>32.5</v>
      </c>
      <c r="C35" s="70">
        <v>103.5</v>
      </c>
      <c r="D35" s="70">
        <v>46.4</v>
      </c>
      <c r="E35" s="70">
        <v>122.9</v>
      </c>
      <c r="F35" s="70">
        <v>87.1</v>
      </c>
      <c r="G35" s="70">
        <v>46.8</v>
      </c>
      <c r="H35" s="70">
        <v>117.7</v>
      </c>
      <c r="I35" s="70">
        <v>79.1</v>
      </c>
      <c r="J35" s="70">
        <v>92.5</v>
      </c>
      <c r="K35" s="70">
        <v>160</v>
      </c>
      <c r="L35" s="70">
        <v>142.7</v>
      </c>
      <c r="M35" s="70">
        <v>128</v>
      </c>
      <c r="N35" s="70">
        <v>59.6</v>
      </c>
      <c r="O35" s="70">
        <v>140.7</v>
      </c>
      <c r="P35" s="70">
        <v>101.6</v>
      </c>
      <c r="Q35" s="70">
        <v>141</v>
      </c>
      <c r="R35" s="70">
        <v>64</v>
      </c>
      <c r="S35" s="70">
        <v>91</v>
      </c>
      <c r="T35" s="70">
        <v>138.8</v>
      </c>
      <c r="U35" s="70">
        <v>122.2</v>
      </c>
      <c r="V35" s="71">
        <f t="shared" si="4"/>
        <v>112.96000000000001</v>
      </c>
      <c r="W35" s="72">
        <f t="shared" si="5"/>
        <v>130.70556390977436</v>
      </c>
      <c r="Y35" t="s">
        <v>96</v>
      </c>
    </row>
    <row r="36" spans="1:23" ht="12.75">
      <c r="A36" s="69" t="s">
        <v>89</v>
      </c>
      <c r="B36" s="70">
        <v>23.3</v>
      </c>
      <c r="C36" s="70">
        <v>15.7</v>
      </c>
      <c r="D36" s="70">
        <v>13.7</v>
      </c>
      <c r="E36" s="70">
        <v>12.7</v>
      </c>
      <c r="F36" s="70">
        <v>27.1</v>
      </c>
      <c r="G36" s="70">
        <v>11.7</v>
      </c>
      <c r="H36" s="70">
        <v>45</v>
      </c>
      <c r="I36" s="70">
        <v>48.9</v>
      </c>
      <c r="J36" s="70">
        <v>35.2</v>
      </c>
      <c r="K36" s="70">
        <v>35.7</v>
      </c>
      <c r="L36" s="70">
        <v>87.6</v>
      </c>
      <c r="M36" s="70">
        <v>24</v>
      </c>
      <c r="N36" s="70">
        <v>41.2</v>
      </c>
      <c r="O36" s="70">
        <v>52.1</v>
      </c>
      <c r="P36" s="70">
        <v>12.9</v>
      </c>
      <c r="Q36" s="70">
        <v>47.5</v>
      </c>
      <c r="R36" s="70">
        <v>26.7</v>
      </c>
      <c r="S36" s="70">
        <v>20.9</v>
      </c>
      <c r="T36" s="70">
        <v>31.5</v>
      </c>
      <c r="U36" s="70">
        <v>39.7</v>
      </c>
      <c r="V36" s="71">
        <f t="shared" si="4"/>
        <v>38.41</v>
      </c>
      <c r="W36" s="72">
        <f t="shared" si="5"/>
        <v>42.468045112781965</v>
      </c>
    </row>
    <row r="37" spans="1:23" ht="12.75">
      <c r="A37" s="69" t="s">
        <v>90</v>
      </c>
      <c r="B37" s="70">
        <v>0</v>
      </c>
      <c r="C37" s="70">
        <v>2.5</v>
      </c>
      <c r="D37" s="70">
        <v>0</v>
      </c>
      <c r="E37" s="70">
        <v>3.2</v>
      </c>
      <c r="F37" s="70">
        <v>0</v>
      </c>
      <c r="G37" s="70">
        <v>2.8</v>
      </c>
      <c r="H37" s="70">
        <v>0</v>
      </c>
      <c r="I37" s="70">
        <v>0</v>
      </c>
      <c r="J37" s="70">
        <v>1.2</v>
      </c>
      <c r="K37" s="70">
        <v>2</v>
      </c>
      <c r="L37" s="70">
        <v>10</v>
      </c>
      <c r="M37" s="70">
        <v>0</v>
      </c>
      <c r="N37" s="70">
        <v>1.5</v>
      </c>
      <c r="O37" s="70">
        <v>7.6</v>
      </c>
      <c r="P37" s="70">
        <v>1.1</v>
      </c>
      <c r="Q37" s="70">
        <v>19.8</v>
      </c>
      <c r="R37" s="70">
        <v>0</v>
      </c>
      <c r="S37" s="70">
        <v>0</v>
      </c>
      <c r="T37" s="70">
        <v>0</v>
      </c>
      <c r="U37" s="70">
        <v>2.4</v>
      </c>
      <c r="V37" s="71">
        <f t="shared" si="4"/>
        <v>4.24</v>
      </c>
      <c r="W37" s="72">
        <f t="shared" si="5"/>
        <v>4.685939849624049</v>
      </c>
    </row>
    <row r="38" spans="1:23" ht="12.75">
      <c r="A38" s="69" t="s">
        <v>91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1">
        <f t="shared" si="4"/>
        <v>0</v>
      </c>
      <c r="W38" s="72">
        <f t="shared" si="5"/>
        <v>0</v>
      </c>
    </row>
    <row r="39" spans="1:23" ht="12.75">
      <c r="A39" s="69" t="s">
        <v>92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1">
        <f t="shared" si="4"/>
        <v>0</v>
      </c>
      <c r="W39" s="72">
        <f t="shared" si="5"/>
        <v>0</v>
      </c>
    </row>
    <row r="40" spans="1:21" ht="12.75">
      <c r="A40" s="69"/>
      <c r="B40" s="69"/>
      <c r="C40" s="69"/>
      <c r="D40" s="69"/>
      <c r="E40" s="69"/>
      <c r="F40" s="69"/>
      <c r="G40" s="69"/>
      <c r="H40" s="65"/>
      <c r="I40" s="65"/>
      <c r="R40" s="69"/>
      <c r="S40" s="69"/>
      <c r="T40" s="69"/>
      <c r="U40" s="69"/>
    </row>
    <row r="41" spans="1:23" ht="12.75">
      <c r="A41" s="69" t="s">
        <v>9</v>
      </c>
      <c r="B41" s="70">
        <f aca="true" t="shared" si="6" ref="B41:U41">SUM(B28:B39)</f>
        <v>102.1</v>
      </c>
      <c r="C41" s="70">
        <f t="shared" si="6"/>
        <v>251.7</v>
      </c>
      <c r="D41" s="70">
        <f t="shared" si="6"/>
        <v>247.70000000000002</v>
      </c>
      <c r="E41" s="70">
        <f t="shared" si="6"/>
        <v>351.1</v>
      </c>
      <c r="F41" s="70">
        <f t="shared" si="6"/>
        <v>220.7</v>
      </c>
      <c r="G41" s="70">
        <f t="shared" si="6"/>
        <v>237.5</v>
      </c>
      <c r="H41" s="70">
        <f t="shared" si="6"/>
        <v>375</v>
      </c>
      <c r="I41" s="70">
        <f t="shared" si="6"/>
        <v>439.9</v>
      </c>
      <c r="J41" s="70">
        <f t="shared" si="6"/>
        <v>265.5</v>
      </c>
      <c r="K41" s="70">
        <f t="shared" si="6"/>
        <v>391.9</v>
      </c>
      <c r="L41" s="70">
        <f t="shared" si="6"/>
        <v>518.8</v>
      </c>
      <c r="M41" s="70">
        <f t="shared" si="6"/>
        <v>325.6</v>
      </c>
      <c r="N41" s="70">
        <f t="shared" si="6"/>
        <v>228.90000000000003</v>
      </c>
      <c r="O41" s="70">
        <f t="shared" si="6"/>
        <v>536.2</v>
      </c>
      <c r="P41" s="70">
        <f t="shared" si="6"/>
        <v>382.5</v>
      </c>
      <c r="Q41" s="70">
        <f t="shared" si="6"/>
        <v>436</v>
      </c>
      <c r="R41" s="70">
        <f t="shared" si="6"/>
        <v>275.7</v>
      </c>
      <c r="S41" s="70">
        <f t="shared" si="6"/>
        <v>197.9</v>
      </c>
      <c r="T41" s="70">
        <f t="shared" si="6"/>
        <v>439.6</v>
      </c>
      <c r="U41" s="70">
        <f t="shared" si="6"/>
        <v>427.99999999999994</v>
      </c>
      <c r="V41" s="75"/>
      <c r="W41" s="75"/>
    </row>
    <row r="42" spans="1:17" ht="12.75">
      <c r="A42" s="69"/>
      <c r="B42" s="69"/>
      <c r="C42" s="69"/>
      <c r="D42" s="69"/>
      <c r="E42" s="69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9" ht="12.75">
      <c r="A43" s="69"/>
      <c r="B43" s="69"/>
      <c r="C43" s="69"/>
      <c r="D43" s="69"/>
      <c r="E43" s="69"/>
      <c r="F43" s="65"/>
      <c r="G43" s="65"/>
      <c r="H43" s="65"/>
      <c r="I43" s="65"/>
    </row>
    <row r="44" spans="1:7" ht="12.75">
      <c r="A44" s="64"/>
      <c r="B44" s="64"/>
      <c r="C44" s="64"/>
      <c r="D44" s="64"/>
      <c r="E44" s="64"/>
      <c r="F44" s="65"/>
      <c r="G44" s="65"/>
    </row>
  </sheetData>
  <sheetProtection/>
  <mergeCells count="1">
    <mergeCell ref="E1:F1"/>
  </mergeCells>
  <printOptions/>
  <pageMargins left="0.5" right="0.5" top="0.75" bottom="0.75" header="0.5" footer="0.5"/>
  <pageSetup fitToHeight="1" fitToWidth="1" horizontalDpi="600" verticalDpi="600" orientation="landscape" paperSize="5" scale="73" r:id="rId1"/>
  <headerFooter alignWithMargins="0">
    <oddFooter>&amp;L&amp;8&amp;D
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D4">
      <selection activeCell="J39" sqref="J39"/>
    </sheetView>
  </sheetViews>
  <sheetFormatPr defaultColWidth="9.140625" defaultRowHeight="12.75"/>
  <cols>
    <col min="6" max="6" width="9.28125" style="62" customWidth="1"/>
    <col min="7" max="7" width="9.57421875" style="62" customWidth="1"/>
    <col min="22" max="22" width="9.8515625" style="0" bestFit="1" customWidth="1"/>
    <col min="23" max="23" width="11.00390625" style="0" bestFit="1" customWidth="1"/>
  </cols>
  <sheetData>
    <row r="1" spans="1:10" ht="12.75">
      <c r="A1" s="20" t="s">
        <v>78</v>
      </c>
      <c r="E1" s="444" t="s">
        <v>147</v>
      </c>
      <c r="F1" s="444"/>
      <c r="G1" s="20" t="s">
        <v>148</v>
      </c>
      <c r="H1" s="20"/>
      <c r="I1" s="20"/>
      <c r="J1" s="20"/>
    </row>
    <row r="2" spans="1:2" ht="12.75">
      <c r="A2" s="63"/>
      <c r="B2" s="63"/>
    </row>
    <row r="3" spans="1:7" ht="12.75">
      <c r="A3" s="64" t="s">
        <v>79</v>
      </c>
      <c r="B3" s="64"/>
      <c r="C3" s="64"/>
      <c r="D3" s="64"/>
      <c r="E3" s="64"/>
      <c r="F3" s="65"/>
      <c r="G3" s="65"/>
    </row>
    <row r="4" spans="1:7" ht="12.75">
      <c r="A4" s="66"/>
      <c r="B4" s="66"/>
      <c r="C4" s="66"/>
      <c r="D4" s="66"/>
      <c r="E4" s="66"/>
      <c r="F4" s="67"/>
      <c r="G4" s="67"/>
    </row>
    <row r="5" spans="1:23" ht="12.75">
      <c r="A5" s="68" t="s">
        <v>80</v>
      </c>
      <c r="B5" s="68">
        <v>1992</v>
      </c>
      <c r="C5" s="68">
        <v>1993</v>
      </c>
      <c r="D5" s="68">
        <v>1994</v>
      </c>
      <c r="E5" s="68">
        <v>1995</v>
      </c>
      <c r="F5" s="68">
        <v>1996</v>
      </c>
      <c r="G5" s="68">
        <v>1997</v>
      </c>
      <c r="H5" s="68">
        <v>1998</v>
      </c>
      <c r="I5" s="68">
        <v>1999</v>
      </c>
      <c r="J5" s="68">
        <v>2000</v>
      </c>
      <c r="K5" s="68">
        <f aca="true" t="shared" si="0" ref="K5:Q5">K25</f>
        <v>2001</v>
      </c>
      <c r="L5" s="68">
        <f t="shared" si="0"/>
        <v>2002</v>
      </c>
      <c r="M5" s="68">
        <f t="shared" si="0"/>
        <v>2003</v>
      </c>
      <c r="N5" s="68">
        <f t="shared" si="0"/>
        <v>2004</v>
      </c>
      <c r="O5" s="68">
        <f t="shared" si="0"/>
        <v>2005</v>
      </c>
      <c r="P5" s="68">
        <f t="shared" si="0"/>
        <v>2006</v>
      </c>
      <c r="Q5" s="68">
        <f t="shared" si="0"/>
        <v>2007</v>
      </c>
      <c r="R5" s="68">
        <v>2008</v>
      </c>
      <c r="S5" s="68">
        <v>2009</v>
      </c>
      <c r="T5" s="68">
        <v>2010</v>
      </c>
      <c r="U5" s="68">
        <v>2011</v>
      </c>
      <c r="V5" s="73" t="s">
        <v>94</v>
      </c>
      <c r="W5" s="73" t="s">
        <v>95</v>
      </c>
    </row>
    <row r="6" spans="1:7" ht="12.75">
      <c r="A6" s="66"/>
      <c r="B6" s="66"/>
      <c r="C6" s="66"/>
      <c r="D6" s="66"/>
      <c r="E6" s="66"/>
      <c r="F6" s="65"/>
      <c r="G6" s="65"/>
    </row>
    <row r="7" spans="1:9" ht="12.75">
      <c r="A7" s="69"/>
      <c r="B7" s="69"/>
      <c r="C7" s="69"/>
      <c r="D7" s="69"/>
      <c r="E7" s="69"/>
      <c r="F7" s="65"/>
      <c r="G7" s="65"/>
      <c r="H7" s="65"/>
      <c r="I7" s="65"/>
    </row>
    <row r="8" spans="1:23" ht="12.75">
      <c r="A8" s="69" t="s">
        <v>81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>
        <f>'[5]eng-daily-01012002-12312002'!$M$56</f>
        <v>645.9000000000001</v>
      </c>
      <c r="M8" s="70">
        <f>'[6]eng-daily-01012003-12312003'!$M$56</f>
        <v>873.4999999999998</v>
      </c>
      <c r="N8" s="70">
        <f>'[7]eng-daily-01012004-12312004'!$M$56</f>
        <v>891.4999999999998</v>
      </c>
      <c r="O8" s="70">
        <f>'[8]eng-daily-01012005-12312005'!$M$56</f>
        <v>825.6999999999998</v>
      </c>
      <c r="P8" s="70">
        <f>'[9]eng-daily-01012006-12312006'!$M$56</f>
        <v>620.7</v>
      </c>
      <c r="Q8" s="70">
        <f>'[10]eng-daily-01012007-12312007'!$M$56</f>
        <v>711.8999999999999</v>
      </c>
      <c r="R8" s="70">
        <f>'[11]eng-daily-01012008-12312008'!$M$56</f>
        <v>707.0999999999998</v>
      </c>
      <c r="S8" s="70">
        <f>'[12]eng-daily-01012009-12312009'!$M$56</f>
        <v>859.9999999999998</v>
      </c>
      <c r="T8" s="70">
        <f>'[13]eng-daily-01012010-12312010'!$M$56</f>
        <v>781.5999999999999</v>
      </c>
      <c r="U8" s="70">
        <f>'[14]eng-daily-01012011-12312011'!$M$56</f>
        <v>838.4</v>
      </c>
      <c r="V8" s="71">
        <f aca="true" t="shared" si="1" ref="V8:V19">AVERAGE(L8:U8)</f>
        <v>775.6299999999998</v>
      </c>
      <c r="W8" s="72" t="e">
        <f aca="true" t="shared" si="2" ref="W8:W19">TREND(B8:U8,$B$25:$U$25,2013)</f>
        <v>#VALUE!</v>
      </c>
    </row>
    <row r="9" spans="1:23" ht="12.75">
      <c r="A9" s="69" t="s">
        <v>82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>
        <f>'[5]eng-daily-01012002-12312002'!$M$85</f>
        <v>612.1000000000001</v>
      </c>
      <c r="M9" s="70">
        <f>'[6]eng-daily-01012003-12312003'!$M$85</f>
        <v>761.8999999999999</v>
      </c>
      <c r="N9" s="70">
        <f>'[7]eng-daily-01012004-12312004'!$M$85</f>
        <v>689.2</v>
      </c>
      <c r="O9" s="70">
        <f>'[8]eng-daily-01012005-12312005'!$M$85</f>
        <v>672.5</v>
      </c>
      <c r="P9" s="70">
        <f>'[9]eng-daily-01012006-12312006'!$M$85</f>
        <v>682.6999999999999</v>
      </c>
      <c r="Q9" s="70">
        <f>'[10]eng-daily-01012007-12312007'!$M$85</f>
        <v>781.5999999999998</v>
      </c>
      <c r="R9" s="70">
        <f>'[11]eng-daily-01012008-12312008'!$M$85</f>
        <v>735.6999999999998</v>
      </c>
      <c r="S9" s="70">
        <f>'[12]eng-daily-01012009-12312009'!$M$85</f>
        <v>667.0999999999999</v>
      </c>
      <c r="T9" s="70">
        <f>'[13]eng-daily-01012010-12312010'!$M$85</f>
        <v>663.0999999999999</v>
      </c>
      <c r="U9" s="70">
        <f>'[14]eng-daily-01012011-12312011'!$M$85</f>
        <v>669.5999999999998</v>
      </c>
      <c r="V9" s="71">
        <f t="shared" si="1"/>
        <v>693.55</v>
      </c>
      <c r="W9" s="72" t="e">
        <f t="shared" si="2"/>
        <v>#VALUE!</v>
      </c>
    </row>
    <row r="10" spans="1:23" ht="12.75">
      <c r="A10" s="69" t="s">
        <v>83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>
        <f>'[5]eng-daily-01012002-12312002'!$M$116</f>
        <v>603.0999999999999</v>
      </c>
      <c r="M10" s="70">
        <f>'[6]eng-daily-01012003-12312003'!$M$116</f>
        <v>629.1</v>
      </c>
      <c r="N10" s="70">
        <f>'[7]eng-daily-01012004-12312004'!$M$116</f>
        <v>561.4000000000002</v>
      </c>
      <c r="O10" s="70">
        <f>'[8]eng-daily-01012005-12312005'!$M$116</f>
        <v>677.9000000000002</v>
      </c>
      <c r="P10" s="70">
        <f>'[9]eng-daily-01012006-12312006'!$M$116</f>
        <v>591.3000000000002</v>
      </c>
      <c r="Q10" s="70">
        <f>'[10]eng-daily-01012007-12312007'!$M$116</f>
        <v>596.4000000000001</v>
      </c>
      <c r="R10" s="70">
        <f>'[11]eng-daily-01012008-12312008'!$M$116</f>
        <v>689.9999999999999</v>
      </c>
      <c r="S10" s="70">
        <f>'[12]eng-daily-01012009-12312009'!$M$116</f>
        <v>575.8</v>
      </c>
      <c r="T10" s="70">
        <f>'[13]eng-daily-01012010-12312010'!$M$116</f>
        <v>489.09999999999985</v>
      </c>
      <c r="U10" s="70">
        <f>'[14]eng-daily-01012011-12312011'!$M$116</f>
        <v>639.9000000000001</v>
      </c>
      <c r="V10" s="71">
        <f t="shared" si="1"/>
        <v>605.4</v>
      </c>
      <c r="W10" s="72" t="e">
        <f t="shared" si="2"/>
        <v>#VALUE!</v>
      </c>
    </row>
    <row r="11" spans="1:23" ht="12.75">
      <c r="A11" s="69" t="s">
        <v>84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>
        <f>'[5]eng-daily-01012002-12312002'!$M$146</f>
        <v>363.0999999999999</v>
      </c>
      <c r="M11" s="70">
        <f>'[6]eng-daily-01012003-12312003'!$M$146</f>
        <v>407.0999999999999</v>
      </c>
      <c r="N11" s="70">
        <f>'[7]eng-daily-01012004-12312004'!$M$146</f>
        <v>361.6999999999999</v>
      </c>
      <c r="O11" s="70">
        <f>'[8]eng-daily-01012005-12312005'!$M$146</f>
        <v>349.5999999999999</v>
      </c>
      <c r="P11" s="70">
        <f>'[9]eng-daily-01012006-12312006'!$M$146</f>
        <v>321.3999999999999</v>
      </c>
      <c r="Q11" s="70">
        <f>'[10]eng-daily-01012007-12312007'!$M$146</f>
        <v>409.3999999999999</v>
      </c>
      <c r="R11" s="70">
        <f>'[11]eng-daily-01012008-12312008'!$M$146</f>
        <v>294.8999999999999</v>
      </c>
      <c r="S11" s="70">
        <f>'[12]eng-daily-01012009-12312009'!$M$146</f>
        <v>355.2999999999999</v>
      </c>
      <c r="T11" s="70">
        <f>'[13]eng-daily-01012010-12312010'!$M$146</f>
        <v>250.79999999999995</v>
      </c>
      <c r="U11" s="70">
        <f>'[14]eng-daily-01012011-12312011'!$M$146</f>
        <v>371.1999999999999</v>
      </c>
      <c r="V11" s="71">
        <f t="shared" si="1"/>
        <v>348.44999999999993</v>
      </c>
      <c r="W11" s="72" t="e">
        <f t="shared" si="2"/>
        <v>#VALUE!</v>
      </c>
    </row>
    <row r="12" spans="1:23" ht="12.75">
      <c r="A12" s="69" t="s">
        <v>85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>
        <f>'[5]eng-daily-01012002-12312002'!$M$177</f>
        <v>266.0999999999999</v>
      </c>
      <c r="M12" s="70">
        <f>'[6]eng-daily-01012003-12312003'!$M$177</f>
        <v>207.09999999999994</v>
      </c>
      <c r="N12" s="70">
        <f>'[7]eng-daily-01012004-12312004'!$M$177</f>
        <v>190.89999999999992</v>
      </c>
      <c r="O12" s="70">
        <f>'[8]eng-daily-01012005-12312005'!$M$177</f>
        <v>228.99999999999991</v>
      </c>
      <c r="P12" s="70">
        <f>'[9]eng-daily-01012006-12312006'!$M$177</f>
        <v>162.5</v>
      </c>
      <c r="Q12" s="70">
        <f>'[10]eng-daily-01012007-12312007'!$M$177</f>
        <v>144.79999999999998</v>
      </c>
      <c r="R12" s="70">
        <f>'[11]eng-daily-01012008-12312008'!$M$177</f>
        <v>238.39999999999998</v>
      </c>
      <c r="S12" s="70">
        <f>'[12]eng-daily-01012009-12312009'!$M$177</f>
        <v>180.79999999999995</v>
      </c>
      <c r="T12" s="70">
        <f>'[13]eng-daily-01012010-12312010'!$M$177</f>
        <v>131.39999999999998</v>
      </c>
      <c r="U12" s="70">
        <f>'[14]eng-daily-01012011-12312011'!$M$177</f>
        <v>161.29999999999995</v>
      </c>
      <c r="V12" s="71">
        <f t="shared" si="1"/>
        <v>191.2299999999999</v>
      </c>
      <c r="W12" s="72" t="e">
        <f t="shared" si="2"/>
        <v>#VALUE!</v>
      </c>
    </row>
    <row r="13" spans="1:23" ht="12.75">
      <c r="A13" s="69" t="s">
        <v>86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>
        <f>'[5]eng-daily-01012002-12312002'!$M$207</f>
        <v>48.7</v>
      </c>
      <c r="M13" s="70">
        <f>'[6]eng-daily-01012003-12312003'!$M$207</f>
        <v>57.70000000000001</v>
      </c>
      <c r="N13" s="70">
        <f>'[7]eng-daily-01012004-12312004'!$M$207</f>
        <v>71.30000000000003</v>
      </c>
      <c r="O13" s="70">
        <f>'[8]eng-daily-01012005-12312005'!$M$207</f>
        <v>16.599999999999998</v>
      </c>
      <c r="P13" s="70">
        <f>'[9]eng-daily-01012006-12312006'!$M$207</f>
        <v>32.800000000000004</v>
      </c>
      <c r="Q13" s="70">
        <f>'[10]eng-daily-01012007-12312007'!$M$207</f>
        <v>34.8</v>
      </c>
      <c r="R13" s="70">
        <f>'[11]eng-daily-01012008-12312008'!$M$207</f>
        <v>39.20000000000002</v>
      </c>
      <c r="S13" s="70">
        <f>'[12]eng-daily-01012009-12312009'!$M$207</f>
        <v>72.4</v>
      </c>
      <c r="T13" s="70">
        <f>'[13]eng-daily-01012010-12312010'!$M$207</f>
        <v>39.7</v>
      </c>
      <c r="U13" s="70">
        <f>'[14]eng-daily-01012011-12312011'!$M$207</f>
        <v>40.400000000000006</v>
      </c>
      <c r="V13" s="71">
        <f t="shared" si="1"/>
        <v>45.36</v>
      </c>
      <c r="W13" s="72" t="e">
        <f t="shared" si="2"/>
        <v>#VALUE!</v>
      </c>
    </row>
    <row r="14" spans="1:23" ht="12.75">
      <c r="A14" s="69" t="s">
        <v>87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>
        <f>'[5]eng-daily-01012002-12312002'!$M$238</f>
        <v>5.5</v>
      </c>
      <c r="M14" s="70">
        <f>'[6]eng-daily-01012003-12312003'!$M$238</f>
        <v>11.3</v>
      </c>
      <c r="N14" s="70">
        <f>'[7]eng-daily-01012004-12312004'!$M$238</f>
        <v>18.3</v>
      </c>
      <c r="O14" s="70">
        <f>'[8]eng-daily-01012005-12312005'!$M$238</f>
        <v>2.9</v>
      </c>
      <c r="P14" s="70">
        <f>'[9]eng-daily-01012006-12312006'!$M$238</f>
        <v>3.9000000000000004</v>
      </c>
      <c r="Q14" s="70">
        <f>'[10]eng-daily-01012007-12312007'!$M$238</f>
        <v>20.099999999999998</v>
      </c>
      <c r="R14" s="70">
        <f>'[11]eng-daily-01012008-12312008'!$M$238</f>
        <v>4.4</v>
      </c>
      <c r="S14" s="70">
        <f>'[12]eng-daily-01012009-12312009'!$M$238</f>
        <v>35.5</v>
      </c>
      <c r="T14" s="70">
        <f>'[13]eng-daily-01012010-12312010'!$M$238</f>
        <v>5.9</v>
      </c>
      <c r="U14" s="70">
        <f>'[14]eng-daily-01012011-12312011'!$M$238</f>
        <v>0</v>
      </c>
      <c r="V14" s="71">
        <f t="shared" si="1"/>
        <v>10.780000000000001</v>
      </c>
      <c r="W14" s="72" t="e">
        <f t="shared" si="2"/>
        <v>#VALUE!</v>
      </c>
    </row>
    <row r="15" spans="1:23" ht="12.75">
      <c r="A15" s="69" t="s">
        <v>88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>
        <f>'[5]eng-daily-01012002-12312002'!$M$269</f>
        <v>11.499999999999998</v>
      </c>
      <c r="M15" s="70">
        <f>'[6]eng-daily-01012003-12312003'!$M$269</f>
        <v>9.600000000000001</v>
      </c>
      <c r="N15" s="70">
        <f>'[7]eng-daily-01012004-12312004'!$M$269</f>
        <v>44.699999999999996</v>
      </c>
      <c r="O15" s="70">
        <f>'[8]eng-daily-01012005-12312005'!$M$269</f>
        <v>3.9000000000000004</v>
      </c>
      <c r="P15" s="70">
        <f>'[9]eng-daily-01012006-12312006'!$M$269</f>
        <v>16.9</v>
      </c>
      <c r="Q15" s="70">
        <f>'[10]eng-daily-01012007-12312007'!$M$269</f>
        <v>14.8</v>
      </c>
      <c r="R15" s="70">
        <f>'[11]eng-daily-01012008-12312008'!$M$269</f>
        <v>24.999999999999996</v>
      </c>
      <c r="S15" s="70">
        <f>'[12]eng-daily-01012009-12312009'!$M$269</f>
        <v>26.3</v>
      </c>
      <c r="T15" s="70">
        <f>'[13]eng-daily-01012010-12312010'!$M$269</f>
        <v>8.3</v>
      </c>
      <c r="U15" s="70">
        <f>'[14]eng-daily-01012011-12312011'!$M$269</f>
        <v>6.1000000000000005</v>
      </c>
      <c r="V15" s="71">
        <f t="shared" si="1"/>
        <v>16.71</v>
      </c>
      <c r="W15" s="72" t="e">
        <f t="shared" si="2"/>
        <v>#VALUE!</v>
      </c>
    </row>
    <row r="16" spans="1:23" ht="12.75">
      <c r="A16" s="69" t="s">
        <v>89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>
        <f>'[5]eng-daily-01012002-12312002'!$M$299</f>
        <v>44.5</v>
      </c>
      <c r="M16" s="70">
        <f>'[6]eng-daily-01012003-12312003'!$M$299</f>
        <v>92.5</v>
      </c>
      <c r="N16" s="70">
        <f>'[7]eng-daily-01012004-12312004'!$M$299</f>
        <v>54.00000000000001</v>
      </c>
      <c r="O16" s="70">
        <f>'[8]eng-daily-01012005-12312005'!$M$299</f>
        <v>45.6</v>
      </c>
      <c r="P16" s="70">
        <f>'[9]eng-daily-01012006-12312006'!$M$299</f>
        <v>128.40000000000003</v>
      </c>
      <c r="Q16" s="70">
        <f>'[10]eng-daily-01012007-12312007'!$M$299</f>
        <v>56.800000000000004</v>
      </c>
      <c r="R16" s="70">
        <f>'[11]eng-daily-01012008-12312008'!$M$299</f>
        <v>80.60000000000002</v>
      </c>
      <c r="S16" s="70">
        <f>'[12]eng-daily-01012009-12312009'!$M$299</f>
        <v>79.60000000000002</v>
      </c>
      <c r="T16" s="70">
        <f>'[13]eng-daily-01012010-12312010'!$M$299</f>
        <v>116.20000000000002</v>
      </c>
      <c r="U16" s="70">
        <f>'[14]eng-daily-01012011-12312011'!$M$299</f>
        <v>88.10000000000001</v>
      </c>
      <c r="V16" s="71">
        <f t="shared" si="1"/>
        <v>78.63000000000001</v>
      </c>
      <c r="W16" s="72" t="e">
        <f t="shared" si="2"/>
        <v>#VALUE!</v>
      </c>
    </row>
    <row r="17" spans="1:23" ht="12.75">
      <c r="A17" s="69" t="s">
        <v>90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>
        <f>'[5]eng-daily-01012002-12312002'!$M$330</f>
        <v>336.8999999999999</v>
      </c>
      <c r="M17" s="70">
        <f>'[6]eng-daily-01012003-12312003'!$M$330</f>
        <v>319.59999999999997</v>
      </c>
      <c r="N17" s="70">
        <f>'[7]eng-daily-01012004-12312004'!$M$330</f>
        <v>275.3999999999999</v>
      </c>
      <c r="O17" s="70">
        <f>'[8]eng-daily-01012005-12312005'!$M$330</f>
        <v>263.49999999999994</v>
      </c>
      <c r="P17" s="70">
        <f>'[9]eng-daily-01012006-12312006'!$M$330</f>
        <v>329.3999999999999</v>
      </c>
      <c r="Q17" s="70">
        <f>'[10]eng-daily-01012007-12312007'!$M$330</f>
        <v>180.79999999999998</v>
      </c>
      <c r="R17" s="70">
        <f>'[11]eng-daily-01012008-12312008'!$M$330</f>
        <v>315.99999999999994</v>
      </c>
      <c r="S17" s="70">
        <f>'[12]eng-daily-01012009-12312009'!$M$330</f>
        <v>340.89999999999986</v>
      </c>
      <c r="T17" s="70">
        <f>'[13]eng-daily-01012010-12312010'!$M$330</f>
        <v>277.4999999999999</v>
      </c>
      <c r="U17" s="70">
        <f>'[14]eng-daily-01012011-12312011'!$M$330</f>
        <v>271.2</v>
      </c>
      <c r="V17" s="71">
        <f t="shared" si="1"/>
        <v>291.11999999999995</v>
      </c>
      <c r="W17" s="72" t="e">
        <f t="shared" si="2"/>
        <v>#VALUE!</v>
      </c>
    </row>
    <row r="18" spans="1:23" ht="12.75">
      <c r="A18" s="69" t="s">
        <v>91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>
        <f>'[5]eng-daily-01012002-12312002'!$M$360</f>
        <v>508.7</v>
      </c>
      <c r="M18" s="70">
        <f>'[6]eng-daily-01012003-12312003'!$M$360</f>
        <v>436.99999999999994</v>
      </c>
      <c r="N18" s="70">
        <f>'[7]eng-daily-01012004-12312004'!$M$360</f>
        <v>438.7999999999999</v>
      </c>
      <c r="O18" s="70">
        <f>'[8]eng-daily-01012005-12312005'!$M$360</f>
        <v>443.90000000000003</v>
      </c>
      <c r="P18" s="70">
        <f>'[9]eng-daily-01012006-12312006'!$M$360</f>
        <v>423</v>
      </c>
      <c r="Q18" s="70">
        <f>'[10]eng-daily-01012007-12312007'!$M$360</f>
        <v>491.99999999999994</v>
      </c>
      <c r="R18" s="70">
        <f>'[11]eng-daily-01012008-12312008'!$M$360</f>
        <v>500.1000000000001</v>
      </c>
      <c r="S18" s="70">
        <f>'[12]eng-daily-01012009-12312009'!$M$360</f>
        <v>385.0999999999999</v>
      </c>
      <c r="T18" s="70">
        <f>'[13]eng-daily-01012010-12312010'!$M$360</f>
        <v>444.4999999999999</v>
      </c>
      <c r="U18" s="70">
        <f>'[14]eng-daily-01012011-12312011'!$M$360</f>
        <v>384.9</v>
      </c>
      <c r="V18" s="71">
        <f t="shared" si="1"/>
        <v>445.7999999999999</v>
      </c>
      <c r="W18" s="72" t="e">
        <f t="shared" si="2"/>
        <v>#VALUE!</v>
      </c>
    </row>
    <row r="19" spans="1:23" ht="12.75">
      <c r="A19" s="69" t="s">
        <v>92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>
        <f>'[5]eng-daily-01012002-12312002'!$M$391</f>
        <v>688.7</v>
      </c>
      <c r="M19" s="70">
        <f>'[6]eng-daily-01012003-12312003'!$M$391</f>
        <v>630.6999999999999</v>
      </c>
      <c r="N19" s="70">
        <f>'[7]eng-daily-01012004-12312004'!$M$391</f>
        <v>721.8</v>
      </c>
      <c r="O19" s="70">
        <f>'[8]eng-daily-01012005-12312005'!$M$391</f>
        <v>724.3999999999999</v>
      </c>
      <c r="P19" s="70">
        <f>'[9]eng-daily-01012006-12312006'!$M$391</f>
        <v>565.7999999999998</v>
      </c>
      <c r="Q19" s="70">
        <f>'[10]eng-daily-01012007-12312007'!$M$391</f>
        <v>695.4</v>
      </c>
      <c r="R19" s="70">
        <f>'[11]eng-daily-01012008-12312008'!$M$391</f>
        <v>720.2999999999998</v>
      </c>
      <c r="S19" s="70">
        <f>'[12]eng-daily-01012009-12312009'!$M$391</f>
        <v>695.4</v>
      </c>
      <c r="T19" s="70">
        <f>'[13]eng-daily-01012010-12312010'!$M$391</f>
        <v>741.8</v>
      </c>
      <c r="U19" s="70">
        <f>'[14]eng-daily-01012011-12312011'!$M$391</f>
        <v>607</v>
      </c>
      <c r="V19" s="71">
        <f t="shared" si="1"/>
        <v>679.1299999999999</v>
      </c>
      <c r="W19" s="72" t="e">
        <f t="shared" si="2"/>
        <v>#VALUE!</v>
      </c>
    </row>
    <row r="20" spans="1:21" ht="12.75">
      <c r="A20" s="69"/>
      <c r="B20" s="69"/>
      <c r="C20" s="69"/>
      <c r="D20" s="69"/>
      <c r="E20" s="69"/>
      <c r="F20" s="69"/>
      <c r="G20" s="69"/>
      <c r="R20" s="69"/>
      <c r="S20" s="69"/>
      <c r="T20" s="69"/>
      <c r="U20" s="69"/>
    </row>
    <row r="21" spans="1:21" ht="12.75">
      <c r="A21" s="69" t="s">
        <v>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>
        <f aca="true" t="shared" si="3" ref="L21:U21">SUM(L8:L19)</f>
        <v>4134.799999999999</v>
      </c>
      <c r="M21" s="70">
        <f>SUM(M8:M19)</f>
        <v>4437.099999999999</v>
      </c>
      <c r="N21" s="70">
        <f t="shared" si="3"/>
        <v>4319</v>
      </c>
      <c r="O21" s="70">
        <f t="shared" si="3"/>
        <v>4255.5</v>
      </c>
      <c r="P21" s="70">
        <f t="shared" si="3"/>
        <v>3878.8000000000006</v>
      </c>
      <c r="Q21" s="70">
        <f t="shared" si="3"/>
        <v>4138.8</v>
      </c>
      <c r="R21" s="70">
        <f t="shared" si="3"/>
        <v>4351.7</v>
      </c>
      <c r="S21" s="70">
        <f t="shared" si="3"/>
        <v>4274.199999999999</v>
      </c>
      <c r="T21" s="70">
        <f t="shared" si="3"/>
        <v>3949.8999999999996</v>
      </c>
      <c r="U21" s="70">
        <f t="shared" si="3"/>
        <v>4078.0999999999995</v>
      </c>
    </row>
    <row r="22" spans="1:7" ht="12.75">
      <c r="A22" s="64"/>
      <c r="B22" s="64"/>
      <c r="C22" s="64"/>
      <c r="D22" s="64"/>
      <c r="E22" s="64"/>
      <c r="F22" s="65"/>
      <c r="G22" s="65"/>
    </row>
    <row r="23" spans="1:7" ht="12.75">
      <c r="A23" s="64" t="s">
        <v>93</v>
      </c>
      <c r="B23" s="64"/>
      <c r="C23" s="64"/>
      <c r="D23" s="64"/>
      <c r="E23" s="64"/>
      <c r="F23" s="65"/>
      <c r="G23" s="65"/>
    </row>
    <row r="24" spans="1:7" ht="12.75">
      <c r="A24" s="66"/>
      <c r="B24" s="66"/>
      <c r="C24" s="66"/>
      <c r="D24" s="66"/>
      <c r="E24" s="66"/>
      <c r="F24" s="67"/>
      <c r="G24" s="67"/>
    </row>
    <row r="25" spans="1:23" ht="12.75">
      <c r="A25" s="68" t="s">
        <v>80</v>
      </c>
      <c r="B25" s="68">
        <v>1992</v>
      </c>
      <c r="C25" s="68">
        <v>1993</v>
      </c>
      <c r="D25" s="68">
        <v>1994</v>
      </c>
      <c r="E25" s="68">
        <v>1995</v>
      </c>
      <c r="F25" s="68">
        <v>1996</v>
      </c>
      <c r="G25" s="68">
        <v>1997</v>
      </c>
      <c r="H25" s="68">
        <v>1998</v>
      </c>
      <c r="I25" s="68">
        <v>1999</v>
      </c>
      <c r="J25" s="68">
        <v>2000</v>
      </c>
      <c r="K25" s="68">
        <v>2001</v>
      </c>
      <c r="L25" s="68">
        <v>2002</v>
      </c>
      <c r="M25" s="68">
        <v>2003</v>
      </c>
      <c r="N25" s="68">
        <v>2004</v>
      </c>
      <c r="O25" s="68">
        <v>2005</v>
      </c>
      <c r="P25" s="68">
        <v>2006</v>
      </c>
      <c r="Q25" s="68">
        <v>2007</v>
      </c>
      <c r="R25" s="68">
        <v>2008</v>
      </c>
      <c r="S25" s="68">
        <v>2009</v>
      </c>
      <c r="T25" s="68">
        <v>2010</v>
      </c>
      <c r="U25" s="68">
        <v>2011</v>
      </c>
      <c r="V25" s="73" t="s">
        <v>94</v>
      </c>
      <c r="W25" s="73" t="s">
        <v>95</v>
      </c>
    </row>
    <row r="26" spans="1:23" ht="12.75">
      <c r="A26" s="66"/>
      <c r="B26" s="66"/>
      <c r="C26" s="66"/>
      <c r="D26" s="66"/>
      <c r="E26" s="66"/>
      <c r="F26" s="65"/>
      <c r="G26" s="65"/>
      <c r="V26" s="74"/>
      <c r="W26" s="74"/>
    </row>
    <row r="27" spans="6:23" ht="12.75">
      <c r="F27" s="65"/>
      <c r="G27" s="65"/>
      <c r="V27" s="74"/>
      <c r="W27" s="74"/>
    </row>
    <row r="28" spans="1:23" ht="12.75">
      <c r="A28" s="69" t="s">
        <v>81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>
        <f>'[5]eng-daily-01012002-12312002'!$O$56</f>
        <v>0</v>
      </c>
      <c r="M28" s="70">
        <f>'[6]eng-daily-01012003-12312003'!$O$56</f>
        <v>0</v>
      </c>
      <c r="N28" s="70">
        <f>'[7]eng-daily-01012004-12312004'!$O$56</f>
        <v>0</v>
      </c>
      <c r="O28" s="70">
        <f>'[8]eng-daily-01012005-12312005'!$O$56</f>
        <v>0</v>
      </c>
      <c r="P28" s="70">
        <f>'[9]eng-daily-01012006-12312006'!$O$56</f>
        <v>0</v>
      </c>
      <c r="Q28" s="70">
        <f>'[10]eng-daily-01012007-12312007'!$O$56</f>
        <v>0</v>
      </c>
      <c r="R28" s="70">
        <f>'[11]eng-daily-01012008-12312008'!$O$56</f>
        <v>0</v>
      </c>
      <c r="S28" s="70">
        <f>'[12]eng-daily-01012009-12312009'!$O$56</f>
        <v>0</v>
      </c>
      <c r="T28" s="70">
        <f>'[13]eng-daily-01012010-12312010'!$O$56</f>
        <v>0</v>
      </c>
      <c r="U28" s="70">
        <f>'[14]eng-daily-01012011-12312011'!$O$56</f>
        <v>0</v>
      </c>
      <c r="V28" s="71">
        <f aca="true" t="shared" si="4" ref="V28:V39">AVERAGE(L28:U28)</f>
        <v>0</v>
      </c>
      <c r="W28" s="72" t="e">
        <f aca="true" t="shared" si="5" ref="W28:W39">TREND(B28:U28,$B$25:$U$25,2013)</f>
        <v>#VALUE!</v>
      </c>
    </row>
    <row r="29" spans="1:23" ht="12.75">
      <c r="A29" s="69" t="s">
        <v>82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>
        <f>'[5]eng-daily-01012002-12312002'!$O$85</f>
        <v>0</v>
      </c>
      <c r="M29" s="70">
        <f>'[6]eng-daily-01012003-12312003'!$O$85</f>
        <v>0</v>
      </c>
      <c r="N29" s="70">
        <f>'[7]eng-daily-01012004-12312004'!$O$85</f>
        <v>0</v>
      </c>
      <c r="O29" s="70">
        <f>'[8]eng-daily-01012005-12312005'!$O$85</f>
        <v>0</v>
      </c>
      <c r="P29" s="70">
        <f>'[9]eng-daily-01012006-12312006'!$O$85</f>
        <v>0</v>
      </c>
      <c r="Q29" s="70">
        <f>'[10]eng-daily-01012007-12312007'!$O$85</f>
        <v>0</v>
      </c>
      <c r="R29" s="70">
        <f>'[11]eng-daily-01012008-12312008'!$O$85</f>
        <v>0</v>
      </c>
      <c r="S29" s="70">
        <f>'[12]eng-daily-01012009-12312009'!$O$85</f>
        <v>0</v>
      </c>
      <c r="T29" s="70">
        <f>'[13]eng-daily-01012010-12312010'!$O$85</f>
        <v>0</v>
      </c>
      <c r="U29" s="70">
        <f>'[14]eng-daily-01012011-12312011'!$O$85</f>
        <v>0</v>
      </c>
      <c r="V29" s="71">
        <f t="shared" si="4"/>
        <v>0</v>
      </c>
      <c r="W29" s="72" t="e">
        <f t="shared" si="5"/>
        <v>#VALUE!</v>
      </c>
    </row>
    <row r="30" spans="1:23" ht="12.75">
      <c r="A30" s="69" t="s">
        <v>83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>
        <f>'[5]eng-daily-01012002-12312002'!$O$116</f>
        <v>0</v>
      </c>
      <c r="M30" s="70">
        <f>'[6]eng-daily-01012003-12312003'!$O$116</f>
        <v>0</v>
      </c>
      <c r="N30" s="70">
        <f>'[7]eng-daily-01012004-12312004'!$O$116</f>
        <v>0</v>
      </c>
      <c r="O30" s="70">
        <f>'[8]eng-daily-01012005-12312005'!$O$116</f>
        <v>0</v>
      </c>
      <c r="P30" s="70">
        <f>'[9]eng-daily-01012006-12312006'!$O$116</f>
        <v>0</v>
      </c>
      <c r="Q30" s="70">
        <f>'[10]eng-daily-01012007-12312007'!$O$116</f>
        <v>0</v>
      </c>
      <c r="R30" s="70">
        <f>'[11]eng-daily-01012008-12312008'!$O$116</f>
        <v>0</v>
      </c>
      <c r="S30" s="70">
        <f>'[12]eng-daily-01012009-12312009'!$O$116</f>
        <v>0</v>
      </c>
      <c r="T30" s="70">
        <f>'[13]eng-daily-01012010-12312010'!$O$116</f>
        <v>0</v>
      </c>
      <c r="U30" s="70">
        <f>'[14]eng-daily-01012011-12312011'!$O$116</f>
        <v>0</v>
      </c>
      <c r="V30" s="71">
        <f t="shared" si="4"/>
        <v>0</v>
      </c>
      <c r="W30" s="72" t="e">
        <f t="shared" si="5"/>
        <v>#VALUE!</v>
      </c>
    </row>
    <row r="31" spans="1:23" ht="12.75">
      <c r="A31" s="69" t="s">
        <v>84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>
        <f>'[5]eng-daily-01012002-12312002'!$O$146</f>
        <v>4.1</v>
      </c>
      <c r="M31" s="70">
        <f>'[6]eng-daily-01012003-12312003'!$O$146</f>
        <v>0</v>
      </c>
      <c r="N31" s="70">
        <f>'[7]eng-daily-01012004-12312004'!$O$146</f>
        <v>0</v>
      </c>
      <c r="O31" s="70">
        <f>'[8]eng-daily-01012005-12312005'!$O$146</f>
        <v>0</v>
      </c>
      <c r="P31" s="70">
        <f>'[9]eng-daily-01012006-12312006'!$O$146</f>
        <v>0</v>
      </c>
      <c r="Q31" s="70">
        <f>'[10]eng-daily-01012007-12312007'!$O$146</f>
        <v>0</v>
      </c>
      <c r="R31" s="70">
        <f>'[11]eng-daily-01012008-12312008'!$O$146</f>
        <v>0</v>
      </c>
      <c r="S31" s="70">
        <f>'[12]eng-daily-01012009-12312009'!$O$146</f>
        <v>0.8</v>
      </c>
      <c r="T31" s="70">
        <f>'[13]eng-daily-01012010-12312010'!$O$146</f>
        <v>0</v>
      </c>
      <c r="U31" s="70">
        <f>'[14]eng-daily-01012011-12312011'!$O$146</f>
        <v>0</v>
      </c>
      <c r="V31" s="71">
        <f t="shared" si="4"/>
        <v>0.48999999999999994</v>
      </c>
      <c r="W31" s="72" t="e">
        <f t="shared" si="5"/>
        <v>#VALUE!</v>
      </c>
    </row>
    <row r="32" spans="1:23" ht="12.75">
      <c r="A32" s="69" t="s">
        <v>85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>
        <f>'[5]eng-daily-01012002-12312002'!$O$177</f>
        <v>4.3999999999999995</v>
      </c>
      <c r="M32" s="70">
        <f>'[6]eng-daily-01012003-12312003'!$O$177</f>
        <v>0</v>
      </c>
      <c r="N32" s="70">
        <f>'[7]eng-daily-01012004-12312004'!$O$177</f>
        <v>7.1</v>
      </c>
      <c r="O32" s="70">
        <f>'[8]eng-daily-01012005-12312005'!$O$177</f>
        <v>0</v>
      </c>
      <c r="P32" s="70">
        <f>'[9]eng-daily-01012006-12312006'!$O$177</f>
        <v>20.6</v>
      </c>
      <c r="Q32" s="70">
        <f>'[10]eng-daily-01012007-12312007'!$O$177</f>
        <v>15.2</v>
      </c>
      <c r="R32" s="70">
        <f>'[11]eng-daily-01012008-12312008'!$O$177</f>
        <v>0</v>
      </c>
      <c r="S32" s="70">
        <f>'[12]eng-daily-01012009-12312009'!$O$177</f>
        <v>1.8</v>
      </c>
      <c r="T32" s="70">
        <f>'[13]eng-daily-01012010-12312010'!$O$177</f>
        <v>30.8</v>
      </c>
      <c r="U32" s="70">
        <f>'[14]eng-daily-01012011-12312011'!$O$177</f>
        <v>12.2</v>
      </c>
      <c r="V32" s="71">
        <f t="shared" si="4"/>
        <v>9.209999999999999</v>
      </c>
      <c r="W32" s="72" t="e">
        <f t="shared" si="5"/>
        <v>#VALUE!</v>
      </c>
    </row>
    <row r="33" spans="1:23" ht="12.75">
      <c r="A33" s="69" t="s">
        <v>86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>
        <f>'[5]eng-daily-01012002-12312002'!$O$207</f>
        <v>48.39999999999999</v>
      </c>
      <c r="M33" s="70">
        <f>'[6]eng-daily-01012003-12312003'!$O$207</f>
        <v>30.400000000000002</v>
      </c>
      <c r="N33" s="70">
        <f>'[7]eng-daily-01012004-12312004'!$O$207</f>
        <v>22.500000000000004</v>
      </c>
      <c r="O33" s="70">
        <f>'[8]eng-daily-01012005-12312005'!$O$207</f>
        <v>105.29999999999998</v>
      </c>
      <c r="P33" s="70">
        <f>'[9]eng-daily-01012006-12312006'!$O$207</f>
        <v>37.199999999999996</v>
      </c>
      <c r="Q33" s="70">
        <f>'[10]eng-daily-01012007-12312007'!$O$207</f>
        <v>69.29999999999998</v>
      </c>
      <c r="R33" s="70">
        <f>'[11]eng-daily-01012008-12312008'!$O$207</f>
        <v>44.5</v>
      </c>
      <c r="S33" s="70">
        <f>'[12]eng-daily-01012009-12312009'!$O$207</f>
        <v>25.8</v>
      </c>
      <c r="T33" s="70">
        <f>'[13]eng-daily-01012010-12312010'!$O$207</f>
        <v>30.5</v>
      </c>
      <c r="U33" s="70">
        <f>'[14]eng-daily-01012011-12312011'!$O$207</f>
        <v>23.500000000000004</v>
      </c>
      <c r="V33" s="71">
        <f t="shared" si="4"/>
        <v>43.739999999999995</v>
      </c>
      <c r="W33" s="72" t="e">
        <f t="shared" si="5"/>
        <v>#VALUE!</v>
      </c>
    </row>
    <row r="34" spans="1:23" ht="12.75">
      <c r="A34" s="69" t="s">
        <v>87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>
        <f>'[5]eng-daily-01012002-12312002'!$O$238</f>
        <v>122.09999999999998</v>
      </c>
      <c r="M34" s="70">
        <f>'[6]eng-daily-01012003-12312003'!$O$238</f>
        <v>59.09999999999998</v>
      </c>
      <c r="N34" s="70">
        <f>'[7]eng-daily-01012004-12312004'!$O$238</f>
        <v>53.5</v>
      </c>
      <c r="O34" s="70">
        <f>'[8]eng-daily-01012005-12312005'!$O$238</f>
        <v>116.19999999999997</v>
      </c>
      <c r="P34" s="70">
        <f>'[9]eng-daily-01012006-12312006'!$O$238</f>
        <v>114.99999999999997</v>
      </c>
      <c r="Q34" s="70">
        <f>'[10]eng-daily-01012007-12312007'!$O$238</f>
        <v>60.29999999999998</v>
      </c>
      <c r="R34" s="70">
        <f>'[11]eng-daily-01012008-12312008'!$O$238</f>
        <v>69.59999999999998</v>
      </c>
      <c r="S34" s="70">
        <f>'[12]eng-daily-01012009-12312009'!$O$238</f>
        <v>15.600000000000001</v>
      </c>
      <c r="T34" s="70">
        <f>'[13]eng-daily-01012010-12312010'!$O$238</f>
        <v>105.49999999999999</v>
      </c>
      <c r="U34" s="70">
        <f>'[14]eng-daily-01012011-12312011'!$O$238</f>
        <v>131.5</v>
      </c>
      <c r="V34" s="71">
        <f t="shared" si="4"/>
        <v>84.83999999999999</v>
      </c>
      <c r="W34" s="72" t="e">
        <f t="shared" si="5"/>
        <v>#VALUE!</v>
      </c>
    </row>
    <row r="35" spans="1:25" ht="12.75">
      <c r="A35" s="69" t="s">
        <v>88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>
        <f>'[5]eng-daily-01012002-12312002'!$O$269</f>
        <v>76.6</v>
      </c>
      <c r="M35" s="70">
        <f>'[6]eng-daily-01012003-12312003'!$O$269</f>
        <v>79.59999999999998</v>
      </c>
      <c r="N35" s="70">
        <f>'[7]eng-daily-01012004-12312004'!$O$269</f>
        <v>29.500000000000004</v>
      </c>
      <c r="O35" s="70">
        <f>'[8]eng-daily-01012005-12312005'!$O$269</f>
        <v>82.49999999999999</v>
      </c>
      <c r="P35" s="70">
        <f>'[9]eng-daily-01012006-12312006'!$O$269</f>
        <v>54.29999999999999</v>
      </c>
      <c r="Q35" s="70">
        <f>'[10]eng-daily-01012007-12312007'!$O$269</f>
        <v>79.59999999999998</v>
      </c>
      <c r="R35" s="70">
        <f>'[11]eng-daily-01012008-12312008'!$O$269</f>
        <v>37.699999999999996</v>
      </c>
      <c r="S35" s="70">
        <f>'[12]eng-daily-01012009-12312009'!$O$269</f>
        <v>59.499999999999986</v>
      </c>
      <c r="T35" s="70">
        <f>'[13]eng-daily-01012010-12312010'!$O$269</f>
        <v>85.39999999999998</v>
      </c>
      <c r="U35" s="70">
        <f>'[14]eng-daily-01012011-12312011'!$O$269</f>
        <v>66.09999999999997</v>
      </c>
      <c r="V35" s="71">
        <f t="shared" si="4"/>
        <v>65.08</v>
      </c>
      <c r="W35" s="72" t="e">
        <f t="shared" si="5"/>
        <v>#VALUE!</v>
      </c>
      <c r="Y35" t="s">
        <v>96</v>
      </c>
    </row>
    <row r="36" spans="1:23" ht="12.75">
      <c r="A36" s="69" t="s">
        <v>89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>
        <f>'[5]eng-daily-01012002-12312002'!$O$299</f>
        <v>46.59999999999999</v>
      </c>
      <c r="M36" s="70">
        <f>'[6]eng-daily-01012003-12312003'!$O$299</f>
        <v>8.899999999999999</v>
      </c>
      <c r="N36" s="70">
        <f>'[7]eng-daily-01012004-12312004'!$O$299</f>
        <v>21.700000000000003</v>
      </c>
      <c r="O36" s="70">
        <f>'[8]eng-daily-01012005-12312005'!$O$299</f>
        <v>20.200000000000003</v>
      </c>
      <c r="P36" s="70">
        <f>'[9]eng-daily-01012006-12312006'!$O$299</f>
        <v>0.8</v>
      </c>
      <c r="Q36" s="70">
        <f>'[10]eng-daily-01012007-12312007'!$O$299</f>
        <v>31.300000000000004</v>
      </c>
      <c r="R36" s="70">
        <f>'[11]eng-daily-01012008-12312008'!$O$299</f>
        <v>16.8</v>
      </c>
      <c r="S36" s="70">
        <f>'[12]eng-daily-01012009-12312009'!$O$299</f>
        <v>12</v>
      </c>
      <c r="T36" s="70">
        <f>'[13]eng-daily-01012010-12312010'!$O$299</f>
        <v>21.700000000000003</v>
      </c>
      <c r="U36" s="70">
        <f>'[14]eng-daily-01012011-12312011'!$O$299</f>
        <v>26.100000000000005</v>
      </c>
      <c r="V36" s="71">
        <f t="shared" si="4"/>
        <v>20.61</v>
      </c>
      <c r="W36" s="72" t="e">
        <f t="shared" si="5"/>
        <v>#VALUE!</v>
      </c>
    </row>
    <row r="37" spans="1:23" ht="12.75">
      <c r="A37" s="69" t="s">
        <v>90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>
        <f>'[5]eng-daily-01012002-12312002'!$O$330</f>
        <v>5.6</v>
      </c>
      <c r="M37" s="70">
        <f>'[6]eng-daily-01012003-12312003'!$O$330</f>
        <v>0</v>
      </c>
      <c r="N37" s="70">
        <f>'[7]eng-daily-01012004-12312004'!$O$330</f>
        <v>0</v>
      </c>
      <c r="O37" s="70">
        <f>'[8]eng-daily-01012005-12312005'!$O$330</f>
        <v>6.6</v>
      </c>
      <c r="P37" s="70">
        <f>'[9]eng-daily-01012006-12312006'!$O$330</f>
        <v>0</v>
      </c>
      <c r="Q37" s="70">
        <f>'[10]eng-daily-01012007-12312007'!$O$330</f>
        <v>10.399999999999999</v>
      </c>
      <c r="R37" s="70">
        <f>'[11]eng-daily-01012008-12312008'!$O$330</f>
        <v>0</v>
      </c>
      <c r="S37" s="70">
        <f>'[12]eng-daily-01012009-12312009'!$O$330</f>
        <v>0</v>
      </c>
      <c r="T37" s="70">
        <f>'[13]eng-daily-01012010-12312010'!$O$330</f>
        <v>0</v>
      </c>
      <c r="U37" s="70">
        <f>'[14]eng-daily-01012011-12312011'!$O$330</f>
        <v>0.5</v>
      </c>
      <c r="V37" s="71">
        <f t="shared" si="4"/>
        <v>2.3099999999999996</v>
      </c>
      <c r="W37" s="72" t="e">
        <f t="shared" si="5"/>
        <v>#VALUE!</v>
      </c>
    </row>
    <row r="38" spans="1:23" ht="12.75">
      <c r="A38" s="69" t="s">
        <v>91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>
        <f>'[5]eng-daily-01012002-12312002'!$O$360</f>
        <v>0</v>
      </c>
      <c r="M38" s="70">
        <f>'[6]eng-daily-01012003-12312003'!$O$360</f>
        <v>0</v>
      </c>
      <c r="N38" s="70">
        <f>'[7]eng-daily-01012004-12312004'!$O$360</f>
        <v>0</v>
      </c>
      <c r="O38" s="70">
        <f>'[8]eng-daily-01012005-12312005'!$O$360</f>
        <v>0</v>
      </c>
      <c r="P38" s="70">
        <f>'[9]eng-daily-01012006-12312006'!$O$360</f>
        <v>0</v>
      </c>
      <c r="Q38" s="70">
        <f>'[10]eng-daily-01012007-12312007'!$O$360</f>
        <v>0</v>
      </c>
      <c r="R38" s="70">
        <f>'[11]eng-daily-01012008-12312008'!$O$360</f>
        <v>0</v>
      </c>
      <c r="S38" s="70">
        <f>'[12]eng-daily-01012009-12312009'!$O$360</f>
        <v>0</v>
      </c>
      <c r="T38" s="70">
        <f>'[13]eng-daily-01012010-12312010'!$O$360</f>
        <v>0</v>
      </c>
      <c r="U38" s="70">
        <f>'[14]eng-daily-01012011-12312011'!$O$360</f>
        <v>0</v>
      </c>
      <c r="V38" s="71">
        <f t="shared" si="4"/>
        <v>0</v>
      </c>
      <c r="W38" s="72" t="e">
        <f t="shared" si="5"/>
        <v>#VALUE!</v>
      </c>
    </row>
    <row r="39" spans="1:23" ht="12.75">
      <c r="A39" s="69" t="s">
        <v>92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>
        <f>'[5]eng-daily-01012002-12312002'!$O$391</f>
        <v>0</v>
      </c>
      <c r="M39" s="70">
        <f>'[6]eng-daily-01012003-12312003'!$O$391</f>
        <v>0</v>
      </c>
      <c r="N39" s="70">
        <f>'[7]eng-daily-01012004-12312004'!$O$391</f>
        <v>0</v>
      </c>
      <c r="O39" s="70">
        <f>'[8]eng-daily-01012005-12312005'!$O$391</f>
        <v>0</v>
      </c>
      <c r="P39" s="70">
        <f>'[9]eng-daily-01012006-12312006'!$O$391</f>
        <v>0</v>
      </c>
      <c r="Q39" s="70">
        <f>'[10]eng-daily-01012007-12312007'!$O$391</f>
        <v>0</v>
      </c>
      <c r="R39" s="70">
        <f>'[11]eng-daily-01012008-12312008'!$O$391</f>
        <v>0</v>
      </c>
      <c r="S39" s="70">
        <f>'[12]eng-daily-01012009-12312009'!$O$391</f>
        <v>0</v>
      </c>
      <c r="T39" s="70">
        <f>'[13]eng-daily-01012010-12312010'!$O$391</f>
        <v>0</v>
      </c>
      <c r="U39" s="70">
        <f>'[14]eng-daily-01012011-12312011'!$O$391</f>
        <v>0</v>
      </c>
      <c r="V39" s="71">
        <f t="shared" si="4"/>
        <v>0</v>
      </c>
      <c r="W39" s="72" t="e">
        <f t="shared" si="5"/>
        <v>#VALUE!</v>
      </c>
    </row>
    <row r="40" spans="1:21" ht="12.75">
      <c r="A40" s="69"/>
      <c r="B40" s="69"/>
      <c r="C40" s="69"/>
      <c r="D40" s="69"/>
      <c r="E40" s="69"/>
      <c r="F40" s="69"/>
      <c r="G40" s="69"/>
      <c r="H40" s="65"/>
      <c r="I40" s="65"/>
      <c r="R40" s="69"/>
      <c r="S40" s="69"/>
      <c r="T40" s="69"/>
      <c r="U40" s="69"/>
    </row>
    <row r="41" spans="1:23" ht="12.75">
      <c r="A41" s="69" t="s">
        <v>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>
        <f aca="true" t="shared" si="6" ref="L41:U41">SUM(L28:L39)</f>
        <v>307.79999999999995</v>
      </c>
      <c r="M41" s="70">
        <f>SUM(M28:M39)</f>
        <v>177.99999999999997</v>
      </c>
      <c r="N41" s="70">
        <f t="shared" si="6"/>
        <v>134.3</v>
      </c>
      <c r="O41" s="70">
        <f t="shared" si="6"/>
        <v>330.79999999999995</v>
      </c>
      <c r="P41" s="70">
        <f t="shared" si="6"/>
        <v>227.89999999999995</v>
      </c>
      <c r="Q41" s="70">
        <f t="shared" si="6"/>
        <v>266.0999999999999</v>
      </c>
      <c r="R41" s="70">
        <f t="shared" si="6"/>
        <v>168.6</v>
      </c>
      <c r="S41" s="70">
        <f t="shared" si="6"/>
        <v>115.49999999999999</v>
      </c>
      <c r="T41" s="70">
        <f t="shared" si="6"/>
        <v>273.9</v>
      </c>
      <c r="U41" s="70">
        <f t="shared" si="6"/>
        <v>259.9</v>
      </c>
      <c r="V41" s="75"/>
      <c r="W41" s="75"/>
    </row>
    <row r="42" spans="1:17" ht="12.75">
      <c r="A42" s="69"/>
      <c r="B42" s="69"/>
      <c r="C42" s="69"/>
      <c r="D42" s="69"/>
      <c r="E42" s="69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9" ht="12.75">
      <c r="A43" s="69"/>
      <c r="B43" s="69"/>
      <c r="C43" s="69"/>
      <c r="D43" s="69"/>
      <c r="E43" s="69"/>
      <c r="F43" s="65"/>
      <c r="G43" s="65"/>
      <c r="H43" s="65"/>
      <c r="I43" s="65"/>
    </row>
    <row r="44" spans="1:7" ht="12.75">
      <c r="A44" s="64"/>
      <c r="B44" s="64"/>
      <c r="C44" s="64"/>
      <c r="D44" s="64"/>
      <c r="E44" s="64"/>
      <c r="F44" s="65"/>
      <c r="G44" s="65"/>
    </row>
  </sheetData>
  <sheetProtection/>
  <mergeCells count="1">
    <mergeCell ref="E1:F1"/>
  </mergeCells>
  <printOptions/>
  <pageMargins left="0.5" right="0.5" top="0.75" bottom="0.75" header="0.5" footer="0.5"/>
  <pageSetup fitToHeight="1" fitToWidth="1" horizontalDpi="600" verticalDpi="600" orientation="landscape" paperSize="5" scale="73" r:id="rId1"/>
  <headerFooter alignWithMargins="0">
    <oddFooter>&amp;L&amp;8&amp;D
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1"/>
  <sheetViews>
    <sheetView zoomScalePageLayoutView="0" workbookViewId="0" topLeftCell="A1">
      <selection activeCell="R31" sqref="R31"/>
    </sheetView>
  </sheetViews>
  <sheetFormatPr defaultColWidth="9.140625" defaultRowHeight="12.75"/>
  <cols>
    <col min="2" max="2" width="15.421875" style="0" customWidth="1"/>
    <col min="3" max="3" width="13.57421875" style="0" customWidth="1"/>
    <col min="4" max="4" width="11.00390625" style="0" customWidth="1"/>
    <col min="6" max="6" width="12.8515625" style="0" bestFit="1" customWidth="1"/>
    <col min="7" max="7" width="13.00390625" style="0" bestFit="1" customWidth="1"/>
    <col min="8" max="8" width="12.8515625" style="0" bestFit="1" customWidth="1"/>
    <col min="10" max="10" width="10.28125" style="0" bestFit="1" customWidth="1"/>
    <col min="15" max="15" width="1.7109375" style="0" customWidth="1"/>
    <col min="17" max="17" width="10.140625" style="0" bestFit="1" customWidth="1"/>
    <col min="18" max="18" width="10.28125" style="0" bestFit="1" customWidth="1"/>
    <col min="23" max="23" width="12.140625" style="0" customWidth="1"/>
    <col min="24" max="24" width="9.7109375" style="0" customWidth="1"/>
    <col min="25" max="25" width="10.57421875" style="0" customWidth="1"/>
    <col min="26" max="27" width="11.28125" style="0" bestFit="1" customWidth="1"/>
    <col min="28" max="30" width="11.28125" style="0" customWidth="1"/>
    <col min="31" max="31" width="10.28125" style="0" bestFit="1" customWidth="1"/>
    <col min="33" max="33" width="11.28125" style="0" customWidth="1"/>
    <col min="35" max="35" width="12.28125" style="0" customWidth="1"/>
    <col min="37" max="37" width="11.7109375" style="0" bestFit="1" customWidth="1"/>
  </cols>
  <sheetData>
    <row r="1" spans="1:5" ht="15.75">
      <c r="A1" s="45" t="s">
        <v>159</v>
      </c>
      <c r="B1" s="45"/>
      <c r="C1" s="45"/>
      <c r="D1" s="45"/>
      <c r="E1" s="45"/>
    </row>
    <row r="2" spans="2:18" ht="38.25">
      <c r="B2" s="81" t="s">
        <v>209</v>
      </c>
      <c r="C2" s="81" t="s">
        <v>210</v>
      </c>
      <c r="D2" s="81" t="s">
        <v>211</v>
      </c>
      <c r="E2" s="81" t="s">
        <v>212</v>
      </c>
      <c r="F2" s="81" t="s">
        <v>98</v>
      </c>
      <c r="G2" s="81" t="s">
        <v>99</v>
      </c>
      <c r="P2" s="391" t="s">
        <v>113</v>
      </c>
      <c r="Q2" s="391"/>
      <c r="R2" s="391"/>
    </row>
    <row r="3" spans="1:18" ht="12.75">
      <c r="A3">
        <v>2005</v>
      </c>
      <c r="F3" s="82"/>
      <c r="G3" s="83">
        <f>F3</f>
        <v>0</v>
      </c>
      <c r="H3" s="83">
        <f aca="true" t="shared" si="0" ref="H3:H11">G3/$N$15</f>
        <v>0</v>
      </c>
      <c r="J3" s="450" t="s">
        <v>101</v>
      </c>
      <c r="K3" s="450"/>
      <c r="M3" s="85" t="s">
        <v>102</v>
      </c>
      <c r="N3" s="85">
        <v>1</v>
      </c>
      <c r="P3" s="401">
        <v>7810000</v>
      </c>
      <c r="Q3" s="401"/>
      <c r="R3" s="401"/>
    </row>
    <row r="4" spans="1:14" ht="13.5" thickBot="1">
      <c r="A4">
        <v>2006</v>
      </c>
      <c r="B4" s="209">
        <f>'[18]Summary - LDC'!$E$44*1000</f>
        <v>464900.7012334079</v>
      </c>
      <c r="C4" s="209">
        <f>'[18]Summary - LDC'!$E$24*1000</f>
        <v>416277.9096959208</v>
      </c>
      <c r="D4" s="157">
        <f>B4-C4</f>
        <v>48622.791537487064</v>
      </c>
      <c r="E4" s="210">
        <f>D4/C4</f>
        <v>0.11680367947702205</v>
      </c>
      <c r="F4" s="83">
        <f>C4</f>
        <v>416277.9096959208</v>
      </c>
      <c r="G4" s="83">
        <f>F4</f>
        <v>416277.9096959208</v>
      </c>
      <c r="H4" s="83">
        <f t="shared" si="0"/>
        <v>5336.896278152831</v>
      </c>
      <c r="J4" s="84">
        <f>G27</f>
        <v>416277.90969592077</v>
      </c>
      <c r="K4" s="84">
        <f>F4-J4</f>
        <v>0</v>
      </c>
      <c r="M4" s="85" t="s">
        <v>103</v>
      </c>
      <c r="N4" s="85">
        <v>2</v>
      </c>
    </row>
    <row r="5" spans="1:20" ht="12.75">
      <c r="A5">
        <v>2007</v>
      </c>
      <c r="B5" s="209">
        <f>'[18]Summary - LDC'!$F$44*1000</f>
        <v>2718878.7335122395</v>
      </c>
      <c r="C5" s="209">
        <f>'[18]Summary - LDC'!$F$24*1000</f>
        <v>1901457.680071434</v>
      </c>
      <c r="D5" s="157">
        <f aca="true" t="shared" si="1" ref="D5:D10">B5-C5</f>
        <v>817421.0534408055</v>
      </c>
      <c r="E5" s="210">
        <f aca="true" t="shared" si="2" ref="E5:E10">D5/C5</f>
        <v>0.4298917940735324</v>
      </c>
      <c r="F5" s="83">
        <f>C5</f>
        <v>1901457.680071434</v>
      </c>
      <c r="G5" s="83">
        <f>F5-H27</f>
        <v>1132944.6160174264</v>
      </c>
      <c r="H5" s="83">
        <f t="shared" si="0"/>
        <v>14524.930974582388</v>
      </c>
      <c r="J5" s="84">
        <f>G39</f>
        <v>1901457.6800714338</v>
      </c>
      <c r="K5" s="84">
        <f aca="true" t="shared" si="3" ref="K5:K11">F5-J5</f>
        <v>0</v>
      </c>
      <c r="M5" s="85" t="s">
        <v>104</v>
      </c>
      <c r="N5" s="85">
        <v>3</v>
      </c>
      <c r="P5" s="451" t="s">
        <v>162</v>
      </c>
      <c r="Q5" s="452"/>
      <c r="R5" s="452"/>
      <c r="S5" s="452"/>
      <c r="T5" s="453"/>
    </row>
    <row r="6" spans="1:26" ht="12.75">
      <c r="A6">
        <v>2008</v>
      </c>
      <c r="B6" s="209">
        <f>'[18]Summary - LDC'!$G$44*1000</f>
        <v>2746766.126229376</v>
      </c>
      <c r="C6" s="209">
        <f>'[18]Summary - LDC'!$G$24*1000</f>
        <v>2162792.114494988</v>
      </c>
      <c r="D6" s="157">
        <f t="shared" si="1"/>
        <v>583974.0117343878</v>
      </c>
      <c r="E6" s="210">
        <f t="shared" si="2"/>
        <v>0.2700093124163927</v>
      </c>
      <c r="F6" s="83">
        <f>C6</f>
        <v>2162792.114494988</v>
      </c>
      <c r="G6" s="83">
        <f>F6-H39</f>
        <v>-697311.0098988828</v>
      </c>
      <c r="H6" s="83">
        <f t="shared" si="0"/>
        <v>-8939.88474229337</v>
      </c>
      <c r="J6" s="84">
        <f>G51</f>
        <v>2162792.1144949887</v>
      </c>
      <c r="K6" s="84">
        <f t="shared" si="3"/>
        <v>0</v>
      </c>
      <c r="M6" s="85" t="s">
        <v>105</v>
      </c>
      <c r="N6" s="85">
        <v>4</v>
      </c>
      <c r="P6" s="127">
        <v>2011</v>
      </c>
      <c r="Q6" s="85">
        <v>2012</v>
      </c>
      <c r="R6" s="85">
        <v>2013</v>
      </c>
      <c r="S6" s="85">
        <v>2014</v>
      </c>
      <c r="T6" s="128" t="s">
        <v>9</v>
      </c>
      <c r="W6" s="1" t="s">
        <v>213</v>
      </c>
      <c r="X6" s="1"/>
      <c r="Y6" s="1"/>
      <c r="Z6" s="1"/>
    </row>
    <row r="7" spans="1:20" ht="12.75">
      <c r="A7">
        <v>2009</v>
      </c>
      <c r="B7" s="209">
        <f>'[18]Summary - LDC'!$H$44*1000</f>
        <v>3259276.126648432</v>
      </c>
      <c r="C7" s="209">
        <f>'[18]Summary - LDC'!$H$24*1000</f>
        <v>2555243.3220183672</v>
      </c>
      <c r="D7" s="157">
        <f t="shared" si="1"/>
        <v>704032.8046300649</v>
      </c>
      <c r="E7" s="210">
        <f t="shared" si="2"/>
        <v>0.27552476062199616</v>
      </c>
      <c r="F7" s="83">
        <f>C7</f>
        <v>2555243.3220183672</v>
      </c>
      <c r="G7" s="83">
        <f>F7-H51</f>
        <v>982483.6005147402</v>
      </c>
      <c r="H7" s="83">
        <f t="shared" si="0"/>
        <v>12595.943596342824</v>
      </c>
      <c r="J7" s="84">
        <f>G63</f>
        <v>2555243.3220183663</v>
      </c>
      <c r="K7" s="84">
        <f t="shared" si="3"/>
        <v>0</v>
      </c>
      <c r="M7" s="85" t="s">
        <v>85</v>
      </c>
      <c r="N7" s="85">
        <v>5</v>
      </c>
      <c r="P7" s="129">
        <v>0.1</v>
      </c>
      <c r="Q7" s="130">
        <v>0.1</v>
      </c>
      <c r="R7" s="130">
        <v>0.1</v>
      </c>
      <c r="S7" s="130">
        <v>0.1</v>
      </c>
      <c r="T7" s="131">
        <f>SUM(P7:S7)</f>
        <v>0.4</v>
      </c>
    </row>
    <row r="8" spans="1:35" ht="51">
      <c r="A8">
        <v>2010</v>
      </c>
      <c r="B8" s="209">
        <f>'[18]Summary - LDC'!$I$44*1000</f>
        <v>3530500.6868111757</v>
      </c>
      <c r="C8" s="209">
        <f>'[18]Summary - LDC'!$I$24*1000</f>
        <v>2690124.263412845</v>
      </c>
      <c r="D8" s="157">
        <f t="shared" si="1"/>
        <v>840376.4233983308</v>
      </c>
      <c r="E8" s="210">
        <f t="shared" si="2"/>
        <v>0.31239316147135204</v>
      </c>
      <c r="F8" s="83">
        <f>C8</f>
        <v>2690124.263412845</v>
      </c>
      <c r="G8" s="83">
        <f>F8-H63</f>
        <v>-696451.3359641475</v>
      </c>
      <c r="H8" s="83">
        <f t="shared" si="0"/>
        <v>-8928.863281591633</v>
      </c>
      <c r="J8" s="84">
        <f>G75</f>
        <v>2690124.263412846</v>
      </c>
      <c r="K8" s="84">
        <f t="shared" si="3"/>
        <v>0</v>
      </c>
      <c r="M8" s="85" t="s">
        <v>106</v>
      </c>
      <c r="N8" s="85">
        <v>6</v>
      </c>
      <c r="P8" s="132"/>
      <c r="Q8" s="130">
        <v>0.1</v>
      </c>
      <c r="R8" s="130">
        <v>0.1</v>
      </c>
      <c r="S8" s="130">
        <v>0.1</v>
      </c>
      <c r="T8" s="131">
        <f>SUM(P8:S8)</f>
        <v>0.30000000000000004</v>
      </c>
      <c r="V8" s="133"/>
      <c r="W8" s="214" t="s">
        <v>177</v>
      </c>
      <c r="X8" s="214" t="s">
        <v>178</v>
      </c>
      <c r="Y8" s="214" t="s">
        <v>179</v>
      </c>
      <c r="Z8" s="215" t="s">
        <v>180</v>
      </c>
      <c r="AA8" s="215" t="s">
        <v>16</v>
      </c>
      <c r="AB8" s="215" t="s">
        <v>217</v>
      </c>
      <c r="AC8" s="215" t="s">
        <v>218</v>
      </c>
      <c r="AD8" s="215" t="s">
        <v>219</v>
      </c>
      <c r="AE8" s="215" t="s">
        <v>216</v>
      </c>
      <c r="AF8" s="215" t="s">
        <v>215</v>
      </c>
      <c r="AG8" s="215" t="s">
        <v>220</v>
      </c>
      <c r="AH8" s="158"/>
      <c r="AI8" s="158"/>
    </row>
    <row r="9" spans="1:38" ht="12.75">
      <c r="A9">
        <v>2011</v>
      </c>
      <c r="B9" s="209">
        <f>'[18]Summary - LDC'!$J$44*1000</f>
        <v>3339621.713279203</v>
      </c>
      <c r="C9" s="209">
        <f>'[18]Summary - LDC'!$J$24*1000</f>
        <v>2496799.678707234</v>
      </c>
      <c r="D9" s="157">
        <f t="shared" si="1"/>
        <v>842822.034571969</v>
      </c>
      <c r="E9" s="210">
        <f t="shared" si="2"/>
        <v>0.3375609352082087</v>
      </c>
      <c r="F9" s="83">
        <f>C9+P27</f>
        <v>3505426.438707234</v>
      </c>
      <c r="G9" s="83">
        <f>F9-H75</f>
        <v>1404607.151879435</v>
      </c>
      <c r="H9" s="83">
        <f t="shared" si="0"/>
        <v>18007.783998454295</v>
      </c>
      <c r="J9" s="84">
        <f>G87</f>
        <v>3505426.4387072325</v>
      </c>
      <c r="K9" s="84">
        <f t="shared" si="3"/>
        <v>0</v>
      </c>
      <c r="M9" s="85" t="s">
        <v>107</v>
      </c>
      <c r="N9" s="85">
        <v>7</v>
      </c>
      <c r="P9" s="132"/>
      <c r="Q9" s="133"/>
      <c r="R9" s="130">
        <v>0.1</v>
      </c>
      <c r="S9" s="130">
        <v>0.1</v>
      </c>
      <c r="T9" s="131">
        <f>SUM(P9:S9)</f>
        <v>0.2</v>
      </c>
      <c r="V9" s="85">
        <v>2011</v>
      </c>
      <c r="W9" s="218">
        <v>830281</v>
      </c>
      <c r="X9" s="119">
        <v>358470</v>
      </c>
      <c r="Y9" s="119">
        <v>46286</v>
      </c>
      <c r="Z9" s="119">
        <v>504900</v>
      </c>
      <c r="AA9" s="217">
        <f>SUM(W9:Z9)</f>
        <v>1739937</v>
      </c>
      <c r="AB9" s="220">
        <v>0.52</v>
      </c>
      <c r="AC9" s="217">
        <f>AA9*AB9</f>
        <v>904767.24</v>
      </c>
      <c r="AD9" s="217">
        <f>AA9-AC9</f>
        <v>835169.76</v>
      </c>
      <c r="AE9" s="114">
        <v>338915</v>
      </c>
      <c r="AF9" s="114">
        <v>165458</v>
      </c>
      <c r="AG9" s="216">
        <f>AD9+AE9-AF9</f>
        <v>1008626.76</v>
      </c>
      <c r="AH9" s="211"/>
      <c r="AI9" s="156"/>
      <c r="AL9" s="150"/>
    </row>
    <row r="10" spans="1:38" ht="12.75">
      <c r="A10">
        <v>2012</v>
      </c>
      <c r="B10" s="209">
        <f>'[18]Summary - LDC'!$K$44*1000</f>
        <v>3255982.3874203195</v>
      </c>
      <c r="C10" s="209">
        <f>'[18]Summary - LDC'!$K$24*1000</f>
        <v>2458592.4454090903</v>
      </c>
      <c r="D10" s="157">
        <f t="shared" si="1"/>
        <v>797389.9420112292</v>
      </c>
      <c r="E10" s="210">
        <f t="shared" si="2"/>
        <v>0.3243278256630899</v>
      </c>
      <c r="F10" s="83">
        <f>C10+Q27</f>
        <v>3897167.20540909</v>
      </c>
      <c r="G10" s="83">
        <f>F10-H87</f>
        <v>-796772.9771961253</v>
      </c>
      <c r="H10" s="83">
        <f t="shared" si="0"/>
        <v>-10215.038169181094</v>
      </c>
      <c r="J10" s="84">
        <f>G99</f>
        <v>3897167.205409091</v>
      </c>
      <c r="K10" s="84">
        <f>F10-J10</f>
        <v>0</v>
      </c>
      <c r="M10" s="85" t="s">
        <v>108</v>
      </c>
      <c r="N10" s="85">
        <v>8</v>
      </c>
      <c r="P10" s="134"/>
      <c r="Q10" s="133"/>
      <c r="R10" s="133"/>
      <c r="S10" s="130">
        <v>0.1</v>
      </c>
      <c r="T10" s="131">
        <f>SUM(P10:S10)</f>
        <v>0.1</v>
      </c>
      <c r="V10" s="85">
        <v>2012</v>
      </c>
      <c r="W10" s="218">
        <v>996388</v>
      </c>
      <c r="X10" s="119">
        <v>477960</v>
      </c>
      <c r="Y10" s="119">
        <v>555434</v>
      </c>
      <c r="Z10" s="119">
        <v>605880</v>
      </c>
      <c r="AA10" s="217">
        <f>SUM(W10:Z10)</f>
        <v>2635662</v>
      </c>
      <c r="AB10" s="220">
        <v>0.52</v>
      </c>
      <c r="AC10" s="217">
        <f>AA10*AB10</f>
        <v>1370544.24</v>
      </c>
      <c r="AD10" s="217">
        <f>AA10-AC10</f>
        <v>1265117.76</v>
      </c>
      <c r="AE10" s="114">
        <v>338915</v>
      </c>
      <c r="AF10" s="114">
        <v>165458</v>
      </c>
      <c r="AG10" s="216">
        <f>AD10+AE10-AF10</f>
        <v>1438574.76</v>
      </c>
      <c r="AH10" s="211"/>
      <c r="AI10" s="156"/>
      <c r="AL10" s="150"/>
    </row>
    <row r="11" spans="1:38" ht="12.75">
      <c r="A11">
        <v>2013</v>
      </c>
      <c r="B11" s="209">
        <f>'[18]Summary - LDC'!$L$44*1000</f>
        <v>3232179.079275162</v>
      </c>
      <c r="C11" s="209">
        <f>'[18]Summary - LDC'!$L$24*1000</f>
        <v>2446482.278856944</v>
      </c>
      <c r="D11" s="157">
        <f>B11-C11</f>
        <v>785696.8004182181</v>
      </c>
      <c r="E11" s="210">
        <f>D11/C11</f>
        <v>0.3211536855216114</v>
      </c>
      <c r="F11" s="83">
        <f>C11+R27</f>
        <v>3885057.038856944</v>
      </c>
      <c r="G11" s="83">
        <f>F11-H99</f>
        <v>662082.3526138058</v>
      </c>
      <c r="H11" s="83">
        <f t="shared" si="0"/>
        <v>8488.235289920587</v>
      </c>
      <c r="J11" s="84">
        <f>G111</f>
        <v>3885057.038856944</v>
      </c>
      <c r="K11" s="84">
        <f t="shared" si="3"/>
        <v>0</v>
      </c>
      <c r="M11" s="85" t="s">
        <v>109</v>
      </c>
      <c r="N11" s="85">
        <v>9</v>
      </c>
      <c r="P11" s="129">
        <f>SUM(P7:P10)</f>
        <v>0.1</v>
      </c>
      <c r="Q11" s="130">
        <f>SUM(Q7:Q10)</f>
        <v>0.2</v>
      </c>
      <c r="R11" s="130">
        <f>SUM(R7:R10)</f>
        <v>0.30000000000000004</v>
      </c>
      <c r="S11" s="130">
        <f>SUM(S7:S10)</f>
        <v>0.4</v>
      </c>
      <c r="T11" s="131">
        <f>SUM(P11:S11)</f>
        <v>1</v>
      </c>
      <c r="V11" s="85">
        <v>2013</v>
      </c>
      <c r="W11" s="218">
        <v>996388</v>
      </c>
      <c r="X11" s="119">
        <v>477960</v>
      </c>
      <c r="Y11" s="119">
        <v>555434</v>
      </c>
      <c r="Z11" s="119">
        <v>605880</v>
      </c>
      <c r="AA11" s="217">
        <f>SUM(W11:Z11)</f>
        <v>2635662</v>
      </c>
      <c r="AB11" s="220">
        <v>0.52</v>
      </c>
      <c r="AC11" s="217">
        <f>AA11*AB11</f>
        <v>1370544.24</v>
      </c>
      <c r="AD11" s="217">
        <f>AA11-AC11</f>
        <v>1265117.76</v>
      </c>
      <c r="AE11" s="114">
        <v>338915</v>
      </c>
      <c r="AF11" s="114">
        <v>165458</v>
      </c>
      <c r="AG11" s="216">
        <f>AD11+AE11-AF11</f>
        <v>1438574.76</v>
      </c>
      <c r="AH11" s="211"/>
      <c r="AI11" s="156"/>
      <c r="AL11" s="150"/>
    </row>
    <row r="12" spans="1:35" ht="12.75">
      <c r="A12" t="s">
        <v>9</v>
      </c>
      <c r="B12" s="209">
        <f>SUM(B4:B11)</f>
        <v>22548105.554409314</v>
      </c>
      <c r="C12" s="209">
        <f>SUM(C4:C11)</f>
        <v>17127769.692666825</v>
      </c>
      <c r="D12" s="209">
        <f>SUM(D4:D11)</f>
        <v>5420335.861742493</v>
      </c>
      <c r="E12" s="210">
        <f>D12/C12</f>
        <v>0.3164647796533126</v>
      </c>
      <c r="F12" s="83">
        <f>SUM(F4:F11)</f>
        <v>21013545.972666822</v>
      </c>
      <c r="G12" s="83"/>
      <c r="H12" s="83"/>
      <c r="M12" s="85" t="s">
        <v>110</v>
      </c>
      <c r="N12" s="85">
        <v>10</v>
      </c>
      <c r="P12" s="447"/>
      <c r="Q12" s="448"/>
      <c r="R12" s="448"/>
      <c r="S12" s="448"/>
      <c r="T12" s="449"/>
      <c r="V12" s="85">
        <v>2014</v>
      </c>
      <c r="W12" s="218">
        <v>996388</v>
      </c>
      <c r="X12" s="119">
        <v>477960</v>
      </c>
      <c r="Y12" s="119">
        <v>555434</v>
      </c>
      <c r="Z12" s="119">
        <v>605880</v>
      </c>
      <c r="AA12" s="217">
        <f>SUM(W12:Z12)</f>
        <v>2635662</v>
      </c>
      <c r="AB12" s="220">
        <v>0.52</v>
      </c>
      <c r="AC12" s="217">
        <f>AA12*AB12</f>
        <v>1370544.24</v>
      </c>
      <c r="AD12" s="217">
        <f>AA12-AC12</f>
        <v>1265117.76</v>
      </c>
      <c r="AE12" s="114">
        <v>338915</v>
      </c>
      <c r="AF12" s="114">
        <v>165458</v>
      </c>
      <c r="AG12" s="216">
        <f>AD12+AE12-AF12</f>
        <v>1438574.76</v>
      </c>
      <c r="AI12" s="156"/>
    </row>
    <row r="13" spans="6:35" ht="12.75">
      <c r="F13" s="83"/>
      <c r="M13" s="85" t="s">
        <v>111</v>
      </c>
      <c r="N13" s="85">
        <v>11</v>
      </c>
      <c r="P13" s="135">
        <f>P7*P3</f>
        <v>781000</v>
      </c>
      <c r="Q13" s="119">
        <f>P13</f>
        <v>781000</v>
      </c>
      <c r="R13" s="119">
        <f>Q13</f>
        <v>781000</v>
      </c>
      <c r="S13" s="119">
        <f>R13</f>
        <v>781000</v>
      </c>
      <c r="T13" s="136">
        <f>SUM(P13:S13)</f>
        <v>3124000</v>
      </c>
      <c r="V13" s="85" t="s">
        <v>9</v>
      </c>
      <c r="W13" s="133"/>
      <c r="X13" s="133"/>
      <c r="Y13" s="133"/>
      <c r="Z13" s="133"/>
      <c r="AA13" s="217">
        <f>SUM(AA9:AA12)</f>
        <v>9646923</v>
      </c>
      <c r="AB13" s="219"/>
      <c r="AC13" s="219"/>
      <c r="AD13" s="219"/>
      <c r="AE13" s="217">
        <f>SUM(AE9:AE12)</f>
        <v>1355660</v>
      </c>
      <c r="AF13" s="217">
        <f>SUM(AF9:AF12)</f>
        <v>661832</v>
      </c>
      <c r="AG13" s="133"/>
      <c r="AI13" s="156"/>
    </row>
    <row r="14" spans="6:20" ht="12.75">
      <c r="F14" s="83" t="s">
        <v>100</v>
      </c>
      <c r="M14" s="85" t="s">
        <v>112</v>
      </c>
      <c r="N14" s="85">
        <v>12</v>
      </c>
      <c r="P14" s="135">
        <f>P8*P4</f>
        <v>0</v>
      </c>
      <c r="Q14" s="119">
        <f>Q13</f>
        <v>781000</v>
      </c>
      <c r="R14" s="119">
        <f>Q14</f>
        <v>781000</v>
      </c>
      <c r="S14" s="119">
        <f>R14</f>
        <v>781000</v>
      </c>
      <c r="T14" s="136">
        <f>SUM(P14:S14)</f>
        <v>2343000</v>
      </c>
    </row>
    <row r="15" spans="6:20" ht="12.75">
      <c r="F15" s="83"/>
      <c r="M15" s="85" t="s">
        <v>9</v>
      </c>
      <c r="N15" s="85">
        <f>SUM(N3:N14)</f>
        <v>78</v>
      </c>
      <c r="P15" s="135"/>
      <c r="Q15" s="119"/>
      <c r="R15" s="119">
        <f>R14</f>
        <v>781000</v>
      </c>
      <c r="S15" s="119">
        <f>R15</f>
        <v>781000</v>
      </c>
      <c r="T15" s="136">
        <f>SUM(P15:S15)</f>
        <v>1562000</v>
      </c>
    </row>
    <row r="16" spans="1:20" ht="12.75">
      <c r="A16" s="3">
        <v>38718</v>
      </c>
      <c r="B16" s="3"/>
      <c r="C16" s="3"/>
      <c r="D16" s="3"/>
      <c r="E16" s="3"/>
      <c r="F16" s="83">
        <f>$H$4</f>
        <v>5336.896278152831</v>
      </c>
      <c r="P16" s="135"/>
      <c r="Q16" s="119"/>
      <c r="R16" s="119">
        <f>Q16</f>
        <v>0</v>
      </c>
      <c r="S16" s="119">
        <f>S15</f>
        <v>781000</v>
      </c>
      <c r="T16" s="136">
        <f>SUM(P16:S16)</f>
        <v>781000</v>
      </c>
    </row>
    <row r="17" spans="1:20" ht="13.5" thickBot="1">
      <c r="A17" s="3">
        <v>38749</v>
      </c>
      <c r="B17" s="3"/>
      <c r="C17" s="3"/>
      <c r="D17" s="3"/>
      <c r="E17" s="3"/>
      <c r="F17" s="83">
        <f aca="true" t="shared" si="4" ref="F17:F27">F16+$H$4</f>
        <v>10673.792556305661</v>
      </c>
      <c r="P17" s="137">
        <f>SUM(P13:P16)</f>
        <v>781000</v>
      </c>
      <c r="Q17" s="138">
        <f>SUM(Q13:Q16)</f>
        <v>1562000</v>
      </c>
      <c r="R17" s="138">
        <f>SUM(R13:R16)</f>
        <v>2343000</v>
      </c>
      <c r="S17" s="138">
        <f>SUM(S13:S16)</f>
        <v>3124000</v>
      </c>
      <c r="T17" s="139">
        <f>SUM(P17:S17)</f>
        <v>7810000</v>
      </c>
    </row>
    <row r="18" spans="1:6" ht="13.5" thickBot="1">
      <c r="A18" s="3">
        <v>38777</v>
      </c>
      <c r="B18" s="3"/>
      <c r="C18" s="3"/>
      <c r="D18" s="3"/>
      <c r="E18" s="3"/>
      <c r="F18" s="83">
        <f t="shared" si="4"/>
        <v>16010.688834458491</v>
      </c>
    </row>
    <row r="19" spans="1:20" ht="12.75">
      <c r="A19" s="3">
        <v>38808</v>
      </c>
      <c r="B19" s="3"/>
      <c r="C19" s="3"/>
      <c r="D19" s="3"/>
      <c r="E19" s="3"/>
      <c r="F19" s="83">
        <f t="shared" si="4"/>
        <v>21347.585112611323</v>
      </c>
      <c r="P19" s="451" t="s">
        <v>163</v>
      </c>
      <c r="Q19" s="452"/>
      <c r="R19" s="452"/>
      <c r="S19" s="452"/>
      <c r="T19" s="453"/>
    </row>
    <row r="20" spans="1:20" ht="12.75">
      <c r="A20" s="3">
        <v>38838</v>
      </c>
      <c r="B20" s="3"/>
      <c r="C20" s="3"/>
      <c r="D20" s="3"/>
      <c r="E20" s="3"/>
      <c r="F20" s="83">
        <f t="shared" si="4"/>
        <v>26684.481390764155</v>
      </c>
      <c r="P20" s="127">
        <v>2011</v>
      </c>
      <c r="Q20" s="85">
        <v>2012</v>
      </c>
      <c r="R20" s="85">
        <v>2013</v>
      </c>
      <c r="S20" s="85">
        <v>2014</v>
      </c>
      <c r="T20" s="128" t="s">
        <v>9</v>
      </c>
    </row>
    <row r="21" spans="1:21" ht="12.75">
      <c r="A21" s="3">
        <v>38869</v>
      </c>
      <c r="B21" s="3"/>
      <c r="C21" s="3"/>
      <c r="D21" s="3"/>
      <c r="E21" s="3"/>
      <c r="F21" s="83">
        <f t="shared" si="4"/>
        <v>32021.377668916986</v>
      </c>
      <c r="P21" s="140">
        <f>AG9/P3</f>
        <v>0.1291455518565941</v>
      </c>
      <c r="Q21" s="221">
        <f>AG10/P3</f>
        <v>0.18419651216389243</v>
      </c>
      <c r="R21" s="141">
        <f>Q21</f>
        <v>0.18419651216389243</v>
      </c>
      <c r="S21" s="141">
        <f>R21</f>
        <v>0.18419651216389243</v>
      </c>
      <c r="T21" s="142">
        <f>SUM(P21:S21)</f>
        <v>0.6817350883482713</v>
      </c>
      <c r="U21" t="s">
        <v>214</v>
      </c>
    </row>
    <row r="22" spans="1:20" ht="12.75">
      <c r="A22" s="3">
        <v>38899</v>
      </c>
      <c r="B22" s="3"/>
      <c r="C22" s="3"/>
      <c r="D22" s="3"/>
      <c r="E22" s="3"/>
      <c r="F22" s="83">
        <f t="shared" si="4"/>
        <v>37358.273947069814</v>
      </c>
      <c r="P22" s="143"/>
      <c r="Q22" s="141">
        <f>(100%-T21)/6</f>
        <v>0.053044151941954776</v>
      </c>
      <c r="R22" s="141">
        <f>Q22</f>
        <v>0.053044151941954776</v>
      </c>
      <c r="S22" s="141">
        <f>R22</f>
        <v>0.053044151941954776</v>
      </c>
      <c r="T22" s="142">
        <f>SUM(P22:S22)</f>
        <v>0.15913245582586433</v>
      </c>
    </row>
    <row r="23" spans="1:20" ht="12.75">
      <c r="A23" s="3">
        <v>38930</v>
      </c>
      <c r="B23" s="3"/>
      <c r="C23" s="3"/>
      <c r="D23" s="3"/>
      <c r="E23" s="3"/>
      <c r="F23" s="83">
        <f t="shared" si="4"/>
        <v>42695.170225222646</v>
      </c>
      <c r="P23" s="144"/>
      <c r="Q23" s="141"/>
      <c r="R23" s="141">
        <f>R22</f>
        <v>0.053044151941954776</v>
      </c>
      <c r="S23" s="141">
        <f>S22</f>
        <v>0.053044151941954776</v>
      </c>
      <c r="T23" s="142">
        <f>SUM(P23:S23)</f>
        <v>0.10608830388390955</v>
      </c>
    </row>
    <row r="24" spans="1:20" ht="12.75">
      <c r="A24" s="3">
        <v>38961</v>
      </c>
      <c r="B24" s="3"/>
      <c r="C24" s="3"/>
      <c r="D24" s="3"/>
      <c r="E24" s="3"/>
      <c r="F24" s="83">
        <f t="shared" si="4"/>
        <v>48032.06650337548</v>
      </c>
      <c r="P24" s="144"/>
      <c r="Q24" s="145"/>
      <c r="R24" s="141"/>
      <c r="S24" s="141">
        <f>S23</f>
        <v>0.053044151941954776</v>
      </c>
      <c r="T24" s="142">
        <f>SUM(P24:S24)</f>
        <v>0.053044151941954776</v>
      </c>
    </row>
    <row r="25" spans="1:20" ht="12.75">
      <c r="A25" s="3">
        <v>38991</v>
      </c>
      <c r="B25" s="3"/>
      <c r="C25" s="3"/>
      <c r="D25" s="3"/>
      <c r="E25" s="3"/>
      <c r="F25" s="83">
        <f t="shared" si="4"/>
        <v>53368.96278152831</v>
      </c>
      <c r="P25" s="143">
        <f>SUM(P21:P24)</f>
        <v>0.1291455518565941</v>
      </c>
      <c r="Q25" s="141">
        <f>SUM(Q21:Q24)</f>
        <v>0.2372406641058472</v>
      </c>
      <c r="R25" s="141">
        <f>SUM(R21:R24)</f>
        <v>0.290284816047802</v>
      </c>
      <c r="S25" s="141">
        <f>SUM(S21:S24)</f>
        <v>0.34332896798975676</v>
      </c>
      <c r="T25" s="142">
        <f>SUM(P25:S25)</f>
        <v>1</v>
      </c>
    </row>
    <row r="26" spans="1:20" ht="12.75">
      <c r="A26" s="3">
        <v>39022</v>
      </c>
      <c r="B26" s="3"/>
      <c r="C26" s="3"/>
      <c r="D26" s="3"/>
      <c r="E26" s="3"/>
      <c r="F26" s="83">
        <f t="shared" si="4"/>
        <v>58705.85905968114</v>
      </c>
      <c r="G26" s="4" t="s">
        <v>101</v>
      </c>
      <c r="P26" s="445"/>
      <c r="Q26" s="391"/>
      <c r="R26" s="391"/>
      <c r="S26" s="391"/>
      <c r="T26" s="446"/>
    </row>
    <row r="27" spans="1:20" ht="12.75">
      <c r="A27" s="3">
        <v>39052</v>
      </c>
      <c r="B27" s="3"/>
      <c r="C27" s="3"/>
      <c r="D27" s="3"/>
      <c r="E27" s="3"/>
      <c r="F27" s="83">
        <f t="shared" si="4"/>
        <v>64042.75533783397</v>
      </c>
      <c r="G27" s="83">
        <f>SUM(F16:F27)</f>
        <v>416277.90969592077</v>
      </c>
      <c r="H27" s="83">
        <f>F27*12</f>
        <v>768513.0640540076</v>
      </c>
      <c r="P27" s="135">
        <f>$P$3*P21</f>
        <v>1008626.7599999999</v>
      </c>
      <c r="Q27" s="119">
        <f>$P$3*Q21</f>
        <v>1438574.76</v>
      </c>
      <c r="R27" s="119">
        <f>Q27</f>
        <v>1438574.76</v>
      </c>
      <c r="S27" s="119">
        <f>R27</f>
        <v>1438574.76</v>
      </c>
      <c r="T27" s="136">
        <f>SUM(P27:S27)</f>
        <v>5324351.04</v>
      </c>
    </row>
    <row r="28" spans="1:20" ht="12.75">
      <c r="A28" s="3">
        <v>39083</v>
      </c>
      <c r="B28" s="3"/>
      <c r="C28" s="3"/>
      <c r="D28" s="3"/>
      <c r="E28" s="3"/>
      <c r="F28" s="83">
        <f aca="true" t="shared" si="5" ref="F28:F39">F27+$H$5</f>
        <v>78567.68631241636</v>
      </c>
      <c r="P28" s="135"/>
      <c r="Q28" s="119">
        <f>P3*Q22</f>
        <v>414274.8266666668</v>
      </c>
      <c r="R28" s="119">
        <f>Q28</f>
        <v>414274.8266666668</v>
      </c>
      <c r="S28" s="119">
        <f>R28</f>
        <v>414274.8266666668</v>
      </c>
      <c r="T28" s="136">
        <f>SUM(P28:S28)</f>
        <v>1242824.4800000004</v>
      </c>
    </row>
    <row r="29" spans="1:20" ht="12.75">
      <c r="A29" s="3">
        <v>39114</v>
      </c>
      <c r="B29" s="3"/>
      <c r="C29" s="3"/>
      <c r="D29" s="3"/>
      <c r="E29" s="3"/>
      <c r="F29" s="83">
        <f t="shared" si="5"/>
        <v>93092.61728699875</v>
      </c>
      <c r="P29" s="135"/>
      <c r="Q29" s="119"/>
      <c r="R29" s="119">
        <f>R28</f>
        <v>414274.8266666668</v>
      </c>
      <c r="S29" s="119">
        <f>R29</f>
        <v>414274.8266666668</v>
      </c>
      <c r="T29" s="136">
        <f>SUM(P29:S29)</f>
        <v>828549.6533333336</v>
      </c>
    </row>
    <row r="30" spans="1:20" ht="12.75">
      <c r="A30" s="3">
        <v>39142</v>
      </c>
      <c r="B30" s="3"/>
      <c r="C30" s="3"/>
      <c r="D30" s="3"/>
      <c r="E30" s="3"/>
      <c r="F30" s="83">
        <f t="shared" si="5"/>
        <v>107617.54826158113</v>
      </c>
      <c r="P30" s="135"/>
      <c r="Q30" s="119"/>
      <c r="R30" s="119"/>
      <c r="S30" s="119">
        <f>S29</f>
        <v>414274.8266666668</v>
      </c>
      <c r="T30" s="136">
        <f>SUM(P30:S30)</f>
        <v>414274.8266666668</v>
      </c>
    </row>
    <row r="31" spans="1:20" ht="13.5" thickBot="1">
      <c r="A31" s="3">
        <v>39173</v>
      </c>
      <c r="B31" s="3"/>
      <c r="C31" s="3"/>
      <c r="D31" s="3"/>
      <c r="E31" s="3"/>
      <c r="F31" s="83">
        <f t="shared" si="5"/>
        <v>122142.47923616352</v>
      </c>
      <c r="P31" s="137">
        <f>SUM(P27:P30)</f>
        <v>1008626.7599999999</v>
      </c>
      <c r="Q31" s="138">
        <f>SUM(Q27:Q30)</f>
        <v>1852849.586666667</v>
      </c>
      <c r="R31" s="138">
        <f>SUM(R27:R30)</f>
        <v>2267124.4133333336</v>
      </c>
      <c r="S31" s="138">
        <f>SUM(S27:S30)</f>
        <v>2681399.24</v>
      </c>
      <c r="T31" s="139">
        <f>SUM(P31:S31)</f>
        <v>7810000</v>
      </c>
    </row>
    <row r="32" spans="1:6" ht="12.75">
      <c r="A32" s="3">
        <v>39203</v>
      </c>
      <c r="B32" s="3"/>
      <c r="C32" s="3"/>
      <c r="D32" s="3"/>
      <c r="E32" s="3"/>
      <c r="F32" s="83">
        <f t="shared" si="5"/>
        <v>136667.4102107459</v>
      </c>
    </row>
    <row r="33" spans="1:6" ht="12.75">
      <c r="A33" s="3">
        <v>39234</v>
      </c>
      <c r="B33" s="3"/>
      <c r="C33" s="3"/>
      <c r="D33" s="3"/>
      <c r="E33" s="3"/>
      <c r="F33" s="83">
        <f t="shared" si="5"/>
        <v>151192.3411853283</v>
      </c>
    </row>
    <row r="34" spans="1:18" ht="12.75">
      <c r="A34" s="3">
        <v>39264</v>
      </c>
      <c r="B34" s="3"/>
      <c r="C34" s="3"/>
      <c r="D34" s="3"/>
      <c r="E34" s="3"/>
      <c r="F34" s="83">
        <f t="shared" si="5"/>
        <v>165717.27215991067</v>
      </c>
      <c r="P34" t="s">
        <v>228</v>
      </c>
      <c r="Q34" s="157"/>
      <c r="R34" s="157">
        <f>AA11</f>
        <v>2635662</v>
      </c>
    </row>
    <row r="35" spans="1:17" ht="12.75">
      <c r="A35" s="3">
        <v>39295</v>
      </c>
      <c r="B35" s="3"/>
      <c r="C35" s="3"/>
      <c r="D35" s="3"/>
      <c r="E35" s="3"/>
      <c r="F35" s="83">
        <f t="shared" si="5"/>
        <v>180242.20313449306</v>
      </c>
      <c r="Q35" s="210"/>
    </row>
    <row r="36" spans="1:19" ht="12.75">
      <c r="A36" s="3">
        <v>39326</v>
      </c>
      <c r="B36" s="3"/>
      <c r="C36" s="3"/>
      <c r="D36" s="3"/>
      <c r="E36" s="3"/>
      <c r="F36" s="83">
        <f t="shared" si="5"/>
        <v>194767.13410907544</v>
      </c>
      <c r="R36" s="211">
        <f>R31-AD11</f>
        <v>1002006.6533333336</v>
      </c>
      <c r="S36" t="s">
        <v>229</v>
      </c>
    </row>
    <row r="37" spans="1:19" ht="12.75">
      <c r="A37" s="3">
        <v>39356</v>
      </c>
      <c r="B37" s="3"/>
      <c r="C37" s="3"/>
      <c r="D37" s="3"/>
      <c r="E37" s="3"/>
      <c r="F37" s="83">
        <f t="shared" si="5"/>
        <v>209292.06508365783</v>
      </c>
      <c r="Q37" t="s">
        <v>227</v>
      </c>
      <c r="R37" s="210">
        <f>'CDM Activity'!E12</f>
        <v>0.3164647796533126</v>
      </c>
      <c r="S37" t="s">
        <v>226</v>
      </c>
    </row>
    <row r="38" spans="1:19" ht="12.75">
      <c r="A38" s="3">
        <v>39387</v>
      </c>
      <c r="B38" s="3"/>
      <c r="C38" s="3"/>
      <c r="D38" s="3"/>
      <c r="E38" s="3"/>
      <c r="F38" s="83">
        <f t="shared" si="5"/>
        <v>223816.9960582402</v>
      </c>
      <c r="G38" s="4" t="s">
        <v>101</v>
      </c>
      <c r="Q38" t="s">
        <v>225</v>
      </c>
      <c r="R38" s="211">
        <f>R36*R37</f>
        <v>317099.8147582866</v>
      </c>
      <c r="S38" t="s">
        <v>224</v>
      </c>
    </row>
    <row r="39" spans="1:19" ht="12.75">
      <c r="A39" s="3">
        <v>39417</v>
      </c>
      <c r="B39" s="3"/>
      <c r="C39" s="3"/>
      <c r="D39" s="3"/>
      <c r="E39" s="3"/>
      <c r="F39" s="83">
        <f t="shared" si="5"/>
        <v>238341.9270328226</v>
      </c>
      <c r="G39" s="83">
        <f>SUM(F28:F39)</f>
        <v>1901457.6800714338</v>
      </c>
      <c r="H39" s="83">
        <f>F39*12</f>
        <v>2860103.124393871</v>
      </c>
      <c r="R39" s="211">
        <f>R36+R38</f>
        <v>1319106.4680916201</v>
      </c>
      <c r="S39" t="s">
        <v>223</v>
      </c>
    </row>
    <row r="40" spans="1:6" ht="12.75">
      <c r="A40" s="3">
        <v>39448</v>
      </c>
      <c r="B40" s="3"/>
      <c r="C40" s="3"/>
      <c r="D40" s="3"/>
      <c r="E40" s="3"/>
      <c r="F40" s="83">
        <f aca="true" t="shared" si="6" ref="F40:F51">F39+$H$6</f>
        <v>229402.04229052924</v>
      </c>
    </row>
    <row r="41" spans="1:19" ht="12.75">
      <c r="A41" s="3">
        <v>39479</v>
      </c>
      <c r="B41" s="3"/>
      <c r="C41" s="3"/>
      <c r="D41" s="3"/>
      <c r="E41" s="3"/>
      <c r="F41" s="83">
        <f t="shared" si="6"/>
        <v>220462.15754823587</v>
      </c>
      <c r="Q41" t="s">
        <v>16</v>
      </c>
      <c r="R41" s="157">
        <f>R34+R39</f>
        <v>3954768.46809162</v>
      </c>
      <c r="S41" t="s">
        <v>222</v>
      </c>
    </row>
    <row r="42" spans="1:6" ht="12.75">
      <c r="A42" s="3">
        <v>39508</v>
      </c>
      <c r="B42" s="3"/>
      <c r="C42" s="3"/>
      <c r="D42" s="3"/>
      <c r="E42" s="3"/>
      <c r="F42" s="83">
        <f t="shared" si="6"/>
        <v>211522.2728059425</v>
      </c>
    </row>
    <row r="43" spans="1:6" ht="12.75">
      <c r="A43" s="3">
        <v>39539</v>
      </c>
      <c r="B43" s="3"/>
      <c r="C43" s="3"/>
      <c r="D43" s="3"/>
      <c r="E43" s="3"/>
      <c r="F43" s="83">
        <f t="shared" si="6"/>
        <v>202582.38806364915</v>
      </c>
    </row>
    <row r="44" spans="1:6" ht="12.75">
      <c r="A44" s="3">
        <v>39569</v>
      </c>
      <c r="B44" s="3"/>
      <c r="C44" s="3"/>
      <c r="D44" s="3"/>
      <c r="E44" s="3"/>
      <c r="F44" s="83">
        <f t="shared" si="6"/>
        <v>193642.5033213558</v>
      </c>
    </row>
    <row r="45" spans="1:6" ht="12.75">
      <c r="A45" s="3">
        <v>39600</v>
      </c>
      <c r="B45" s="3"/>
      <c r="C45" s="3"/>
      <c r="D45" s="3"/>
      <c r="E45" s="3"/>
      <c r="F45" s="83">
        <f t="shared" si="6"/>
        <v>184702.61857906243</v>
      </c>
    </row>
    <row r="46" spans="1:6" ht="12.75">
      <c r="A46" s="3">
        <v>39630</v>
      </c>
      <c r="B46" s="3"/>
      <c r="C46" s="3"/>
      <c r="D46" s="3"/>
      <c r="E46" s="3"/>
      <c r="F46" s="83">
        <f t="shared" si="6"/>
        <v>175762.73383676907</v>
      </c>
    </row>
    <row r="47" spans="1:6" ht="12.75">
      <c r="A47" s="3">
        <v>39661</v>
      </c>
      <c r="B47" s="3"/>
      <c r="C47" s="3"/>
      <c r="D47" s="3"/>
      <c r="E47" s="3"/>
      <c r="F47" s="83">
        <f t="shared" si="6"/>
        <v>166822.8490944757</v>
      </c>
    </row>
    <row r="48" spans="1:6" ht="12.75">
      <c r="A48" s="3">
        <v>39692</v>
      </c>
      <c r="B48" s="3"/>
      <c r="C48" s="3"/>
      <c r="D48" s="3"/>
      <c r="E48" s="3"/>
      <c r="F48" s="83">
        <f t="shared" si="6"/>
        <v>157882.96435218235</v>
      </c>
    </row>
    <row r="49" spans="1:6" ht="12.75">
      <c r="A49" s="3">
        <v>39722</v>
      </c>
      <c r="B49" s="3"/>
      <c r="C49" s="3"/>
      <c r="D49" s="3"/>
      <c r="E49" s="3"/>
      <c r="F49" s="83">
        <f t="shared" si="6"/>
        <v>148943.07960988898</v>
      </c>
    </row>
    <row r="50" spans="1:6" ht="12.75">
      <c r="A50" s="3">
        <v>39753</v>
      </c>
      <c r="B50" s="3"/>
      <c r="C50" s="3"/>
      <c r="D50" s="3"/>
      <c r="E50" s="3"/>
      <c r="F50" s="83">
        <f t="shared" si="6"/>
        <v>140003.19486759562</v>
      </c>
    </row>
    <row r="51" spans="1:8" ht="12.75">
      <c r="A51" s="3">
        <v>39783</v>
      </c>
      <c r="B51" s="3"/>
      <c r="C51" s="3"/>
      <c r="D51" s="3"/>
      <c r="E51" s="3"/>
      <c r="F51" s="83">
        <f t="shared" si="6"/>
        <v>131063.31012530225</v>
      </c>
      <c r="G51" s="83">
        <f>SUM(F40:F51)</f>
        <v>2162792.1144949887</v>
      </c>
      <c r="H51" s="83">
        <f>F51*12</f>
        <v>1572759.721503627</v>
      </c>
    </row>
    <row r="52" spans="1:6" ht="12.75">
      <c r="A52" s="3">
        <v>39814</v>
      </c>
      <c r="B52" s="3"/>
      <c r="C52" s="3"/>
      <c r="D52" s="3"/>
      <c r="E52" s="3"/>
      <c r="F52" s="83">
        <f aca="true" t="shared" si="7" ref="F52:F63">F51+$H$7</f>
        <v>143659.25372164507</v>
      </c>
    </row>
    <row r="53" spans="1:6" ht="12.75">
      <c r="A53" s="3">
        <v>39845</v>
      </c>
      <c r="B53" s="3"/>
      <c r="C53" s="3"/>
      <c r="D53" s="3"/>
      <c r="E53" s="3"/>
      <c r="F53" s="83">
        <f t="shared" si="7"/>
        <v>156255.19731798788</v>
      </c>
    </row>
    <row r="54" spans="1:6" ht="12.75">
      <c r="A54" s="3">
        <v>39873</v>
      </c>
      <c r="B54" s="3"/>
      <c r="C54" s="3"/>
      <c r="D54" s="3"/>
      <c r="E54" s="3"/>
      <c r="F54" s="83">
        <f t="shared" si="7"/>
        <v>168851.1409143307</v>
      </c>
    </row>
    <row r="55" spans="1:6" ht="12.75">
      <c r="A55" s="3">
        <v>39904</v>
      </c>
      <c r="B55" s="3"/>
      <c r="C55" s="3"/>
      <c r="D55" s="3"/>
      <c r="E55" s="3"/>
      <c r="F55" s="83">
        <f t="shared" si="7"/>
        <v>181447.0845106735</v>
      </c>
    </row>
    <row r="56" spans="1:6" ht="12.75">
      <c r="A56" s="3">
        <v>39934</v>
      </c>
      <c r="B56" s="3"/>
      <c r="C56" s="3"/>
      <c r="D56" s="3"/>
      <c r="E56" s="3"/>
      <c r="F56" s="83">
        <f t="shared" si="7"/>
        <v>194043.02810701632</v>
      </c>
    </row>
    <row r="57" spans="1:6" ht="12.75">
      <c r="A57" s="3">
        <v>39965</v>
      </c>
      <c r="B57" s="3"/>
      <c r="C57" s="3"/>
      <c r="D57" s="3"/>
      <c r="E57" s="3"/>
      <c r="F57" s="83">
        <f t="shared" si="7"/>
        <v>206638.97170335913</v>
      </c>
    </row>
    <row r="58" spans="1:6" ht="12.75">
      <c r="A58" s="3">
        <v>39995</v>
      </c>
      <c r="B58" s="3"/>
      <c r="C58" s="3"/>
      <c r="D58" s="3"/>
      <c r="E58" s="3"/>
      <c r="F58" s="83">
        <f t="shared" si="7"/>
        <v>219234.91529970194</v>
      </c>
    </row>
    <row r="59" spans="1:6" ht="12.75">
      <c r="A59" s="3">
        <v>40026</v>
      </c>
      <c r="B59" s="3"/>
      <c r="C59" s="3"/>
      <c r="D59" s="3"/>
      <c r="E59" s="3"/>
      <c r="F59" s="83">
        <f t="shared" si="7"/>
        <v>231830.85889604475</v>
      </c>
    </row>
    <row r="60" spans="1:6" ht="12.75">
      <c r="A60" s="3">
        <v>40057</v>
      </c>
      <c r="B60" s="3"/>
      <c r="C60" s="3"/>
      <c r="D60" s="3"/>
      <c r="E60" s="3"/>
      <c r="F60" s="83">
        <f t="shared" si="7"/>
        <v>244426.80249238756</v>
      </c>
    </row>
    <row r="61" spans="1:6" ht="12.75">
      <c r="A61" s="3">
        <v>40087</v>
      </c>
      <c r="B61" s="3"/>
      <c r="C61" s="3"/>
      <c r="D61" s="3"/>
      <c r="E61" s="3"/>
      <c r="F61" s="83">
        <f t="shared" si="7"/>
        <v>257022.74608873038</v>
      </c>
    </row>
    <row r="62" spans="1:6" ht="12.75">
      <c r="A62" s="3">
        <v>40118</v>
      </c>
      <c r="B62" s="3"/>
      <c r="C62" s="3"/>
      <c r="D62" s="3"/>
      <c r="E62" s="3"/>
      <c r="F62" s="83">
        <f t="shared" si="7"/>
        <v>269618.6896850732</v>
      </c>
    </row>
    <row r="63" spans="1:8" ht="12.75">
      <c r="A63" s="3">
        <v>40148</v>
      </c>
      <c r="B63" s="3"/>
      <c r="C63" s="3"/>
      <c r="D63" s="3"/>
      <c r="E63" s="3"/>
      <c r="F63" s="83">
        <f t="shared" si="7"/>
        <v>282214.633281416</v>
      </c>
      <c r="G63" s="83">
        <f>SUM(F52:F63)</f>
        <v>2555243.3220183663</v>
      </c>
      <c r="H63" s="83">
        <f>F63*12</f>
        <v>3386575.5993769923</v>
      </c>
    </row>
    <row r="64" spans="1:6" ht="12.75">
      <c r="A64" s="3">
        <v>40179</v>
      </c>
      <c r="B64" s="3"/>
      <c r="C64" s="3"/>
      <c r="D64" s="3"/>
      <c r="E64" s="3"/>
      <c r="F64" s="83">
        <f aca="true" t="shared" si="8" ref="F64:F75">F63+$H$8</f>
        <v>273285.7699998244</v>
      </c>
    </row>
    <row r="65" spans="1:6" ht="12.75">
      <c r="A65" s="3">
        <v>40210</v>
      </c>
      <c r="B65" s="3"/>
      <c r="C65" s="3"/>
      <c r="D65" s="3"/>
      <c r="E65" s="3"/>
      <c r="F65" s="83">
        <f t="shared" si="8"/>
        <v>264356.9067182328</v>
      </c>
    </row>
    <row r="66" spans="1:6" ht="12.75">
      <c r="A66" s="3">
        <v>40238</v>
      </c>
      <c r="B66" s="3"/>
      <c r="C66" s="3"/>
      <c r="D66" s="3"/>
      <c r="E66" s="3"/>
      <c r="F66" s="83">
        <f t="shared" si="8"/>
        <v>255428.04343664116</v>
      </c>
    </row>
    <row r="67" spans="1:6" ht="12.75">
      <c r="A67" s="3">
        <v>40269</v>
      </c>
      <c r="B67" s="3"/>
      <c r="C67" s="3"/>
      <c r="D67" s="3"/>
      <c r="E67" s="3"/>
      <c r="F67" s="83">
        <f t="shared" si="8"/>
        <v>246499.18015504954</v>
      </c>
    </row>
    <row r="68" spans="1:6" ht="12.75">
      <c r="A68" s="3">
        <v>40299</v>
      </c>
      <c r="B68" s="3"/>
      <c r="C68" s="3"/>
      <c r="D68" s="3"/>
      <c r="E68" s="3"/>
      <c r="F68" s="83">
        <f t="shared" si="8"/>
        <v>237570.31687345792</v>
      </c>
    </row>
    <row r="69" spans="1:6" ht="12.75">
      <c r="A69" s="3">
        <v>40330</v>
      </c>
      <c r="B69" s="3"/>
      <c r="C69" s="3"/>
      <c r="D69" s="3"/>
      <c r="E69" s="3"/>
      <c r="F69" s="83">
        <f t="shared" si="8"/>
        <v>228641.4535918663</v>
      </c>
    </row>
    <row r="70" spans="1:6" ht="12.75">
      <c r="A70" s="3">
        <v>40360</v>
      </c>
      <c r="B70" s="3"/>
      <c r="C70" s="3"/>
      <c r="D70" s="3"/>
      <c r="E70" s="3"/>
      <c r="F70" s="83">
        <f t="shared" si="8"/>
        <v>219712.59031027468</v>
      </c>
    </row>
    <row r="71" spans="1:6" ht="12.75">
      <c r="A71" s="3">
        <v>40391</v>
      </c>
      <c r="B71" s="3"/>
      <c r="C71" s="3"/>
      <c r="D71" s="3"/>
      <c r="E71" s="3"/>
      <c r="F71" s="83">
        <f t="shared" si="8"/>
        <v>210783.72702868306</v>
      </c>
    </row>
    <row r="72" spans="1:6" ht="12.75">
      <c r="A72" s="3">
        <v>40422</v>
      </c>
      <c r="B72" s="3"/>
      <c r="C72" s="3"/>
      <c r="D72" s="3"/>
      <c r="E72" s="3"/>
      <c r="F72" s="83">
        <f t="shared" si="8"/>
        <v>201854.86374709144</v>
      </c>
    </row>
    <row r="73" spans="1:6" ht="12.75">
      <c r="A73" s="3">
        <v>40452</v>
      </c>
      <c r="B73" s="3"/>
      <c r="C73" s="3"/>
      <c r="D73" s="3"/>
      <c r="E73" s="3"/>
      <c r="F73" s="83">
        <f t="shared" si="8"/>
        <v>192926.00046549982</v>
      </c>
    </row>
    <row r="74" spans="1:6" ht="12.75">
      <c r="A74" s="3">
        <v>40483</v>
      </c>
      <c r="B74" s="3"/>
      <c r="C74" s="3"/>
      <c r="D74" s="3"/>
      <c r="E74" s="3"/>
      <c r="F74" s="83">
        <f t="shared" si="8"/>
        <v>183997.1371839082</v>
      </c>
    </row>
    <row r="75" spans="1:8" ht="12.75">
      <c r="A75" s="3">
        <v>40513</v>
      </c>
      <c r="B75" s="3"/>
      <c r="C75" s="3"/>
      <c r="D75" s="3"/>
      <c r="E75" s="3"/>
      <c r="F75" s="83">
        <f t="shared" si="8"/>
        <v>175068.27390231658</v>
      </c>
      <c r="G75" s="83">
        <f>SUM(F64:F75)</f>
        <v>2690124.263412846</v>
      </c>
      <c r="H75" s="83">
        <f>F75*12</f>
        <v>2100819.286827799</v>
      </c>
    </row>
    <row r="76" spans="1:6" ht="12.75">
      <c r="A76" s="3">
        <v>40544</v>
      </c>
      <c r="B76" s="3"/>
      <c r="C76" s="3"/>
      <c r="D76" s="3"/>
      <c r="E76" s="3"/>
      <c r="F76" s="83">
        <f aca="true" t="shared" si="9" ref="F76:F87">F75+$H$9</f>
        <v>193076.05790077086</v>
      </c>
    </row>
    <row r="77" spans="1:6" ht="12.75">
      <c r="A77" s="3">
        <v>40575</v>
      </c>
      <c r="B77" s="3"/>
      <c r="C77" s="3"/>
      <c r="D77" s="3"/>
      <c r="E77" s="3"/>
      <c r="F77" s="83">
        <f t="shared" si="9"/>
        <v>211083.84189922514</v>
      </c>
    </row>
    <row r="78" spans="1:6" ht="12.75">
      <c r="A78" s="3">
        <v>40603</v>
      </c>
      <c r="B78" s="3"/>
      <c r="C78" s="3"/>
      <c r="D78" s="3"/>
      <c r="E78" s="3"/>
      <c r="F78" s="83">
        <f t="shared" si="9"/>
        <v>229091.62589767942</v>
      </c>
    </row>
    <row r="79" spans="1:6" ht="12.75">
      <c r="A79" s="3">
        <v>40634</v>
      </c>
      <c r="B79" s="3"/>
      <c r="C79" s="3"/>
      <c r="D79" s="3"/>
      <c r="E79" s="3"/>
      <c r="F79" s="83">
        <f t="shared" si="9"/>
        <v>247099.4098961337</v>
      </c>
    </row>
    <row r="80" spans="1:6" ht="12.75">
      <c r="A80" s="3">
        <v>40664</v>
      </c>
      <c r="B80" s="3"/>
      <c r="C80" s="3"/>
      <c r="D80" s="3"/>
      <c r="E80" s="3"/>
      <c r="F80" s="83">
        <f t="shared" si="9"/>
        <v>265107.193894588</v>
      </c>
    </row>
    <row r="81" spans="1:6" ht="12.75">
      <c r="A81" s="3">
        <v>40695</v>
      </c>
      <c r="B81" s="3"/>
      <c r="C81" s="3"/>
      <c r="D81" s="3"/>
      <c r="E81" s="3"/>
      <c r="F81" s="83">
        <f t="shared" si="9"/>
        <v>283114.97789304226</v>
      </c>
    </row>
    <row r="82" spans="1:6" ht="12.75">
      <c r="A82" s="3">
        <v>40725</v>
      </c>
      <c r="B82" s="3"/>
      <c r="C82" s="3"/>
      <c r="D82" s="3"/>
      <c r="E82" s="3"/>
      <c r="F82" s="83">
        <f t="shared" si="9"/>
        <v>301122.76189149654</v>
      </c>
    </row>
    <row r="83" spans="1:6" ht="12.75">
      <c r="A83" s="3">
        <v>40756</v>
      </c>
      <c r="B83" s="3"/>
      <c r="C83" s="3"/>
      <c r="D83" s="3"/>
      <c r="E83" s="3"/>
      <c r="F83" s="83">
        <f t="shared" si="9"/>
        <v>319130.5458899508</v>
      </c>
    </row>
    <row r="84" spans="1:6" ht="12.75">
      <c r="A84" s="3">
        <v>40787</v>
      </c>
      <c r="B84" s="3"/>
      <c r="C84" s="3"/>
      <c r="D84" s="3"/>
      <c r="E84" s="3"/>
      <c r="F84" s="83">
        <f t="shared" si="9"/>
        <v>337138.3298884051</v>
      </c>
    </row>
    <row r="85" spans="1:6" ht="12.75">
      <c r="A85" s="3">
        <v>40817</v>
      </c>
      <c r="B85" s="3"/>
      <c r="C85" s="3"/>
      <c r="D85" s="3"/>
      <c r="E85" s="3"/>
      <c r="F85" s="83">
        <f t="shared" si="9"/>
        <v>355146.1138868594</v>
      </c>
    </row>
    <row r="86" spans="1:6" ht="12.75">
      <c r="A86" s="3">
        <v>40848</v>
      </c>
      <c r="B86" s="3"/>
      <c r="C86" s="3"/>
      <c r="D86" s="3"/>
      <c r="E86" s="3"/>
      <c r="F86" s="83">
        <f t="shared" si="9"/>
        <v>373153.89788531367</v>
      </c>
    </row>
    <row r="87" spans="1:8" ht="12.75">
      <c r="A87" s="3">
        <v>40878</v>
      </c>
      <c r="B87" s="3"/>
      <c r="C87" s="3"/>
      <c r="D87" s="3"/>
      <c r="E87" s="3"/>
      <c r="F87" s="83">
        <f t="shared" si="9"/>
        <v>391161.68188376795</v>
      </c>
      <c r="G87" s="83">
        <f>SUM(F76:F87)</f>
        <v>3505426.4387072325</v>
      </c>
      <c r="H87" s="83">
        <f>F87*12</f>
        <v>4693940.182605215</v>
      </c>
    </row>
    <row r="88" spans="1:6" ht="12.75">
      <c r="A88" s="3">
        <v>40909</v>
      </c>
      <c r="B88" s="3"/>
      <c r="C88" s="3"/>
      <c r="D88" s="3"/>
      <c r="E88" s="3"/>
      <c r="F88" s="83">
        <f>F87+$H$10</f>
        <v>380946.64371458685</v>
      </c>
    </row>
    <row r="89" spans="1:6" ht="12.75">
      <c r="A89" s="3">
        <v>40940</v>
      </c>
      <c r="B89" s="3"/>
      <c r="C89" s="3"/>
      <c r="D89" s="3"/>
      <c r="E89" s="3"/>
      <c r="F89" s="83">
        <f aca="true" t="shared" si="10" ref="F89:F99">F88+$H$10</f>
        <v>370731.60554540576</v>
      </c>
    </row>
    <row r="90" spans="1:6" ht="12.75">
      <c r="A90" s="3">
        <v>40969</v>
      </c>
      <c r="B90" s="3"/>
      <c r="C90" s="3"/>
      <c r="D90" s="3"/>
      <c r="E90" s="3"/>
      <c r="F90" s="83">
        <f t="shared" si="10"/>
        <v>360516.5673762247</v>
      </c>
    </row>
    <row r="91" spans="1:6" ht="12.75">
      <c r="A91" s="3">
        <v>41000</v>
      </c>
      <c r="B91" s="3"/>
      <c r="C91" s="3"/>
      <c r="D91" s="3"/>
      <c r="E91" s="3"/>
      <c r="F91" s="83">
        <f t="shared" si="10"/>
        <v>350301.5292070436</v>
      </c>
    </row>
    <row r="92" spans="1:6" ht="12.75">
      <c r="A92" s="3">
        <v>41030</v>
      </c>
      <c r="B92" s="3"/>
      <c r="C92" s="3"/>
      <c r="D92" s="3"/>
      <c r="E92" s="3"/>
      <c r="F92" s="83">
        <f t="shared" si="10"/>
        <v>340086.4910378625</v>
      </c>
    </row>
    <row r="93" spans="1:6" ht="12.75">
      <c r="A93" s="3">
        <v>41061</v>
      </c>
      <c r="B93" s="3"/>
      <c r="C93" s="3"/>
      <c r="D93" s="3"/>
      <c r="E93" s="3"/>
      <c r="F93" s="83">
        <f t="shared" si="10"/>
        <v>329871.4528686814</v>
      </c>
    </row>
    <row r="94" spans="1:6" ht="12.75">
      <c r="A94" s="3">
        <v>41091</v>
      </c>
      <c r="B94" s="3"/>
      <c r="C94" s="3"/>
      <c r="D94" s="3"/>
      <c r="E94" s="3"/>
      <c r="F94" s="83">
        <f t="shared" si="10"/>
        <v>319656.4146995003</v>
      </c>
    </row>
    <row r="95" spans="1:6" ht="12.75">
      <c r="A95" s="3">
        <v>41122</v>
      </c>
      <c r="B95" s="3"/>
      <c r="C95" s="3"/>
      <c r="D95" s="3"/>
      <c r="E95" s="3"/>
      <c r="F95" s="83">
        <f t="shared" si="10"/>
        <v>309441.3765303192</v>
      </c>
    </row>
    <row r="96" spans="1:6" ht="12.75">
      <c r="A96" s="3">
        <v>41153</v>
      </c>
      <c r="B96" s="3"/>
      <c r="C96" s="3"/>
      <c r="D96" s="3"/>
      <c r="E96" s="3"/>
      <c r="F96" s="83">
        <f t="shared" si="10"/>
        <v>299226.3383611381</v>
      </c>
    </row>
    <row r="97" spans="1:6" ht="12.75">
      <c r="A97" s="3">
        <v>41183</v>
      </c>
      <c r="B97" s="3"/>
      <c r="C97" s="3"/>
      <c r="D97" s="3"/>
      <c r="E97" s="3"/>
      <c r="F97" s="83">
        <f t="shared" si="10"/>
        <v>289011.30019195704</v>
      </c>
    </row>
    <row r="98" spans="1:6" ht="12.75">
      <c r="A98" s="3">
        <v>41214</v>
      </c>
      <c r="B98" s="3"/>
      <c r="C98" s="3"/>
      <c r="D98" s="3"/>
      <c r="E98" s="3"/>
      <c r="F98" s="83">
        <f t="shared" si="10"/>
        <v>278796.26202277595</v>
      </c>
    </row>
    <row r="99" spans="1:8" ht="12.75">
      <c r="A99" s="3">
        <v>41244</v>
      </c>
      <c r="B99" s="3"/>
      <c r="C99" s="3"/>
      <c r="D99" s="3"/>
      <c r="E99" s="3"/>
      <c r="F99" s="83">
        <f t="shared" si="10"/>
        <v>268581.22385359486</v>
      </c>
      <c r="G99" s="83">
        <f>SUM(F88:F99)</f>
        <v>3897167.205409091</v>
      </c>
      <c r="H99" s="83">
        <f>F99*12</f>
        <v>3222974.6862431383</v>
      </c>
    </row>
    <row r="100" spans="1:6" ht="12.75">
      <c r="A100" s="3">
        <v>41275</v>
      </c>
      <c r="B100" s="3"/>
      <c r="C100" s="3"/>
      <c r="D100" s="3"/>
      <c r="E100" s="3"/>
      <c r="F100" s="83">
        <f>F99+$H$11</f>
        <v>277069.45914351544</v>
      </c>
    </row>
    <row r="101" spans="1:6" ht="12.75">
      <c r="A101" s="3">
        <v>41306</v>
      </c>
      <c r="B101" s="3"/>
      <c r="C101" s="3"/>
      <c r="D101" s="3"/>
      <c r="E101" s="3"/>
      <c r="F101" s="83">
        <f aca="true" t="shared" si="11" ref="F101:F110">F100+$H$11</f>
        <v>285557.69443343603</v>
      </c>
    </row>
    <row r="102" spans="1:6" ht="12.75">
      <c r="A102" s="3">
        <v>41334</v>
      </c>
      <c r="B102" s="3"/>
      <c r="C102" s="3"/>
      <c r="D102" s="3"/>
      <c r="E102" s="3"/>
      <c r="F102" s="83">
        <f t="shared" si="11"/>
        <v>294045.9297233566</v>
      </c>
    </row>
    <row r="103" spans="1:6" ht="12.75">
      <c r="A103" s="3">
        <v>41365</v>
      </c>
      <c r="B103" s="3"/>
      <c r="C103" s="3"/>
      <c r="D103" s="3"/>
      <c r="E103" s="3"/>
      <c r="F103" s="83">
        <f t="shared" si="11"/>
        <v>302534.1650132772</v>
      </c>
    </row>
    <row r="104" spans="1:6" ht="12.75">
      <c r="A104" s="3">
        <v>41395</v>
      </c>
      <c r="B104" s="3"/>
      <c r="C104" s="3"/>
      <c r="D104" s="3"/>
      <c r="E104" s="3"/>
      <c r="F104" s="83">
        <f t="shared" si="11"/>
        <v>311022.4003031978</v>
      </c>
    </row>
    <row r="105" spans="1:6" ht="12.75">
      <c r="A105" s="3">
        <v>41426</v>
      </c>
      <c r="B105" s="3"/>
      <c r="C105" s="3"/>
      <c r="D105" s="3"/>
      <c r="E105" s="3"/>
      <c r="F105" s="83">
        <f t="shared" si="11"/>
        <v>319510.6355931184</v>
      </c>
    </row>
    <row r="106" spans="1:6" ht="12.75">
      <c r="A106" s="3">
        <v>41456</v>
      </c>
      <c r="B106" s="3"/>
      <c r="C106" s="3"/>
      <c r="D106" s="3"/>
      <c r="E106" s="3"/>
      <c r="F106" s="83">
        <f t="shared" si="11"/>
        <v>327998.87088303897</v>
      </c>
    </row>
    <row r="107" spans="1:6" ht="12.75">
      <c r="A107" s="3">
        <v>41487</v>
      </c>
      <c r="B107" s="3"/>
      <c r="C107" s="3"/>
      <c r="D107" s="3"/>
      <c r="E107" s="3"/>
      <c r="F107" s="83">
        <f t="shared" si="11"/>
        <v>336487.10617295955</v>
      </c>
    </row>
    <row r="108" spans="1:6" ht="12.75">
      <c r="A108" s="3">
        <v>41518</v>
      </c>
      <c r="B108" s="3"/>
      <c r="C108" s="3"/>
      <c r="D108" s="3"/>
      <c r="E108" s="3"/>
      <c r="F108" s="83">
        <f t="shared" si="11"/>
        <v>344975.34146288014</v>
      </c>
    </row>
    <row r="109" spans="1:6" ht="12.75">
      <c r="A109" s="3">
        <v>41548</v>
      </c>
      <c r="B109" s="3"/>
      <c r="C109" s="3"/>
      <c r="D109" s="3"/>
      <c r="E109" s="3"/>
      <c r="F109" s="83">
        <f t="shared" si="11"/>
        <v>353463.5767528007</v>
      </c>
    </row>
    <row r="110" spans="1:6" ht="12.75">
      <c r="A110" s="3">
        <v>41579</v>
      </c>
      <c r="B110" s="3"/>
      <c r="C110" s="3"/>
      <c r="D110" s="3"/>
      <c r="E110" s="3"/>
      <c r="F110" s="83">
        <f t="shared" si="11"/>
        <v>361951.8120427213</v>
      </c>
    </row>
    <row r="111" spans="1:8" ht="12.75">
      <c r="A111" s="3">
        <v>41609</v>
      </c>
      <c r="B111" s="3"/>
      <c r="C111" s="3"/>
      <c r="D111" s="3"/>
      <c r="E111" s="3"/>
      <c r="F111" s="83">
        <f>F110+$H$11</f>
        <v>370440.0473326419</v>
      </c>
      <c r="G111" s="83">
        <f>SUM(F100:F111)</f>
        <v>3885057.038856944</v>
      </c>
      <c r="H111" s="332">
        <f>F111*12</f>
        <v>4445280.567991703</v>
      </c>
    </row>
  </sheetData>
  <sheetProtection/>
  <mergeCells count="7">
    <mergeCell ref="P26:T26"/>
    <mergeCell ref="P12:T12"/>
    <mergeCell ref="J3:K3"/>
    <mergeCell ref="P2:R2"/>
    <mergeCell ref="P3:R3"/>
    <mergeCell ref="P5:T5"/>
    <mergeCell ref="P19:T19"/>
  </mergeCells>
  <printOptions/>
  <pageMargins left="0.33" right="0.32" top="1" bottom="1" header="0.5" footer="0.5"/>
  <pageSetup fitToHeight="1" fitToWidth="1" horizontalDpi="600" verticalDpi="600" orientation="landscape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1.421875" style="0" bestFit="1" customWidth="1"/>
    <col min="2" max="2" width="12.7109375" style="0" customWidth="1"/>
    <col min="3" max="3" width="11.7109375" style="0" customWidth="1"/>
    <col min="4" max="4" width="12.7109375" style="0" customWidth="1"/>
    <col min="5" max="5" width="10.00390625" style="0" customWidth="1"/>
    <col min="6" max="6" width="12.7109375" style="0" customWidth="1"/>
    <col min="9" max="9" width="10.57421875" style="0" bestFit="1" customWidth="1"/>
    <col min="10" max="10" width="10.140625" style="0" bestFit="1" customWidth="1"/>
  </cols>
  <sheetData>
    <row r="1" spans="1:10" ht="12.75">
      <c r="A1" s="379" t="s">
        <v>114</v>
      </c>
      <c r="B1" s="380" t="s">
        <v>115</v>
      </c>
      <c r="C1" s="380" t="s">
        <v>116</v>
      </c>
      <c r="D1" s="381" t="s">
        <v>117</v>
      </c>
      <c r="E1" s="33"/>
      <c r="F1" s="334"/>
      <c r="G1" s="334"/>
      <c r="H1" s="335" t="s">
        <v>306</v>
      </c>
      <c r="I1" s="333" t="s">
        <v>304</v>
      </c>
      <c r="J1" s="333" t="s">
        <v>305</v>
      </c>
    </row>
    <row r="2" spans="1:10" ht="12.75">
      <c r="A2" s="382" t="str">
        <f>Summary!A11</f>
        <v>Residential</v>
      </c>
      <c r="B2" s="106">
        <f>Summary!M13</f>
        <v>46250546.29223916</v>
      </c>
      <c r="C2" s="107"/>
      <c r="D2" s="383">
        <f aca="true" t="shared" si="0" ref="D2:D8">+I2/J2</f>
        <v>0.8789731669278751</v>
      </c>
      <c r="I2" s="133">
        <f>41918461-27819</f>
        <v>41890642</v>
      </c>
      <c r="J2" s="133">
        <v>47658613</v>
      </c>
    </row>
    <row r="3" spans="1:10" ht="12.75">
      <c r="A3" s="382" t="str">
        <f>Summary!A15</f>
        <v>GS&lt;50</v>
      </c>
      <c r="B3" s="106">
        <f>Summary!M17</f>
        <v>21427347.56567339</v>
      </c>
      <c r="C3" s="107"/>
      <c r="D3" s="383">
        <f t="shared" si="0"/>
        <v>0.7601627284324864</v>
      </c>
      <c r="I3" s="133">
        <f>14518908-46422+1973078+3221</f>
        <v>16448785</v>
      </c>
      <c r="J3" s="133">
        <f>19272967+2365538</f>
        <v>21638505</v>
      </c>
    </row>
    <row r="4" spans="1:10" ht="12.75">
      <c r="A4" s="382" t="str">
        <f>Summary!A19</f>
        <v>GS&gt;50</v>
      </c>
      <c r="B4" s="106">
        <f>Summary!M21</f>
        <v>62984771.712833926</v>
      </c>
      <c r="C4" s="115">
        <f>Summary!M22</f>
        <v>161947.59939689699</v>
      </c>
      <c r="D4" s="383">
        <f t="shared" si="0"/>
        <v>0.01764681376995309</v>
      </c>
      <c r="I4" s="133">
        <f>555736+634380-15116-46105</f>
        <v>1128895</v>
      </c>
      <c r="J4" s="133">
        <f>10666593+26802447+26502565</f>
        <v>63971605</v>
      </c>
    </row>
    <row r="5" spans="1:10" ht="12.75">
      <c r="A5" s="382" t="str">
        <f>Summary!A29</f>
        <v>Streetlights</v>
      </c>
      <c r="B5" s="106">
        <f>Summary!M31</f>
        <v>1128239.246659963</v>
      </c>
      <c r="C5" s="115">
        <f>Summary!M32</f>
        <v>3156.9187275721983</v>
      </c>
      <c r="D5" s="383">
        <f t="shared" si="0"/>
        <v>0</v>
      </c>
      <c r="I5" s="133">
        <v>0</v>
      </c>
      <c r="J5" s="133">
        <v>1216658</v>
      </c>
    </row>
    <row r="6" spans="1:10" ht="12.75">
      <c r="A6" s="382" t="str">
        <f>Summary!A24</f>
        <v>Sentinels</v>
      </c>
      <c r="B6" s="106">
        <f>Summary!M26</f>
        <v>39308.085999780335</v>
      </c>
      <c r="C6" s="115">
        <f>Summary!M27</f>
        <v>109.1891277771676</v>
      </c>
      <c r="D6" s="383">
        <f t="shared" si="0"/>
        <v>0.626478256820933</v>
      </c>
      <c r="I6" s="133">
        <f>26900+11</f>
        <v>26911</v>
      </c>
      <c r="J6" s="133">
        <v>42956</v>
      </c>
    </row>
    <row r="7" spans="1:10" ht="12.75">
      <c r="A7" s="382" t="str">
        <f>Summary!A34</f>
        <v>USL</v>
      </c>
      <c r="B7" s="106">
        <f>Summary!M36</f>
        <v>556810.7201987758</v>
      </c>
      <c r="C7" s="107"/>
      <c r="D7" s="383">
        <f t="shared" si="0"/>
        <v>0.9937882805559823</v>
      </c>
      <c r="I7" s="133">
        <f>512122+83026</f>
        <v>595148</v>
      </c>
      <c r="J7" s="133">
        <v>598868</v>
      </c>
    </row>
    <row r="8" spans="1:10" ht="12.75">
      <c r="A8" s="382" t="str">
        <f>Summary!A38</f>
        <v>Intermediate </v>
      </c>
      <c r="B8" s="106">
        <f>Summary!M40</f>
        <v>17516149.18260597</v>
      </c>
      <c r="C8" s="115">
        <f>Summary!M41</f>
        <v>38642.66946523061</v>
      </c>
      <c r="D8" s="383">
        <f t="shared" si="0"/>
        <v>0</v>
      </c>
      <c r="I8" s="133">
        <v>0</v>
      </c>
      <c r="J8" s="133">
        <v>21574286</v>
      </c>
    </row>
    <row r="9" spans="1:4" ht="13.5" thickBot="1">
      <c r="A9" s="384" t="s">
        <v>118</v>
      </c>
      <c r="B9" s="385">
        <f>SUM(B2:B8)</f>
        <v>149903172.80621096</v>
      </c>
      <c r="C9" s="385">
        <f>SUM(C2:C8)</f>
        <v>203856.37671747696</v>
      </c>
      <c r="D9" s="386"/>
    </row>
    <row r="12" spans="1:6" ht="12.75">
      <c r="A12" s="341" t="s">
        <v>119</v>
      </c>
      <c r="B12" s="466" t="s">
        <v>120</v>
      </c>
      <c r="C12" s="456" t="s">
        <v>121</v>
      </c>
      <c r="D12" s="343"/>
      <c r="E12" s="344"/>
      <c r="F12" s="345"/>
    </row>
    <row r="13" spans="1:6" ht="12.75">
      <c r="A13" s="346" t="s">
        <v>122</v>
      </c>
      <c r="B13" s="467"/>
      <c r="C13" s="457"/>
      <c r="D13" s="458">
        <v>2012</v>
      </c>
      <c r="E13" s="459"/>
      <c r="F13" s="460"/>
    </row>
    <row r="14" spans="1:6" ht="12.75">
      <c r="A14" s="93" t="str">
        <f>A2</f>
        <v>Residential</v>
      </c>
      <c r="B14" s="106">
        <f aca="true" t="shared" si="1" ref="B14:B20">B2*D2</f>
        <v>40652989.146633744</v>
      </c>
      <c r="C14" s="107">
        <v>1.0449</v>
      </c>
      <c r="D14" s="108">
        <f aca="true" t="shared" si="2" ref="D14:D20">B14*C14</f>
        <v>42478308.35931759</v>
      </c>
      <c r="E14" s="342">
        <f>0.08069</f>
        <v>0.08069</v>
      </c>
      <c r="F14" s="109">
        <f aca="true" t="shared" si="3" ref="F14:F20">D14*E14</f>
        <v>3427574.7015133365</v>
      </c>
    </row>
    <row r="15" spans="1:6" ht="12.75">
      <c r="A15" s="93" t="str">
        <f aca="true" t="shared" si="4" ref="A15:A20">A3</f>
        <v>GS&lt;50</v>
      </c>
      <c r="B15" s="106">
        <f t="shared" si="1"/>
        <v>16288270.98859348</v>
      </c>
      <c r="C15" s="107">
        <v>1.0449</v>
      </c>
      <c r="D15" s="108">
        <f t="shared" si="2"/>
        <v>17019614.355981328</v>
      </c>
      <c r="E15" s="342">
        <f aca="true" t="shared" si="5" ref="E15:E20">0.08069</f>
        <v>0.08069</v>
      </c>
      <c r="F15" s="109">
        <f t="shared" si="3"/>
        <v>1373312.6823841333</v>
      </c>
    </row>
    <row r="16" spans="1:6" ht="12.75">
      <c r="A16" s="93" t="str">
        <f t="shared" si="4"/>
        <v>GS&gt;50</v>
      </c>
      <c r="B16" s="106">
        <f t="shared" si="1"/>
        <v>1111480.5367593898</v>
      </c>
      <c r="C16" s="107">
        <v>1.0449</v>
      </c>
      <c r="D16" s="108">
        <f t="shared" si="2"/>
        <v>1161386.0128598863</v>
      </c>
      <c r="E16" s="342">
        <f t="shared" si="5"/>
        <v>0.08069</v>
      </c>
      <c r="F16" s="109">
        <f t="shared" si="3"/>
        <v>93712.23737766422</v>
      </c>
    </row>
    <row r="17" spans="1:6" ht="12.75">
      <c r="A17" s="93" t="str">
        <f t="shared" si="4"/>
        <v>Streetlights</v>
      </c>
      <c r="B17" s="106">
        <f t="shared" si="1"/>
        <v>0</v>
      </c>
      <c r="C17" s="107">
        <v>1.0449</v>
      </c>
      <c r="D17" s="108">
        <f t="shared" si="2"/>
        <v>0</v>
      </c>
      <c r="E17" s="342">
        <f t="shared" si="5"/>
        <v>0.08069</v>
      </c>
      <c r="F17" s="109">
        <f t="shared" si="3"/>
        <v>0</v>
      </c>
    </row>
    <row r="18" spans="1:6" ht="12.75">
      <c r="A18" s="93" t="str">
        <f t="shared" si="4"/>
        <v>Sentinels</v>
      </c>
      <c r="B18" s="106">
        <f t="shared" si="1"/>
        <v>24625.661196109708</v>
      </c>
      <c r="C18" s="107">
        <v>1.0449</v>
      </c>
      <c r="D18" s="108">
        <f t="shared" si="2"/>
        <v>25731.353383815032</v>
      </c>
      <c r="E18" s="342">
        <f t="shared" si="5"/>
        <v>0.08069</v>
      </c>
      <c r="F18" s="109">
        <f t="shared" si="3"/>
        <v>2076.262904540035</v>
      </c>
    </row>
    <row r="19" spans="1:6" ht="12.75">
      <c r="A19" s="93" t="str">
        <f t="shared" si="4"/>
        <v>USL</v>
      </c>
      <c r="B19" s="106">
        <f t="shared" si="1"/>
        <v>553351.9682214796</v>
      </c>
      <c r="C19" s="107">
        <v>1.0449</v>
      </c>
      <c r="D19" s="108">
        <f t="shared" si="2"/>
        <v>578197.471594624</v>
      </c>
      <c r="E19" s="342">
        <f t="shared" si="5"/>
        <v>0.08069</v>
      </c>
      <c r="F19" s="109">
        <f t="shared" si="3"/>
        <v>46654.75398297021</v>
      </c>
    </row>
    <row r="20" spans="1:6" ht="12.75">
      <c r="A20" s="93" t="str">
        <f t="shared" si="4"/>
        <v>Intermediate </v>
      </c>
      <c r="B20" s="106">
        <f t="shared" si="1"/>
        <v>0</v>
      </c>
      <c r="C20" s="107">
        <v>1.0449</v>
      </c>
      <c r="D20" s="108">
        <f t="shared" si="2"/>
        <v>0</v>
      </c>
      <c r="E20" s="342">
        <f t="shared" si="5"/>
        <v>0.08069</v>
      </c>
      <c r="F20" s="109">
        <f t="shared" si="3"/>
        <v>0</v>
      </c>
    </row>
    <row r="21" spans="1:6" ht="12.75">
      <c r="A21" s="90" t="s">
        <v>118</v>
      </c>
      <c r="B21" s="105">
        <f>SUM(B14:B20)</f>
        <v>58630718.30140421</v>
      </c>
      <c r="C21" s="92"/>
      <c r="D21" s="105">
        <f>SUM(D14:D20)</f>
        <v>61263237.55313725</v>
      </c>
      <c r="E21" s="110"/>
      <c r="F21" s="113">
        <f>SUM(F14:F20)</f>
        <v>4943330.638162645</v>
      </c>
    </row>
    <row r="22" spans="1:6" ht="12.75">
      <c r="A22" s="95"/>
      <c r="B22" s="96"/>
      <c r="C22" s="97"/>
      <c r="D22" s="96"/>
      <c r="E22" s="98"/>
      <c r="F22" s="99"/>
    </row>
    <row r="23" spans="1:6" ht="12.75">
      <c r="A23" s="341" t="s">
        <v>123</v>
      </c>
      <c r="B23" s="466" t="s">
        <v>120</v>
      </c>
      <c r="C23" s="456" t="s">
        <v>121</v>
      </c>
      <c r="D23" s="343"/>
      <c r="E23" s="344"/>
      <c r="F23" s="345"/>
    </row>
    <row r="24" spans="1:6" ht="12.75">
      <c r="A24" s="346" t="s">
        <v>124</v>
      </c>
      <c r="B24" s="467"/>
      <c r="C24" s="457"/>
      <c r="D24" s="458">
        <v>2012</v>
      </c>
      <c r="E24" s="459"/>
      <c r="F24" s="460"/>
    </row>
    <row r="25" spans="1:6" ht="12.75">
      <c r="A25" s="93" t="str">
        <f>A14</f>
        <v>Residential</v>
      </c>
      <c r="B25" s="106">
        <f>B2-B14</f>
        <v>5597557.145605415</v>
      </c>
      <c r="C25" s="107">
        <f>C14</f>
        <v>1.0449</v>
      </c>
      <c r="D25" s="108">
        <f aca="true" t="shared" si="6" ref="D25:D31">B25*C25</f>
        <v>5848887.461443098</v>
      </c>
      <c r="E25" s="342">
        <f>(0.02105+0.05772)</f>
        <v>0.07877</v>
      </c>
      <c r="F25" s="109">
        <f aca="true" t="shared" si="7" ref="F25:F31">D25*E25</f>
        <v>460716.8653378729</v>
      </c>
    </row>
    <row r="26" spans="1:6" ht="12.75">
      <c r="A26" s="93" t="str">
        <f aca="true" t="shared" si="8" ref="A26:A31">A15</f>
        <v>GS&lt;50</v>
      </c>
      <c r="B26" s="106">
        <f aca="true" t="shared" si="9" ref="B26:B31">B3-B15</f>
        <v>5139076.577079909</v>
      </c>
      <c r="C26" s="107">
        <f aca="true" t="shared" si="10" ref="C26:C31">C15</f>
        <v>1.0449</v>
      </c>
      <c r="D26" s="108">
        <f t="shared" si="6"/>
        <v>5369821.115390796</v>
      </c>
      <c r="E26" s="342">
        <f>(0.02105+0.05772)</f>
        <v>0.07877</v>
      </c>
      <c r="F26" s="109">
        <f t="shared" si="7"/>
        <v>422980.80925933307</v>
      </c>
    </row>
    <row r="27" spans="1:6" ht="12.75">
      <c r="A27" s="93" t="str">
        <f t="shared" si="8"/>
        <v>GS&gt;50</v>
      </c>
      <c r="B27" s="106">
        <f t="shared" si="9"/>
        <v>61873291.176074535</v>
      </c>
      <c r="C27" s="107">
        <f t="shared" si="10"/>
        <v>1.0449</v>
      </c>
      <c r="D27" s="108">
        <f t="shared" si="6"/>
        <v>64651401.94988028</v>
      </c>
      <c r="E27" s="342">
        <f>E26</f>
        <v>0.07877</v>
      </c>
      <c r="F27" s="109">
        <f t="shared" si="7"/>
        <v>5092590.9315920705</v>
      </c>
    </row>
    <row r="28" spans="1:6" ht="12.75">
      <c r="A28" s="93" t="str">
        <f t="shared" si="8"/>
        <v>Streetlights</v>
      </c>
      <c r="B28" s="106">
        <f t="shared" si="9"/>
        <v>1128239.246659963</v>
      </c>
      <c r="C28" s="107">
        <f t="shared" si="10"/>
        <v>1.0449</v>
      </c>
      <c r="D28" s="108">
        <f t="shared" si="6"/>
        <v>1178897.1888349953</v>
      </c>
      <c r="E28" s="342">
        <f>E27</f>
        <v>0.07877</v>
      </c>
      <c r="F28" s="109">
        <f t="shared" si="7"/>
        <v>92861.73156453259</v>
      </c>
    </row>
    <row r="29" spans="1:6" ht="12.75">
      <c r="A29" s="93" t="str">
        <f t="shared" si="8"/>
        <v>Sentinels</v>
      </c>
      <c r="B29" s="106">
        <f t="shared" si="9"/>
        <v>14682.424803670627</v>
      </c>
      <c r="C29" s="107">
        <f t="shared" si="10"/>
        <v>1.0449</v>
      </c>
      <c r="D29" s="108">
        <f t="shared" si="6"/>
        <v>15341.665677355437</v>
      </c>
      <c r="E29" s="342">
        <f>E28</f>
        <v>0.07877</v>
      </c>
      <c r="F29" s="109">
        <f t="shared" si="7"/>
        <v>1208.463005405288</v>
      </c>
    </row>
    <row r="30" spans="1:6" ht="12.75">
      <c r="A30" s="93" t="str">
        <f t="shared" si="8"/>
        <v>USL</v>
      </c>
      <c r="B30" s="106">
        <f t="shared" si="9"/>
        <v>3458.751977296197</v>
      </c>
      <c r="C30" s="107">
        <f t="shared" si="10"/>
        <v>1.0449</v>
      </c>
      <c r="D30" s="108">
        <f t="shared" si="6"/>
        <v>3614.0499410767957</v>
      </c>
      <c r="E30" s="342">
        <f>E29</f>
        <v>0.07877</v>
      </c>
      <c r="F30" s="109">
        <f t="shared" si="7"/>
        <v>284.67871385861923</v>
      </c>
    </row>
    <row r="31" spans="1:6" ht="12.75">
      <c r="A31" s="93" t="str">
        <f t="shared" si="8"/>
        <v>Intermediate </v>
      </c>
      <c r="B31" s="106">
        <f t="shared" si="9"/>
        <v>17516149.18260597</v>
      </c>
      <c r="C31" s="107">
        <f t="shared" si="10"/>
        <v>1.0449</v>
      </c>
      <c r="D31" s="108">
        <f t="shared" si="6"/>
        <v>18302624.28090498</v>
      </c>
      <c r="E31" s="342">
        <f>E30</f>
        <v>0.07877</v>
      </c>
      <c r="F31" s="109">
        <f t="shared" si="7"/>
        <v>1441697.7146068853</v>
      </c>
    </row>
    <row r="32" spans="1:6" ht="12.75">
      <c r="A32" s="90" t="s">
        <v>118</v>
      </c>
      <c r="B32" s="105">
        <f>SUM(B25:B31)</f>
        <v>91272454.50480676</v>
      </c>
      <c r="C32" s="92"/>
      <c r="D32" s="105">
        <f>SUM(D24:F31)</f>
        <v>102884941.45754252</v>
      </c>
      <c r="E32" s="356"/>
      <c r="F32" s="111">
        <f>SUM(F25:F31)</f>
        <v>7512341.194079958</v>
      </c>
    </row>
    <row r="34" spans="1:6" ht="12.75">
      <c r="A34" s="347" t="s">
        <v>125</v>
      </c>
      <c r="B34" s="348"/>
      <c r="C34" s="349" t="s">
        <v>126</v>
      </c>
      <c r="D34" s="350"/>
      <c r="E34" s="351"/>
      <c r="F34" s="348"/>
    </row>
    <row r="35" spans="1:6" ht="12.75">
      <c r="A35" s="346" t="s">
        <v>124</v>
      </c>
      <c r="B35" s="352"/>
      <c r="C35" s="353" t="s">
        <v>127</v>
      </c>
      <c r="D35" s="464">
        <v>2012</v>
      </c>
      <c r="E35" s="462"/>
      <c r="F35" s="463"/>
    </row>
    <row r="36" spans="1:6" ht="12.75">
      <c r="A36" s="89" t="str">
        <f>A25</f>
        <v>Residential</v>
      </c>
      <c r="B36" s="108"/>
      <c r="C36" s="112" t="s">
        <v>115</v>
      </c>
      <c r="D36" s="108">
        <f>D14+D25</f>
        <v>48327195.82076069</v>
      </c>
      <c r="E36" s="357">
        <f>'[17]3. Rate Classes'!$J$24</f>
        <v>0.0053</v>
      </c>
      <c r="F36" s="109">
        <f aca="true" t="shared" si="11" ref="F36:F42">D36*E36</f>
        <v>256134.13785003166</v>
      </c>
    </row>
    <row r="37" spans="1:6" ht="12.75">
      <c r="A37" s="89" t="str">
        <f aca="true" t="shared" si="12" ref="A37:A42">A26</f>
        <v>GS&lt;50</v>
      </c>
      <c r="B37" s="108"/>
      <c r="C37" s="112" t="s">
        <v>116</v>
      </c>
      <c r="D37" s="108">
        <f>D15+D26</f>
        <v>22389435.471372124</v>
      </c>
      <c r="E37" s="357">
        <f>'[17]3. Rate Classes'!$J$25</f>
        <v>0.0049</v>
      </c>
      <c r="F37" s="109">
        <f t="shared" si="11"/>
        <v>109708.2338097234</v>
      </c>
    </row>
    <row r="38" spans="1:6" ht="12.75">
      <c r="A38" s="89" t="str">
        <f t="shared" si="12"/>
        <v>GS&gt;50</v>
      </c>
      <c r="B38" s="108"/>
      <c r="C38" s="112" t="s">
        <v>116</v>
      </c>
      <c r="D38" s="108">
        <f>C4</f>
        <v>161947.59939689699</v>
      </c>
      <c r="E38" s="357">
        <f>'[17]3. Rate Classes'!$J$26</f>
        <v>1.9796</v>
      </c>
      <c r="F38" s="109">
        <f t="shared" si="11"/>
        <v>320591.4677660973</v>
      </c>
    </row>
    <row r="39" spans="1:8" ht="12.75">
      <c r="A39" s="89" t="str">
        <f t="shared" si="12"/>
        <v>Streetlights</v>
      </c>
      <c r="B39" s="108"/>
      <c r="C39" s="112" t="s">
        <v>115</v>
      </c>
      <c r="D39" s="108">
        <f>C5</f>
        <v>3156.9187275721983</v>
      </c>
      <c r="E39" s="357">
        <f>'[17]3. Rate Classes'!$J$30</f>
        <v>1.4929</v>
      </c>
      <c r="F39" s="109">
        <f t="shared" si="11"/>
        <v>4712.963968392534</v>
      </c>
      <c r="H39" s="33"/>
    </row>
    <row r="40" spans="1:6" ht="12.75">
      <c r="A40" s="89" t="str">
        <f t="shared" si="12"/>
        <v>Sentinels</v>
      </c>
      <c r="B40" s="108"/>
      <c r="C40" s="112" t="s">
        <v>116</v>
      </c>
      <c r="D40" s="108">
        <f>C6</f>
        <v>109.1891277771676</v>
      </c>
      <c r="E40" s="357">
        <f>'[17]3. Rate Classes'!$J$29</f>
        <v>1.5006</v>
      </c>
      <c r="F40" s="109">
        <f t="shared" si="11"/>
        <v>163.8492051424177</v>
      </c>
    </row>
    <row r="41" spans="1:6" ht="12.75">
      <c r="A41" s="89" t="str">
        <f t="shared" si="12"/>
        <v>USL</v>
      </c>
      <c r="B41" s="108"/>
      <c r="C41" s="112" t="s">
        <v>115</v>
      </c>
      <c r="D41" s="108">
        <f>D19+D30</f>
        <v>581811.5215357008</v>
      </c>
      <c r="E41" s="357">
        <f>E37</f>
        <v>0.0049</v>
      </c>
      <c r="F41" s="109">
        <f t="shared" si="11"/>
        <v>2850.8764555249336</v>
      </c>
    </row>
    <row r="42" spans="1:6" ht="12.75">
      <c r="A42" s="89" t="str">
        <f t="shared" si="12"/>
        <v>Intermediate </v>
      </c>
      <c r="B42" s="108"/>
      <c r="C42" s="112" t="s">
        <v>116</v>
      </c>
      <c r="D42" s="108">
        <f>C8</f>
        <v>38642.66946523061</v>
      </c>
      <c r="E42" s="357">
        <f>'[17]3. Rate Classes'!$J$27</f>
        <v>2.214</v>
      </c>
      <c r="F42" s="109">
        <f t="shared" si="11"/>
        <v>85554.87019602057</v>
      </c>
    </row>
    <row r="43" spans="1:6" ht="12.75">
      <c r="A43" s="90" t="s">
        <v>118</v>
      </c>
      <c r="B43" s="105"/>
      <c r="C43" s="92"/>
      <c r="D43" s="105"/>
      <c r="E43" s="356"/>
      <c r="F43" s="113">
        <f>SUM(F36:F42)</f>
        <v>779716.3992509329</v>
      </c>
    </row>
    <row r="45" spans="1:6" ht="12.75">
      <c r="A45" s="347" t="s">
        <v>128</v>
      </c>
      <c r="B45" s="348"/>
      <c r="C45" s="354" t="s">
        <v>126</v>
      </c>
      <c r="D45" s="350"/>
      <c r="E45" s="351"/>
      <c r="F45" s="348"/>
    </row>
    <row r="46" spans="1:6" ht="12.75">
      <c r="A46" s="346" t="s">
        <v>124</v>
      </c>
      <c r="B46" s="352"/>
      <c r="C46" s="355" t="s">
        <v>127</v>
      </c>
      <c r="D46" s="464">
        <v>2012</v>
      </c>
      <c r="E46" s="462"/>
      <c r="F46" s="463"/>
    </row>
    <row r="47" spans="1:6" ht="12.75">
      <c r="A47" s="89" t="str">
        <f>A36</f>
        <v>Residential</v>
      </c>
      <c r="B47" s="108"/>
      <c r="C47" s="112" t="s">
        <v>115</v>
      </c>
      <c r="D47" s="108">
        <f aca="true" t="shared" si="13" ref="D47:D53">D36</f>
        <v>48327195.82076069</v>
      </c>
      <c r="E47" s="357">
        <f>'[17]3. Rate Classes'!$M$24</f>
        <v>0.0044</v>
      </c>
      <c r="F47" s="109">
        <f aca="true" t="shared" si="14" ref="F47:F53">D47*E47</f>
        <v>212639.66161134705</v>
      </c>
    </row>
    <row r="48" spans="1:6" ht="12.75">
      <c r="A48" s="89" t="str">
        <f aca="true" t="shared" si="15" ref="A48:A53">A37</f>
        <v>GS&lt;50</v>
      </c>
      <c r="B48" s="108"/>
      <c r="C48" s="112" t="s">
        <v>116</v>
      </c>
      <c r="D48" s="108">
        <f t="shared" si="13"/>
        <v>22389435.471372124</v>
      </c>
      <c r="E48" s="357">
        <f>'[17]3. Rate Classes'!$M$25</f>
        <v>0.0039</v>
      </c>
      <c r="F48" s="109">
        <f t="shared" si="14"/>
        <v>87318.79833835128</v>
      </c>
    </row>
    <row r="49" spans="1:6" ht="12.75">
      <c r="A49" s="89" t="str">
        <f t="shared" si="15"/>
        <v>GS&gt;50</v>
      </c>
      <c r="B49" s="108"/>
      <c r="C49" s="112" t="s">
        <v>116</v>
      </c>
      <c r="D49" s="108">
        <f t="shared" si="13"/>
        <v>161947.59939689699</v>
      </c>
      <c r="E49" s="357">
        <f>'[17]3. Rate Classes'!$M$26</f>
        <v>1.5571</v>
      </c>
      <c r="F49" s="109">
        <f t="shared" si="14"/>
        <v>252168.6070209083</v>
      </c>
    </row>
    <row r="50" spans="1:6" ht="12.75">
      <c r="A50" s="89" t="str">
        <f t="shared" si="15"/>
        <v>Streetlights</v>
      </c>
      <c r="B50" s="108"/>
      <c r="C50" s="112" t="s">
        <v>115</v>
      </c>
      <c r="D50" s="108">
        <f t="shared" si="13"/>
        <v>3156.9187275721983</v>
      </c>
      <c r="E50" s="357">
        <f>'[17]3. Rate Classes'!$M$30</f>
        <v>1.2038</v>
      </c>
      <c r="F50" s="109">
        <f t="shared" si="14"/>
        <v>3800.298764251412</v>
      </c>
    </row>
    <row r="51" spans="1:6" ht="12.75">
      <c r="A51" s="89" t="str">
        <f t="shared" si="15"/>
        <v>Sentinels</v>
      </c>
      <c r="B51" s="108"/>
      <c r="C51" s="112" t="s">
        <v>116</v>
      </c>
      <c r="D51" s="108">
        <f t="shared" si="13"/>
        <v>109.1891277771676</v>
      </c>
      <c r="E51" s="357">
        <f>'[17]3. Rate Classes'!$M$29</f>
        <v>1.229</v>
      </c>
      <c r="F51" s="109">
        <f t="shared" si="14"/>
        <v>134.193438038139</v>
      </c>
    </row>
    <row r="52" spans="1:6" ht="12.75">
      <c r="A52" s="89" t="str">
        <f t="shared" si="15"/>
        <v>USL</v>
      </c>
      <c r="B52" s="108"/>
      <c r="C52" s="112" t="s">
        <v>115</v>
      </c>
      <c r="D52" s="108">
        <f t="shared" si="13"/>
        <v>581811.5215357008</v>
      </c>
      <c r="E52" s="357">
        <f>'[17]3. Rate Classes'!$M$28</f>
        <v>0.0039</v>
      </c>
      <c r="F52" s="109">
        <f t="shared" si="14"/>
        <v>2269.064933989233</v>
      </c>
    </row>
    <row r="53" spans="1:6" ht="12.75">
      <c r="A53" s="89" t="str">
        <f t="shared" si="15"/>
        <v>Intermediate </v>
      </c>
      <c r="B53" s="108"/>
      <c r="C53" s="112" t="s">
        <v>116</v>
      </c>
      <c r="D53" s="108">
        <f t="shared" si="13"/>
        <v>38642.66946523061</v>
      </c>
      <c r="E53" s="357">
        <f>'[17]3. Rate Classes'!$M$27</f>
        <v>1.8365</v>
      </c>
      <c r="F53" s="109">
        <f t="shared" si="14"/>
        <v>70967.26247289602</v>
      </c>
    </row>
    <row r="54" spans="1:6" ht="12.75">
      <c r="A54" s="90" t="s">
        <v>118</v>
      </c>
      <c r="B54" s="105"/>
      <c r="C54" s="92"/>
      <c r="D54" s="105"/>
      <c r="E54" s="356"/>
      <c r="F54" s="113">
        <f>SUM(F47:F53)</f>
        <v>629297.8865797813</v>
      </c>
    </row>
    <row r="56" spans="1:6" ht="12.75">
      <c r="A56" s="347" t="s">
        <v>129</v>
      </c>
      <c r="B56" s="348"/>
      <c r="C56" s="354"/>
      <c r="D56" s="350"/>
      <c r="E56" s="351"/>
      <c r="F56" s="348"/>
    </row>
    <row r="57" spans="1:6" ht="12.75">
      <c r="A57" s="346" t="s">
        <v>124</v>
      </c>
      <c r="B57" s="352"/>
      <c r="C57" s="355"/>
      <c r="D57" s="464">
        <v>2012</v>
      </c>
      <c r="E57" s="462"/>
      <c r="F57" s="465"/>
    </row>
    <row r="58" spans="1:6" ht="12.75">
      <c r="A58" s="89" t="str">
        <f>A47</f>
        <v>Residential</v>
      </c>
      <c r="B58" s="108"/>
      <c r="C58" s="112"/>
      <c r="D58" s="108">
        <f>D14+D25</f>
        <v>48327195.82076069</v>
      </c>
      <c r="E58" s="357">
        <v>0.0052</v>
      </c>
      <c r="F58" s="109">
        <f aca="true" t="shared" si="16" ref="F58:F64">D58*E58</f>
        <v>251301.41826795557</v>
      </c>
    </row>
    <row r="59" spans="1:6" ht="12.75">
      <c r="A59" s="89" t="str">
        <f aca="true" t="shared" si="17" ref="A59:A64">A48</f>
        <v>GS&lt;50</v>
      </c>
      <c r="B59" s="108"/>
      <c r="C59" s="112"/>
      <c r="D59" s="108">
        <f aca="true" t="shared" si="18" ref="D59:D64">D15+D26</f>
        <v>22389435.471372124</v>
      </c>
      <c r="E59" s="357">
        <v>0.0052</v>
      </c>
      <c r="F59" s="109">
        <f t="shared" si="16"/>
        <v>116425.06445113504</v>
      </c>
    </row>
    <row r="60" spans="1:6" ht="12.75">
      <c r="A60" s="89" t="str">
        <f t="shared" si="17"/>
        <v>GS&gt;50</v>
      </c>
      <c r="B60" s="108"/>
      <c r="C60" s="112"/>
      <c r="D60" s="108">
        <f t="shared" si="18"/>
        <v>65812787.96274017</v>
      </c>
      <c r="E60" s="357">
        <v>0.0052</v>
      </c>
      <c r="F60" s="109">
        <f t="shared" si="16"/>
        <v>342226.4974062489</v>
      </c>
    </row>
    <row r="61" spans="1:6" ht="12.75">
      <c r="A61" s="89" t="str">
        <f t="shared" si="17"/>
        <v>Streetlights</v>
      </c>
      <c r="B61" s="108"/>
      <c r="C61" s="112"/>
      <c r="D61" s="108">
        <f t="shared" si="18"/>
        <v>1178897.1888349953</v>
      </c>
      <c r="E61" s="357">
        <v>0.0052</v>
      </c>
      <c r="F61" s="109">
        <f t="shared" si="16"/>
        <v>6130.265381941975</v>
      </c>
    </row>
    <row r="62" spans="1:6" ht="12.75">
      <c r="A62" s="89" t="str">
        <f t="shared" si="17"/>
        <v>Sentinels</v>
      </c>
      <c r="B62" s="108"/>
      <c r="C62" s="112"/>
      <c r="D62" s="108">
        <f t="shared" si="18"/>
        <v>41073.01906117047</v>
      </c>
      <c r="E62" s="357">
        <v>0.0052</v>
      </c>
      <c r="F62" s="109">
        <f t="shared" si="16"/>
        <v>213.5796991180864</v>
      </c>
    </row>
    <row r="63" spans="1:6" ht="12.75">
      <c r="A63" s="89" t="str">
        <f t="shared" si="17"/>
        <v>USL</v>
      </c>
      <c r="B63" s="108"/>
      <c r="C63" s="112"/>
      <c r="D63" s="108">
        <f t="shared" si="18"/>
        <v>581811.5215357008</v>
      </c>
      <c r="E63" s="357">
        <v>0.0052</v>
      </c>
      <c r="F63" s="109">
        <f t="shared" si="16"/>
        <v>3025.419911985644</v>
      </c>
    </row>
    <row r="64" spans="1:6" ht="12.75">
      <c r="A64" s="89" t="str">
        <f t="shared" si="17"/>
        <v>Intermediate </v>
      </c>
      <c r="B64" s="108"/>
      <c r="C64" s="112"/>
      <c r="D64" s="108">
        <f t="shared" si="18"/>
        <v>18302624.28090498</v>
      </c>
      <c r="E64" s="357">
        <v>0.0052</v>
      </c>
      <c r="F64" s="109">
        <f t="shared" si="16"/>
        <v>95173.64626070588</v>
      </c>
    </row>
    <row r="65" spans="1:6" ht="12.75">
      <c r="A65" s="90" t="s">
        <v>118</v>
      </c>
      <c r="B65" s="105"/>
      <c r="C65" s="92"/>
      <c r="D65" s="105">
        <f>SUM(D58:D64)</f>
        <v>156633825.26520982</v>
      </c>
      <c r="E65" s="356"/>
      <c r="F65" s="113">
        <f>SUM(F58:F64)</f>
        <v>814495.891379091</v>
      </c>
    </row>
    <row r="67" spans="1:6" ht="12.75">
      <c r="A67" s="347" t="s">
        <v>130</v>
      </c>
      <c r="B67" s="348"/>
      <c r="C67" s="354"/>
      <c r="D67" s="350"/>
      <c r="E67" s="351"/>
      <c r="F67" s="348"/>
    </row>
    <row r="68" spans="1:6" ht="12.75">
      <c r="A68" s="346" t="s">
        <v>124</v>
      </c>
      <c r="B68" s="352"/>
      <c r="C68" s="355"/>
      <c r="D68" s="461">
        <v>2012</v>
      </c>
      <c r="E68" s="462"/>
      <c r="F68" s="463"/>
    </row>
    <row r="69" spans="1:6" ht="12.75">
      <c r="A69" s="89" t="str">
        <f>A58</f>
        <v>Residential</v>
      </c>
      <c r="B69" s="108"/>
      <c r="C69" s="112"/>
      <c r="D69" s="108">
        <f aca="true" t="shared" si="19" ref="D69:D75">D58</f>
        <v>48327195.82076069</v>
      </c>
      <c r="E69" s="357">
        <v>0.0011</v>
      </c>
      <c r="F69" s="109">
        <f aca="true" t="shared" si="20" ref="F69:F75">D69*E69</f>
        <v>53159.91540283676</v>
      </c>
    </row>
    <row r="70" spans="1:6" ht="12.75">
      <c r="A70" s="89" t="str">
        <f aca="true" t="shared" si="21" ref="A70:A75">A59</f>
        <v>GS&lt;50</v>
      </c>
      <c r="B70" s="108"/>
      <c r="C70" s="112"/>
      <c r="D70" s="108">
        <f t="shared" si="19"/>
        <v>22389435.471372124</v>
      </c>
      <c r="E70" s="357">
        <v>0.0011</v>
      </c>
      <c r="F70" s="109">
        <f t="shared" si="20"/>
        <v>24628.37901850934</v>
      </c>
    </row>
    <row r="71" spans="1:6" ht="12.75">
      <c r="A71" s="89" t="str">
        <f t="shared" si="21"/>
        <v>GS&gt;50</v>
      </c>
      <c r="B71" s="108"/>
      <c r="C71" s="112"/>
      <c r="D71" s="108">
        <f t="shared" si="19"/>
        <v>65812787.96274017</v>
      </c>
      <c r="E71" s="357">
        <v>0.0011</v>
      </c>
      <c r="F71" s="109">
        <f t="shared" si="20"/>
        <v>72394.06675901418</v>
      </c>
    </row>
    <row r="72" spans="1:6" ht="12.75">
      <c r="A72" s="89" t="str">
        <f t="shared" si="21"/>
        <v>Streetlights</v>
      </c>
      <c r="B72" s="108"/>
      <c r="C72" s="112"/>
      <c r="D72" s="108">
        <f t="shared" si="19"/>
        <v>1178897.1888349953</v>
      </c>
      <c r="E72" s="357">
        <v>0.0011</v>
      </c>
      <c r="F72" s="109">
        <f t="shared" si="20"/>
        <v>1296.7869077184948</v>
      </c>
    </row>
    <row r="73" spans="1:6" ht="12.75">
      <c r="A73" s="89" t="str">
        <f t="shared" si="21"/>
        <v>Sentinels</v>
      </c>
      <c r="B73" s="108"/>
      <c r="C73" s="112"/>
      <c r="D73" s="108">
        <f t="shared" si="19"/>
        <v>41073.01906117047</v>
      </c>
      <c r="E73" s="357">
        <v>0.0011</v>
      </c>
      <c r="F73" s="109">
        <f t="shared" si="20"/>
        <v>45.180320967287514</v>
      </c>
    </row>
    <row r="74" spans="1:6" ht="12.75">
      <c r="A74" s="89" t="str">
        <f t="shared" si="21"/>
        <v>USL</v>
      </c>
      <c r="B74" s="108"/>
      <c r="C74" s="112"/>
      <c r="D74" s="108">
        <f t="shared" si="19"/>
        <v>581811.5215357008</v>
      </c>
      <c r="E74" s="357">
        <v>0.0011</v>
      </c>
      <c r="F74" s="109">
        <f t="shared" si="20"/>
        <v>639.9926736892709</v>
      </c>
    </row>
    <row r="75" spans="1:6" ht="12.75">
      <c r="A75" s="89" t="str">
        <f t="shared" si="21"/>
        <v>Intermediate </v>
      </c>
      <c r="B75" s="108"/>
      <c r="C75" s="112"/>
      <c r="D75" s="108">
        <f t="shared" si="19"/>
        <v>18302624.28090498</v>
      </c>
      <c r="E75" s="357">
        <v>0.0011</v>
      </c>
      <c r="F75" s="109">
        <f t="shared" si="20"/>
        <v>20132.886708995477</v>
      </c>
    </row>
    <row r="76" spans="1:6" ht="12.75">
      <c r="A76" s="90" t="s">
        <v>118</v>
      </c>
      <c r="B76" s="105"/>
      <c r="C76" s="92"/>
      <c r="D76" s="105">
        <f>SUM(D69:D75)</f>
        <v>156633825.26520982</v>
      </c>
      <c r="E76" s="356"/>
      <c r="F76" s="113">
        <f>SUM(F69:F75)</f>
        <v>172297.2077917308</v>
      </c>
    </row>
    <row r="78" spans="1:6" ht="12.75">
      <c r="A78" s="347" t="s">
        <v>206</v>
      </c>
      <c r="B78" s="348"/>
      <c r="C78" s="354" t="s">
        <v>126</v>
      </c>
      <c r="D78" s="350"/>
      <c r="E78" s="351"/>
      <c r="F78" s="348"/>
    </row>
    <row r="79" spans="1:6" ht="12.75">
      <c r="A79" s="346" t="s">
        <v>124</v>
      </c>
      <c r="B79" s="352"/>
      <c r="C79" s="355" t="s">
        <v>127</v>
      </c>
      <c r="D79" s="461">
        <v>2012</v>
      </c>
      <c r="E79" s="462"/>
      <c r="F79" s="463"/>
    </row>
    <row r="80" spans="1:6" ht="12.75">
      <c r="A80" s="89" t="s">
        <v>60</v>
      </c>
      <c r="B80" s="108"/>
      <c r="C80" s="112" t="s">
        <v>115</v>
      </c>
      <c r="D80" s="108">
        <f>B2</f>
        <v>46250546.29223916</v>
      </c>
      <c r="E80" s="357">
        <v>0.0006</v>
      </c>
      <c r="F80" s="109">
        <f>D80*E80</f>
        <v>27750.327775343492</v>
      </c>
    </row>
    <row r="81" spans="1:6" ht="12.75">
      <c r="A81" s="89" t="s">
        <v>61</v>
      </c>
      <c r="B81" s="108"/>
      <c r="C81" s="112" t="s">
        <v>115</v>
      </c>
      <c r="D81" s="108">
        <f>B3</f>
        <v>21427347.56567339</v>
      </c>
      <c r="E81" s="357">
        <v>0.0006</v>
      </c>
      <c r="F81" s="109">
        <f aca="true" t="shared" si="22" ref="F81:F86">D81*E81</f>
        <v>12856.408539404032</v>
      </c>
    </row>
    <row r="82" spans="1:6" ht="12.75">
      <c r="A82" s="89" t="s">
        <v>207</v>
      </c>
      <c r="B82" s="108"/>
      <c r="C82" s="112" t="s">
        <v>116</v>
      </c>
      <c r="D82" s="108">
        <f>C4</f>
        <v>161947.59939689699</v>
      </c>
      <c r="E82" s="357">
        <v>0.2169</v>
      </c>
      <c r="F82" s="109">
        <f t="shared" si="22"/>
        <v>35126.43430918696</v>
      </c>
    </row>
    <row r="83" spans="1:6" ht="12.75">
      <c r="A83" s="89" t="s">
        <v>64</v>
      </c>
      <c r="B83" s="108"/>
      <c r="C83" s="112" t="s">
        <v>116</v>
      </c>
      <c r="D83" s="108">
        <f>C5</f>
        <v>3156.9187275721983</v>
      </c>
      <c r="E83" s="357">
        <v>0.1677</v>
      </c>
      <c r="F83" s="109">
        <f t="shared" si="22"/>
        <v>529.4152706138576</v>
      </c>
    </row>
    <row r="84" spans="1:6" ht="12.75">
      <c r="A84" s="89" t="s">
        <v>70</v>
      </c>
      <c r="B84" s="108"/>
      <c r="C84" s="112" t="s">
        <v>116</v>
      </c>
      <c r="D84" s="108">
        <f>C6</f>
        <v>109.1891277771676</v>
      </c>
      <c r="E84" s="357">
        <v>0.1712</v>
      </c>
      <c r="F84" s="109">
        <f t="shared" si="22"/>
        <v>18.69317867545109</v>
      </c>
    </row>
    <row r="85" spans="1:6" ht="12.75">
      <c r="A85" s="89" t="s">
        <v>62</v>
      </c>
      <c r="B85" s="108"/>
      <c r="C85" s="112" t="s">
        <v>115</v>
      </c>
      <c r="D85" s="108">
        <f>B7</f>
        <v>556810.7201987758</v>
      </c>
      <c r="E85" s="357">
        <v>0.0006</v>
      </c>
      <c r="F85" s="109">
        <f t="shared" si="22"/>
        <v>334.08643211926545</v>
      </c>
    </row>
    <row r="86" spans="1:6" ht="12.75">
      <c r="A86" s="89" t="s">
        <v>208</v>
      </c>
      <c r="B86" s="108"/>
      <c r="C86" s="112" t="s">
        <v>116</v>
      </c>
      <c r="D86" s="108">
        <f>C8</f>
        <v>38642.66946523061</v>
      </c>
      <c r="E86" s="357">
        <v>0.2559</v>
      </c>
      <c r="F86" s="109">
        <f t="shared" si="22"/>
        <v>9888.659116152514</v>
      </c>
    </row>
    <row r="87" spans="1:6" ht="12.75">
      <c r="A87" s="90" t="s">
        <v>118</v>
      </c>
      <c r="B87" s="105"/>
      <c r="C87" s="92"/>
      <c r="D87" s="105"/>
      <c r="E87" s="356"/>
      <c r="F87" s="113">
        <f>SUM(F80:F86)</f>
        <v>86504.02462149557</v>
      </c>
    </row>
    <row r="88" spans="1:6" ht="12.75">
      <c r="A88" s="206"/>
      <c r="B88" s="207"/>
      <c r="C88" s="97"/>
      <c r="D88" s="96"/>
      <c r="E88" s="358"/>
      <c r="F88" s="205"/>
    </row>
    <row r="89" spans="1:2" ht="12.75">
      <c r="A89" s="454">
        <v>2012</v>
      </c>
      <c r="B89" s="455"/>
    </row>
    <row r="90" spans="1:2" ht="12.75">
      <c r="A90" s="101"/>
      <c r="B90" s="94"/>
    </row>
    <row r="91" spans="1:2" ht="12.75">
      <c r="A91" s="103" t="s">
        <v>131</v>
      </c>
      <c r="B91" s="104">
        <f>F21+F32</f>
        <v>12455671.832242602</v>
      </c>
    </row>
    <row r="92" spans="1:2" ht="12.75">
      <c r="A92" s="103" t="s">
        <v>132</v>
      </c>
      <c r="B92" s="100">
        <f>F65</f>
        <v>814495.891379091</v>
      </c>
    </row>
    <row r="93" spans="1:2" ht="12.75">
      <c r="A93" s="103" t="s">
        <v>133</v>
      </c>
      <c r="B93" s="100">
        <f>F43</f>
        <v>779716.3992509329</v>
      </c>
    </row>
    <row r="94" spans="1:2" ht="12.75">
      <c r="A94" s="103" t="s">
        <v>134</v>
      </c>
      <c r="B94" s="100">
        <f>F54</f>
        <v>629297.8865797813</v>
      </c>
    </row>
    <row r="95" spans="1:2" ht="12.75">
      <c r="A95" s="103" t="s">
        <v>135</v>
      </c>
      <c r="B95" s="100">
        <f>F76</f>
        <v>172297.2077917308</v>
      </c>
    </row>
    <row r="96" spans="1:2" ht="12.75">
      <c r="A96" s="103" t="s">
        <v>136</v>
      </c>
      <c r="B96" s="104">
        <f>F87</f>
        <v>86504.02462149557</v>
      </c>
    </row>
    <row r="97" spans="1:2" ht="12.75">
      <c r="A97" s="91" t="s">
        <v>118</v>
      </c>
      <c r="B97" s="374">
        <f>SUM(B91:B96)</f>
        <v>14937983.241865633</v>
      </c>
    </row>
  </sheetData>
  <sheetProtection/>
  <mergeCells count="12">
    <mergeCell ref="B12:B13"/>
    <mergeCell ref="C12:C13"/>
    <mergeCell ref="D13:F13"/>
    <mergeCell ref="D35:F35"/>
    <mergeCell ref="B23:B24"/>
    <mergeCell ref="A89:B89"/>
    <mergeCell ref="C23:C24"/>
    <mergeCell ref="D24:F24"/>
    <mergeCell ref="D79:F79"/>
    <mergeCell ref="D68:F68"/>
    <mergeCell ref="D46:F46"/>
    <mergeCell ref="D57:F5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31.421875" style="0" bestFit="1" customWidth="1"/>
    <col min="2" max="2" width="12.7109375" style="0" customWidth="1"/>
    <col min="3" max="3" width="11.7109375" style="33" customWidth="1"/>
    <col min="4" max="4" width="12.7109375" style="33" customWidth="1"/>
    <col min="5" max="5" width="10.00390625" style="33" customWidth="1"/>
    <col min="6" max="6" width="12.7109375" style="33" customWidth="1"/>
  </cols>
  <sheetData>
    <row r="1" spans="1:4" ht="12.75">
      <c r="A1" s="341" t="s">
        <v>137</v>
      </c>
      <c r="B1" s="470" t="s">
        <v>115</v>
      </c>
      <c r="C1" s="470" t="s">
        <v>116</v>
      </c>
      <c r="D1" s="470" t="s">
        <v>117</v>
      </c>
    </row>
    <row r="2" spans="1:4" ht="12.75">
      <c r="A2" s="114" t="str">
        <f>Summary!A11</f>
        <v>Residential</v>
      </c>
      <c r="B2" s="106">
        <f>Summary!L13</f>
        <v>45390824.66615313</v>
      </c>
      <c r="C2" s="107"/>
      <c r="D2" s="339">
        <f>+'2012 COP Forecast'!D2</f>
        <v>0.8789731669278751</v>
      </c>
    </row>
    <row r="3" spans="1:4" ht="12.75">
      <c r="A3" s="114" t="str">
        <f>Summary!A15</f>
        <v>GS&lt;50</v>
      </c>
      <c r="B3" s="106">
        <f>Summary!L17</f>
        <v>20241263.87017166</v>
      </c>
      <c r="C3" s="107"/>
      <c r="D3" s="339">
        <f>+'2012 COP Forecast'!D3</f>
        <v>0.7601627284324864</v>
      </c>
    </row>
    <row r="4" spans="1:4" ht="12.75">
      <c r="A4" s="114" t="str">
        <f>Summary!A19</f>
        <v>GS&gt;50</v>
      </c>
      <c r="B4" s="106">
        <f>Summary!L21</f>
        <v>61263765.88407113</v>
      </c>
      <c r="C4" s="115">
        <f>Summary!L22</f>
        <v>157522.51766782545</v>
      </c>
      <c r="D4" s="339">
        <f>+'2012 COP Forecast'!D4</f>
        <v>0.01764681376995309</v>
      </c>
    </row>
    <row r="5" spans="1:4" ht="12.75">
      <c r="A5" s="114" t="str">
        <f>Summary!A29</f>
        <v>Streetlights</v>
      </c>
      <c r="B5" s="106">
        <f>Summary!L31</f>
        <v>1129351.8563643515</v>
      </c>
      <c r="C5" s="115">
        <f>Summary!L32</f>
        <v>3160.0319133815565</v>
      </c>
      <c r="D5" s="339">
        <f>+'2012 COP Forecast'!D5</f>
        <v>0</v>
      </c>
    </row>
    <row r="6" spans="1:4" ht="12.75">
      <c r="A6" s="114" t="str">
        <f>Summary!A24</f>
        <v>Sentinels</v>
      </c>
      <c r="B6" s="106">
        <f>Summary!L26</f>
        <v>37432.84443604571</v>
      </c>
      <c r="C6" s="115">
        <f>Summary!L27</f>
        <v>103.9801234334603</v>
      </c>
      <c r="D6" s="339">
        <f>+'2012 COP Forecast'!D6</f>
        <v>0.626478256820933</v>
      </c>
    </row>
    <row r="7" spans="1:4" ht="12.75">
      <c r="A7" s="114" t="str">
        <f>Summary!A34</f>
        <v>USL</v>
      </c>
      <c r="B7" s="106">
        <f>Summary!L36</f>
        <v>603929.109828694</v>
      </c>
      <c r="C7" s="107"/>
      <c r="D7" s="339">
        <f>+'2012 COP Forecast'!D7</f>
        <v>0.9937882805559823</v>
      </c>
    </row>
    <row r="8" spans="1:4" ht="12.75">
      <c r="A8" s="114" t="str">
        <f>Summary!A38</f>
        <v>Intermediate </v>
      </c>
      <c r="B8" s="106">
        <f>Summary!L40</f>
        <v>16947354.569535773</v>
      </c>
      <c r="C8" s="115">
        <f>Summary!L41</f>
        <v>37387.84216287457</v>
      </c>
      <c r="D8" s="339">
        <f>+'2012 COP Forecast'!D8</f>
        <v>0</v>
      </c>
    </row>
    <row r="9" spans="1:4" ht="12.75">
      <c r="A9" s="90" t="s">
        <v>118</v>
      </c>
      <c r="B9" s="105">
        <f>SUM(B2:B8)</f>
        <v>145613922.80056077</v>
      </c>
      <c r="C9" s="340">
        <f>SUM(C2:C8)</f>
        <v>198174.37186751503</v>
      </c>
      <c r="D9" s="340"/>
    </row>
    <row r="12" spans="1:6" ht="12.75">
      <c r="A12" s="341" t="s">
        <v>119</v>
      </c>
      <c r="B12" s="466" t="s">
        <v>138</v>
      </c>
      <c r="C12" s="456" t="s">
        <v>139</v>
      </c>
      <c r="D12" s="343"/>
      <c r="E12" s="344"/>
      <c r="F12" s="345"/>
    </row>
    <row r="13" spans="1:6" ht="12.75">
      <c r="A13" s="346" t="s">
        <v>122</v>
      </c>
      <c r="B13" s="467"/>
      <c r="C13" s="457"/>
      <c r="D13" s="458">
        <v>2013</v>
      </c>
      <c r="E13" s="459"/>
      <c r="F13" s="460"/>
    </row>
    <row r="14" spans="1:6" ht="12.75">
      <c r="A14" s="93" t="str">
        <f aca="true" t="shared" si="0" ref="A14:A20">A2</f>
        <v>Residential</v>
      </c>
      <c r="B14" s="106">
        <f aca="true" t="shared" si="1" ref="B14:B20">B2*D2</f>
        <v>39897316.906276524</v>
      </c>
      <c r="C14" s="107">
        <f>'CWH Loss Factors'!$C$36</f>
        <v>1.053247546185438</v>
      </c>
      <c r="D14" s="106">
        <f aca="true" t="shared" si="2" ref="D14:D20">B14*C14</f>
        <v>42021751.13091854</v>
      </c>
      <c r="E14" s="342">
        <f>'2012 COP Forecast'!E14</f>
        <v>0.08069</v>
      </c>
      <c r="F14" s="359">
        <f aca="true" t="shared" si="3" ref="F14:F20">D14*E14</f>
        <v>3390735.098753817</v>
      </c>
    </row>
    <row r="15" spans="1:6" ht="12.75">
      <c r="A15" s="93" t="str">
        <f t="shared" si="0"/>
        <v>GS&lt;50</v>
      </c>
      <c r="B15" s="106">
        <f t="shared" si="1"/>
        <v>15386654.370471599</v>
      </c>
      <c r="C15" s="107">
        <f>'CWH Loss Factors'!$C$36</f>
        <v>1.053247546185438</v>
      </c>
      <c r="D15" s="106">
        <f t="shared" si="2"/>
        <v>16205955.959702658</v>
      </c>
      <c r="E15" s="342">
        <f>'2012 COP Forecast'!E15</f>
        <v>0.08069</v>
      </c>
      <c r="F15" s="359">
        <f t="shared" si="3"/>
        <v>1307658.5863884075</v>
      </c>
    </row>
    <row r="16" spans="1:6" ht="12.75">
      <c r="A16" s="93" t="str">
        <f t="shared" si="0"/>
        <v>GS&gt;50</v>
      </c>
      <c r="B16" s="106">
        <f t="shared" si="1"/>
        <v>1081110.2674022089</v>
      </c>
      <c r="C16" s="107">
        <f>'CWH Loss Factors'!$C$36</f>
        <v>1.053247546185438</v>
      </c>
      <c r="D16" s="106">
        <f t="shared" si="2"/>
        <v>1138676.7362972593</v>
      </c>
      <c r="E16" s="342">
        <f>'2012 COP Forecast'!E16</f>
        <v>0.08069</v>
      </c>
      <c r="F16" s="359">
        <f t="shared" si="3"/>
        <v>91879.82585182585</v>
      </c>
    </row>
    <row r="17" spans="1:6" ht="12.75">
      <c r="A17" s="93" t="str">
        <f t="shared" si="0"/>
        <v>Streetlights</v>
      </c>
      <c r="B17" s="106">
        <f t="shared" si="1"/>
        <v>0</v>
      </c>
      <c r="C17" s="107">
        <f>'CWH Loss Factors'!$C$36</f>
        <v>1.053247546185438</v>
      </c>
      <c r="D17" s="106">
        <f t="shared" si="2"/>
        <v>0</v>
      </c>
      <c r="E17" s="342">
        <f>'2012 COP Forecast'!E17</f>
        <v>0.08069</v>
      </c>
      <c r="F17" s="359">
        <f t="shared" si="3"/>
        <v>0</v>
      </c>
    </row>
    <row r="18" spans="1:6" ht="12.75">
      <c r="A18" s="93" t="str">
        <f t="shared" si="0"/>
        <v>Sentinels</v>
      </c>
      <c r="B18" s="106">
        <f t="shared" si="1"/>
        <v>23450.863130143076</v>
      </c>
      <c r="C18" s="107">
        <f>'CWH Loss Factors'!$C$36</f>
        <v>1.053247546185438</v>
      </c>
      <c r="D18" s="106">
        <f t="shared" si="2"/>
        <v>24699.564047753756</v>
      </c>
      <c r="E18" s="342">
        <f>'2012 COP Forecast'!E18</f>
        <v>0.08069</v>
      </c>
      <c r="F18" s="359">
        <f t="shared" si="3"/>
        <v>1993.0078230132506</v>
      </c>
    </row>
    <row r="19" spans="1:6" ht="12.75">
      <c r="A19" s="93" t="str">
        <f t="shared" si="0"/>
        <v>USL</v>
      </c>
      <c r="B19" s="106">
        <f t="shared" si="1"/>
        <v>600177.6716343629</v>
      </c>
      <c r="C19" s="107">
        <f>'CWH Loss Factors'!$C$36</f>
        <v>1.053247546185438</v>
      </c>
      <c r="D19" s="106">
        <f t="shared" si="2"/>
        <v>632135.6599241823</v>
      </c>
      <c r="E19" s="342">
        <f>'2012 COP Forecast'!E19</f>
        <v>0.08069</v>
      </c>
      <c r="F19" s="359">
        <f t="shared" si="3"/>
        <v>51007.02639928227</v>
      </c>
    </row>
    <row r="20" spans="1:6" ht="12.75">
      <c r="A20" s="93" t="str">
        <f t="shared" si="0"/>
        <v>Intermediate </v>
      </c>
      <c r="B20" s="106">
        <f t="shared" si="1"/>
        <v>0</v>
      </c>
      <c r="C20" s="107">
        <f>'CWH Loss Factors'!$C$36</f>
        <v>1.053247546185438</v>
      </c>
      <c r="D20" s="106">
        <f t="shared" si="2"/>
        <v>0</v>
      </c>
      <c r="E20" s="342">
        <f>'2012 COP Forecast'!E20</f>
        <v>0.08069</v>
      </c>
      <c r="F20" s="359">
        <f t="shared" si="3"/>
        <v>0</v>
      </c>
    </row>
    <row r="21" spans="1:6" ht="12.75">
      <c r="A21" s="90" t="s">
        <v>118</v>
      </c>
      <c r="B21" s="105">
        <f>SUM(B14:B20)</f>
        <v>56988710.078914836</v>
      </c>
      <c r="C21" s="360"/>
      <c r="D21" s="340">
        <f>SUM(D14:D20)</f>
        <v>60023219.050890386</v>
      </c>
      <c r="E21" s="356"/>
      <c r="F21" s="111">
        <f>SUM(F14:F20)</f>
        <v>4843273.545216346</v>
      </c>
    </row>
    <row r="22" spans="1:6" ht="12.75">
      <c r="A22" s="95"/>
      <c r="B22" s="96"/>
      <c r="C22" s="361"/>
      <c r="D22" s="362"/>
      <c r="E22" s="358"/>
      <c r="F22" s="99"/>
    </row>
    <row r="23" spans="1:6" ht="12.75">
      <c r="A23" s="341" t="s">
        <v>123</v>
      </c>
      <c r="B23" s="466" t="s">
        <v>138</v>
      </c>
      <c r="C23" s="456" t="s">
        <v>139</v>
      </c>
      <c r="D23" s="343"/>
      <c r="E23" s="344"/>
      <c r="F23" s="345"/>
    </row>
    <row r="24" spans="1:6" ht="12.75">
      <c r="A24" s="346" t="s">
        <v>124</v>
      </c>
      <c r="B24" s="467"/>
      <c r="C24" s="457"/>
      <c r="D24" s="458">
        <v>2013</v>
      </c>
      <c r="E24" s="459"/>
      <c r="F24" s="460"/>
    </row>
    <row r="25" spans="1:6" ht="12.75">
      <c r="A25" s="93" t="str">
        <f aca="true" t="shared" si="4" ref="A25:A31">A14</f>
        <v>Residential</v>
      </c>
      <c r="B25" s="106">
        <f aca="true" t="shared" si="5" ref="B25:B31">B2-B14</f>
        <v>5493507.759876609</v>
      </c>
      <c r="C25" s="107">
        <f aca="true" t="shared" si="6" ref="C25:C31">C14</f>
        <v>1.053247546185438</v>
      </c>
      <c r="D25" s="106">
        <f aca="true" t="shared" si="7" ref="D25:D31">B25*C25</f>
        <v>5786023.568040701</v>
      </c>
      <c r="E25" s="342">
        <f>'2012 COP Forecast'!E25</f>
        <v>0.07877</v>
      </c>
      <c r="F25" s="359">
        <f aca="true" t="shared" si="8" ref="F25:F31">D25*E25</f>
        <v>455765.07645456603</v>
      </c>
    </row>
    <row r="26" spans="1:6" ht="12.75">
      <c r="A26" s="93" t="str">
        <f t="shared" si="4"/>
        <v>GS&lt;50</v>
      </c>
      <c r="B26" s="106">
        <f t="shared" si="5"/>
        <v>4854609.49970006</v>
      </c>
      <c r="C26" s="107">
        <f t="shared" si="6"/>
        <v>1.053247546185438</v>
      </c>
      <c r="D26" s="106">
        <f t="shared" si="7"/>
        <v>5113105.543247606</v>
      </c>
      <c r="E26" s="342">
        <f aca="true" t="shared" si="9" ref="E26:E31">E25</f>
        <v>0.07877</v>
      </c>
      <c r="F26" s="359">
        <f t="shared" si="8"/>
        <v>402759.32364161394</v>
      </c>
    </row>
    <row r="27" spans="1:6" ht="12.75">
      <c r="A27" s="93" t="str">
        <f t="shared" si="4"/>
        <v>GS&gt;50</v>
      </c>
      <c r="B27" s="106">
        <f t="shared" si="5"/>
        <v>60182655.61666892</v>
      </c>
      <c r="C27" s="107">
        <f t="shared" si="6"/>
        <v>1.053247546185438</v>
      </c>
      <c r="D27" s="106">
        <f t="shared" si="7"/>
        <v>63387234.35117981</v>
      </c>
      <c r="E27" s="342">
        <f t="shared" si="9"/>
        <v>0.07877</v>
      </c>
      <c r="F27" s="359">
        <f t="shared" si="8"/>
        <v>4993012.449842434</v>
      </c>
    </row>
    <row r="28" spans="1:6" ht="12.75">
      <c r="A28" s="93" t="str">
        <f t="shared" si="4"/>
        <v>Streetlights</v>
      </c>
      <c r="B28" s="106">
        <f t="shared" si="5"/>
        <v>1129351.8563643515</v>
      </c>
      <c r="C28" s="107">
        <f t="shared" si="6"/>
        <v>1.053247546185438</v>
      </c>
      <c r="D28" s="106">
        <f t="shared" si="7"/>
        <v>1189487.0714957225</v>
      </c>
      <c r="E28" s="342">
        <f t="shared" si="9"/>
        <v>0.07877</v>
      </c>
      <c r="F28" s="359">
        <f t="shared" si="8"/>
        <v>93695.89662171807</v>
      </c>
    </row>
    <row r="29" spans="1:6" ht="12.75">
      <c r="A29" s="93" t="str">
        <f t="shared" si="4"/>
        <v>Sentinels</v>
      </c>
      <c r="B29" s="106">
        <f t="shared" si="5"/>
        <v>13981.981305902631</v>
      </c>
      <c r="C29" s="107">
        <f t="shared" si="6"/>
        <v>1.053247546185438</v>
      </c>
      <c r="D29" s="106">
        <f t="shared" si="7"/>
        <v>14726.487501252612</v>
      </c>
      <c r="E29" s="342">
        <f t="shared" si="9"/>
        <v>0.07877</v>
      </c>
      <c r="F29" s="359">
        <f t="shared" si="8"/>
        <v>1160.0054204736684</v>
      </c>
    </row>
    <row r="30" spans="1:6" ht="12.75">
      <c r="A30" s="93" t="str">
        <f t="shared" si="4"/>
        <v>USL</v>
      </c>
      <c r="B30" s="106">
        <f t="shared" si="5"/>
        <v>3751.438194331131</v>
      </c>
      <c r="C30" s="107">
        <f t="shared" si="6"/>
        <v>1.053247546185438</v>
      </c>
      <c r="D30" s="106">
        <f t="shared" si="7"/>
        <v>3951.193072845594</v>
      </c>
      <c r="E30" s="342">
        <f t="shared" si="9"/>
        <v>0.07877</v>
      </c>
      <c r="F30" s="359">
        <f t="shared" si="8"/>
        <v>311.2354783480475</v>
      </c>
    </row>
    <row r="31" spans="1:6" ht="12.75">
      <c r="A31" s="93" t="str">
        <f t="shared" si="4"/>
        <v>Intermediate </v>
      </c>
      <c r="B31" s="106">
        <f t="shared" si="5"/>
        <v>16947354.569535773</v>
      </c>
      <c r="C31" s="107">
        <f t="shared" si="6"/>
        <v>1.053247546185438</v>
      </c>
      <c r="D31" s="106">
        <f t="shared" si="7"/>
        <v>17849759.614698123</v>
      </c>
      <c r="E31" s="342">
        <f t="shared" si="9"/>
        <v>0.07877</v>
      </c>
      <c r="F31" s="359">
        <f t="shared" si="8"/>
        <v>1406025.5648497713</v>
      </c>
    </row>
    <row r="32" spans="1:6" ht="12.75">
      <c r="A32" s="90" t="s">
        <v>118</v>
      </c>
      <c r="B32" s="105">
        <f>SUM(B25:B31)</f>
        <v>88625212.72164595</v>
      </c>
      <c r="C32" s="360"/>
      <c r="D32" s="340">
        <f>SUM(D24:F31)</f>
        <v>100699030.93293495</v>
      </c>
      <c r="E32" s="356"/>
      <c r="F32" s="111">
        <f>SUM(F25:F31)</f>
        <v>7352729.552308925</v>
      </c>
    </row>
    <row r="34" spans="1:6" ht="12.75">
      <c r="A34" s="347" t="s">
        <v>125</v>
      </c>
      <c r="B34" s="348"/>
      <c r="C34" s="349" t="s">
        <v>126</v>
      </c>
      <c r="D34" s="350"/>
      <c r="E34" s="351"/>
      <c r="F34" s="348"/>
    </row>
    <row r="35" spans="1:6" ht="12.75">
      <c r="A35" s="346" t="s">
        <v>124</v>
      </c>
      <c r="B35" s="352"/>
      <c r="C35" s="353" t="s">
        <v>127</v>
      </c>
      <c r="D35" s="464">
        <v>2013</v>
      </c>
      <c r="E35" s="462"/>
      <c r="F35" s="463"/>
    </row>
    <row r="36" spans="1:6" ht="12.75">
      <c r="A36" s="89" t="str">
        <f aca="true" t="shared" si="10" ref="A36:A42">A25</f>
        <v>Residential</v>
      </c>
      <c r="B36" s="108"/>
      <c r="C36" s="363" t="s">
        <v>115</v>
      </c>
      <c r="D36" s="106">
        <f>D14+D25</f>
        <v>47807774.69895924</v>
      </c>
      <c r="E36" s="357">
        <f>'[17]13. Final 2012 RTS Rates'!$F$26</f>
        <v>0.0061361165494522585</v>
      </c>
      <c r="F36" s="359">
        <f aca="true" t="shared" si="11" ref="F36:F42">D36*E36</f>
        <v>293354.07752276876</v>
      </c>
    </row>
    <row r="37" spans="1:6" ht="12.75">
      <c r="A37" s="89" t="str">
        <f t="shared" si="10"/>
        <v>GS&lt;50</v>
      </c>
      <c r="B37" s="108"/>
      <c r="C37" s="363" t="s">
        <v>116</v>
      </c>
      <c r="D37" s="106">
        <f>D15+D26</f>
        <v>21319061.502950262</v>
      </c>
      <c r="E37" s="357">
        <f>'[17]13. Final 2012 RTS Rates'!$F$27</f>
        <v>0.005673013413644542</v>
      </c>
      <c r="F37" s="359">
        <f t="shared" si="11"/>
        <v>120943.32187254982</v>
      </c>
    </row>
    <row r="38" spans="1:6" ht="12.75">
      <c r="A38" s="89" t="str">
        <f t="shared" si="10"/>
        <v>GS&gt;50</v>
      </c>
      <c r="B38" s="108"/>
      <c r="C38" s="363" t="s">
        <v>116</v>
      </c>
      <c r="D38" s="106">
        <f>C4</f>
        <v>157522.51766782545</v>
      </c>
      <c r="E38" s="357">
        <f>'[17]13. Final 2012 RTS Rates'!$F$28</f>
        <v>2.2918974191123946</v>
      </c>
      <c r="F38" s="359">
        <f t="shared" si="11"/>
        <v>361025.4516949757</v>
      </c>
    </row>
    <row r="39" spans="1:8" ht="12.75">
      <c r="A39" s="89" t="str">
        <f t="shared" si="10"/>
        <v>Streetlights</v>
      </c>
      <c r="B39" s="108"/>
      <c r="C39" s="363" t="s">
        <v>115</v>
      </c>
      <c r="D39" s="106">
        <f>C5</f>
        <v>3160.0319133815565</v>
      </c>
      <c r="E39" s="357">
        <f>'[17]13. Final 2012 RTS Rates'!$F$32</f>
        <v>1.7284166786183544</v>
      </c>
      <c r="F39" s="359">
        <f t="shared" si="11"/>
        <v>5461.851864054953</v>
      </c>
      <c r="H39" s="33"/>
    </row>
    <row r="40" spans="1:6" ht="12.75">
      <c r="A40" s="89" t="str">
        <f t="shared" si="10"/>
        <v>Sentinels</v>
      </c>
      <c r="B40" s="108"/>
      <c r="C40" s="363" t="s">
        <v>116</v>
      </c>
      <c r="D40" s="106">
        <f>C6</f>
        <v>103.9801234334603</v>
      </c>
      <c r="E40" s="357">
        <f>'[17]13. Final 2012 RTS Rates'!$F$31</f>
        <v>1.7373314139826528</v>
      </c>
      <c r="F40" s="359">
        <f t="shared" si="11"/>
        <v>180.64793487074436</v>
      </c>
    </row>
    <row r="41" spans="1:6" ht="12.75">
      <c r="A41" s="89" t="str">
        <f t="shared" si="10"/>
        <v>USL</v>
      </c>
      <c r="B41" s="108"/>
      <c r="C41" s="363" t="s">
        <v>115</v>
      </c>
      <c r="D41" s="106">
        <f>D19+D30</f>
        <v>636086.8529970279</v>
      </c>
      <c r="E41" s="357">
        <f>'[17]13. Final 2012 RTS Rates'!$F$30</f>
        <v>0.005673013413644541</v>
      </c>
      <c r="F41" s="359">
        <f t="shared" si="11"/>
        <v>3608.5292492950825</v>
      </c>
    </row>
    <row r="42" spans="1:6" ht="12.75">
      <c r="A42" s="89" t="str">
        <f t="shared" si="10"/>
        <v>Intermediate </v>
      </c>
      <c r="B42" s="108"/>
      <c r="C42" s="363" t="s">
        <v>116</v>
      </c>
      <c r="D42" s="106">
        <f>C8</f>
        <v>37387.84216287457</v>
      </c>
      <c r="E42" s="357">
        <f>'[17]13. Final 2012 RTS Rates'!$F$29</f>
        <v>2.5632758566957174</v>
      </c>
      <c r="F42" s="359">
        <f t="shared" si="11"/>
        <v>95835.35315004658</v>
      </c>
    </row>
    <row r="43" spans="1:6" ht="12.75">
      <c r="A43" s="90" t="s">
        <v>118</v>
      </c>
      <c r="B43" s="105"/>
      <c r="C43" s="360"/>
      <c r="D43" s="340"/>
      <c r="E43" s="356"/>
      <c r="F43" s="111">
        <f>SUM(F36:F42)</f>
        <v>880409.2332885617</v>
      </c>
    </row>
    <row r="45" spans="1:6" ht="12.75">
      <c r="A45" s="347" t="s">
        <v>128</v>
      </c>
      <c r="B45" s="348"/>
      <c r="C45" s="354" t="s">
        <v>126</v>
      </c>
      <c r="D45" s="350"/>
      <c r="E45" s="351"/>
      <c r="F45" s="348"/>
    </row>
    <row r="46" spans="1:6" ht="12.75">
      <c r="A46" s="346" t="s">
        <v>124</v>
      </c>
      <c r="B46" s="352"/>
      <c r="C46" s="355" t="s">
        <v>127</v>
      </c>
      <c r="D46" s="464">
        <v>2013</v>
      </c>
      <c r="E46" s="462"/>
      <c r="F46" s="463"/>
    </row>
    <row r="47" spans="1:6" ht="12.75">
      <c r="A47" s="89" t="str">
        <f aca="true" t="shared" si="12" ref="A47:A53">A36</f>
        <v>Residential</v>
      </c>
      <c r="B47" s="108"/>
      <c r="C47" s="363" t="s">
        <v>115</v>
      </c>
      <c r="D47" s="106">
        <f aca="true" t="shared" si="13" ref="D47:D53">D36</f>
        <v>47807774.69895924</v>
      </c>
      <c r="E47" s="357">
        <f>'[17]13. Final 2012 RTS Rates'!$H$26</f>
        <v>0.00495016524755935</v>
      </c>
      <c r="F47" s="359">
        <f aca="true" t="shared" si="14" ref="F47:F53">D47*E47</f>
        <v>236656.3848779352</v>
      </c>
    </row>
    <row r="48" spans="1:6" ht="12.75">
      <c r="A48" s="89" t="str">
        <f t="shared" si="12"/>
        <v>GS&lt;50</v>
      </c>
      <c r="B48" s="108"/>
      <c r="C48" s="363" t="s">
        <v>116</v>
      </c>
      <c r="D48" s="106">
        <f t="shared" si="13"/>
        <v>21319061.502950262</v>
      </c>
      <c r="E48" s="357">
        <f>'[17]13. Final 2012 RTS Rates'!$H$27</f>
        <v>0.004387646469427605</v>
      </c>
      <c r="F48" s="359">
        <f t="shared" si="14"/>
        <v>93540.50493492968</v>
      </c>
    </row>
    <row r="49" spans="1:6" ht="12.75">
      <c r="A49" s="89" t="str">
        <f t="shared" si="12"/>
        <v>GS&gt;50</v>
      </c>
      <c r="B49" s="108"/>
      <c r="C49" s="363" t="s">
        <v>116</v>
      </c>
      <c r="D49" s="106">
        <f t="shared" si="13"/>
        <v>157522.51766782545</v>
      </c>
      <c r="E49" s="357">
        <f>'[17]13. Final 2012 RTS Rates'!$H$28</f>
        <v>1.751795978857878</v>
      </c>
      <c r="F49" s="359">
        <f t="shared" si="14"/>
        <v>275947.3130300657</v>
      </c>
    </row>
    <row r="50" spans="1:6" ht="12.75">
      <c r="A50" s="89" t="str">
        <f t="shared" si="12"/>
        <v>Streetlights</v>
      </c>
      <c r="B50" s="108"/>
      <c r="C50" s="363" t="s">
        <v>115</v>
      </c>
      <c r="D50" s="106">
        <f t="shared" si="13"/>
        <v>3160.0319133815565</v>
      </c>
      <c r="E50" s="357">
        <f>'[17]13. Final 2012 RTS Rates'!$H$32</f>
        <v>1.3543202102299876</v>
      </c>
      <c r="F50" s="359">
        <f t="shared" si="14"/>
        <v>4279.6950852643795</v>
      </c>
    </row>
    <row r="51" spans="1:6" ht="12.75">
      <c r="A51" s="89" t="str">
        <f t="shared" si="12"/>
        <v>Sentinels</v>
      </c>
      <c r="B51" s="108"/>
      <c r="C51" s="363" t="s">
        <v>116</v>
      </c>
      <c r="D51" s="106">
        <f t="shared" si="13"/>
        <v>103.9801234334603</v>
      </c>
      <c r="E51" s="357">
        <f>'[17]13. Final 2012 RTS Rates'!$H$31</f>
        <v>1.3826711566478276</v>
      </c>
      <c r="F51" s="359">
        <f t="shared" si="14"/>
        <v>143.77031753612644</v>
      </c>
    </row>
    <row r="52" spans="1:6" ht="12.75">
      <c r="A52" s="89" t="str">
        <f t="shared" si="12"/>
        <v>USL</v>
      </c>
      <c r="B52" s="108"/>
      <c r="C52" s="363" t="s">
        <v>115</v>
      </c>
      <c r="D52" s="106">
        <f t="shared" si="13"/>
        <v>636086.8529970279</v>
      </c>
      <c r="E52" s="357">
        <f>'[17]13. Final 2012 RTS Rates'!$H$30</f>
        <v>0.004387646469427605</v>
      </c>
      <c r="F52" s="359">
        <f t="shared" si="14"/>
        <v>2790.9242348017256</v>
      </c>
    </row>
    <row r="53" spans="1:6" ht="12.75">
      <c r="A53" s="89" t="str">
        <f t="shared" si="12"/>
        <v>Intermediate </v>
      </c>
      <c r="B53" s="108"/>
      <c r="C53" s="363" t="s">
        <v>116</v>
      </c>
      <c r="D53" s="106">
        <f t="shared" si="13"/>
        <v>37387.84216287457</v>
      </c>
      <c r="E53" s="357">
        <f>'[17]13. Final 2012 RTS Rates'!$H$29</f>
        <v>2.0661314720778967</v>
      </c>
      <c r="F53" s="359">
        <f t="shared" si="14"/>
        <v>77248.19736579609</v>
      </c>
    </row>
    <row r="54" spans="1:6" ht="12.75">
      <c r="A54" s="90" t="s">
        <v>118</v>
      </c>
      <c r="B54" s="105"/>
      <c r="C54" s="360"/>
      <c r="D54" s="340"/>
      <c r="E54" s="356"/>
      <c r="F54" s="111">
        <f>SUM(F47:F53)</f>
        <v>690606.7898463288</v>
      </c>
    </row>
    <row r="56" spans="1:6" ht="12.75">
      <c r="A56" s="347" t="s">
        <v>129</v>
      </c>
      <c r="B56" s="348"/>
      <c r="C56" s="354"/>
      <c r="D56" s="350"/>
      <c r="E56" s="351"/>
      <c r="F56" s="348"/>
    </row>
    <row r="57" spans="1:6" ht="12.75">
      <c r="A57" s="346" t="s">
        <v>124</v>
      </c>
      <c r="B57" s="352"/>
      <c r="C57" s="355"/>
      <c r="D57" s="464">
        <v>2013</v>
      </c>
      <c r="E57" s="462"/>
      <c r="F57" s="465"/>
    </row>
    <row r="58" spans="1:6" ht="12.75">
      <c r="A58" s="89" t="str">
        <f aca="true" t="shared" si="15" ref="A58:A64">A47</f>
        <v>Residential</v>
      </c>
      <c r="B58" s="108"/>
      <c r="C58" s="363"/>
      <c r="D58" s="106">
        <f aca="true" t="shared" si="16" ref="D58:D64">D14+D25</f>
        <v>47807774.69895924</v>
      </c>
      <c r="E58" s="357">
        <v>0.0052</v>
      </c>
      <c r="F58" s="359">
        <f aca="true" t="shared" si="17" ref="F58:F64">D58*E58</f>
        <v>248600.42843458804</v>
      </c>
    </row>
    <row r="59" spans="1:6" ht="12.75">
      <c r="A59" s="89" t="str">
        <f t="shared" si="15"/>
        <v>GS&lt;50</v>
      </c>
      <c r="B59" s="108"/>
      <c r="C59" s="363"/>
      <c r="D59" s="106">
        <f t="shared" si="16"/>
        <v>21319061.502950262</v>
      </c>
      <c r="E59" s="357">
        <v>0.0052</v>
      </c>
      <c r="F59" s="359">
        <f t="shared" si="17"/>
        <v>110859.11981534136</v>
      </c>
    </row>
    <row r="60" spans="1:6" ht="12.75">
      <c r="A60" s="89" t="str">
        <f t="shared" si="15"/>
        <v>GS&gt;50</v>
      </c>
      <c r="B60" s="108"/>
      <c r="C60" s="363"/>
      <c r="D60" s="106">
        <f t="shared" si="16"/>
        <v>64525911.087477066</v>
      </c>
      <c r="E60" s="357">
        <v>0.0052</v>
      </c>
      <c r="F60" s="359">
        <f t="shared" si="17"/>
        <v>335534.73765488074</v>
      </c>
    </row>
    <row r="61" spans="1:6" ht="12.75">
      <c r="A61" s="89" t="str">
        <f t="shared" si="15"/>
        <v>Streetlights</v>
      </c>
      <c r="B61" s="108"/>
      <c r="C61" s="363"/>
      <c r="D61" s="106">
        <f t="shared" si="16"/>
        <v>1189487.0714957225</v>
      </c>
      <c r="E61" s="357">
        <v>0.0052</v>
      </c>
      <c r="F61" s="359">
        <f t="shared" si="17"/>
        <v>6185.3327717777565</v>
      </c>
    </row>
    <row r="62" spans="1:6" ht="12.75">
      <c r="A62" s="89" t="str">
        <f t="shared" si="15"/>
        <v>Sentinels</v>
      </c>
      <c r="B62" s="108"/>
      <c r="C62" s="363"/>
      <c r="D62" s="106">
        <f t="shared" si="16"/>
        <v>39426.05154900637</v>
      </c>
      <c r="E62" s="357">
        <v>0.0052</v>
      </c>
      <c r="F62" s="359">
        <f t="shared" si="17"/>
        <v>205.01546805483312</v>
      </c>
    </row>
    <row r="63" spans="1:6" ht="12.75">
      <c r="A63" s="89" t="str">
        <f t="shared" si="15"/>
        <v>USL</v>
      </c>
      <c r="B63" s="108"/>
      <c r="C63" s="363"/>
      <c r="D63" s="106">
        <f t="shared" si="16"/>
        <v>636086.8529970279</v>
      </c>
      <c r="E63" s="357">
        <v>0.0052</v>
      </c>
      <c r="F63" s="359">
        <f t="shared" si="17"/>
        <v>3307.651635584545</v>
      </c>
    </row>
    <row r="64" spans="1:6" ht="12.75">
      <c r="A64" s="89" t="str">
        <f t="shared" si="15"/>
        <v>Intermediate </v>
      </c>
      <c r="B64" s="108"/>
      <c r="C64" s="363"/>
      <c r="D64" s="106">
        <f t="shared" si="16"/>
        <v>17849759.614698123</v>
      </c>
      <c r="E64" s="357">
        <v>0.0052</v>
      </c>
      <c r="F64" s="359">
        <f t="shared" si="17"/>
        <v>92818.74999643024</v>
      </c>
    </row>
    <row r="65" spans="1:6" ht="12.75">
      <c r="A65" s="90" t="s">
        <v>118</v>
      </c>
      <c r="B65" s="105"/>
      <c r="C65" s="360"/>
      <c r="D65" s="340">
        <f>SUM(D58:D64)</f>
        <v>153367506.88012645</v>
      </c>
      <c r="E65" s="356"/>
      <c r="F65" s="111">
        <f>SUM(F58:F64)</f>
        <v>797511.0357766574</v>
      </c>
    </row>
    <row r="67" spans="1:6" ht="12.75">
      <c r="A67" s="347" t="s">
        <v>130</v>
      </c>
      <c r="B67" s="348"/>
      <c r="C67" s="354"/>
      <c r="D67" s="350"/>
      <c r="E67" s="351"/>
      <c r="F67" s="348"/>
    </row>
    <row r="68" spans="1:6" ht="12.75">
      <c r="A68" s="346" t="s">
        <v>124</v>
      </c>
      <c r="B68" s="352"/>
      <c r="C68" s="355"/>
      <c r="D68" s="461">
        <v>2013</v>
      </c>
      <c r="E68" s="462"/>
      <c r="F68" s="463"/>
    </row>
    <row r="69" spans="1:6" ht="12.75">
      <c r="A69" s="89" t="str">
        <f aca="true" t="shared" si="18" ref="A69:A75">A58</f>
        <v>Residential</v>
      </c>
      <c r="B69" s="108"/>
      <c r="C69" s="363"/>
      <c r="D69" s="106">
        <f aca="true" t="shared" si="19" ref="D69:D75">D58</f>
        <v>47807774.69895924</v>
      </c>
      <c r="E69" s="357">
        <v>0.0011</v>
      </c>
      <c r="F69" s="359">
        <f aca="true" t="shared" si="20" ref="F69:F75">D69*E69</f>
        <v>52588.55216885517</v>
      </c>
    </row>
    <row r="70" spans="1:6" ht="12.75">
      <c r="A70" s="89" t="str">
        <f t="shared" si="18"/>
        <v>GS&lt;50</v>
      </c>
      <c r="B70" s="108"/>
      <c r="C70" s="363"/>
      <c r="D70" s="106">
        <f t="shared" si="19"/>
        <v>21319061.502950262</v>
      </c>
      <c r="E70" s="357">
        <v>0.0011</v>
      </c>
      <c r="F70" s="359">
        <f t="shared" si="20"/>
        <v>23450.96765324529</v>
      </c>
    </row>
    <row r="71" spans="1:6" ht="12.75">
      <c r="A71" s="89" t="str">
        <f t="shared" si="18"/>
        <v>GS&gt;50</v>
      </c>
      <c r="B71" s="108"/>
      <c r="C71" s="363"/>
      <c r="D71" s="106">
        <f t="shared" si="19"/>
        <v>64525911.087477066</v>
      </c>
      <c r="E71" s="357">
        <v>0.0011</v>
      </c>
      <c r="F71" s="359">
        <f t="shared" si="20"/>
        <v>70978.50219622477</v>
      </c>
    </row>
    <row r="72" spans="1:6" ht="12.75">
      <c r="A72" s="89" t="str">
        <f t="shared" si="18"/>
        <v>Streetlights</v>
      </c>
      <c r="B72" s="108"/>
      <c r="C72" s="363"/>
      <c r="D72" s="106">
        <f t="shared" si="19"/>
        <v>1189487.0714957225</v>
      </c>
      <c r="E72" s="357">
        <v>0.0011</v>
      </c>
      <c r="F72" s="359">
        <f t="shared" si="20"/>
        <v>1308.435778645295</v>
      </c>
    </row>
    <row r="73" spans="1:6" ht="12.75">
      <c r="A73" s="89" t="str">
        <f t="shared" si="18"/>
        <v>Sentinels</v>
      </c>
      <c r="B73" s="108"/>
      <c r="C73" s="363"/>
      <c r="D73" s="106">
        <f t="shared" si="19"/>
        <v>39426.05154900637</v>
      </c>
      <c r="E73" s="357">
        <v>0.0011</v>
      </c>
      <c r="F73" s="359">
        <f t="shared" si="20"/>
        <v>43.36865670390701</v>
      </c>
    </row>
    <row r="74" spans="1:6" ht="12.75">
      <c r="A74" s="89" t="str">
        <f t="shared" si="18"/>
        <v>USL</v>
      </c>
      <c r="B74" s="108"/>
      <c r="C74" s="363"/>
      <c r="D74" s="106">
        <f t="shared" si="19"/>
        <v>636086.8529970279</v>
      </c>
      <c r="E74" s="357">
        <v>0.0011</v>
      </c>
      <c r="F74" s="359">
        <f t="shared" si="20"/>
        <v>699.6955382967308</v>
      </c>
    </row>
    <row r="75" spans="1:6" ht="12.75">
      <c r="A75" s="89" t="str">
        <f t="shared" si="18"/>
        <v>Intermediate </v>
      </c>
      <c r="B75" s="108"/>
      <c r="C75" s="363"/>
      <c r="D75" s="106">
        <f t="shared" si="19"/>
        <v>17849759.614698123</v>
      </c>
      <c r="E75" s="357">
        <v>0.0011</v>
      </c>
      <c r="F75" s="359">
        <f t="shared" si="20"/>
        <v>19634.735576167936</v>
      </c>
    </row>
    <row r="76" spans="1:6" ht="12.75">
      <c r="A76" s="90" t="s">
        <v>118</v>
      </c>
      <c r="B76" s="105"/>
      <c r="C76" s="360"/>
      <c r="D76" s="340">
        <f>SUM(D69:D75)</f>
        <v>153367506.88012645</v>
      </c>
      <c r="E76" s="356"/>
      <c r="F76" s="111">
        <f>SUM(F69:F75)</f>
        <v>168704.25756813912</v>
      </c>
    </row>
    <row r="77" spans="1:6" ht="13.5" customHeight="1">
      <c r="A77" s="95"/>
      <c r="B77" s="96"/>
      <c r="C77" s="361"/>
      <c r="D77" s="362"/>
      <c r="E77" s="358"/>
      <c r="F77" s="99"/>
    </row>
    <row r="78" spans="1:6" ht="13.5" customHeight="1">
      <c r="A78" s="347" t="s">
        <v>311</v>
      </c>
      <c r="B78" s="348"/>
      <c r="C78" s="354" t="s">
        <v>312</v>
      </c>
      <c r="D78" s="350"/>
      <c r="E78" s="351"/>
      <c r="F78" s="348"/>
    </row>
    <row r="79" spans="1:6" ht="13.5" customHeight="1">
      <c r="A79" s="346" t="s">
        <v>124</v>
      </c>
      <c r="B79" s="364"/>
      <c r="C79" s="355"/>
      <c r="D79" s="461">
        <v>2013</v>
      </c>
      <c r="E79" s="462"/>
      <c r="F79" s="463"/>
    </row>
    <row r="80" spans="1:6" ht="13.5" customHeight="1">
      <c r="A80" s="89" t="str">
        <f aca="true" t="shared" si="21" ref="A80:A86">A69</f>
        <v>Residential</v>
      </c>
      <c r="B80" s="108"/>
      <c r="C80" s="363"/>
      <c r="D80" s="106">
        <f>Summary!L12</f>
        <v>5857.662910343302</v>
      </c>
      <c r="E80" s="357">
        <v>0.86</v>
      </c>
      <c r="F80" s="359">
        <f>D80*E80*12</f>
        <v>60451.08123474289</v>
      </c>
    </row>
    <row r="81" spans="1:6" ht="13.5" customHeight="1">
      <c r="A81" s="89" t="str">
        <f t="shared" si="21"/>
        <v>GS&lt;50</v>
      </c>
      <c r="B81" s="108"/>
      <c r="C81" s="363"/>
      <c r="D81" s="106">
        <f>Summary!L16</f>
        <v>738.4058461316835</v>
      </c>
      <c r="E81" s="357">
        <v>0.86</v>
      </c>
      <c r="F81" s="359">
        <f>D81*E81*12</f>
        <v>7620.348332078974</v>
      </c>
    </row>
    <row r="82" spans="1:6" ht="13.5" customHeight="1">
      <c r="A82" s="89" t="str">
        <f t="shared" si="21"/>
        <v>GS&gt;50</v>
      </c>
      <c r="B82" s="108"/>
      <c r="C82" s="363"/>
      <c r="D82" s="106"/>
      <c r="E82" s="357">
        <v>0.0011</v>
      </c>
      <c r="F82" s="359">
        <f>D82*E82</f>
        <v>0</v>
      </c>
    </row>
    <row r="83" spans="1:6" ht="13.5" customHeight="1">
      <c r="A83" s="89" t="str">
        <f t="shared" si="21"/>
        <v>Streetlights</v>
      </c>
      <c r="B83" s="108"/>
      <c r="C83" s="363"/>
      <c r="D83" s="106"/>
      <c r="E83" s="357">
        <v>0.0011</v>
      </c>
      <c r="F83" s="359">
        <f>D83*E83</f>
        <v>0</v>
      </c>
    </row>
    <row r="84" spans="1:6" ht="13.5" customHeight="1">
      <c r="A84" s="89" t="str">
        <f t="shared" si="21"/>
        <v>Sentinels</v>
      </c>
      <c r="B84" s="108"/>
      <c r="C84" s="363"/>
      <c r="D84" s="106"/>
      <c r="E84" s="357">
        <v>0.0011</v>
      </c>
      <c r="F84" s="359">
        <f>D84*E84</f>
        <v>0</v>
      </c>
    </row>
    <row r="85" spans="1:6" ht="13.5" customHeight="1">
      <c r="A85" s="89" t="str">
        <f t="shared" si="21"/>
        <v>USL</v>
      </c>
      <c r="B85" s="108"/>
      <c r="C85" s="363"/>
      <c r="D85" s="106"/>
      <c r="E85" s="357">
        <v>0.0011</v>
      </c>
      <c r="F85" s="359">
        <f>D85*E85</f>
        <v>0</v>
      </c>
    </row>
    <row r="86" spans="1:6" ht="13.5" customHeight="1">
      <c r="A86" s="89" t="str">
        <f t="shared" si="21"/>
        <v>Intermediate </v>
      </c>
      <c r="B86" s="108"/>
      <c r="C86" s="363"/>
      <c r="D86" s="106"/>
      <c r="E86" s="357">
        <v>0.0011</v>
      </c>
      <c r="F86" s="359">
        <f>D86*E86</f>
        <v>0</v>
      </c>
    </row>
    <row r="87" spans="1:6" ht="13.5" customHeight="1">
      <c r="A87" s="90" t="s">
        <v>118</v>
      </c>
      <c r="B87" s="105"/>
      <c r="C87" s="360"/>
      <c r="D87" s="340">
        <f>SUM(D80:D86)</f>
        <v>6596.068756474986</v>
      </c>
      <c r="E87" s="356"/>
      <c r="F87" s="111">
        <f>SUM(F80:F86)</f>
        <v>68071.42956682185</v>
      </c>
    </row>
    <row r="88" spans="1:6" ht="13.5" customHeight="1">
      <c r="A88" s="95"/>
      <c r="B88" s="96"/>
      <c r="C88" s="361"/>
      <c r="D88" s="362"/>
      <c r="E88" s="358"/>
      <c r="F88" s="99"/>
    </row>
    <row r="90" spans="1:6" ht="12.75">
      <c r="A90" s="347" t="s">
        <v>206</v>
      </c>
      <c r="B90" s="348"/>
      <c r="C90" s="354" t="s">
        <v>126</v>
      </c>
      <c r="D90" s="350"/>
      <c r="E90" s="351"/>
      <c r="F90" s="348"/>
    </row>
    <row r="91" spans="1:6" ht="12.75">
      <c r="A91" s="346" t="s">
        <v>124</v>
      </c>
      <c r="B91" s="352"/>
      <c r="C91" s="355" t="s">
        <v>127</v>
      </c>
      <c r="D91" s="461">
        <v>2012</v>
      </c>
      <c r="E91" s="462"/>
      <c r="F91" s="463"/>
    </row>
    <row r="92" spans="1:6" ht="12.75">
      <c r="A92" s="89" t="s">
        <v>60</v>
      </c>
      <c r="B92" s="108"/>
      <c r="C92" s="363" t="s">
        <v>115</v>
      </c>
      <c r="D92" s="106">
        <f>B2</f>
        <v>45390824.66615313</v>
      </c>
      <c r="E92" s="357">
        <v>0.0006</v>
      </c>
      <c r="F92" s="359">
        <f>D92*E92</f>
        <v>27234.494799691878</v>
      </c>
    </row>
    <row r="93" spans="1:6" ht="12.75">
      <c r="A93" s="89" t="s">
        <v>61</v>
      </c>
      <c r="B93" s="108"/>
      <c r="C93" s="363" t="s">
        <v>115</v>
      </c>
      <c r="D93" s="106">
        <f>B3</f>
        <v>20241263.87017166</v>
      </c>
      <c r="E93" s="357">
        <v>0.0006</v>
      </c>
      <c r="F93" s="359">
        <f aca="true" t="shared" si="22" ref="F93:F98">D93*E93</f>
        <v>12144.758322102994</v>
      </c>
    </row>
    <row r="94" spans="1:6" ht="12.75">
      <c r="A94" s="89" t="s">
        <v>207</v>
      </c>
      <c r="B94" s="108"/>
      <c r="C94" s="363" t="s">
        <v>116</v>
      </c>
      <c r="D94" s="106">
        <f>C4</f>
        <v>157522.51766782545</v>
      </c>
      <c r="E94" s="357">
        <v>0.2169</v>
      </c>
      <c r="F94" s="359">
        <f t="shared" si="22"/>
        <v>34166.634082151344</v>
      </c>
    </row>
    <row r="95" spans="1:6" ht="12.75">
      <c r="A95" s="89" t="s">
        <v>64</v>
      </c>
      <c r="B95" s="108"/>
      <c r="C95" s="363" t="s">
        <v>116</v>
      </c>
      <c r="D95" s="106">
        <f>C5</f>
        <v>3160.0319133815565</v>
      </c>
      <c r="E95" s="357">
        <v>0.1677</v>
      </c>
      <c r="F95" s="359">
        <f t="shared" si="22"/>
        <v>529.937351874087</v>
      </c>
    </row>
    <row r="96" spans="1:6" ht="12.75">
      <c r="A96" s="89" t="s">
        <v>70</v>
      </c>
      <c r="B96" s="108"/>
      <c r="C96" s="363" t="s">
        <v>116</v>
      </c>
      <c r="D96" s="106">
        <f>C6</f>
        <v>103.9801234334603</v>
      </c>
      <c r="E96" s="357">
        <v>0.1712</v>
      </c>
      <c r="F96" s="359">
        <f t="shared" si="22"/>
        <v>17.801397131808404</v>
      </c>
    </row>
    <row r="97" spans="1:6" ht="12.75">
      <c r="A97" s="89" t="s">
        <v>62</v>
      </c>
      <c r="B97" s="108"/>
      <c r="C97" s="363" t="s">
        <v>115</v>
      </c>
      <c r="D97" s="106">
        <f>B7</f>
        <v>603929.109828694</v>
      </c>
      <c r="E97" s="357">
        <v>0.0006</v>
      </c>
      <c r="F97" s="359">
        <f t="shared" si="22"/>
        <v>362.3574658972164</v>
      </c>
    </row>
    <row r="98" spans="1:6" ht="12.75">
      <c r="A98" s="89" t="s">
        <v>208</v>
      </c>
      <c r="B98" s="108"/>
      <c r="C98" s="363" t="s">
        <v>116</v>
      </c>
      <c r="D98" s="106">
        <f>C8</f>
        <v>37387.84216287457</v>
      </c>
      <c r="E98" s="357">
        <v>0.2559</v>
      </c>
      <c r="F98" s="359">
        <f t="shared" si="22"/>
        <v>9567.548809479604</v>
      </c>
    </row>
    <row r="99" spans="1:6" ht="12.75">
      <c r="A99" s="90" t="s">
        <v>118</v>
      </c>
      <c r="B99" s="105"/>
      <c r="C99" s="360"/>
      <c r="D99" s="340"/>
      <c r="E99" s="356"/>
      <c r="F99" s="111">
        <f>SUM(F92:F98)</f>
        <v>84023.53222832894</v>
      </c>
    </row>
    <row r="100" spans="1:2" ht="12.75">
      <c r="A100" s="101"/>
      <c r="B100" s="102"/>
    </row>
    <row r="101" spans="1:2" ht="12.75">
      <c r="A101" s="468">
        <v>2013</v>
      </c>
      <c r="B101" s="469"/>
    </row>
    <row r="102" spans="1:2" ht="12.75">
      <c r="A102" s="103" t="s">
        <v>131</v>
      </c>
      <c r="B102" s="104">
        <f>F21+F32</f>
        <v>12196003.097525273</v>
      </c>
    </row>
    <row r="103" spans="1:2" ht="12.75">
      <c r="A103" s="103" t="s">
        <v>132</v>
      </c>
      <c r="B103" s="100">
        <f>F65</f>
        <v>797511.0357766574</v>
      </c>
    </row>
    <row r="104" spans="1:2" ht="12.75">
      <c r="A104" s="103" t="s">
        <v>133</v>
      </c>
      <c r="B104" s="100">
        <f>F43</f>
        <v>880409.2332885617</v>
      </c>
    </row>
    <row r="105" spans="1:2" ht="12.75">
      <c r="A105" s="103" t="s">
        <v>134</v>
      </c>
      <c r="B105" s="100">
        <f>F54</f>
        <v>690606.7898463288</v>
      </c>
    </row>
    <row r="106" spans="1:2" ht="12.75">
      <c r="A106" s="103" t="s">
        <v>135</v>
      </c>
      <c r="B106" s="100">
        <f>F76</f>
        <v>168704.25756813912</v>
      </c>
    </row>
    <row r="107" spans="1:2" ht="12.75">
      <c r="A107" s="103" t="s">
        <v>313</v>
      </c>
      <c r="B107" s="104">
        <f>F87</f>
        <v>68071.42956682185</v>
      </c>
    </row>
    <row r="108" spans="1:2" ht="12.75">
      <c r="A108" s="103" t="s">
        <v>136</v>
      </c>
      <c r="B108" s="104">
        <f>F99</f>
        <v>84023.53222832894</v>
      </c>
    </row>
    <row r="109" spans="1:2" ht="12.75">
      <c r="A109" s="91" t="s">
        <v>118</v>
      </c>
      <c r="B109" s="374">
        <f>SUM(B102:B108)</f>
        <v>14885329.37580011</v>
      </c>
    </row>
  </sheetData>
  <sheetProtection/>
  <mergeCells count="13">
    <mergeCell ref="B12:B13"/>
    <mergeCell ref="C12:C13"/>
    <mergeCell ref="D13:F13"/>
    <mergeCell ref="D35:F35"/>
    <mergeCell ref="B23:B24"/>
    <mergeCell ref="A101:B101"/>
    <mergeCell ref="C23:C24"/>
    <mergeCell ref="D24:F24"/>
    <mergeCell ref="D91:F91"/>
    <mergeCell ref="D68:F68"/>
    <mergeCell ref="D46:F46"/>
    <mergeCell ref="D57:F57"/>
    <mergeCell ref="D79:F7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B1">
      <selection activeCell="D6" sqref="D6"/>
    </sheetView>
  </sheetViews>
  <sheetFormatPr defaultColWidth="9.140625" defaultRowHeight="12.75"/>
  <cols>
    <col min="1" max="1" width="3.57421875" style="0" customWidth="1"/>
    <col min="2" max="2" width="41.7109375" style="0" customWidth="1"/>
    <col min="3" max="3" width="7.57421875" style="0" customWidth="1"/>
    <col min="4" max="4" width="16.57421875" style="0" customWidth="1"/>
    <col min="5" max="5" width="12.28125" style="0" customWidth="1"/>
    <col min="6" max="8" width="12.140625" style="0" customWidth="1"/>
    <col min="9" max="9" width="12.00390625" style="0" customWidth="1"/>
    <col min="10" max="11" width="12.28125" style="0" bestFit="1" customWidth="1"/>
    <col min="12" max="12" width="7.140625" style="0" customWidth="1"/>
  </cols>
  <sheetData>
    <row r="1" spans="4:9" ht="12.75">
      <c r="D1" s="169"/>
      <c r="E1" s="169">
        <v>2007</v>
      </c>
      <c r="F1" s="169">
        <v>2008</v>
      </c>
      <c r="G1" s="169">
        <v>2009</v>
      </c>
      <c r="H1" s="169">
        <v>2010</v>
      </c>
      <c r="I1" s="169">
        <v>2011</v>
      </c>
    </row>
    <row r="2" spans="2:10" ht="12.75">
      <c r="B2" s="170" t="s">
        <v>181</v>
      </c>
      <c r="D2" s="171"/>
      <c r="E2" s="171">
        <f>'[22]App.2-R_Loss Factors'!C$17</f>
        <v>157122111.5</v>
      </c>
      <c r="F2" s="171">
        <f>'[22]App.2-R_Loss Factors'!D$17</f>
        <v>161716845.1</v>
      </c>
      <c r="G2" s="171">
        <f>'[22]App.2-R_Loss Factors'!E$17</f>
        <v>153664849.39</v>
      </c>
      <c r="H2" s="171">
        <f>'[22]App.2-R_Loss Factors'!F$17</f>
        <v>155715325.54</v>
      </c>
      <c r="I2" s="171">
        <f>'[22]App.2-R_Loss Factors'!G$17</f>
        <v>156683055.83</v>
      </c>
      <c r="J2" s="171">
        <f>AVERAGE(E2:I2)</f>
        <v>156980437.472</v>
      </c>
    </row>
    <row r="4" spans="2:10" ht="12.75">
      <c r="B4" s="172" t="s">
        <v>182</v>
      </c>
      <c r="D4" s="157"/>
      <c r="E4" s="157">
        <f>'[22]App.2-R_Loss Factors'!C$18</f>
        <v>154991026.41</v>
      </c>
      <c r="F4" s="157">
        <f>'[22]App.2-R_Loss Factors'!D$18</f>
        <v>159504886.31</v>
      </c>
      <c r="G4" s="157">
        <f>'[22]App.2-R_Loss Factors'!E$18</f>
        <v>151573964.49</v>
      </c>
      <c r="H4" s="157">
        <f>'[22]App.2-R_Loss Factors'!F$18</f>
        <v>153540168.89</v>
      </c>
      <c r="I4" s="157">
        <f>'[22]App.2-R_Loss Factors'!G$18</f>
        <v>154560363.84</v>
      </c>
      <c r="J4" s="171">
        <f>AVERAGE(E4:I4)</f>
        <v>154834081.988</v>
      </c>
    </row>
    <row r="6" spans="2:9" ht="12.75">
      <c r="B6" s="173" t="s">
        <v>183</v>
      </c>
      <c r="C6" s="20"/>
      <c r="D6" s="88"/>
      <c r="E6" s="338">
        <f>E2/E4</f>
        <v>1.01374973209328</v>
      </c>
      <c r="F6" s="338">
        <f>F2/F4</f>
        <v>1.0138676553500752</v>
      </c>
      <c r="G6" s="338">
        <f>G2/G4</f>
        <v>1.0137944857946757</v>
      </c>
      <c r="H6" s="338">
        <f>H2/H4</f>
        <v>1.0141666943948613</v>
      </c>
      <c r="I6" s="338">
        <f>I2/I4</f>
        <v>1.0137337408974878</v>
      </c>
    </row>
    <row r="10" spans="4:11" ht="12.75">
      <c r="D10" s="174"/>
      <c r="E10" s="174"/>
      <c r="F10" s="174"/>
      <c r="G10" s="174"/>
      <c r="H10" s="174"/>
      <c r="I10" s="174"/>
      <c r="J10" s="170" t="s">
        <v>184</v>
      </c>
      <c r="K10" s="171"/>
    </row>
    <row r="11" spans="1:10" ht="15">
      <c r="A11" s="172"/>
      <c r="B11" s="175" t="s">
        <v>204</v>
      </c>
      <c r="C11" s="172"/>
      <c r="D11" s="176"/>
      <c r="E11" s="176"/>
      <c r="F11" s="176"/>
      <c r="G11" s="176"/>
      <c r="H11" s="176"/>
      <c r="I11" s="176"/>
      <c r="J11" s="172"/>
    </row>
    <row r="12" spans="1:10" ht="12.75">
      <c r="A12" s="172"/>
      <c r="B12" s="172"/>
      <c r="C12" s="172"/>
      <c r="D12" s="172"/>
      <c r="E12" s="172"/>
      <c r="F12" s="172"/>
      <c r="G12" s="172"/>
      <c r="H12" s="172"/>
      <c r="I12" s="172"/>
      <c r="J12" s="177"/>
    </row>
    <row r="13" spans="1:10" ht="12.75">
      <c r="A13" s="172"/>
      <c r="B13" s="173"/>
      <c r="C13" s="172"/>
      <c r="D13" s="169"/>
      <c r="E13" s="169">
        <f>E1</f>
        <v>2007</v>
      </c>
      <c r="F13" s="169">
        <f>F1</f>
        <v>2008</v>
      </c>
      <c r="G13" s="169">
        <f>G1</f>
        <v>2009</v>
      </c>
      <c r="H13" s="169">
        <f>H1</f>
        <v>2010</v>
      </c>
      <c r="I13" s="169">
        <f>I1</f>
        <v>2011</v>
      </c>
      <c r="J13" s="178" t="s">
        <v>307</v>
      </c>
    </row>
    <row r="14" spans="1:10" ht="12.75">
      <c r="A14" s="172" t="s">
        <v>186</v>
      </c>
      <c r="B14" s="172" t="s">
        <v>182</v>
      </c>
      <c r="C14" s="172"/>
      <c r="D14" s="179"/>
      <c r="E14" s="179">
        <f>E4</f>
        <v>154991026.41</v>
      </c>
      <c r="F14" s="179">
        <f>F4</f>
        <v>159504886.31</v>
      </c>
      <c r="G14" s="179">
        <f>G4</f>
        <v>151573964.49</v>
      </c>
      <c r="H14" s="179">
        <f>H4</f>
        <v>153540168.89</v>
      </c>
      <c r="I14" s="179">
        <f>I4</f>
        <v>154560363.84</v>
      </c>
      <c r="J14" s="171">
        <f>AVERAGE(E14:I14)</f>
        <v>154834081.988</v>
      </c>
    </row>
    <row r="15" spans="1:10" ht="12.75">
      <c r="A15" s="172" t="s">
        <v>140</v>
      </c>
      <c r="B15" s="172" t="s">
        <v>205</v>
      </c>
      <c r="C15" s="172"/>
      <c r="D15" s="179"/>
      <c r="E15" s="179"/>
      <c r="F15" s="179"/>
      <c r="G15" s="179"/>
      <c r="H15" s="179"/>
      <c r="I15" s="179"/>
      <c r="J15" s="180"/>
    </row>
    <row r="16" spans="1:11" ht="12.75">
      <c r="A16" s="172" t="s">
        <v>141</v>
      </c>
      <c r="B16" s="172" t="s">
        <v>187</v>
      </c>
      <c r="C16" s="172"/>
      <c r="D16" s="181"/>
      <c r="E16" s="181">
        <f>SUM(E14:E15)</f>
        <v>154991026.41</v>
      </c>
      <c r="F16" s="181">
        <f>SUM(F14:F15)</f>
        <v>159504886.31</v>
      </c>
      <c r="G16" s="181">
        <f>SUM(G14:G15)</f>
        <v>151573964.49</v>
      </c>
      <c r="H16" s="181">
        <f>SUM(H14:H15)</f>
        <v>153540168.89</v>
      </c>
      <c r="I16" s="181">
        <f>SUM(I14:I15)</f>
        <v>154560363.84</v>
      </c>
      <c r="J16" s="182">
        <f>J14-J15</f>
        <v>154834081.988</v>
      </c>
      <c r="K16" s="171"/>
    </row>
    <row r="17" spans="1:10" ht="12.75">
      <c r="A17" s="172"/>
      <c r="B17" s="172"/>
      <c r="C17" s="172"/>
      <c r="D17" s="183"/>
      <c r="E17" s="183"/>
      <c r="F17" s="183"/>
      <c r="G17" s="183"/>
      <c r="H17" s="183"/>
      <c r="I17" s="183"/>
      <c r="J17" s="172"/>
    </row>
    <row r="18" spans="1:10" ht="12.75">
      <c r="A18" s="172" t="s">
        <v>142</v>
      </c>
      <c r="B18" s="172" t="s">
        <v>188</v>
      </c>
      <c r="C18" s="172"/>
      <c r="D18" s="179"/>
      <c r="E18" s="179">
        <f>Summary!F8</f>
        <v>147391975.82999998</v>
      </c>
      <c r="F18" s="179">
        <f>Summary!G8</f>
        <v>154151697.38</v>
      </c>
      <c r="G18" s="179">
        <f>Summary!H8</f>
        <v>146583990.21</v>
      </c>
      <c r="H18" s="179">
        <f>Summary!I8</f>
        <v>149244340.79</v>
      </c>
      <c r="I18" s="179">
        <f>Summary!J8</f>
        <v>146044788.99</v>
      </c>
      <c r="J18" s="171">
        <f>AVERAGE(E18:I18)</f>
        <v>148683358.64</v>
      </c>
    </row>
    <row r="19" spans="1:10" ht="12.75">
      <c r="A19" s="172" t="s">
        <v>143</v>
      </c>
      <c r="B19" s="337" t="s">
        <v>310</v>
      </c>
      <c r="C19" s="172"/>
      <c r="D19" s="182"/>
      <c r="E19" s="182">
        <f>SUM('[21]101706'!$F$61:$F$72)</f>
        <v>598875.2</v>
      </c>
      <c r="F19" s="182">
        <f>SUM('[21]101706'!$F$73:$F$84)</f>
        <v>666648</v>
      </c>
      <c r="G19" s="182">
        <f>SUM('[21]101706'!$F$85:$F$96)</f>
        <v>193176</v>
      </c>
      <c r="H19" s="182">
        <f>SUM('[21]101706'!$F$97:$F$108)</f>
        <v>198544</v>
      </c>
      <c r="I19" s="182">
        <f>SUM('[21]101706'!$F$109:$F$120)</f>
        <v>241288</v>
      </c>
      <c r="J19" s="171">
        <f>AVERAGE(E19:I19)</f>
        <v>379706.24</v>
      </c>
    </row>
    <row r="20" spans="1:11" ht="12.75">
      <c r="A20" s="172" t="s">
        <v>33</v>
      </c>
      <c r="B20" s="172" t="s">
        <v>189</v>
      </c>
      <c r="C20" s="172"/>
      <c r="D20" s="184"/>
      <c r="E20" s="184">
        <f aca="true" t="shared" si="0" ref="E20:J20">SUM(E18:E19)</f>
        <v>147990851.02999997</v>
      </c>
      <c r="F20" s="184">
        <f t="shared" si="0"/>
        <v>154818345.38</v>
      </c>
      <c r="G20" s="184">
        <f t="shared" si="0"/>
        <v>146777166.21</v>
      </c>
      <c r="H20" s="184">
        <f t="shared" si="0"/>
        <v>149442884.79</v>
      </c>
      <c r="I20" s="184">
        <f t="shared" si="0"/>
        <v>146286076.99</v>
      </c>
      <c r="J20" s="184">
        <f t="shared" si="0"/>
        <v>149063064.88</v>
      </c>
      <c r="K20" s="171"/>
    </row>
    <row r="21" spans="1:10" ht="12.75">
      <c r="A21" s="172"/>
      <c r="B21" s="172"/>
      <c r="C21" s="172"/>
      <c r="D21" s="185"/>
      <c r="E21" s="185"/>
      <c r="F21" s="185"/>
      <c r="G21" s="185"/>
      <c r="H21" s="185"/>
      <c r="I21" s="185"/>
      <c r="J21" s="186" t="s">
        <v>308</v>
      </c>
    </row>
    <row r="22" spans="1:12" ht="12.75">
      <c r="A22" s="172" t="s">
        <v>145</v>
      </c>
      <c r="B22" s="172" t="s">
        <v>191</v>
      </c>
      <c r="C22" s="172"/>
      <c r="D22" s="187"/>
      <c r="E22" s="187">
        <f>E16/E20</f>
        <v>1.047301406345592</v>
      </c>
      <c r="F22" s="187">
        <f>F16/F20</f>
        <v>1.0302712247601984</v>
      </c>
      <c r="G22" s="187">
        <f>G16/G20</f>
        <v>1.0326808208923792</v>
      </c>
      <c r="H22" s="187">
        <f>H16/H20</f>
        <v>1.0274170570633563</v>
      </c>
      <c r="I22" s="187">
        <f>I16/I20</f>
        <v>1.05656236752159</v>
      </c>
      <c r="J22" s="190">
        <f>AVERAGE(E22:I22)</f>
        <v>1.0388465753166234</v>
      </c>
      <c r="K22" s="187"/>
      <c r="L22" s="196">
        <f>J22-1</f>
        <v>0.03884657531662339</v>
      </c>
    </row>
    <row r="23" spans="1:10" ht="12.75">
      <c r="A23" s="172"/>
      <c r="B23" s="172"/>
      <c r="C23" s="188"/>
      <c r="D23" s="187"/>
      <c r="E23" s="187"/>
      <c r="F23" s="187"/>
      <c r="G23" s="189"/>
      <c r="H23" s="189"/>
      <c r="I23" s="189"/>
      <c r="J23" s="172"/>
    </row>
    <row r="24" spans="1:10" ht="12.75">
      <c r="A24" s="172" t="s">
        <v>146</v>
      </c>
      <c r="B24" s="172" t="s">
        <v>183</v>
      </c>
      <c r="C24" s="172"/>
      <c r="D24" s="187"/>
      <c r="E24" s="187">
        <f>E6</f>
        <v>1.01374973209328</v>
      </c>
      <c r="F24" s="187">
        <f>F6</f>
        <v>1.0138676553500752</v>
      </c>
      <c r="G24" s="187">
        <f>G6</f>
        <v>1.0137944857946757</v>
      </c>
      <c r="H24" s="187">
        <f>H6</f>
        <v>1.0141666943948613</v>
      </c>
      <c r="I24" s="187">
        <f>I6</f>
        <v>1.0137337408974878</v>
      </c>
      <c r="J24" s="190">
        <f>AVERAGE(E24:I24)</f>
        <v>1.0138624617060759</v>
      </c>
    </row>
    <row r="25" spans="1:10" ht="12.75">
      <c r="A25" s="172"/>
      <c r="B25" s="172"/>
      <c r="C25" s="172"/>
      <c r="D25" s="187"/>
      <c r="E25" s="187"/>
      <c r="F25" s="187"/>
      <c r="G25" s="187"/>
      <c r="H25" s="187"/>
      <c r="I25" s="187"/>
      <c r="J25" s="190"/>
    </row>
    <row r="26" spans="1:10" ht="12.75">
      <c r="A26" s="172"/>
      <c r="B26" s="172" t="s">
        <v>195</v>
      </c>
      <c r="C26" s="172"/>
      <c r="D26" s="187"/>
      <c r="E26" s="187">
        <f>E24*E22</f>
        <v>1.0617015201037594</v>
      </c>
      <c r="F26" s="187">
        <f>F24*F22</f>
        <v>1.0445586710222727</v>
      </c>
      <c r="G26" s="187">
        <f>G24*G22</f>
        <v>1.0469261218066133</v>
      </c>
      <c r="H26" s="187">
        <f>H24*H22</f>
        <v>1.0419721605268406</v>
      </c>
      <c r="I26" s="187">
        <f>I24*I22</f>
        <v>1.0710729213191679</v>
      </c>
      <c r="J26" s="172"/>
    </row>
    <row r="27" spans="1:10" ht="12.75">
      <c r="A27" s="172"/>
      <c r="B27" s="172"/>
      <c r="C27" s="172"/>
      <c r="D27" s="172"/>
      <c r="E27" s="172"/>
      <c r="F27" s="172"/>
      <c r="G27" s="172"/>
      <c r="H27" s="172"/>
      <c r="I27" s="172"/>
      <c r="J27" s="172"/>
    </row>
    <row r="28" spans="1:10" ht="12.75">
      <c r="A28" s="172"/>
      <c r="B28" s="191" t="s">
        <v>192</v>
      </c>
      <c r="C28" s="192" t="s">
        <v>193</v>
      </c>
      <c r="D28" s="172"/>
      <c r="E28" s="172"/>
      <c r="F28" s="172"/>
      <c r="G28" s="172"/>
      <c r="H28" s="172"/>
      <c r="I28" s="172"/>
      <c r="J28" s="190"/>
    </row>
    <row r="29" spans="1:10" ht="12.75">
      <c r="A29" s="172"/>
      <c r="B29" s="172"/>
      <c r="C29" s="172"/>
      <c r="D29" s="172" t="s">
        <v>309</v>
      </c>
      <c r="E29" s="172"/>
      <c r="F29" s="172"/>
      <c r="G29" s="172"/>
      <c r="H29" s="172"/>
      <c r="I29" s="172"/>
      <c r="J29" s="172"/>
    </row>
    <row r="30" spans="1:12" ht="12.75">
      <c r="A30" s="172"/>
      <c r="B30" s="172" t="s">
        <v>183</v>
      </c>
      <c r="C30" s="193">
        <f>J24</f>
        <v>1.0138624617060759</v>
      </c>
      <c r="D30" s="194"/>
      <c r="E30" s="194"/>
      <c r="F30" s="194"/>
      <c r="G30" s="194"/>
      <c r="H30" s="194"/>
      <c r="I30" s="172"/>
      <c r="J30" s="172"/>
      <c r="L30" s="170"/>
    </row>
    <row r="31" spans="1:10" ht="12.75">
      <c r="A31" s="172"/>
      <c r="B31" s="172"/>
      <c r="C31" s="172"/>
      <c r="D31" s="194"/>
      <c r="E31" s="194"/>
      <c r="F31" s="194"/>
      <c r="G31" s="194"/>
      <c r="H31" s="194"/>
      <c r="I31" s="172"/>
      <c r="J31" s="172"/>
    </row>
    <row r="32" spans="1:12" ht="12.75">
      <c r="A32" s="172"/>
      <c r="B32" s="172" t="s">
        <v>194</v>
      </c>
      <c r="C32" s="187">
        <f>J22</f>
        <v>1.0388465753166234</v>
      </c>
      <c r="D32" s="195"/>
      <c r="E32" s="194"/>
      <c r="F32" s="194"/>
      <c r="G32" s="194"/>
      <c r="H32" s="194"/>
      <c r="I32" s="172"/>
      <c r="J32" s="172"/>
      <c r="L32" s="196"/>
    </row>
    <row r="33" spans="1:10" ht="12.75">
      <c r="A33" s="172"/>
      <c r="B33" s="172"/>
      <c r="C33" s="172"/>
      <c r="D33" s="194"/>
      <c r="E33" s="194"/>
      <c r="F33" s="194"/>
      <c r="G33" s="194"/>
      <c r="H33" s="194"/>
      <c r="I33" s="194"/>
      <c r="J33" s="172"/>
    </row>
    <row r="34" spans="1:10" ht="12.75">
      <c r="A34" s="172"/>
      <c r="B34" s="197" t="s">
        <v>195</v>
      </c>
      <c r="C34" s="172"/>
      <c r="D34" s="198"/>
      <c r="E34" s="194"/>
      <c r="F34" s="194"/>
      <c r="G34" s="194"/>
      <c r="H34" s="197"/>
      <c r="I34" s="194"/>
      <c r="J34" s="172"/>
    </row>
    <row r="35" spans="1:10" ht="12.75">
      <c r="A35" s="172"/>
      <c r="B35" s="197" t="s">
        <v>196</v>
      </c>
      <c r="C35" s="172"/>
      <c r="D35" s="194"/>
      <c r="E35" s="33"/>
      <c r="F35" s="33"/>
      <c r="G35" s="33"/>
      <c r="H35" s="197"/>
      <c r="I35" s="194"/>
      <c r="J35" s="172"/>
    </row>
    <row r="36" spans="1:10" ht="12.75">
      <c r="A36" s="172"/>
      <c r="B36" s="199" t="s">
        <v>197</v>
      </c>
      <c r="C36" s="193">
        <f>C30*C32</f>
        <v>1.053247546185438</v>
      </c>
      <c r="D36" s="200"/>
      <c r="E36" s="194"/>
      <c r="F36" s="194"/>
      <c r="G36" s="194"/>
      <c r="H36" s="201"/>
      <c r="I36" s="202"/>
      <c r="J36" s="187"/>
    </row>
    <row r="37" spans="1:10" ht="12.75">
      <c r="A37" s="172"/>
      <c r="B37" s="199" t="s">
        <v>198</v>
      </c>
      <c r="C37" s="203" t="s">
        <v>199</v>
      </c>
      <c r="D37" s="172"/>
      <c r="E37" s="172"/>
      <c r="F37" s="172"/>
      <c r="G37" s="172"/>
      <c r="H37" s="172"/>
      <c r="I37" s="172"/>
      <c r="J37" s="172"/>
    </row>
    <row r="38" spans="1:10" ht="12.75">
      <c r="A38" s="172"/>
      <c r="B38" s="197"/>
      <c r="C38" s="172"/>
      <c r="D38" s="172"/>
      <c r="E38" s="172"/>
      <c r="F38" s="172"/>
      <c r="G38" s="172"/>
      <c r="H38" s="172"/>
      <c r="I38" s="172"/>
      <c r="J38" s="172"/>
    </row>
    <row r="39" spans="1:9" ht="12.75">
      <c r="A39" s="172"/>
      <c r="B39" s="197" t="s">
        <v>200</v>
      </c>
      <c r="C39" s="172"/>
      <c r="D39" s="172"/>
      <c r="E39" s="172"/>
      <c r="F39" s="172"/>
      <c r="G39" s="172"/>
      <c r="H39" s="197"/>
      <c r="I39" s="172"/>
    </row>
    <row r="40" spans="1:10" ht="12.75">
      <c r="A40" s="172"/>
      <c r="B40" s="199" t="s">
        <v>201</v>
      </c>
      <c r="C40" s="193">
        <f>C36*0.99</f>
        <v>1.0427150707235837</v>
      </c>
      <c r="D40" s="172"/>
      <c r="E40" s="172"/>
      <c r="F40" s="172"/>
      <c r="G40" s="172"/>
      <c r="H40" s="201"/>
      <c r="I40" s="172"/>
      <c r="J40" s="187"/>
    </row>
    <row r="41" spans="1:10" ht="12.75">
      <c r="A41" s="172"/>
      <c r="B41" s="199" t="s">
        <v>202</v>
      </c>
      <c r="C41" s="203" t="s">
        <v>199</v>
      </c>
      <c r="D41" s="172"/>
      <c r="E41" s="172"/>
      <c r="F41" s="172"/>
      <c r="G41" s="172"/>
      <c r="H41" s="172"/>
      <c r="I41" s="172"/>
      <c r="J41" s="172"/>
    </row>
    <row r="42" spans="1:10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B1">
      <selection activeCell="F7" sqref="F7"/>
    </sheetView>
  </sheetViews>
  <sheetFormatPr defaultColWidth="9.140625" defaultRowHeight="12.75"/>
  <cols>
    <col min="1" max="1" width="3.57421875" style="0" customWidth="1"/>
    <col min="2" max="2" width="41.7109375" style="0" customWidth="1"/>
    <col min="3" max="3" width="7.57421875" style="0" customWidth="1"/>
    <col min="4" max="4" width="16.57421875" style="0" customWidth="1"/>
    <col min="5" max="5" width="16.140625" style="0" customWidth="1"/>
    <col min="6" max="8" width="12.140625" style="0" customWidth="1"/>
    <col min="9" max="9" width="12.00390625" style="0" customWidth="1"/>
    <col min="10" max="10" width="11.8515625" style="0" customWidth="1"/>
    <col min="11" max="11" width="12.28125" style="0" bestFit="1" customWidth="1"/>
    <col min="12" max="12" width="7.140625" style="0" customWidth="1"/>
  </cols>
  <sheetData>
    <row r="1" spans="4:9" ht="12.75">
      <c r="D1" s="169">
        <v>2006</v>
      </c>
      <c r="E1" s="169">
        <v>2007</v>
      </c>
      <c r="F1" s="169">
        <v>2008</v>
      </c>
      <c r="G1" s="169">
        <v>2009</v>
      </c>
      <c r="H1" s="169">
        <v>2010</v>
      </c>
      <c r="I1" s="169">
        <v>2011</v>
      </c>
    </row>
    <row r="2" spans="2:9" ht="12.75">
      <c r="B2" s="170" t="s">
        <v>181</v>
      </c>
      <c r="D2" s="171">
        <f aca="true" t="shared" si="0" ref="D2:I2">D10</f>
        <v>156266197.978</v>
      </c>
      <c r="E2" s="171">
        <v>158318134</v>
      </c>
      <c r="F2" s="171">
        <v>161716845</v>
      </c>
      <c r="G2" s="171">
        <v>154290359</v>
      </c>
      <c r="H2" s="171">
        <f t="shared" si="0"/>
        <v>155732492.048</v>
      </c>
      <c r="I2" s="171">
        <f t="shared" si="0"/>
        <v>153880598.584</v>
      </c>
    </row>
    <row r="4" spans="2:9" ht="12.75">
      <c r="B4" s="172" t="s">
        <v>182</v>
      </c>
      <c r="D4" s="157">
        <f aca="true" t="shared" si="1" ref="D4:I4">D2/D6</f>
        <v>154113027.08422118</v>
      </c>
      <c r="E4" s="157">
        <v>156206349</v>
      </c>
      <c r="F4" s="157">
        <f t="shared" si="1"/>
        <v>159504886.20351347</v>
      </c>
      <c r="G4" s="157">
        <v>152199474</v>
      </c>
      <c r="H4" s="157">
        <f t="shared" si="1"/>
        <v>153557006.1474509</v>
      </c>
      <c r="I4" s="157">
        <f t="shared" si="1"/>
        <v>151795105.8588923</v>
      </c>
    </row>
    <row r="5" ht="12.75">
      <c r="E5" s="336">
        <f>E2/E6</f>
        <v>156170601.91217944</v>
      </c>
    </row>
    <row r="6" spans="2:9" ht="12.75">
      <c r="B6" s="173" t="s">
        <v>183</v>
      </c>
      <c r="C6" s="20"/>
      <c r="D6" s="88">
        <v>1.013971375</v>
      </c>
      <c r="E6" s="88">
        <f>1.013751193</f>
        <v>1.013751193</v>
      </c>
      <c r="F6" s="88">
        <v>1.0138676554</v>
      </c>
      <c r="G6" s="88">
        <v>1.0137944851</v>
      </c>
      <c r="H6" s="88">
        <v>1.0141672852</v>
      </c>
      <c r="I6" s="88">
        <v>1.0137388667</v>
      </c>
    </row>
    <row r="7" ht="12.75">
      <c r="E7" s="336">
        <f>E5-E4</f>
        <v>-35747.08782055974</v>
      </c>
    </row>
    <row r="10" spans="4:11" ht="12.75">
      <c r="D10" s="174">
        <f>'Purchased Power Model '!B151</f>
        <v>156266197.978</v>
      </c>
      <c r="E10" s="174">
        <f>'Purchased Power Model '!B152</f>
        <v>157654073.6752</v>
      </c>
      <c r="F10" s="174">
        <f>'Purchased Power Model '!B153</f>
        <v>161127401.552</v>
      </c>
      <c r="G10" s="174">
        <f>'Purchased Power Model '!B154</f>
        <v>154109568.608</v>
      </c>
      <c r="H10" s="174">
        <f>'Purchased Power Model '!B155</f>
        <v>155732492.048</v>
      </c>
      <c r="I10" s="174">
        <f>'Purchased Power Model '!B156</f>
        <v>153880598.584</v>
      </c>
      <c r="J10" s="170" t="s">
        <v>184</v>
      </c>
      <c r="K10" s="171"/>
    </row>
    <row r="11" spans="1:10" ht="15">
      <c r="A11" s="172"/>
      <c r="B11" s="175" t="s">
        <v>204</v>
      </c>
      <c r="C11" s="172"/>
      <c r="D11" s="176"/>
      <c r="E11" s="176"/>
      <c r="F11" s="176"/>
      <c r="G11" s="176"/>
      <c r="H11" s="176"/>
      <c r="I11" s="176"/>
      <c r="J11" s="172"/>
    </row>
    <row r="12" spans="1:10" ht="12.75">
      <c r="A12" s="172"/>
      <c r="B12" s="172"/>
      <c r="C12" s="172"/>
      <c r="D12" s="172"/>
      <c r="E12" s="172"/>
      <c r="F12" s="172"/>
      <c r="G12" s="172"/>
      <c r="H12" s="172"/>
      <c r="I12" s="172"/>
      <c r="J12" s="177"/>
    </row>
    <row r="13" spans="1:10" ht="12.75">
      <c r="A13" s="172"/>
      <c r="B13" s="173"/>
      <c r="C13" s="172"/>
      <c r="D13" s="169">
        <f aca="true" t="shared" si="2" ref="D13:I13">D1</f>
        <v>2006</v>
      </c>
      <c r="E13" s="169">
        <f t="shared" si="2"/>
        <v>2007</v>
      </c>
      <c r="F13" s="169">
        <f t="shared" si="2"/>
        <v>2008</v>
      </c>
      <c r="G13" s="169">
        <f t="shared" si="2"/>
        <v>2009</v>
      </c>
      <c r="H13" s="169">
        <f t="shared" si="2"/>
        <v>2010</v>
      </c>
      <c r="I13" s="169">
        <f t="shared" si="2"/>
        <v>2011</v>
      </c>
      <c r="J13" s="178" t="s">
        <v>185</v>
      </c>
    </row>
    <row r="14" spans="1:10" ht="12.75">
      <c r="A14" s="172" t="s">
        <v>186</v>
      </c>
      <c r="B14" s="172" t="s">
        <v>182</v>
      </c>
      <c r="C14" s="172"/>
      <c r="D14" s="179">
        <f aca="true" t="shared" si="3" ref="D14:I14">D4</f>
        <v>154113027.08422118</v>
      </c>
      <c r="E14" s="179">
        <f t="shared" si="3"/>
        <v>156206349</v>
      </c>
      <c r="F14" s="179">
        <f t="shared" si="3"/>
        <v>159504886.20351347</v>
      </c>
      <c r="G14" s="179">
        <f t="shared" si="3"/>
        <v>152199474</v>
      </c>
      <c r="H14" s="179">
        <f t="shared" si="3"/>
        <v>153557006.1474509</v>
      </c>
      <c r="I14" s="179">
        <f t="shared" si="3"/>
        <v>151795105.8588923</v>
      </c>
      <c r="J14" s="172"/>
    </row>
    <row r="15" spans="1:10" ht="12.75">
      <c r="A15" s="172" t="s">
        <v>140</v>
      </c>
      <c r="B15" s="172" t="s">
        <v>205</v>
      </c>
      <c r="C15" s="172"/>
      <c r="D15" s="179"/>
      <c r="E15" s="179"/>
      <c r="F15" s="179"/>
      <c r="G15" s="179"/>
      <c r="H15" s="179"/>
      <c r="I15" s="179"/>
      <c r="J15" s="180"/>
    </row>
    <row r="16" spans="1:11" ht="12.75">
      <c r="A16" s="172" t="s">
        <v>141</v>
      </c>
      <c r="B16" s="172" t="s">
        <v>187</v>
      </c>
      <c r="C16" s="172"/>
      <c r="D16" s="181">
        <f aca="true" t="shared" si="4" ref="D16:I16">SUM(D14:D15)</f>
        <v>154113027.08422118</v>
      </c>
      <c r="E16" s="181">
        <f t="shared" si="4"/>
        <v>156206349</v>
      </c>
      <c r="F16" s="181">
        <f t="shared" si="4"/>
        <v>159504886.20351347</v>
      </c>
      <c r="G16" s="181">
        <f t="shared" si="4"/>
        <v>152199474</v>
      </c>
      <c r="H16" s="181">
        <f t="shared" si="4"/>
        <v>153557006.1474509</v>
      </c>
      <c r="I16" s="181">
        <f t="shared" si="4"/>
        <v>151795105.8588923</v>
      </c>
      <c r="J16" s="182">
        <f>SUM(D16:I16)</f>
        <v>927375848.2940779</v>
      </c>
      <c r="K16" s="171"/>
    </row>
    <row r="17" spans="1:10" ht="12.75">
      <c r="A17" s="172"/>
      <c r="B17" s="172"/>
      <c r="C17" s="172"/>
      <c r="D17" s="183"/>
      <c r="E17" s="183"/>
      <c r="F17" s="183"/>
      <c r="G17" s="183"/>
      <c r="H17" s="183"/>
      <c r="I17" s="183"/>
      <c r="J17" s="172"/>
    </row>
    <row r="18" spans="1:10" ht="12.75">
      <c r="A18" s="172" t="s">
        <v>142</v>
      </c>
      <c r="B18" s="172" t="s">
        <v>188</v>
      </c>
      <c r="C18" s="172"/>
      <c r="D18" s="179">
        <f>Summary!E8</f>
        <v>150002322.27944702</v>
      </c>
      <c r="E18" s="179">
        <f>Summary!F8</f>
        <v>147391975.82999998</v>
      </c>
      <c r="F18" s="179">
        <f>Summary!G8</f>
        <v>154151697.38</v>
      </c>
      <c r="G18" s="179">
        <f>Summary!H8</f>
        <v>146583990.21</v>
      </c>
      <c r="H18" s="179">
        <f>Summary!I8</f>
        <v>149244340.79</v>
      </c>
      <c r="I18" s="179">
        <f>Summary!J8</f>
        <v>146044788.99</v>
      </c>
      <c r="J18" s="182">
        <f>SUM(D18:I18)</f>
        <v>893419115.479447</v>
      </c>
    </row>
    <row r="19" spans="1:10" ht="25.5">
      <c r="A19" s="172" t="s">
        <v>143</v>
      </c>
      <c r="B19" s="204" t="s">
        <v>144</v>
      </c>
      <c r="C19" s="172"/>
      <c r="D19" s="182"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0"/>
    </row>
    <row r="20" spans="1:11" ht="12.75">
      <c r="A20" s="172" t="s">
        <v>33</v>
      </c>
      <c r="B20" s="172" t="s">
        <v>189</v>
      </c>
      <c r="C20" s="172"/>
      <c r="D20" s="184">
        <f aca="true" t="shared" si="5" ref="D20:I20">SUM(D18:D19)</f>
        <v>150002322.27944702</v>
      </c>
      <c r="E20" s="184">
        <f t="shared" si="5"/>
        <v>147391975.82999998</v>
      </c>
      <c r="F20" s="184">
        <f t="shared" si="5"/>
        <v>154151697.38</v>
      </c>
      <c r="G20" s="184">
        <f t="shared" si="5"/>
        <v>146583990.21</v>
      </c>
      <c r="H20" s="184">
        <f t="shared" si="5"/>
        <v>149244340.79</v>
      </c>
      <c r="I20" s="184">
        <f t="shared" si="5"/>
        <v>146044788.99</v>
      </c>
      <c r="J20" s="172"/>
      <c r="K20" s="171"/>
    </row>
    <row r="21" spans="1:10" ht="12.75">
      <c r="A21" s="172"/>
      <c r="B21" s="172"/>
      <c r="C21" s="172"/>
      <c r="D21" s="185"/>
      <c r="E21" s="185"/>
      <c r="F21" s="185"/>
      <c r="G21" s="185"/>
      <c r="H21" s="185"/>
      <c r="I21" s="185"/>
      <c r="J21" s="186" t="s">
        <v>190</v>
      </c>
    </row>
    <row r="22" spans="1:11" ht="12.75">
      <c r="A22" s="172" t="s">
        <v>145</v>
      </c>
      <c r="B22" s="172" t="s">
        <v>191</v>
      </c>
      <c r="C22" s="172"/>
      <c r="D22" s="187">
        <f aca="true" t="shared" si="6" ref="D22:I22">D16/D20</f>
        <v>1.0274042744292726</v>
      </c>
      <c r="E22" s="187">
        <f t="shared" si="6"/>
        <v>1.0598022593859953</v>
      </c>
      <c r="F22" s="187">
        <f t="shared" si="6"/>
        <v>1.0347267588647908</v>
      </c>
      <c r="G22" s="187">
        <f t="shared" si="6"/>
        <v>1.038308984371043</v>
      </c>
      <c r="H22" s="187">
        <f t="shared" si="6"/>
        <v>1.028896675978617</v>
      </c>
      <c r="I22" s="187">
        <f t="shared" si="6"/>
        <v>1.0393736531694124</v>
      </c>
      <c r="J22" s="190">
        <f>AVERAGE(D22:I22)</f>
        <v>1.0380854343665218</v>
      </c>
      <c r="K22" s="187"/>
    </row>
    <row r="23" spans="1:10" ht="12.75">
      <c r="A23" s="172"/>
      <c r="B23" s="172"/>
      <c r="C23" s="188"/>
      <c r="D23" s="187"/>
      <c r="E23" s="187"/>
      <c r="F23" s="187"/>
      <c r="G23" s="189"/>
      <c r="H23" s="189"/>
      <c r="I23" s="189"/>
      <c r="J23" s="172"/>
    </row>
    <row r="24" spans="1:10" ht="12.75">
      <c r="A24" s="172" t="s">
        <v>146</v>
      </c>
      <c r="B24" s="172" t="s">
        <v>183</v>
      </c>
      <c r="C24" s="172"/>
      <c r="D24" s="187">
        <f aca="true" t="shared" si="7" ref="D24:I24">D6</f>
        <v>1.013971375</v>
      </c>
      <c r="E24" s="187">
        <f t="shared" si="7"/>
        <v>1.013751193</v>
      </c>
      <c r="F24" s="187">
        <f t="shared" si="7"/>
        <v>1.0138676554</v>
      </c>
      <c r="G24" s="187">
        <f t="shared" si="7"/>
        <v>1.0137944851</v>
      </c>
      <c r="H24" s="187">
        <f t="shared" si="7"/>
        <v>1.0141672852</v>
      </c>
      <c r="I24" s="187">
        <f t="shared" si="7"/>
        <v>1.0137388667</v>
      </c>
      <c r="J24" s="190">
        <f>AVERAGE(D24:I24)</f>
        <v>1.0138818100666667</v>
      </c>
    </row>
    <row r="25" spans="1:10" ht="12.75">
      <c r="A25" s="172"/>
      <c r="B25" s="172"/>
      <c r="C25" s="172"/>
      <c r="D25" s="187"/>
      <c r="E25" s="187"/>
      <c r="F25" s="187"/>
      <c r="G25" s="187"/>
      <c r="H25" s="187"/>
      <c r="I25" s="187"/>
      <c r="J25" s="190"/>
    </row>
    <row r="26" spans="1:10" ht="12.75">
      <c r="A26" s="172"/>
      <c r="B26" s="172" t="s">
        <v>195</v>
      </c>
      <c r="C26" s="172"/>
      <c r="D26" s="187">
        <f aca="true" t="shared" si="8" ref="D26:I26">D24*D22</f>
        <v>1.0417585248239267</v>
      </c>
      <c r="E26" s="187">
        <f t="shared" si="8"/>
        <v>1.0743758047966483</v>
      </c>
      <c r="F26" s="187">
        <f t="shared" si="8"/>
        <v>1.0490759929898865</v>
      </c>
      <c r="G26" s="187">
        <f t="shared" si="8"/>
        <v>1.0526319221851455</v>
      </c>
      <c r="H26" s="187">
        <f t="shared" si="8"/>
        <v>1.0434733486285381</v>
      </c>
      <c r="I26" s="187">
        <f t="shared" si="8"/>
        <v>1.0536534692417991</v>
      </c>
      <c r="J26" s="172"/>
    </row>
    <row r="27" spans="1:10" ht="12.75">
      <c r="A27" s="172"/>
      <c r="B27" s="172"/>
      <c r="C27" s="172"/>
      <c r="D27" s="172"/>
      <c r="E27" s="172"/>
      <c r="F27" s="172"/>
      <c r="G27" s="172"/>
      <c r="H27" s="172"/>
      <c r="I27" s="172"/>
      <c r="J27" s="172"/>
    </row>
    <row r="28" spans="1:10" ht="12.75">
      <c r="A28" s="172"/>
      <c r="B28" s="191" t="s">
        <v>192</v>
      </c>
      <c r="C28" s="192" t="s">
        <v>193</v>
      </c>
      <c r="D28" s="172"/>
      <c r="E28" s="172"/>
      <c r="F28" s="172"/>
      <c r="G28" s="172"/>
      <c r="H28" s="172"/>
      <c r="I28" s="172"/>
      <c r="J28" s="190"/>
    </row>
    <row r="29" spans="1:10" ht="12.75">
      <c r="A29" s="172"/>
      <c r="B29" s="172"/>
      <c r="C29" s="172"/>
      <c r="D29" s="172" t="s">
        <v>203</v>
      </c>
      <c r="E29" s="172"/>
      <c r="F29" s="172"/>
      <c r="G29" s="172"/>
      <c r="H29" s="172"/>
      <c r="I29" s="172"/>
      <c r="J29" s="172"/>
    </row>
    <row r="30" spans="1:12" ht="12.75">
      <c r="A30" s="172"/>
      <c r="B30" s="172" t="s">
        <v>183</v>
      </c>
      <c r="C30" s="193">
        <f>J24</f>
        <v>1.0138818100666667</v>
      </c>
      <c r="D30" s="194"/>
      <c r="E30" s="194"/>
      <c r="F30" s="194"/>
      <c r="G30" s="194"/>
      <c r="H30" s="194"/>
      <c r="I30" s="172"/>
      <c r="J30" s="172"/>
      <c r="L30" s="170"/>
    </row>
    <row r="31" spans="1:10" ht="12.75">
      <c r="A31" s="172"/>
      <c r="B31" s="172"/>
      <c r="C31" s="172"/>
      <c r="D31" s="194"/>
      <c r="E31" s="194"/>
      <c r="F31" s="194"/>
      <c r="G31" s="194"/>
      <c r="H31" s="194"/>
      <c r="I31" s="172"/>
      <c r="J31" s="172"/>
    </row>
    <row r="32" spans="1:12" ht="12.75">
      <c r="A32" s="172"/>
      <c r="B32" s="172" t="s">
        <v>194</v>
      </c>
      <c r="C32" s="187">
        <f>J22</f>
        <v>1.0380854343665218</v>
      </c>
      <c r="D32" s="195"/>
      <c r="E32" s="194"/>
      <c r="F32" s="194"/>
      <c r="G32" s="194"/>
      <c r="H32" s="194"/>
      <c r="I32" s="172"/>
      <c r="J32" s="172"/>
      <c r="L32" s="196"/>
    </row>
    <row r="33" spans="1:10" ht="12.75">
      <c r="A33" s="172"/>
      <c r="B33" s="172"/>
      <c r="C33" s="172"/>
      <c r="D33" s="194"/>
      <c r="E33" s="194"/>
      <c r="F33" s="194"/>
      <c r="G33" s="194"/>
      <c r="H33" s="194"/>
      <c r="I33" s="194"/>
      <c r="J33" s="172"/>
    </row>
    <row r="34" spans="1:10" ht="12.75">
      <c r="A34" s="172"/>
      <c r="B34" s="197" t="s">
        <v>195</v>
      </c>
      <c r="C34" s="172"/>
      <c r="D34" s="198"/>
      <c r="E34" s="194"/>
      <c r="F34" s="194"/>
      <c r="G34" s="194"/>
      <c r="H34" s="197"/>
      <c r="I34" s="194"/>
      <c r="J34" s="172"/>
    </row>
    <row r="35" spans="1:10" ht="12.75">
      <c r="A35" s="172"/>
      <c r="B35" s="197" t="s">
        <v>196</v>
      </c>
      <c r="C35" s="172"/>
      <c r="D35" s="194"/>
      <c r="E35" s="33"/>
      <c r="F35" s="33"/>
      <c r="G35" s="33"/>
      <c r="H35" s="197"/>
      <c r="I35" s="194"/>
      <c r="J35" s="172"/>
    </row>
    <row r="36" spans="1:10" ht="12.75">
      <c r="A36" s="172"/>
      <c r="B36" s="199" t="s">
        <v>197</v>
      </c>
      <c r="C36" s="193">
        <f>C30*C32</f>
        <v>1.052495939199371</v>
      </c>
      <c r="D36" s="200"/>
      <c r="E36" s="194"/>
      <c r="F36" s="194"/>
      <c r="G36" s="194"/>
      <c r="H36" s="201"/>
      <c r="I36" s="202"/>
      <c r="J36" s="187"/>
    </row>
    <row r="37" spans="1:10" ht="12.75">
      <c r="A37" s="172"/>
      <c r="B37" s="199" t="s">
        <v>198</v>
      </c>
      <c r="C37" s="203" t="s">
        <v>199</v>
      </c>
      <c r="D37" s="172"/>
      <c r="E37" s="172"/>
      <c r="F37" s="172"/>
      <c r="G37" s="172"/>
      <c r="H37" s="172"/>
      <c r="I37" s="172"/>
      <c r="J37" s="172"/>
    </row>
    <row r="38" spans="1:10" ht="12.75">
      <c r="A38" s="172"/>
      <c r="B38" s="197"/>
      <c r="C38" s="172"/>
      <c r="D38" s="172"/>
      <c r="E38" s="172"/>
      <c r="F38" s="172"/>
      <c r="G38" s="172"/>
      <c r="H38" s="172"/>
      <c r="I38" s="172"/>
      <c r="J38" s="172"/>
    </row>
    <row r="39" spans="1:9" ht="12.75">
      <c r="A39" s="172"/>
      <c r="B39" s="197" t="s">
        <v>200</v>
      </c>
      <c r="C39" s="172"/>
      <c r="D39" s="172"/>
      <c r="E39" s="172"/>
      <c r="F39" s="172"/>
      <c r="G39" s="172"/>
      <c r="H39" s="197"/>
      <c r="I39" s="172"/>
    </row>
    <row r="40" spans="1:10" ht="12.75">
      <c r="A40" s="172"/>
      <c r="B40" s="199" t="s">
        <v>201</v>
      </c>
      <c r="C40" s="193">
        <f>C36*0.99</f>
        <v>1.041970979807377</v>
      </c>
      <c r="D40" s="172"/>
      <c r="E40" s="172"/>
      <c r="F40" s="172"/>
      <c r="G40" s="172"/>
      <c r="H40" s="201"/>
      <c r="I40" s="172"/>
      <c r="J40" s="187"/>
    </row>
    <row r="41" spans="1:10" ht="12.75">
      <c r="A41" s="172"/>
      <c r="B41" s="199" t="s">
        <v>202</v>
      </c>
      <c r="C41" s="203" t="s">
        <v>199</v>
      </c>
      <c r="D41" s="172"/>
      <c r="E41" s="172"/>
      <c r="F41" s="172"/>
      <c r="G41" s="172"/>
      <c r="H41" s="172"/>
      <c r="I41" s="172"/>
      <c r="J41" s="172"/>
    </row>
    <row r="42" spans="1:10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8" sqref="F8"/>
    </sheetView>
  </sheetViews>
  <sheetFormatPr defaultColWidth="9.140625" defaultRowHeight="12.75"/>
  <cols>
    <col min="1" max="1" width="32.7109375" style="0" customWidth="1"/>
    <col min="2" max="2" width="13.28125" style="0" customWidth="1"/>
    <col min="3" max="3" width="14.00390625" style="0" customWidth="1"/>
    <col min="4" max="4" width="13.57421875" style="1" customWidth="1"/>
    <col min="5" max="5" width="12.7109375" style="1" customWidth="1"/>
    <col min="6" max="6" width="13.00390625" style="1" customWidth="1"/>
    <col min="7" max="7" width="12.7109375" style="1" bestFit="1" customWidth="1"/>
    <col min="8" max="10" width="12.8515625" style="1" customWidth="1"/>
    <col min="11" max="11" width="11.57421875" style="0" customWidth="1"/>
    <col min="12" max="12" width="13.140625" style="1" customWidth="1"/>
    <col min="13" max="13" width="13.00390625" style="24" customWidth="1"/>
    <col min="14" max="14" width="13.140625" style="1" customWidth="1"/>
    <col min="15" max="15" width="9.7109375" style="0" bestFit="1" customWidth="1"/>
  </cols>
  <sheetData>
    <row r="1" spans="1:3" ht="15.75">
      <c r="A1" s="45" t="s">
        <v>159</v>
      </c>
      <c r="B1" s="45"/>
      <c r="C1" s="45"/>
    </row>
    <row r="3" spans="2:14" ht="72.75" customHeight="1">
      <c r="B3" s="46" t="s">
        <v>230</v>
      </c>
      <c r="C3" s="46" t="s">
        <v>231</v>
      </c>
      <c r="D3" s="46" t="s">
        <v>48</v>
      </c>
      <c r="E3" s="46" t="s">
        <v>49</v>
      </c>
      <c r="F3" s="46" t="s">
        <v>50</v>
      </c>
      <c r="G3" s="46" t="s">
        <v>58</v>
      </c>
      <c r="H3" s="46" t="s">
        <v>65</v>
      </c>
      <c r="I3" s="46" t="s">
        <v>71</v>
      </c>
      <c r="J3" s="46" t="s">
        <v>76</v>
      </c>
      <c r="K3" s="46" t="s">
        <v>291</v>
      </c>
      <c r="L3" s="46" t="s">
        <v>155</v>
      </c>
      <c r="M3" s="46" t="s">
        <v>168</v>
      </c>
      <c r="N3" s="46" t="s">
        <v>169</v>
      </c>
    </row>
    <row r="4" spans="1:14" ht="12.75">
      <c r="A4" s="20" t="s">
        <v>170</v>
      </c>
      <c r="B4" s="30">
        <f>'Purchased Power Model '!B148</f>
        <v>150182993.55679998</v>
      </c>
      <c r="C4" s="30">
        <f>'Purchased Power Model '!B149</f>
        <v>156673546.68</v>
      </c>
      <c r="D4" s="30">
        <f>'Purchased Power Model '!B150</f>
        <v>159410400.88920003</v>
      </c>
      <c r="E4" s="30">
        <f>'Purchased Power Model '!B151</f>
        <v>156266197.978</v>
      </c>
      <c r="F4" s="30">
        <f>'Purchased Power Model '!B152</f>
        <v>157654073.6752</v>
      </c>
      <c r="G4" s="30">
        <f>'Purchased Power Model '!B153</f>
        <v>161127401.552</v>
      </c>
      <c r="H4" s="30">
        <f>'Purchased Power Model '!B154</f>
        <v>154109568.608</v>
      </c>
      <c r="I4" s="30">
        <f>'Purchased Power Model '!B155</f>
        <v>155732492.048</v>
      </c>
      <c r="J4" s="30">
        <f>'Purchased Power Model '!B156</f>
        <v>153880598.584</v>
      </c>
      <c r="L4" s="56"/>
      <c r="M4" s="30"/>
      <c r="N4" s="56"/>
    </row>
    <row r="5" spans="1:14" ht="12.75">
      <c r="A5" s="20" t="s">
        <v>171</v>
      </c>
      <c r="B5" s="30">
        <f>'Purchased Power Model '!M148</f>
        <v>153573922.0095385</v>
      </c>
      <c r="C5" s="30">
        <f>'Purchased Power Model '!M149</f>
        <v>154627808.6496904</v>
      </c>
      <c r="D5" s="30">
        <f>'Purchased Power Model '!M150</f>
        <v>159218541.51522285</v>
      </c>
      <c r="E5" s="30">
        <f>'Purchased Power Model '!M151</f>
        <v>156303637.93437597</v>
      </c>
      <c r="F5" s="30">
        <f>'Purchased Power Model '!M152</f>
        <v>156695654.54865208</v>
      </c>
      <c r="G5" s="30">
        <f>'Purchased Power Model '!M153</f>
        <v>155804566.13775006</v>
      </c>
      <c r="H5" s="30">
        <f>'Purchased Power Model '!M154</f>
        <v>154953947.04571247</v>
      </c>
      <c r="I5" s="30">
        <f>'Purchased Power Model '!M155</f>
        <v>157019267.8006675</v>
      </c>
      <c r="J5" s="30">
        <f>'Purchased Power Model '!M156</f>
        <v>157115388.1054405</v>
      </c>
      <c r="L5" s="57"/>
      <c r="M5" s="30">
        <f>'Purchased Power Model '!M157</f>
        <v>157764640.12050506</v>
      </c>
      <c r="N5" s="57">
        <f>'Purchased Power Model '!M158</f>
        <v>159035215.88995394</v>
      </c>
    </row>
    <row r="6" spans="1:14" ht="12.75">
      <c r="A6" s="20" t="s">
        <v>8</v>
      </c>
      <c r="B6" s="164">
        <f aca="true" t="shared" si="0" ref="B6:J6">(B5-B4)/B4</f>
        <v>0.0225786447082376</v>
      </c>
      <c r="C6" s="164">
        <f t="shared" si="0"/>
        <v>-0.013057328908804003</v>
      </c>
      <c r="D6" s="164">
        <f t="shared" si="0"/>
        <v>-0.001203556185211141</v>
      </c>
      <c r="E6" s="164">
        <f t="shared" si="0"/>
        <v>0.00023959088312404799</v>
      </c>
      <c r="F6" s="164">
        <f t="shared" si="0"/>
        <v>-0.006079253800459635</v>
      </c>
      <c r="G6" s="164">
        <f t="shared" si="0"/>
        <v>-0.033034948512665675</v>
      </c>
      <c r="H6" s="164">
        <f t="shared" si="0"/>
        <v>0.005479078588950304</v>
      </c>
      <c r="I6" s="164">
        <f t="shared" si="0"/>
        <v>0.008262731403995483</v>
      </c>
      <c r="J6" s="164">
        <f t="shared" si="0"/>
        <v>0.02102142538570063</v>
      </c>
      <c r="L6" s="165"/>
      <c r="M6" s="164"/>
      <c r="N6" s="165"/>
    </row>
    <row r="7" spans="1:13" ht="12.75">
      <c r="A7" s="20"/>
      <c r="B7" s="43"/>
      <c r="C7" s="43"/>
      <c r="D7" s="43"/>
      <c r="E7" s="43"/>
      <c r="F7" s="43"/>
      <c r="G7" s="43"/>
      <c r="H7" s="43"/>
      <c r="I7" s="43"/>
      <c r="J7" s="43"/>
      <c r="M7" s="56"/>
    </row>
    <row r="8" spans="1:15" ht="12.75">
      <c r="A8" s="20" t="s">
        <v>54</v>
      </c>
      <c r="B8" s="30">
        <f>'Rate Class Energy Model'!G7</f>
        <v>150463311.5</v>
      </c>
      <c r="C8" s="30">
        <f>'Rate Class Energy Model'!G8</f>
        <v>152784488.675866</v>
      </c>
      <c r="D8" s="30">
        <f>'Rate Class Energy Model'!G9</f>
        <v>153975408.401471</v>
      </c>
      <c r="E8" s="30">
        <f>'Rate Class Energy Model'!G10</f>
        <v>150002322.27944702</v>
      </c>
      <c r="F8" s="30">
        <f>'Rate Class Energy Model'!G11</f>
        <v>147391975.82999998</v>
      </c>
      <c r="G8" s="30">
        <f>'Rate Class Energy Model'!G12</f>
        <v>154151697.38</v>
      </c>
      <c r="H8" s="30">
        <f>'Rate Class Energy Model'!G13</f>
        <v>146583990.21</v>
      </c>
      <c r="I8" s="30">
        <f>'Rate Class Energy Model'!G14</f>
        <v>149244340.79</v>
      </c>
      <c r="J8" s="30">
        <f>'Rate Class Energy Model'!G15</f>
        <v>146044788.99</v>
      </c>
      <c r="K8" s="211">
        <f>'Rate Class Energy Model'!O74</f>
        <v>145967154.78881222</v>
      </c>
      <c r="L8" s="30">
        <f>'Rate Class Energy Model'!O80</f>
        <v>145613922.80056077</v>
      </c>
      <c r="M8" s="57">
        <f>'Rate Class Energy Model'!O56</f>
        <v>149903172.80621096</v>
      </c>
      <c r="N8" s="30">
        <f>'Rate Class Energy Model'!O57</f>
        <v>150569449.38785988</v>
      </c>
      <c r="O8" s="211"/>
    </row>
    <row r="9" spans="1:10" ht="12.75">
      <c r="A9" s="20"/>
      <c r="B9" s="43"/>
      <c r="C9" s="43"/>
      <c r="D9" s="43"/>
      <c r="E9" s="43"/>
      <c r="F9" s="43"/>
      <c r="H9" s="24"/>
      <c r="I9" s="24"/>
      <c r="J9" s="24"/>
    </row>
    <row r="10" spans="1:3" ht="15.75">
      <c r="A10" s="45" t="s">
        <v>53</v>
      </c>
      <c r="B10" s="1"/>
      <c r="C10" s="1"/>
    </row>
    <row r="11" spans="1:3" ht="12.75">
      <c r="A11" s="44" t="str">
        <f>'Rate Class Energy Model'!H2</f>
        <v>Residential</v>
      </c>
      <c r="B11" s="1"/>
      <c r="C11" s="1"/>
    </row>
    <row r="12" spans="1:15" ht="12.75">
      <c r="A12" t="s">
        <v>45</v>
      </c>
      <c r="B12" s="6">
        <f>'Rate Class Customer Model'!B3</f>
        <v>5082</v>
      </c>
      <c r="C12" s="6">
        <f>'Rate Class Customer Model'!B4</f>
        <v>5226</v>
      </c>
      <c r="D12" s="6">
        <f>'Rate Class Customer Model'!B5</f>
        <v>5360</v>
      </c>
      <c r="E12" s="6">
        <f>'Rate Class Customer Model'!B6</f>
        <v>5430</v>
      </c>
      <c r="F12" s="6">
        <f>'Rate Class Customer Model'!B7</f>
        <v>5492</v>
      </c>
      <c r="G12" s="6">
        <f>'Rate Class Customer Model'!B8</f>
        <v>5530</v>
      </c>
      <c r="H12" s="6">
        <f>'Rate Class Customer Model'!B9</f>
        <v>5576</v>
      </c>
      <c r="I12" s="6">
        <f>'Rate Class Customer Model'!B10</f>
        <v>5627</v>
      </c>
      <c r="J12" s="6">
        <f>'Rate Class Customer Model'!B11</f>
        <v>5711</v>
      </c>
      <c r="K12" s="28">
        <f>M12</f>
        <v>5783.866602971631</v>
      </c>
      <c r="L12" s="6">
        <f>N12</f>
        <v>5857.662910343302</v>
      </c>
      <c r="M12" s="28">
        <f>'Rate Class Customer Model'!B12</f>
        <v>5783.866602971631</v>
      </c>
      <c r="N12" s="6">
        <f>'Rate Class Customer Model'!B13</f>
        <v>5857.662910343302</v>
      </c>
      <c r="O12" s="211"/>
    </row>
    <row r="13" spans="1:15" ht="12.75">
      <c r="A13" t="s">
        <v>46</v>
      </c>
      <c r="B13" s="6">
        <f>'Rate Class Energy Model'!H7</f>
        <v>42907157.25</v>
      </c>
      <c r="C13" s="6">
        <f>'Rate Class Energy Model'!H8</f>
        <v>44353538.1</v>
      </c>
      <c r="D13" s="6">
        <f>'Rate Class Energy Model'!H9</f>
        <v>47312612.39</v>
      </c>
      <c r="E13" s="6">
        <f>'Rate Class Energy Model'!H10</f>
        <v>45687349.76</v>
      </c>
      <c r="F13" s="6">
        <f>'Rate Class Energy Model'!H11</f>
        <v>43537330.44</v>
      </c>
      <c r="G13" s="6">
        <f>'Rate Class Energy Model'!H12</f>
        <v>44267125.53</v>
      </c>
      <c r="H13" s="6">
        <f>'Rate Class Energy Model'!H13</f>
        <v>43775753.410000004</v>
      </c>
      <c r="I13" s="6">
        <f>'Rate Class Energy Model'!H14</f>
        <v>45093297.22</v>
      </c>
      <c r="J13" s="6">
        <f>'Rate Class Energy Model'!H15</f>
        <v>44251862.370000005</v>
      </c>
      <c r="K13" s="28">
        <f>'Rate Class Energy Model'!H74</f>
        <v>45135071.300261624</v>
      </c>
      <c r="L13" s="6">
        <f>'Rate Class Energy Model'!H80</f>
        <v>45390824.66615313</v>
      </c>
      <c r="M13" s="28">
        <f>'Rate Class Energy Model'!H56</f>
        <v>46250546.29223916</v>
      </c>
      <c r="N13" s="6">
        <f>'Rate Class Energy Model'!H57</f>
        <v>46830451.61437089</v>
      </c>
      <c r="O13" s="211"/>
    </row>
    <row r="14" spans="2:14" ht="12.75">
      <c r="B14" s="1"/>
      <c r="C14" s="1"/>
      <c r="G14" s="52"/>
      <c r="H14" s="24"/>
      <c r="I14" s="24"/>
      <c r="J14" s="24"/>
      <c r="K14" s="24"/>
      <c r="L14" s="51"/>
      <c r="N14" s="51"/>
    </row>
    <row r="15" spans="1:11" ht="12.75">
      <c r="A15" s="44" t="str">
        <f>'Rate Class Energy Model'!I2</f>
        <v>GS&lt;50</v>
      </c>
      <c r="B15" s="1"/>
      <c r="C15" s="1"/>
      <c r="K15" s="24"/>
    </row>
    <row r="16" spans="1:15" ht="12.75">
      <c r="A16" t="s">
        <v>45</v>
      </c>
      <c r="B16" s="6">
        <f>'Rate Class Customer Model'!C3</f>
        <v>591</v>
      </c>
      <c r="C16" s="6">
        <f>'Rate Class Customer Model'!C4</f>
        <v>615</v>
      </c>
      <c r="D16" s="6">
        <f>'Rate Class Customer Model'!C5</f>
        <v>622</v>
      </c>
      <c r="E16" s="6">
        <f>'Rate Class Customer Model'!C6</f>
        <v>637</v>
      </c>
      <c r="F16" s="6">
        <f>'Rate Class Customer Model'!C7</f>
        <v>667</v>
      </c>
      <c r="G16" s="6">
        <f>'Rate Class Customer Model'!C8</f>
        <v>674</v>
      </c>
      <c r="H16" s="6">
        <f>'Rate Class Customer Model'!C9</f>
        <v>691</v>
      </c>
      <c r="I16" s="6">
        <f>'Rate Class Customer Model'!C10</f>
        <v>705</v>
      </c>
      <c r="J16" s="6">
        <f>'Rate Class Customer Model'!C11</f>
        <v>709</v>
      </c>
      <c r="K16" s="6">
        <f>M16</f>
        <v>723.5535535863006</v>
      </c>
      <c r="L16" s="6">
        <f>N16</f>
        <v>738.4058461316835</v>
      </c>
      <c r="M16" s="6">
        <f>'Rate Class Customer Model'!C12</f>
        <v>723.5535535863006</v>
      </c>
      <c r="N16" s="6">
        <f>'Rate Class Customer Model'!C13</f>
        <v>738.4058461316835</v>
      </c>
      <c r="O16" s="211"/>
    </row>
    <row r="17" spans="1:15" ht="12.75">
      <c r="A17" t="s">
        <v>46</v>
      </c>
      <c r="B17" s="6">
        <f>'Rate Class Energy Model'!I7</f>
        <v>20515940.49</v>
      </c>
      <c r="C17" s="6">
        <f>'Rate Class Energy Model'!I8</f>
        <v>19565243.630000003</v>
      </c>
      <c r="D17" s="6">
        <f>'Rate Class Energy Model'!I9</f>
        <v>21296193.109999996</v>
      </c>
      <c r="E17" s="6">
        <f>'Rate Class Energy Model'!I10</f>
        <v>21179984.16</v>
      </c>
      <c r="F17" s="6">
        <f>'Rate Class Energy Model'!I11</f>
        <v>20462652.85</v>
      </c>
      <c r="G17" s="6">
        <f>'Rate Class Energy Model'!I12</f>
        <v>19599082.04</v>
      </c>
      <c r="H17" s="6">
        <f>'Rate Class Energy Model'!I13</f>
        <v>20149611.83</v>
      </c>
      <c r="I17" s="6">
        <f>'Rate Class Energy Model'!I14</f>
        <v>20409368.479999997</v>
      </c>
      <c r="J17" s="6">
        <f>'Rate Class Energy Model'!I15</f>
        <v>20583076.520000003</v>
      </c>
      <c r="K17" s="6">
        <f>'Rate Class Energy Model'!I74</f>
        <v>20237889.715676785</v>
      </c>
      <c r="L17" s="6">
        <f>'Rate Class Energy Model'!I80</f>
        <v>20241263.87017166</v>
      </c>
      <c r="M17" s="6">
        <f>'Rate Class Energy Model'!I56</f>
        <v>21427347.56567339</v>
      </c>
      <c r="N17" s="6">
        <f>'Rate Class Energy Model'!I57</f>
        <v>21609897.412027746</v>
      </c>
      <c r="O17" s="211"/>
    </row>
    <row r="18" spans="2:14" ht="12.75">
      <c r="B18" s="1"/>
      <c r="C18" s="1"/>
      <c r="G18" s="52"/>
      <c r="H18" s="24"/>
      <c r="I18" s="24"/>
      <c r="J18" s="24"/>
      <c r="K18" s="24"/>
      <c r="L18" s="51"/>
      <c r="N18" s="51"/>
    </row>
    <row r="19" spans="1:14" ht="12.75">
      <c r="A19" s="44" t="str">
        <f>'Rate Class Energy Model'!J2</f>
        <v>GS&gt;50</v>
      </c>
      <c r="B19" s="1"/>
      <c r="C19" s="1"/>
      <c r="K19" s="24"/>
      <c r="L19" s="6"/>
      <c r="N19" s="6"/>
    </row>
    <row r="20" spans="1:15" ht="12.75">
      <c r="A20" t="s">
        <v>45</v>
      </c>
      <c r="B20" s="6">
        <f>'Rate Class Customer Model'!D3</f>
        <v>51</v>
      </c>
      <c r="C20" s="6">
        <f>'Rate Class Customer Model'!D4</f>
        <v>50</v>
      </c>
      <c r="D20" s="6">
        <f>'Rate Class Customer Model'!D5</f>
        <v>51</v>
      </c>
      <c r="E20" s="6">
        <f>'Rate Class Customer Model'!D6</f>
        <v>53</v>
      </c>
      <c r="F20" s="6">
        <f>'Rate Class Customer Model'!D7</f>
        <v>53</v>
      </c>
      <c r="G20" s="6">
        <f>'Rate Class Customer Model'!D8</f>
        <v>58</v>
      </c>
      <c r="H20" s="6">
        <f>'Rate Class Customer Model'!D9</f>
        <v>60</v>
      </c>
      <c r="I20" s="6">
        <f>'Rate Class Customer Model'!D10</f>
        <v>60</v>
      </c>
      <c r="J20" s="28">
        <f>'Rate Class Customer Model'!D11</f>
        <v>59</v>
      </c>
      <c r="K20" s="6">
        <f>M20</f>
        <v>60.41167395635739</v>
      </c>
      <c r="L20" s="6">
        <f>N20</f>
        <v>61.85712457981745</v>
      </c>
      <c r="M20" s="6">
        <f>'Rate Class Customer Model'!D12</f>
        <v>60.41167395635739</v>
      </c>
      <c r="N20" s="6">
        <f>'Rate Class Customer Model'!D13</f>
        <v>61.85712457981745</v>
      </c>
      <c r="O20" s="211"/>
    </row>
    <row r="21" spans="1:15" ht="12.75">
      <c r="A21" t="s">
        <v>46</v>
      </c>
      <c r="B21" s="6">
        <f>'Rate Class Energy Model'!J7</f>
        <v>63014931.589999996</v>
      </c>
      <c r="C21" s="6">
        <f>'Rate Class Energy Model'!J8</f>
        <v>64710760.86</v>
      </c>
      <c r="D21" s="6">
        <f>'Rate Class Energy Model'!J9</f>
        <v>62379983.56</v>
      </c>
      <c r="E21" s="6">
        <f>'Rate Class Energy Model'!J10</f>
        <v>62938454.13999999</v>
      </c>
      <c r="F21" s="6">
        <f>'Rate Class Energy Model'!J11</f>
        <v>61276547.67000001</v>
      </c>
      <c r="G21" s="6">
        <f>'Rate Class Energy Model'!J12</f>
        <v>66898820.39</v>
      </c>
      <c r="H21" s="6">
        <f>'Rate Class Energy Model'!J13</f>
        <v>62407115.03</v>
      </c>
      <c r="I21" s="6">
        <f>'Rate Class Energy Model'!J14</f>
        <v>64376683.74999999</v>
      </c>
      <c r="J21" s="6">
        <f>'Rate Class Energy Model'!J15</f>
        <v>61442756.44999999</v>
      </c>
      <c r="K21" s="6">
        <f>'Rate Class Energy Model'!J74</f>
        <v>61353322.77849253</v>
      </c>
      <c r="L21" s="6">
        <f>'Rate Class Energy Model'!J80</f>
        <v>61263765.88407113</v>
      </c>
      <c r="M21" s="6">
        <f>'Rate Class Energy Model'!J56</f>
        <v>62984771.712833926</v>
      </c>
      <c r="N21" s="6">
        <f>'Rate Class Energy Model'!J57</f>
        <v>63412187.56254128</v>
      </c>
      <c r="O21" s="211"/>
    </row>
    <row r="22" spans="1:15" ht="12.75">
      <c r="A22" t="s">
        <v>47</v>
      </c>
      <c r="B22" s="6">
        <f>'Rate Class Load Model'!B2</f>
        <v>154056.5</v>
      </c>
      <c r="C22" s="6">
        <f>'Rate Class Load Model'!B3</f>
        <v>157637.30000000002</v>
      </c>
      <c r="D22" s="6">
        <f>'Rate Class Load Model'!B4</f>
        <v>157684</v>
      </c>
      <c r="E22" s="6">
        <f>'Rate Class Load Model'!B5</f>
        <v>163964.97</v>
      </c>
      <c r="F22" s="6">
        <f>'Rate Class Load Model'!B6</f>
        <v>160716.94000000003</v>
      </c>
      <c r="G22" s="6">
        <f>'Rate Class Load Model'!B7</f>
        <v>169386.36000000002</v>
      </c>
      <c r="H22" s="6">
        <f>'Rate Class Load Model'!B8</f>
        <v>169024.12999999998</v>
      </c>
      <c r="I22" s="28">
        <f>'Rate Class Load Model'!B9</f>
        <v>170203.1</v>
      </c>
      <c r="J22" s="28">
        <f>'Rate Class Load Model'!B10</f>
        <v>160989.06</v>
      </c>
      <c r="K22" s="6">
        <f>'Rate Class Energy Model'!J76</f>
        <v>157752.78799613772</v>
      </c>
      <c r="L22" s="6">
        <f>'Rate Class Energy Model'!J82</f>
        <v>157522.51766782545</v>
      </c>
      <c r="M22" s="6">
        <f>'Rate Class Load Model'!B11</f>
        <v>161947.59939689699</v>
      </c>
      <c r="N22" s="6">
        <f>'Rate Class Load Model'!B12</f>
        <v>163046.5788632334</v>
      </c>
      <c r="O22" s="211"/>
    </row>
    <row r="23" spans="2:14" ht="12.75">
      <c r="B23" s="1"/>
      <c r="C23" s="1"/>
      <c r="G23" s="52"/>
      <c r="H23" s="24"/>
      <c r="I23" s="24"/>
      <c r="J23" s="24"/>
      <c r="K23" s="24"/>
      <c r="L23" s="51"/>
      <c r="N23" s="51"/>
    </row>
    <row r="24" spans="1:14" ht="12.75">
      <c r="A24" s="44" t="str">
        <f>'Rate Class Energy Model'!K2</f>
        <v>Sentinels</v>
      </c>
      <c r="B24" s="1"/>
      <c r="C24" s="1"/>
      <c r="K24" s="24"/>
      <c r="L24" s="6"/>
      <c r="N24" s="6"/>
    </row>
    <row r="25" spans="1:15" ht="12.75">
      <c r="A25" t="s">
        <v>66</v>
      </c>
      <c r="B25" s="6">
        <f>'Rate Class Customer Model'!E3</f>
        <v>25</v>
      </c>
      <c r="C25" s="6">
        <f>'Rate Class Customer Model'!E4</f>
        <v>27</v>
      </c>
      <c r="D25" s="6">
        <f>'Rate Class Customer Model'!E5</f>
        <v>31</v>
      </c>
      <c r="E25" s="6">
        <f>'Rate Class Customer Model'!E6</f>
        <v>31</v>
      </c>
      <c r="F25" s="6">
        <f>'Rate Class Customer Model'!E7</f>
        <v>31</v>
      </c>
      <c r="G25" s="6">
        <f>'Rate Class Customer Model'!E8</f>
        <v>31</v>
      </c>
      <c r="H25" s="6">
        <f>'Rate Class Customer Model'!E9</f>
        <v>31</v>
      </c>
      <c r="I25" s="28">
        <f>'Rate Class Customer Model'!E10</f>
        <v>31</v>
      </c>
      <c r="J25" s="28">
        <f>'Rate Class Customer Model'!E11</f>
        <v>31</v>
      </c>
      <c r="K25" s="6">
        <f>M25</f>
        <v>31</v>
      </c>
      <c r="L25" s="6">
        <f>N25</f>
        <v>31</v>
      </c>
      <c r="M25" s="6">
        <f>'Rate Class Customer Model'!E12</f>
        <v>31</v>
      </c>
      <c r="N25" s="6">
        <f>'Rate Class Customer Model'!E13</f>
        <v>31</v>
      </c>
      <c r="O25" s="211"/>
    </row>
    <row r="26" spans="1:15" ht="12.75">
      <c r="A26" t="s">
        <v>46</v>
      </c>
      <c r="B26" s="6">
        <f>'Rate Class Energy Model'!K7</f>
        <v>47778.30000000001</v>
      </c>
      <c r="C26" s="6">
        <f>'Rate Class Energy Model'!K8</f>
        <v>38416.4</v>
      </c>
      <c r="D26" s="6">
        <f>'Rate Class Energy Model'!K9</f>
        <v>43766.74</v>
      </c>
      <c r="E26" s="6">
        <f>'Rate Class Energy Model'!K10</f>
        <v>46268.93000000001</v>
      </c>
      <c r="F26" s="6">
        <f>'Rate Class Energy Model'!K11</f>
        <v>44287.57000000001</v>
      </c>
      <c r="G26" s="6">
        <f>'Rate Class Energy Model'!K12</f>
        <v>45820.810000000005</v>
      </c>
      <c r="H26" s="6">
        <f>'Rate Class Energy Model'!K13</f>
        <v>46167.350000000006</v>
      </c>
      <c r="I26" s="6">
        <f>'Rate Class Energy Model'!K14</f>
        <v>43013.75</v>
      </c>
      <c r="J26" s="6">
        <f>'Rate Class Energy Model'!K15</f>
        <v>41278.66</v>
      </c>
      <c r="K26" s="6">
        <f>'Rate Class Energy Model'!K74</f>
        <v>39308.82915413739</v>
      </c>
      <c r="L26" s="6">
        <f>'Rate Class Energy Model'!K80</f>
        <v>37432.84443604571</v>
      </c>
      <c r="M26" s="6">
        <f>'Rate Class Energy Model'!K56</f>
        <v>39308.085999780335</v>
      </c>
      <c r="N26" s="6">
        <f>'Rate Class Energy Model'!K57</f>
        <v>37430.53347681128</v>
      </c>
      <c r="O26" s="211"/>
    </row>
    <row r="27" spans="1:15" ht="12.75">
      <c r="A27" t="s">
        <v>47</v>
      </c>
      <c r="B27" s="6">
        <f>'Rate Class Load Model'!C2</f>
        <v>132.71750000000003</v>
      </c>
      <c r="C27" s="6">
        <f>'Rate Class Load Model'!C3</f>
        <v>106.71222222222222</v>
      </c>
      <c r="D27" s="6">
        <f>'Rate Class Load Model'!C4</f>
        <v>121.57427777777777</v>
      </c>
      <c r="E27" s="6">
        <f>'Rate Class Load Model'!C5</f>
        <v>128.5248055555556</v>
      </c>
      <c r="F27" s="6">
        <f>'Rate Class Load Model'!C6</f>
        <v>123.0210277777778</v>
      </c>
      <c r="G27" s="6">
        <f>'Rate Class Load Model'!C7</f>
        <v>127.28002777777779</v>
      </c>
      <c r="H27" s="6">
        <f>'Rate Class Load Model'!C8</f>
        <v>128.2426388888889</v>
      </c>
      <c r="I27" s="28">
        <f>'Rate Class Load Model'!C9</f>
        <v>119.48263888888889</v>
      </c>
      <c r="J27" s="28">
        <f>'Rate Class Load Model'!C10</f>
        <v>114.66294444444445</v>
      </c>
      <c r="K27" s="6">
        <f>'Rate Class Energy Model'!K76</f>
        <v>109.19119209482609</v>
      </c>
      <c r="L27" s="6">
        <f>'Rate Class Energy Model'!K82</f>
        <v>103.9801234334603</v>
      </c>
      <c r="M27" s="6">
        <f>'Rate Class Load Model'!C11</f>
        <v>109.1891277771676</v>
      </c>
      <c r="N27" s="6">
        <f>'Rate Class Load Model'!C12</f>
        <v>103.97370410225356</v>
      </c>
      <c r="O27" s="211"/>
    </row>
    <row r="28" spans="2:14" ht="12.75">
      <c r="B28" s="6"/>
      <c r="C28" s="6"/>
      <c r="D28" s="6"/>
      <c r="E28" s="6"/>
      <c r="F28" s="6"/>
      <c r="G28" s="6"/>
      <c r="H28" s="6"/>
      <c r="I28" s="6"/>
      <c r="J28" s="6"/>
      <c r="K28" s="28"/>
      <c r="L28" s="6"/>
      <c r="M28" s="28"/>
      <c r="N28" s="6"/>
    </row>
    <row r="29" spans="1:14" ht="12.75">
      <c r="A29" s="44" t="str">
        <f>'Rate Class Energy Model'!L2</f>
        <v>Streetlights</v>
      </c>
      <c r="B29" s="1"/>
      <c r="C29" s="1"/>
      <c r="K29" s="24"/>
      <c r="L29" s="6"/>
      <c r="N29" s="6"/>
    </row>
    <row r="30" spans="1:15" ht="12.75">
      <c r="A30" t="s">
        <v>66</v>
      </c>
      <c r="B30" s="6">
        <f>'Rate Class Customer Model'!F3</f>
        <v>1504</v>
      </c>
      <c r="C30" s="6">
        <f>'Rate Class Customer Model'!F4</f>
        <v>1519</v>
      </c>
      <c r="D30" s="6">
        <f>'Rate Class Customer Model'!F5</f>
        <v>1553</v>
      </c>
      <c r="E30" s="6">
        <f>'Rate Class Customer Model'!F6</f>
        <v>1553</v>
      </c>
      <c r="F30" s="6">
        <f>'Rate Class Customer Model'!F7</f>
        <v>1611</v>
      </c>
      <c r="G30" s="6">
        <f>'Rate Class Customer Model'!F8</f>
        <v>1658</v>
      </c>
      <c r="H30" s="6">
        <f>'Rate Class Customer Model'!F9</f>
        <v>1658</v>
      </c>
      <c r="I30" s="28">
        <f>'Rate Class Customer Model'!F10</f>
        <v>1673</v>
      </c>
      <c r="J30" s="28">
        <f>'Rate Class Customer Model'!F11</f>
        <v>1687</v>
      </c>
      <c r="K30" s="6">
        <f>M30</f>
        <v>1712.4711731961468</v>
      </c>
      <c r="L30" s="6">
        <f>N30</f>
        <v>1738.326922956602</v>
      </c>
      <c r="M30" s="6">
        <f>'Rate Class Customer Model'!F12</f>
        <v>1712.4711731961468</v>
      </c>
      <c r="N30" s="6">
        <f>'Rate Class Customer Model'!F13</f>
        <v>1738.326922956602</v>
      </c>
      <c r="O30" s="211"/>
    </row>
    <row r="31" spans="1:15" ht="12.75">
      <c r="A31" t="s">
        <v>46</v>
      </c>
      <c r="B31" s="6">
        <f>'Rate Class Energy Model'!L7</f>
        <v>1091077.7900000003</v>
      </c>
      <c r="C31" s="6">
        <f>'Rate Class Energy Model'!L8</f>
        <v>1122091.525866</v>
      </c>
      <c r="D31" s="6">
        <f>'Rate Class Energy Model'!L9</f>
        <v>1134272.0914709999</v>
      </c>
      <c r="E31" s="6">
        <f>'Rate Class Energy Model'!L10</f>
        <v>1130200.489447</v>
      </c>
      <c r="F31" s="6">
        <f>'Rate Class Energy Model'!L11</f>
        <v>1121883.95</v>
      </c>
      <c r="G31" s="6">
        <f>'Rate Class Energy Model'!L12</f>
        <v>1140337.06</v>
      </c>
      <c r="H31" s="6">
        <f>'Rate Class Energy Model'!L13</f>
        <v>1139918.23</v>
      </c>
      <c r="I31" s="6">
        <f>'Rate Class Energy Model'!L14</f>
        <v>1139669.76</v>
      </c>
      <c r="J31" s="6">
        <f>'Rate Class Energy Model'!L15</f>
        <v>1127165.6900000002</v>
      </c>
      <c r="K31" s="6">
        <f>'Rate Class Energy Model'!L74</f>
        <v>1128260.5770272557</v>
      </c>
      <c r="L31" s="6">
        <f>'Rate Class Energy Model'!L80</f>
        <v>1129351.8563643515</v>
      </c>
      <c r="M31" s="6">
        <f>'Rate Class Energy Model'!L56</f>
        <v>1128239.246659963</v>
      </c>
      <c r="N31" s="61">
        <f>'Rate Class Energy Model'!L57</f>
        <v>1129282.1345427614</v>
      </c>
      <c r="O31" s="211"/>
    </row>
    <row r="32" spans="1:15" ht="12.75">
      <c r="A32" t="s">
        <v>47</v>
      </c>
      <c r="B32" s="6">
        <f>'Rate Class Load Model'!D2</f>
        <v>3008.2</v>
      </c>
      <c r="C32" s="6">
        <f>'Rate Class Load Model'!D3</f>
        <v>3074.1</v>
      </c>
      <c r="D32" s="6">
        <f>'Rate Class Load Model'!D4</f>
        <v>3127.6999999999994</v>
      </c>
      <c r="E32" s="6">
        <f>'Rate Class Load Model'!D5</f>
        <v>3121.3</v>
      </c>
      <c r="F32" s="6">
        <f>'Rate Class Load Model'!D6</f>
        <v>3086.399999999999</v>
      </c>
      <c r="G32" s="6">
        <f>'Rate Class Load Model'!D7</f>
        <v>3144.2000000000003</v>
      </c>
      <c r="H32" s="6">
        <f>'Rate Class Load Model'!D8</f>
        <v>3235.1000000000004</v>
      </c>
      <c r="I32" s="28">
        <f>'Rate Class Load Model'!D9</f>
        <v>3382.4000000000005</v>
      </c>
      <c r="J32" s="28">
        <f>'Rate Class Load Model'!D10</f>
        <v>3215.5</v>
      </c>
      <c r="K32" s="6">
        <f>'Rate Class Energy Model'!L76</f>
        <v>3156.978411930965</v>
      </c>
      <c r="L32" s="6">
        <f>'Rate Class Energy Model'!L82</f>
        <v>3160.0319133815565</v>
      </c>
      <c r="M32" s="6">
        <f>'Rate Class Load Model'!D11</f>
        <v>3156.9187275721983</v>
      </c>
      <c r="N32" s="6">
        <f>'Rate Class Load Model'!D12</f>
        <v>3159.8368252165687</v>
      </c>
      <c r="O32" s="211"/>
    </row>
    <row r="33" spans="2:11" ht="12.75">
      <c r="B33" s="1"/>
      <c r="C33" s="1"/>
      <c r="K33" s="24"/>
    </row>
    <row r="34" spans="1:11" ht="12.75">
      <c r="A34" s="44" t="str">
        <f>'Rate Class Energy Model'!M2</f>
        <v>USL</v>
      </c>
      <c r="B34" s="1"/>
      <c r="C34" s="1"/>
      <c r="K34" s="24"/>
    </row>
    <row r="35" spans="1:15" ht="12.75">
      <c r="A35" t="s">
        <v>66</v>
      </c>
      <c r="B35" s="6">
        <f>'Rate Class Customer Model'!G3</f>
        <v>0</v>
      </c>
      <c r="C35" s="6">
        <f>'Rate Class Customer Model'!G4</f>
        <v>0</v>
      </c>
      <c r="D35" s="6">
        <f>'Rate Class Customer Model'!G5</f>
        <v>0</v>
      </c>
      <c r="E35" s="6">
        <f>'Rate Class Customer Model'!G6</f>
        <v>0</v>
      </c>
      <c r="F35" s="6">
        <f>'Rate Class Customer Model'!G7</f>
        <v>2</v>
      </c>
      <c r="G35" s="6">
        <f>'Rate Class Customer Model'!G8</f>
        <v>2</v>
      </c>
      <c r="H35" s="6">
        <f>'Rate Class Customer Model'!G9</f>
        <v>2</v>
      </c>
      <c r="I35" s="28">
        <f>'Rate Class Customer Model'!G10</f>
        <v>2</v>
      </c>
      <c r="J35" s="28">
        <f>'Rate Class Customer Model'!G11</f>
        <v>6</v>
      </c>
      <c r="K35" s="6">
        <f>M35</f>
        <v>7.896444077714955</v>
      </c>
      <c r="L35" s="6">
        <f>N35</f>
        <v>10</v>
      </c>
      <c r="M35" s="6">
        <f>'Rate Class Customer Model'!G12</f>
        <v>7.896444077714955</v>
      </c>
      <c r="N35" s="6">
        <f>'Rate Class Customer Model'!G13</f>
        <v>10</v>
      </c>
      <c r="O35" s="211"/>
    </row>
    <row r="36" spans="1:15" ht="12.75">
      <c r="A36" t="s">
        <v>46</v>
      </c>
      <c r="B36" s="6">
        <f>'Rate Class Energy Model'!M7</f>
        <v>0</v>
      </c>
      <c r="C36" s="6">
        <f>'Rate Class Energy Model'!M8</f>
        <v>0</v>
      </c>
      <c r="D36" s="6">
        <f>'Rate Class Energy Model'!M9</f>
        <v>0</v>
      </c>
      <c r="E36" s="6">
        <f>'Rate Class Energy Model'!M10</f>
        <v>0</v>
      </c>
      <c r="F36" s="6">
        <f>'Rate Class Energy Model'!M11</f>
        <v>301521.35</v>
      </c>
      <c r="G36" s="6">
        <f>'Rate Class Energy Model'!M12</f>
        <v>401394.35</v>
      </c>
      <c r="H36" s="6">
        <f>'Rate Class Energy Model'!M13</f>
        <v>400443.16000000003</v>
      </c>
      <c r="I36" s="6">
        <f>'Rate Class Energy Model'!M14</f>
        <v>453001.43</v>
      </c>
      <c r="J36" s="6">
        <f>'Rate Class Energy Model'!M15</f>
        <v>494005.7</v>
      </c>
      <c r="K36" s="6">
        <f>'Rate Class Energy Model'!M74</f>
        <v>556821.2472011022</v>
      </c>
      <c r="L36" s="6">
        <f>'Rate Class Energy Model'!M80</f>
        <v>603929.109828694</v>
      </c>
      <c r="M36" s="6">
        <f>'Rate Class Energy Model'!M56</f>
        <v>556810.7201987758</v>
      </c>
      <c r="N36" s="6">
        <f>'Rate Class Energy Model'!M57</f>
        <v>603891.8255780762</v>
      </c>
      <c r="O36" s="211"/>
    </row>
    <row r="37" spans="2:15" ht="12.75">
      <c r="B37" s="1"/>
      <c r="C37" s="1"/>
      <c r="K37" s="24"/>
      <c r="L37" s="6"/>
      <c r="N37" s="6"/>
      <c r="O37" s="211"/>
    </row>
    <row r="38" spans="1:14" ht="12.75">
      <c r="A38" s="44" t="str">
        <f>'Rate Class Energy Model'!N2</f>
        <v>Intermediate </v>
      </c>
      <c r="B38" s="1"/>
      <c r="C38" s="1"/>
      <c r="K38" s="24"/>
      <c r="L38" s="6"/>
      <c r="N38" s="6"/>
    </row>
    <row r="39" spans="1:15" ht="12.75">
      <c r="A39" t="s">
        <v>45</v>
      </c>
      <c r="B39" s="6">
        <f>'Rate Class Customer Model'!H3</f>
        <v>1</v>
      </c>
      <c r="C39" s="6">
        <f>'Rate Class Customer Model'!H4</f>
        <v>1</v>
      </c>
      <c r="D39" s="6">
        <f>'Rate Class Customer Model'!H5</f>
        <v>1</v>
      </c>
      <c r="E39" s="6">
        <f>'Rate Class Customer Model'!H6</f>
        <v>1</v>
      </c>
      <c r="F39" s="6">
        <f>'Rate Class Customer Model'!H7</f>
        <v>1</v>
      </c>
      <c r="G39" s="6">
        <f>'Rate Class Customer Model'!H8</f>
        <v>1</v>
      </c>
      <c r="H39" s="6">
        <f>'Rate Class Customer Model'!H9</f>
        <v>1</v>
      </c>
      <c r="I39" s="28">
        <f>'Rate Class Customer Model'!H10</f>
        <v>1</v>
      </c>
      <c r="J39" s="28">
        <f>'Rate Class Customer Model'!H11</f>
        <v>1</v>
      </c>
      <c r="K39" s="6">
        <f>M39</f>
        <v>1</v>
      </c>
      <c r="L39" s="6">
        <f>N39</f>
        <v>1</v>
      </c>
      <c r="M39" s="6">
        <f>'Rate Class Customer Model'!H12</f>
        <v>1</v>
      </c>
      <c r="N39" s="6">
        <f>'Rate Class Customer Model'!H13</f>
        <v>1</v>
      </c>
      <c r="O39" s="211"/>
    </row>
    <row r="40" spans="1:15" ht="12.75">
      <c r="A40" t="s">
        <v>46</v>
      </c>
      <c r="B40" s="6">
        <f>'Rate Class Energy Model'!N7</f>
        <v>22886426.08</v>
      </c>
      <c r="C40" s="6">
        <f>'Rate Class Energy Model'!N8</f>
        <v>22994438.16</v>
      </c>
      <c r="D40" s="6">
        <f>'Rate Class Energy Model'!N9</f>
        <v>21808580.509999998</v>
      </c>
      <c r="E40" s="6">
        <f>'Rate Class Energy Model'!N10</f>
        <v>19020064.8</v>
      </c>
      <c r="F40" s="6">
        <f>'Rate Class Energy Model'!N11</f>
        <v>20647752</v>
      </c>
      <c r="G40" s="6">
        <f>'Rate Class Energy Model'!N12</f>
        <v>21799117.200000003</v>
      </c>
      <c r="H40" s="6">
        <f>'Rate Class Energy Model'!N13</f>
        <v>18664981.2</v>
      </c>
      <c r="I40" s="6">
        <f>'Rate Class Energy Model'!N14</f>
        <v>17729306.4</v>
      </c>
      <c r="J40" s="6">
        <f>'Rate Class Energy Model'!N15</f>
        <v>18104643.6</v>
      </c>
      <c r="K40" s="6">
        <f>'Rate Class Energy Model'!N74</f>
        <v>17516480.340998773</v>
      </c>
      <c r="L40" s="6">
        <f>'Rate Class Energy Model'!N80</f>
        <v>16947354.569535773</v>
      </c>
      <c r="M40" s="6">
        <f>'Rate Class Energy Model'!N56</f>
        <v>17516149.18260597</v>
      </c>
      <c r="N40" s="61">
        <f>'Rate Class Energy Model'!N57</f>
        <v>16946308.30532231</v>
      </c>
      <c r="O40" s="211"/>
    </row>
    <row r="41" spans="1:15" ht="12.75">
      <c r="A41" t="s">
        <v>47</v>
      </c>
      <c r="B41" s="6">
        <f>'Rate Class Load Model'!E2</f>
        <v>47142.3431401</v>
      </c>
      <c r="C41" s="6">
        <f>'Rate Class Load Model'!E3</f>
        <v>48399.479999999996</v>
      </c>
      <c r="D41" s="6">
        <f>'Rate Class Load Model'!E4</f>
        <v>45921.68042</v>
      </c>
      <c r="E41" s="6">
        <f>'Rate Class Load Model'!E5</f>
        <v>41567.59</v>
      </c>
      <c r="F41" s="6">
        <f>'Rate Class Load Model'!E6</f>
        <v>42417.600000000006</v>
      </c>
      <c r="G41" s="6">
        <f>'Rate Class Load Model'!E7</f>
        <v>46155.200000000004</v>
      </c>
      <c r="H41" s="6">
        <f>'Rate Class Load Model'!E8</f>
        <v>42412.799999999996</v>
      </c>
      <c r="I41" s="28">
        <f>'Rate Class Load Model'!E9</f>
        <v>44377.7</v>
      </c>
      <c r="J41" s="28">
        <f>'Rate Class Load Model'!E10</f>
        <v>44396.5</v>
      </c>
      <c r="K41" s="6">
        <f>'Rate Class Energy Model'!N76</f>
        <v>38643.40003929574</v>
      </c>
      <c r="L41" s="6">
        <f>'Rate Class Energy Model'!N82</f>
        <v>37387.84216287457</v>
      </c>
      <c r="M41" s="6">
        <f>'Rate Class Load Model'!E11</f>
        <v>38642.66946523061</v>
      </c>
      <c r="N41" s="6">
        <f>'Rate Class Load Model'!E12</f>
        <v>37385.53398190668</v>
      </c>
      <c r="O41" s="211"/>
    </row>
    <row r="42" spans="2:14" ht="12.75">
      <c r="B42" s="1"/>
      <c r="C42" s="1"/>
      <c r="K42" s="24"/>
      <c r="L42" s="6"/>
      <c r="N42" s="6"/>
    </row>
    <row r="43" spans="1:13" ht="12.75">
      <c r="A43" s="44" t="s">
        <v>67</v>
      </c>
      <c r="B43" s="6"/>
      <c r="C43" s="6"/>
      <c r="D43" s="6"/>
      <c r="E43" s="6"/>
      <c r="G43" s="6"/>
      <c r="H43" s="6"/>
      <c r="I43" s="6"/>
      <c r="J43" s="6"/>
      <c r="K43" s="28"/>
      <c r="M43" s="28"/>
    </row>
    <row r="44" spans="1:14" ht="12.75">
      <c r="A44" t="s">
        <v>52</v>
      </c>
      <c r="B44" s="6">
        <f>B35+B30+B12+B16+B20+B25+B39</f>
        <v>7254</v>
      </c>
      <c r="C44" s="6">
        <f>C35+C30+C12+C16+C20+C25+C39</f>
        <v>7438</v>
      </c>
      <c r="D44" s="6">
        <f aca="true" t="shared" si="1" ref="D44:J44">D35+D30+D12+D16+D20+D25+D39</f>
        <v>7618</v>
      </c>
      <c r="E44" s="6">
        <f t="shared" si="1"/>
        <v>7705</v>
      </c>
      <c r="F44" s="6">
        <f t="shared" si="1"/>
        <v>7857</v>
      </c>
      <c r="G44" s="6">
        <f t="shared" si="1"/>
        <v>7954</v>
      </c>
      <c r="H44" s="6">
        <f t="shared" si="1"/>
        <v>8019</v>
      </c>
      <c r="I44" s="6">
        <f t="shared" si="1"/>
        <v>8099</v>
      </c>
      <c r="J44" s="6">
        <f t="shared" si="1"/>
        <v>8204</v>
      </c>
      <c r="K44" s="6">
        <f>K35+K30+K12+K16+K20+K25+K39</f>
        <v>8320.19944778815</v>
      </c>
      <c r="L44" s="6">
        <f>L35+L30+L12+L16+L20+L25+L39</f>
        <v>8438.252804011405</v>
      </c>
      <c r="M44" s="6">
        <f>M35+M30+M12+M16+M20+M25+M39</f>
        <v>8320.19944778815</v>
      </c>
      <c r="N44" s="6">
        <f>N35+N30+N12+N16+N20+N25+N39</f>
        <v>8438.252804011405</v>
      </c>
    </row>
    <row r="45" spans="1:14" ht="12.75">
      <c r="A45" t="s">
        <v>46</v>
      </c>
      <c r="B45" s="6">
        <f>B13+B17+B21+B26+B31+B36+B40</f>
        <v>150463311.5</v>
      </c>
      <c r="C45" s="6">
        <f>C13+C17+C21+C26+C31+C36+C40</f>
        <v>152784488.675866</v>
      </c>
      <c r="D45" s="6">
        <f aca="true" t="shared" si="2" ref="D45:J45">D13+D17+D21+D26+D31+D36+D40</f>
        <v>153975408.401471</v>
      </c>
      <c r="E45" s="6">
        <f t="shared" si="2"/>
        <v>150002322.27944702</v>
      </c>
      <c r="F45" s="6">
        <f t="shared" si="2"/>
        <v>147391975.82999998</v>
      </c>
      <c r="G45" s="6">
        <f t="shared" si="2"/>
        <v>154151697.38</v>
      </c>
      <c r="H45" s="6">
        <f t="shared" si="2"/>
        <v>146583990.21</v>
      </c>
      <c r="I45" s="6">
        <f t="shared" si="2"/>
        <v>149244340.79</v>
      </c>
      <c r="J45" s="6">
        <f t="shared" si="2"/>
        <v>146044788.99</v>
      </c>
      <c r="K45" s="6">
        <f>K13+K17+K21+K26+K31+K36+K40</f>
        <v>145967154.78881222</v>
      </c>
      <c r="L45" s="6">
        <f>L13+L17+L21+L26+L31+L36+L40</f>
        <v>145613922.80056077</v>
      </c>
      <c r="M45" s="6">
        <f>M13+M17+M21+M26+M31+M36+M40</f>
        <v>149903172.80621096</v>
      </c>
      <c r="N45" s="6">
        <f>N13+N17+N21+N26+N31+N36+N40</f>
        <v>150569449.38785988</v>
      </c>
    </row>
    <row r="46" spans="1:14" ht="12.75">
      <c r="A46" t="s">
        <v>51</v>
      </c>
      <c r="B46" s="6">
        <f>B32+B27+B22+B41</f>
        <v>204339.7606401</v>
      </c>
      <c r="C46" s="6">
        <f>C32+C27+C22+C41</f>
        <v>209217.59222222224</v>
      </c>
      <c r="D46" s="6">
        <f aca="true" t="shared" si="3" ref="D46:J46">D32+D27+D22+D41</f>
        <v>206854.95469777778</v>
      </c>
      <c r="E46" s="6">
        <f t="shared" si="3"/>
        <v>208782.38480555554</v>
      </c>
      <c r="F46" s="6">
        <f t="shared" si="3"/>
        <v>206343.9610277778</v>
      </c>
      <c r="G46" s="6">
        <f t="shared" si="3"/>
        <v>218813.0400277778</v>
      </c>
      <c r="H46" s="6">
        <f t="shared" si="3"/>
        <v>214800.27263888885</v>
      </c>
      <c r="I46" s="6">
        <f t="shared" si="3"/>
        <v>218082.6826388889</v>
      </c>
      <c r="J46" s="6">
        <f t="shared" si="3"/>
        <v>208715.72294444445</v>
      </c>
      <c r="K46" s="6">
        <f>K32+K27+K22+K41</f>
        <v>199662.35763945925</v>
      </c>
      <c r="L46" s="6">
        <f>L32+L27+L22+L41</f>
        <v>198174.37186751503</v>
      </c>
      <c r="M46" s="6">
        <f>M32+M27+M22+M41</f>
        <v>203856.37671747696</v>
      </c>
      <c r="N46" s="6">
        <f>N32+N27+N22+N41</f>
        <v>203695.9233744589</v>
      </c>
    </row>
    <row r="47" spans="2:11" ht="12.75">
      <c r="B47" s="1"/>
      <c r="C47" s="1"/>
      <c r="K47" s="24"/>
    </row>
    <row r="48" spans="1:14" ht="12.75">
      <c r="A48" s="44" t="s">
        <v>68</v>
      </c>
      <c r="B48" s="1"/>
      <c r="C48" s="1"/>
      <c r="K48" s="24"/>
      <c r="L48" s="6"/>
      <c r="N48" s="6"/>
    </row>
    <row r="49" spans="1:14" ht="12.75">
      <c r="A49" t="s">
        <v>52</v>
      </c>
      <c r="B49" s="6">
        <f>'Rate Class Customer Model'!I3</f>
        <v>7254</v>
      </c>
      <c r="C49" s="6">
        <f>'Rate Class Customer Model'!I4</f>
        <v>7438</v>
      </c>
      <c r="D49" s="6">
        <f>'Rate Class Customer Model'!I5</f>
        <v>7618</v>
      </c>
      <c r="E49" s="6">
        <f>'Rate Class Customer Model'!I6</f>
        <v>7705</v>
      </c>
      <c r="F49" s="6">
        <f>'Rate Class Customer Model'!I7</f>
        <v>7857</v>
      </c>
      <c r="G49" s="6">
        <f>'Rate Class Customer Model'!I8</f>
        <v>7954</v>
      </c>
      <c r="H49" s="6">
        <f>'Rate Class Customer Model'!I9</f>
        <v>8019</v>
      </c>
      <c r="I49" s="6">
        <f>'Rate Class Customer Model'!I10</f>
        <v>8099</v>
      </c>
      <c r="J49" s="6">
        <f>'Rate Class Customer Model'!I11</f>
        <v>8204</v>
      </c>
      <c r="K49" s="6">
        <f>M49</f>
        <v>8320.19944778815</v>
      </c>
      <c r="L49" s="6">
        <f>'Rate Class Customer Model'!I13</f>
        <v>8438.252804011405</v>
      </c>
      <c r="M49" s="6">
        <f>'Rate Class Customer Model'!I12</f>
        <v>8320.19944778815</v>
      </c>
      <c r="N49" s="6">
        <f>'Rate Class Customer Model'!I13</f>
        <v>8438.252804011405</v>
      </c>
    </row>
    <row r="50" spans="1:14" ht="12.75">
      <c r="A50" t="s">
        <v>46</v>
      </c>
      <c r="B50" s="6">
        <f>'Rate Class Energy Model'!G7</f>
        <v>150463311.5</v>
      </c>
      <c r="C50" s="6">
        <f>'Rate Class Energy Model'!G8</f>
        <v>152784488.675866</v>
      </c>
      <c r="D50" s="6">
        <f>'Rate Class Energy Model'!G9</f>
        <v>153975408.401471</v>
      </c>
      <c r="E50" s="6">
        <f>'Rate Class Energy Model'!G10</f>
        <v>150002322.27944702</v>
      </c>
      <c r="F50" s="6">
        <f>'Rate Class Energy Model'!G11</f>
        <v>147391975.82999998</v>
      </c>
      <c r="G50" s="6">
        <f>'Rate Class Energy Model'!G12</f>
        <v>154151697.38</v>
      </c>
      <c r="H50" s="6">
        <f>'Rate Class Energy Model'!G13</f>
        <v>146583990.21</v>
      </c>
      <c r="I50" s="6">
        <f>'Rate Class Energy Model'!G14</f>
        <v>149244340.79</v>
      </c>
      <c r="J50" s="6">
        <f>'Rate Class Energy Model'!G15</f>
        <v>146044788.99</v>
      </c>
      <c r="K50" s="28">
        <f>'Rate Class Energy Model'!O74</f>
        <v>145967154.78881222</v>
      </c>
      <c r="L50" s="6">
        <f>'Rate Class Energy Model'!O80</f>
        <v>145613922.80056077</v>
      </c>
      <c r="M50" s="28">
        <f>'Rate Class Energy Model'!O56</f>
        <v>149903172.80621096</v>
      </c>
      <c r="N50" s="6">
        <f>'Rate Class Energy Model'!O57</f>
        <v>150569449.38785988</v>
      </c>
    </row>
    <row r="51" spans="1:14" ht="12.75">
      <c r="A51" t="s">
        <v>51</v>
      </c>
      <c r="B51" s="6">
        <f>'Rate Class Load Model'!F2</f>
        <v>204339.7606401</v>
      </c>
      <c r="C51" s="6">
        <f>'Rate Class Load Model'!F3</f>
        <v>209217.59222222224</v>
      </c>
      <c r="D51" s="6">
        <f>'Rate Class Load Model'!F4</f>
        <v>206854.95469777778</v>
      </c>
      <c r="E51" s="6">
        <f>'Rate Class Load Model'!F5</f>
        <v>208782.38480555554</v>
      </c>
      <c r="F51" s="6">
        <f>'Rate Class Load Model'!F6</f>
        <v>206343.9610277778</v>
      </c>
      <c r="G51" s="6">
        <f>'Rate Class Load Model'!F7</f>
        <v>218813.0400277778</v>
      </c>
      <c r="H51" s="6">
        <f>'Rate Class Load Model'!F8</f>
        <v>214800.27263888885</v>
      </c>
      <c r="I51" s="28">
        <f>'Rate Class Load Model'!F9</f>
        <v>218082.6826388889</v>
      </c>
      <c r="J51" s="28">
        <f>'Rate Class Load Model'!F10</f>
        <v>208715.72294444445</v>
      </c>
      <c r="K51" s="6">
        <f>'Rate Class Energy Model'!O76</f>
        <v>199662.35763945925</v>
      </c>
      <c r="L51" s="6">
        <f>'Rate Class Energy Model'!O82</f>
        <v>198174.37186751503</v>
      </c>
      <c r="M51" s="6">
        <f>'Rate Class Load Model'!F11</f>
        <v>203856.37671747696</v>
      </c>
      <c r="N51" s="6">
        <f>'Rate Class Load Model'!F12</f>
        <v>203695.9233744589</v>
      </c>
    </row>
    <row r="52" spans="2:11" ht="12.75">
      <c r="B52" s="1"/>
      <c r="C52" s="1"/>
      <c r="K52" s="24"/>
    </row>
    <row r="53" spans="1:14" ht="12.75">
      <c r="A53" s="44" t="s">
        <v>69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t="s">
        <v>52</v>
      </c>
      <c r="B54" s="6">
        <f aca="true" t="shared" si="4" ref="B54:C56">B44-B49</f>
        <v>0</v>
      </c>
      <c r="C54" s="6">
        <f t="shared" si="4"/>
        <v>0</v>
      </c>
      <c r="D54" s="6">
        <f aca="true" t="shared" si="5" ref="D54:I54">D44-D49</f>
        <v>0</v>
      </c>
      <c r="E54" s="6">
        <f t="shared" si="5"/>
        <v>0</v>
      </c>
      <c r="F54" s="6">
        <f>F44-F49</f>
        <v>0</v>
      </c>
      <c r="G54" s="6">
        <f t="shared" si="5"/>
        <v>0</v>
      </c>
      <c r="H54" s="6">
        <f t="shared" si="5"/>
        <v>0</v>
      </c>
      <c r="I54" s="6">
        <f t="shared" si="5"/>
        <v>0</v>
      </c>
      <c r="J54" s="6">
        <f aca="true" t="shared" si="6" ref="J54:N56">J44-J49</f>
        <v>0</v>
      </c>
      <c r="K54" s="6">
        <f t="shared" si="6"/>
        <v>0</v>
      </c>
      <c r="L54" s="6">
        <f t="shared" si="6"/>
        <v>0</v>
      </c>
      <c r="M54" s="6">
        <f t="shared" si="6"/>
        <v>0</v>
      </c>
      <c r="N54" s="6">
        <f t="shared" si="6"/>
        <v>0</v>
      </c>
    </row>
    <row r="55" spans="1:14" ht="12.75">
      <c r="A55" t="s">
        <v>46</v>
      </c>
      <c r="B55" s="6">
        <f t="shared" si="4"/>
        <v>0</v>
      </c>
      <c r="C55" s="6">
        <f t="shared" si="4"/>
        <v>0</v>
      </c>
      <c r="D55" s="6">
        <f aca="true" t="shared" si="7" ref="D55:I56">D45-D50</f>
        <v>0</v>
      </c>
      <c r="E55" s="6">
        <f t="shared" si="7"/>
        <v>0</v>
      </c>
      <c r="F55" s="6">
        <f t="shared" si="7"/>
        <v>0</v>
      </c>
      <c r="G55" s="6">
        <f t="shared" si="7"/>
        <v>0</v>
      </c>
      <c r="H55" s="6">
        <f t="shared" si="7"/>
        <v>0</v>
      </c>
      <c r="I55" s="6">
        <f t="shared" si="7"/>
        <v>0</v>
      </c>
      <c r="J55" s="6">
        <f t="shared" si="6"/>
        <v>0</v>
      </c>
      <c r="K55" s="6">
        <f t="shared" si="6"/>
        <v>0</v>
      </c>
      <c r="L55" s="6">
        <f t="shared" si="6"/>
        <v>0</v>
      </c>
      <c r="M55" s="6">
        <f t="shared" si="6"/>
        <v>0</v>
      </c>
      <c r="N55" s="6">
        <f t="shared" si="6"/>
        <v>0</v>
      </c>
    </row>
    <row r="56" spans="1:14" ht="12.75">
      <c r="A56" t="s">
        <v>51</v>
      </c>
      <c r="B56" s="6">
        <f t="shared" si="4"/>
        <v>0</v>
      </c>
      <c r="C56" s="6">
        <f t="shared" si="4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6"/>
        <v>0</v>
      </c>
      <c r="K56" s="6">
        <f t="shared" si="6"/>
        <v>0</v>
      </c>
      <c r="L56" s="6">
        <f t="shared" si="6"/>
        <v>0</v>
      </c>
      <c r="M56" s="6">
        <f t="shared" si="6"/>
        <v>0</v>
      </c>
      <c r="N56" s="6">
        <f t="shared" si="6"/>
        <v>0</v>
      </c>
    </row>
  </sheetData>
  <sheetProtection/>
  <printOptions/>
  <pageMargins left="0.17" right="0.15" top="0.73" bottom="0.74" header="0.5" footer="0.5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2.421875" style="0" bestFit="1" customWidth="1"/>
    <col min="2" max="2" width="18.8515625" style="0" customWidth="1"/>
    <col min="4" max="4" width="2.421875" style="0" customWidth="1"/>
    <col min="5" max="5" width="22.421875" style="0" bestFit="1" customWidth="1"/>
    <col min="6" max="6" width="14.00390625" style="0" customWidth="1"/>
  </cols>
  <sheetData>
    <row r="1" ht="15.75">
      <c r="A1" s="45" t="str">
        <f>Summary!A1</f>
        <v>Centre Wellington Hydro Load Forecast for 2013 Rate Application</v>
      </c>
    </row>
    <row r="3" spans="2:5" ht="12.75">
      <c r="B3" s="88" t="s">
        <v>156</v>
      </c>
      <c r="E3" s="88" t="s">
        <v>60</v>
      </c>
    </row>
    <row r="4" spans="1:5" ht="12.75">
      <c r="A4" s="37" t="s">
        <v>22</v>
      </c>
      <c r="B4" s="118">
        <f>'Purchased Power Model '!P6</f>
        <v>0.7923729352485401</v>
      </c>
      <c r="E4" s="118">
        <f>Residential!P6</f>
        <v>0.8217489064758576</v>
      </c>
    </row>
    <row r="5" spans="1:5" ht="13.5" thickBot="1">
      <c r="A5" s="37" t="s">
        <v>23</v>
      </c>
      <c r="B5" s="118">
        <f>'Purchased Power Model '!P7</f>
        <v>0.7809439225099277</v>
      </c>
      <c r="E5" s="118">
        <f>Residential!P7</f>
        <v>0.8118460679467385</v>
      </c>
    </row>
    <row r="6" spans="1:7" ht="12.75">
      <c r="A6" s="55" t="s">
        <v>35</v>
      </c>
      <c r="B6" s="55"/>
      <c r="C6" s="55" t="s">
        <v>36</v>
      </c>
      <c r="E6" s="55"/>
      <c r="F6" s="55" t="s">
        <v>35</v>
      </c>
      <c r="G6" s="55" t="s">
        <v>36</v>
      </c>
    </row>
    <row r="7" spans="1:7" ht="12.75">
      <c r="A7" s="37" t="s">
        <v>29</v>
      </c>
      <c r="B7" s="59">
        <f>'Purchased Power Model '!P18</f>
        <v>-3989336.419192153</v>
      </c>
      <c r="C7" s="59">
        <f>'Purchased Power Model '!R18</f>
        <v>-1.7074837201245778</v>
      </c>
      <c r="E7" s="37" t="s">
        <v>29</v>
      </c>
      <c r="F7" s="326">
        <f>Residential!P18</f>
        <v>-3257585.484943858</v>
      </c>
      <c r="G7" s="59">
        <f>Residential!R18</f>
        <v>-3.4912884181114734</v>
      </c>
    </row>
    <row r="8" spans="1:7" ht="12.75">
      <c r="A8" s="37" t="s">
        <v>2</v>
      </c>
      <c r="B8" s="59">
        <f>'Purchased Power Model '!P19</f>
        <v>3955.294641234512</v>
      </c>
      <c r="C8" s="59">
        <f>'Purchased Power Model '!R19</f>
        <v>19.154543548098054</v>
      </c>
      <c r="E8" s="37" t="s">
        <v>2</v>
      </c>
      <c r="F8" s="326">
        <f>Residential!P19</f>
        <v>1832.8913619281686</v>
      </c>
      <c r="G8" s="59">
        <f>Residential!R19</f>
        <v>14.638612164675454</v>
      </c>
    </row>
    <row r="9" spans="1:7" ht="12.75">
      <c r="A9" s="37" t="s">
        <v>3</v>
      </c>
      <c r="B9" s="59">
        <f>'Purchased Power Model '!P20</f>
        <v>10484.825798479864</v>
      </c>
      <c r="C9" s="59">
        <f>'Purchased Power Model '!R20</f>
        <v>9.980217214400087</v>
      </c>
      <c r="E9" s="37" t="s">
        <v>3</v>
      </c>
      <c r="F9" s="326">
        <f>Residential!P20</f>
        <v>4097.736467454648</v>
      </c>
      <c r="G9" s="59">
        <f>Residential!R20</f>
        <v>5.701073091827507</v>
      </c>
    </row>
    <row r="10" spans="1:7" ht="12.75">
      <c r="A10" s="37" t="s">
        <v>4</v>
      </c>
      <c r="B10" s="59">
        <f>'Purchased Power Model '!P21</f>
        <v>190783.15539574457</v>
      </c>
      <c r="C10" s="59">
        <f>'Purchased Power Model '!R21</f>
        <v>3.5840079714243216</v>
      </c>
      <c r="E10" s="37" t="s">
        <v>18</v>
      </c>
      <c r="F10" s="326">
        <f>Residential!P21</f>
        <v>-217808.41580398206</v>
      </c>
      <c r="G10" s="59">
        <f>Residential!R21</f>
        <v>-4.049616030738735</v>
      </c>
    </row>
    <row r="11" spans="1:7" ht="12.75">
      <c r="A11" s="37" t="s">
        <v>149</v>
      </c>
      <c r="B11" s="59">
        <f>'Purchased Power Model '!P22</f>
        <v>8113.740882894214</v>
      </c>
      <c r="C11" s="59">
        <f>'Purchased Power Model '!R22</f>
        <v>3.1693370244579513</v>
      </c>
      <c r="E11" s="37" t="s">
        <v>4</v>
      </c>
      <c r="F11" s="326">
        <f>Residential!P22</f>
        <v>114453.52908515415</v>
      </c>
      <c r="G11" s="59">
        <f>Residential!R22</f>
        <v>4.595126603481553</v>
      </c>
    </row>
    <row r="12" spans="1:7" ht="12.75">
      <c r="A12" s="37" t="s">
        <v>74</v>
      </c>
      <c r="B12" s="59">
        <f>'Purchased Power Model '!P23</f>
        <v>-1.9601964324842727</v>
      </c>
      <c r="C12" s="59">
        <f>'Purchased Power Model '!R23</f>
        <v>-2.8695932501441592</v>
      </c>
      <c r="E12" s="37" t="s">
        <v>152</v>
      </c>
      <c r="F12" s="326">
        <f>Residential!P23</f>
        <v>4656.424849842663</v>
      </c>
      <c r="G12" s="59">
        <f>Residential!R23</f>
        <v>4.996931730560894</v>
      </c>
    </row>
    <row r="13" spans="1:7" ht="13.5" thickBot="1">
      <c r="A13" s="54" t="s">
        <v>77</v>
      </c>
      <c r="B13" s="208">
        <f>'Purchased Power Model '!P24</f>
        <v>1170.61444541036</v>
      </c>
      <c r="C13" s="208">
        <f>'Purchased Power Model '!R24</f>
        <v>4.036701905697439</v>
      </c>
      <c r="E13" s="54" t="s">
        <v>74</v>
      </c>
      <c r="F13" s="208">
        <f>Residential!P24</f>
        <v>-0.8635831005454231</v>
      </c>
      <c r="G13" s="208">
        <f>Residential!R24</f>
        <v>-3.46202840055326</v>
      </c>
    </row>
    <row r="15" spans="2:5" ht="12.75">
      <c r="B15" s="88" t="s">
        <v>157</v>
      </c>
      <c r="E15" s="88" t="s">
        <v>158</v>
      </c>
    </row>
    <row r="16" spans="1:5" ht="12.75">
      <c r="A16" s="37" t="s">
        <v>22</v>
      </c>
      <c r="B16" s="118">
        <f>'GS &lt; 50 kW'!P6</f>
        <v>0.6596097331138181</v>
      </c>
      <c r="E16" s="118">
        <f>'GS &gt; 50 kW '!P6</f>
        <v>0.15084389484058955</v>
      </c>
    </row>
    <row r="17" spans="1:5" ht="13.5" thickBot="1">
      <c r="A17" s="37" t="s">
        <v>23</v>
      </c>
      <c r="B17" s="118">
        <f>'GS &lt; 50 kW'!P7</f>
        <v>0.6406991627312524</v>
      </c>
      <c r="E17" s="118">
        <f>'GS &gt; 50 kW '!P7</f>
        <v>0.10366855566506675</v>
      </c>
    </row>
    <row r="18" spans="1:7" ht="12.75">
      <c r="A18" s="55"/>
      <c r="B18" s="55" t="s">
        <v>35</v>
      </c>
      <c r="C18" s="55" t="s">
        <v>36</v>
      </c>
      <c r="E18" s="55"/>
      <c r="F18" s="55" t="s">
        <v>35</v>
      </c>
      <c r="G18" s="55" t="s">
        <v>36</v>
      </c>
    </row>
    <row r="19" spans="1:7" ht="12.75">
      <c r="A19" s="37" t="s">
        <v>29</v>
      </c>
      <c r="B19" s="326">
        <f>'GS &lt; 50 kW'!P18</f>
        <v>-497713.96180331754</v>
      </c>
      <c r="C19" s="59">
        <f>'GS &lt; 50 kW'!R18</f>
        <v>-1.2086615674767898</v>
      </c>
      <c r="E19" s="59" t="str">
        <f>'GS &gt; 50 kW '!O18</f>
        <v>Intercept</v>
      </c>
      <c r="F19" s="59">
        <f>'GS &gt; 50 kW '!P18</f>
        <v>-325056.9376730337</v>
      </c>
      <c r="G19" s="59">
        <f>'GS &gt; 50 kW '!R18</f>
        <v>-0.18083161279486945</v>
      </c>
    </row>
    <row r="20" spans="1:7" ht="12.75">
      <c r="A20" s="37" t="s">
        <v>2</v>
      </c>
      <c r="B20" s="326">
        <f>'GS &lt; 50 kW'!P19</f>
        <v>468.5182785096634</v>
      </c>
      <c r="C20" s="59">
        <f>'GS &lt; 50 kW'!R19</f>
        <v>8.478610834954823</v>
      </c>
      <c r="E20" s="59" t="str">
        <f>'GS &gt; 50 kW '!O19</f>
        <v>Heating Degree Days</v>
      </c>
      <c r="F20" s="59">
        <f>'GS &gt; 50 kW '!P19</f>
        <v>208.04264820652867</v>
      </c>
      <c r="G20" s="59">
        <f>'GS &gt; 50 kW '!R19</f>
        <v>0.9879528984054478</v>
      </c>
    </row>
    <row r="21" spans="1:7" ht="12.75">
      <c r="A21" s="37" t="s">
        <v>3</v>
      </c>
      <c r="B21" s="326">
        <f>'GS &lt; 50 kW'!P20</f>
        <v>1938.676562414413</v>
      </c>
      <c r="C21" s="59">
        <f>'GS &lt; 50 kW'!R20</f>
        <v>6.111571920101033</v>
      </c>
      <c r="E21" s="59" t="str">
        <f>'GS &gt; 50 kW '!O20</f>
        <v>Cooling Degree Days</v>
      </c>
      <c r="F21" s="59">
        <f>'GS &gt; 50 kW '!P20</f>
        <v>-355.2686718558491</v>
      </c>
      <c r="G21" s="59">
        <f>'GS &gt; 50 kW '!R20</f>
        <v>-0.294257114360736</v>
      </c>
    </row>
    <row r="22" spans="1:7" ht="12.75">
      <c r="A22" s="37" t="s">
        <v>18</v>
      </c>
      <c r="B22" s="326">
        <f>'GS &lt; 50 kW'!P21</f>
        <v>-62980.98201848584</v>
      </c>
      <c r="C22" s="59">
        <f>'GS &lt; 50 kW'!R21</f>
        <v>-2.6532831645931485</v>
      </c>
      <c r="E22" s="59" t="str">
        <f>'GS &gt; 50 kW '!O21</f>
        <v>Number of Peak Hours</v>
      </c>
      <c r="F22" s="59">
        <f>'GS &gt; 50 kW '!P21</f>
        <v>5046.487237831023</v>
      </c>
      <c r="G22" s="59">
        <f>'GS &gt; 50 kW '!R21</f>
        <v>2.390995822531904</v>
      </c>
    </row>
    <row r="23" spans="1:7" ht="12.75">
      <c r="A23" s="37" t="s">
        <v>4</v>
      </c>
      <c r="B23" s="326">
        <f>'GS &lt; 50 kW'!P22</f>
        <v>45583.454012390655</v>
      </c>
      <c r="C23" s="59">
        <f>'GS &lt; 50 kW'!R22</f>
        <v>4.146775326142114</v>
      </c>
      <c r="E23" s="59" t="str">
        <f>'GS &gt; 50 kW '!O22</f>
        <v>Spring Fall Flag</v>
      </c>
      <c r="F23" s="59">
        <f>'GS &gt; 50 kW '!P22</f>
        <v>-118828.11040203528</v>
      </c>
      <c r="G23" s="59">
        <f>'GS &gt; 50 kW '!R22</f>
        <v>-1.3138494573835062</v>
      </c>
    </row>
    <row r="24" spans="1:7" ht="12.75">
      <c r="A24" s="37" t="s">
        <v>152</v>
      </c>
      <c r="B24" s="326">
        <f>'GS &lt; 50 kW'!P23</f>
        <v>1059.4880320548307</v>
      </c>
      <c r="C24" s="59">
        <f>'GS &lt; 50 kW'!R23</f>
        <v>2.576213523652589</v>
      </c>
      <c r="E24" s="59" t="str">
        <f>'GS &gt; 50 kW '!O23</f>
        <v>Trend</v>
      </c>
      <c r="F24" s="59">
        <f>'GS &gt; 50 kW '!P23</f>
        <v>33.32752350889265</v>
      </c>
      <c r="G24" s="59">
        <f>'GS &gt; 50 kW '!R23</f>
        <v>1.0357701953003633</v>
      </c>
    </row>
    <row r="25" spans="1:7" ht="13.5" thickBot="1">
      <c r="A25" s="54" t="s">
        <v>74</v>
      </c>
      <c r="B25" s="208">
        <f>'GS &lt; 50 kW'!P24</f>
        <v>-0.3399934407876815</v>
      </c>
      <c r="C25" s="208">
        <f>'GS &lt; 50 kW'!R24</f>
        <v>-3.0883891105388677</v>
      </c>
      <c r="E25" s="59" t="str">
        <f>'GS &gt; 50 kW '!O24</f>
        <v>Number of Days in Month</v>
      </c>
      <c r="F25" s="59">
        <f>'GS &gt; 50 kW '!P24</f>
        <v>84774.8707753265</v>
      </c>
      <c r="G25" s="59">
        <f>'GS &gt; 50 kW '!R24</f>
        <v>1.9084268584085435</v>
      </c>
    </row>
    <row r="26" spans="5:7" ht="12.75">
      <c r="E26" s="59">
        <f>'GS &gt; 50 kW '!O25</f>
        <v>0</v>
      </c>
      <c r="F26" s="59">
        <f>'GS &gt; 50 kW '!P25</f>
        <v>0</v>
      </c>
      <c r="G26" s="59">
        <f>'GS &gt; 50 kW '!R25</f>
        <v>0</v>
      </c>
    </row>
    <row r="27" spans="5:7" ht="13.5" thickBot="1">
      <c r="E27" s="208">
        <f>'GS &gt; 50 kW '!O26</f>
        <v>0</v>
      </c>
      <c r="F27" s="208">
        <f>'GS &gt; 50 kW '!P26</f>
        <v>0</v>
      </c>
      <c r="G27" s="208">
        <f>'GS &gt; 50 kW '!R26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3"/>
  <sheetViews>
    <sheetView zoomScalePageLayoutView="0" workbookViewId="0" topLeftCell="A1">
      <pane xSplit="1" ySplit="3" topLeftCell="B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0" sqref="B60:B71"/>
    </sheetView>
  </sheetViews>
  <sheetFormatPr defaultColWidth="9.140625" defaultRowHeight="12.75"/>
  <cols>
    <col min="1" max="1" width="11.8515625" style="0" customWidth="1"/>
    <col min="2" max="2" width="18.00390625" style="28" customWidth="1"/>
    <col min="3" max="3" width="11.7109375" style="24" customWidth="1"/>
    <col min="4" max="4" width="13.421875" style="24" customWidth="1"/>
    <col min="5" max="5" width="10.140625" style="1" customWidth="1"/>
    <col min="6" max="7" width="12.421875" style="24" customWidth="1"/>
    <col min="8" max="8" width="14.421875" style="24" customWidth="1"/>
    <col min="9" max="11" width="14.421875" style="36" hidden="1" customWidth="1"/>
    <col min="12" max="12" width="12.421875" style="1" hidden="1" customWidth="1"/>
    <col min="13" max="13" width="15.421875" style="1" bestFit="1" customWidth="1"/>
    <col min="14" max="14" width="17.00390625" style="1" customWidth="1"/>
    <col min="15" max="16" width="25.8515625" style="0" bestFit="1" customWidth="1"/>
    <col min="17" max="19" width="18.00390625" style="0" customWidth="1"/>
    <col min="20" max="20" width="17.140625" style="0" customWidth="1"/>
    <col min="21" max="21" width="15.7109375" style="0" customWidth="1"/>
    <col min="22" max="22" width="14.7109375" style="0" bestFit="1" customWidth="1"/>
    <col min="23" max="23" width="12.140625" style="0" bestFit="1" customWidth="1"/>
    <col min="24" max="24" width="11.57421875" style="6" customWidth="1"/>
    <col min="25" max="25" width="9.28125" style="6" customWidth="1"/>
    <col min="26" max="26" width="9.140625" style="6" customWidth="1"/>
    <col min="27" max="27" width="11.7109375" style="6" bestFit="1" customWidth="1"/>
    <col min="28" max="29" width="18.00390625" style="28" customWidth="1"/>
    <col min="30" max="30" width="9.140625" style="6" customWidth="1"/>
  </cols>
  <sheetData>
    <row r="1" ht="15.75">
      <c r="A1" s="45" t="str">
        <f>'Stats Sum'!A1</f>
        <v>Centre Wellington Hydro Load Forecast for 2013 Rate Application</v>
      </c>
    </row>
    <row r="2" spans="7:15" ht="12.75">
      <c r="G2"/>
      <c r="H2"/>
      <c r="I2" s="443" t="s">
        <v>97</v>
      </c>
      <c r="J2" s="443"/>
      <c r="K2" s="443"/>
      <c r="L2" s="443"/>
      <c r="O2" t="s">
        <v>19</v>
      </c>
    </row>
    <row r="3" spans="2:29" ht="42" customHeight="1" thickBot="1">
      <c r="B3" s="117" t="s">
        <v>165</v>
      </c>
      <c r="C3" s="77" t="s">
        <v>2</v>
      </c>
      <c r="D3" s="77" t="s">
        <v>3</v>
      </c>
      <c r="E3" s="12" t="s">
        <v>4</v>
      </c>
      <c r="F3" s="12" t="s">
        <v>149</v>
      </c>
      <c r="G3" s="77" t="s">
        <v>74</v>
      </c>
      <c r="H3" s="77" t="s">
        <v>77</v>
      </c>
      <c r="I3" s="80" t="s">
        <v>5</v>
      </c>
      <c r="J3" s="80" t="s">
        <v>164</v>
      </c>
      <c r="K3" s="80" t="s">
        <v>152</v>
      </c>
      <c r="L3" s="12" t="s">
        <v>18</v>
      </c>
      <c r="M3" s="12" t="s">
        <v>10</v>
      </c>
      <c r="N3" s="12" t="s">
        <v>11</v>
      </c>
      <c r="X3" s="9"/>
      <c r="AB3" s="76" t="s">
        <v>160</v>
      </c>
      <c r="AC3" s="117" t="s">
        <v>161</v>
      </c>
    </row>
    <row r="4" spans="1:29" ht="12.75">
      <c r="A4" s="121">
        <v>37377</v>
      </c>
      <c r="B4" s="155">
        <f>+'[15]Data Input'!D9</f>
        <v>11724403.133333333</v>
      </c>
      <c r="C4" s="123">
        <f>'Weather Analysis - Pearson'!L12</f>
        <v>227.5</v>
      </c>
      <c r="D4" s="123">
        <f>'Weather Analysis - Pearson'!L32</f>
        <v>7.8</v>
      </c>
      <c r="E4" s="10">
        <v>31</v>
      </c>
      <c r="F4" s="126">
        <v>351.912</v>
      </c>
      <c r="G4" s="17">
        <v>0</v>
      </c>
      <c r="H4" s="123">
        <f>+'[15]Data Input'!$CI9</f>
        <v>5563</v>
      </c>
      <c r="I4" s="125">
        <v>122.9477313822845</v>
      </c>
      <c r="J4" s="152">
        <f>A4</f>
        <v>37377</v>
      </c>
      <c r="K4" s="125">
        <f>'[4]cansim3230794907820228566'!D18</f>
        <v>576.7</v>
      </c>
      <c r="L4" s="124">
        <v>1</v>
      </c>
      <c r="M4" s="122">
        <f>$P$18+$P$19*C4+$P$20*D4+$P$21*E4+$P$22*F4+$P$23*G4+$P$24*H4</f>
        <v>12274003.511583826</v>
      </c>
      <c r="O4" s="213" t="s">
        <v>20</v>
      </c>
      <c r="P4" s="213"/>
      <c r="AB4" s="122">
        <f>'[15]Data Input'!G6</f>
        <v>0</v>
      </c>
      <c r="AC4" s="122">
        <f aca="true" t="shared" si="0" ref="AC4:AC35">B4-AB4</f>
        <v>11724403.133333333</v>
      </c>
    </row>
    <row r="5" spans="1:30" s="14" customFormat="1" ht="12.75">
      <c r="A5" s="3">
        <v>37408</v>
      </c>
      <c r="B5" s="155">
        <f>+'[15]Data Input'!D10</f>
        <v>12016349.394533334</v>
      </c>
      <c r="C5" s="123">
        <f>'Weather Analysis - Pearson'!L13</f>
        <v>36.2</v>
      </c>
      <c r="D5" s="123">
        <f>'Weather Analysis - Pearson'!L33</f>
        <v>70</v>
      </c>
      <c r="E5" s="10">
        <v>30</v>
      </c>
      <c r="F5" s="126">
        <v>319.68</v>
      </c>
      <c r="G5" s="17">
        <v>0</v>
      </c>
      <c r="H5" s="123">
        <f>+'[15]Data Input'!$CI10</f>
        <v>5565</v>
      </c>
      <c r="I5" s="125">
        <v>123.31120824213403</v>
      </c>
      <c r="J5" s="152">
        <f aca="true" t="shared" si="1" ref="J5:J68">A5</f>
        <v>37408</v>
      </c>
      <c r="K5" s="125">
        <f>'[4]cansim3230794907820228566'!D19</f>
        <v>581.8</v>
      </c>
      <c r="L5" s="124">
        <v>0</v>
      </c>
      <c r="M5" s="122">
        <f aca="true" t="shared" si="2" ref="M5:M68">$P$18+$P$19*C5+$P$20*D5+$P$21*E5+$P$22*F5+$P$23*G5+$P$24*H5</f>
        <v>11719547.788738742</v>
      </c>
      <c r="N5" s="10"/>
      <c r="O5" s="37" t="s">
        <v>21</v>
      </c>
      <c r="P5" s="60">
        <v>0.8901533212028926</v>
      </c>
      <c r="Q5"/>
      <c r="R5"/>
      <c r="S5"/>
      <c r="T5"/>
      <c r="U5"/>
      <c r="V5"/>
      <c r="W5"/>
      <c r="X5" s="11"/>
      <c r="Y5" s="11"/>
      <c r="Z5" s="11"/>
      <c r="AA5" s="11"/>
      <c r="AB5" s="122">
        <f>'[15]Data Input'!G7</f>
        <v>0</v>
      </c>
      <c r="AC5" s="122">
        <f t="shared" si="0"/>
        <v>12016349.394533334</v>
      </c>
      <c r="AD5" s="11"/>
    </row>
    <row r="6" spans="1:30" s="14" customFormat="1" ht="12.75">
      <c r="A6" s="3">
        <v>37438</v>
      </c>
      <c r="B6" s="155">
        <f>+'[15]Data Input'!D11</f>
        <v>13228170.693733335</v>
      </c>
      <c r="C6" s="123">
        <f>'Weather Analysis - Pearson'!L14</f>
        <v>0</v>
      </c>
      <c r="D6" s="123">
        <f>'Weather Analysis - Pearson'!L34</f>
        <v>192.4</v>
      </c>
      <c r="E6" s="10">
        <v>31</v>
      </c>
      <c r="F6" s="126">
        <v>351.912</v>
      </c>
      <c r="G6" s="17">
        <v>0</v>
      </c>
      <c r="H6" s="123">
        <f>+'[15]Data Input'!$CI11</f>
        <v>5568</v>
      </c>
      <c r="I6" s="125">
        <v>123.67575966778612</v>
      </c>
      <c r="J6" s="152">
        <f t="shared" si="1"/>
        <v>37438</v>
      </c>
      <c r="K6" s="125">
        <f>'[4]cansim3230794907820228566'!D20</f>
        <v>584.7</v>
      </c>
      <c r="L6" s="124">
        <v>0</v>
      </c>
      <c r="M6" s="122">
        <f t="shared" si="2"/>
        <v>13315525.895329408</v>
      </c>
      <c r="N6" s="10"/>
      <c r="O6" s="37" t="s">
        <v>22</v>
      </c>
      <c r="P6" s="60">
        <v>0.7923729352485401</v>
      </c>
      <c r="Q6"/>
      <c r="R6"/>
      <c r="S6"/>
      <c r="T6"/>
      <c r="U6"/>
      <c r="V6"/>
      <c r="W6"/>
      <c r="X6" s="11"/>
      <c r="Y6" s="11"/>
      <c r="Z6" s="11"/>
      <c r="AA6" s="11"/>
      <c r="AB6" s="122">
        <f>'[15]Data Input'!G8</f>
        <v>0</v>
      </c>
      <c r="AC6" s="122">
        <f t="shared" si="0"/>
        <v>13228170.693733335</v>
      </c>
      <c r="AD6" s="11"/>
    </row>
    <row r="7" spans="1:30" s="14" customFormat="1" ht="12.75">
      <c r="A7" s="3">
        <v>37469</v>
      </c>
      <c r="B7" s="155">
        <f>+'[15]Data Input'!D12</f>
        <v>12276645.726933334</v>
      </c>
      <c r="C7" s="123">
        <f>'Weather Analysis - Pearson'!L15</f>
        <v>0.2</v>
      </c>
      <c r="D7" s="123">
        <f>'Weather Analysis - Pearson'!L35</f>
        <v>142.7</v>
      </c>
      <c r="E7" s="10">
        <v>31</v>
      </c>
      <c r="F7" s="126">
        <v>336.288</v>
      </c>
      <c r="G7" s="17">
        <v>0</v>
      </c>
      <c r="H7" s="123">
        <f>+'[15]Data Input'!$CI12</f>
        <v>5568</v>
      </c>
      <c r="I7" s="125">
        <v>124.04138883603632</v>
      </c>
      <c r="J7" s="152">
        <f t="shared" si="1"/>
        <v>37469</v>
      </c>
      <c r="K7" s="125">
        <f>'[4]cansim3230794907820228566'!D21</f>
        <v>586.6</v>
      </c>
      <c r="L7" s="124">
        <v>0</v>
      </c>
      <c r="M7" s="122">
        <f t="shared" si="2"/>
        <v>12668452.024518866</v>
      </c>
      <c r="N7" s="10"/>
      <c r="O7" s="37" t="s">
        <v>23</v>
      </c>
      <c r="P7" s="60">
        <v>0.7809439225099277</v>
      </c>
      <c r="Q7"/>
      <c r="R7"/>
      <c r="S7"/>
      <c r="T7"/>
      <c r="U7"/>
      <c r="V7"/>
      <c r="W7"/>
      <c r="X7" s="11"/>
      <c r="Y7" s="11"/>
      <c r="Z7" s="11"/>
      <c r="AA7" s="11"/>
      <c r="AB7" s="122">
        <f>'[15]Data Input'!G9</f>
        <v>0</v>
      </c>
      <c r="AC7" s="122">
        <f t="shared" si="0"/>
        <v>12276645.726933334</v>
      </c>
      <c r="AD7" s="11"/>
    </row>
    <row r="8" spans="1:30" s="14" customFormat="1" ht="12.75">
      <c r="A8" s="3">
        <v>37500</v>
      </c>
      <c r="B8" s="155">
        <f>+'[15]Data Input'!D13</f>
        <v>12248400.614133334</v>
      </c>
      <c r="C8" s="123">
        <f>'Weather Analysis - Pearson'!L16</f>
        <v>21.8</v>
      </c>
      <c r="D8" s="123">
        <f>'Weather Analysis - Pearson'!L36</f>
        <v>87.6</v>
      </c>
      <c r="E8" s="10">
        <v>30</v>
      </c>
      <c r="F8" s="126">
        <v>319.68</v>
      </c>
      <c r="G8" s="17">
        <v>0</v>
      </c>
      <c r="H8" s="123">
        <f>+'[15]Data Input'!$CI13</f>
        <v>5568</v>
      </c>
      <c r="I8" s="125">
        <v>124.40809893307186</v>
      </c>
      <c r="J8" s="152">
        <f t="shared" si="1"/>
        <v>37500</v>
      </c>
      <c r="K8" s="125">
        <f>'[4]cansim3230794907820228566'!D22</f>
        <v>583.2</v>
      </c>
      <c r="L8" s="124">
        <v>1</v>
      </c>
      <c r="M8" s="122">
        <f t="shared" si="2"/>
        <v>11850636.32329444</v>
      </c>
      <c r="N8" s="10"/>
      <c r="O8" s="37" t="s">
        <v>24</v>
      </c>
      <c r="P8" s="37">
        <v>421579.78519078216</v>
      </c>
      <c r="Q8"/>
      <c r="R8"/>
      <c r="S8"/>
      <c r="T8"/>
      <c r="U8"/>
      <c r="V8"/>
      <c r="W8"/>
      <c r="X8" s="11"/>
      <c r="Y8" s="11"/>
      <c r="Z8" s="11"/>
      <c r="AA8" s="11"/>
      <c r="AB8" s="122">
        <f>'[15]Data Input'!G10</f>
        <v>0</v>
      </c>
      <c r="AC8" s="122">
        <f t="shared" si="0"/>
        <v>12248400.614133334</v>
      </c>
      <c r="AD8" s="11"/>
    </row>
    <row r="9" spans="1:30" s="14" customFormat="1" ht="13.5" thickBot="1">
      <c r="A9" s="3">
        <v>37530</v>
      </c>
      <c r="B9" s="155">
        <f>+'[15]Data Input'!D14</f>
        <v>12742389.170933334</v>
      </c>
      <c r="C9" s="123">
        <f>'Weather Analysis - Pearson'!L17</f>
        <v>292.2</v>
      </c>
      <c r="D9" s="123">
        <f>'Weather Analysis - Pearson'!L37</f>
        <v>10</v>
      </c>
      <c r="E9" s="10">
        <v>31</v>
      </c>
      <c r="F9" s="126">
        <v>351.912</v>
      </c>
      <c r="G9" s="17">
        <v>0</v>
      </c>
      <c r="H9" s="123">
        <f>+'[15]Data Input'!$CI14</f>
        <v>5568</v>
      </c>
      <c r="I9" s="125">
        <v>124.7758931544995</v>
      </c>
      <c r="J9" s="152">
        <f t="shared" si="1"/>
        <v>37530</v>
      </c>
      <c r="K9" s="125">
        <f>'[4]cansim3230794907820228566'!D23</f>
        <v>582.9</v>
      </c>
      <c r="L9" s="124">
        <v>1</v>
      </c>
      <c r="M9" s="122">
        <f t="shared" si="2"/>
        <v>12558830.763855405</v>
      </c>
      <c r="N9" s="10"/>
      <c r="O9" s="54" t="s">
        <v>25</v>
      </c>
      <c r="P9" s="54">
        <v>116</v>
      </c>
      <c r="Q9"/>
      <c r="R9"/>
      <c r="S9"/>
      <c r="T9"/>
      <c r="U9"/>
      <c r="V9"/>
      <c r="W9"/>
      <c r="X9" s="11"/>
      <c r="Y9" s="11"/>
      <c r="Z9" s="11"/>
      <c r="AA9" s="11"/>
      <c r="AB9" s="122">
        <f>'[15]Data Input'!G11</f>
        <v>0</v>
      </c>
      <c r="AC9" s="122">
        <f t="shared" si="0"/>
        <v>12742389.170933334</v>
      </c>
      <c r="AD9" s="11"/>
    </row>
    <row r="10" spans="1:30" s="14" customFormat="1" ht="12.75">
      <c r="A10" s="3">
        <v>37561</v>
      </c>
      <c r="B10" s="155">
        <f>+'[15]Data Input'!D15</f>
        <v>13101900.052533334</v>
      </c>
      <c r="C10" s="24">
        <f>'Weather Analysis - Pearson'!L18</f>
        <v>445</v>
      </c>
      <c r="D10" s="123">
        <f>'Weather Analysis - Pearson'!L38</f>
        <v>0</v>
      </c>
      <c r="E10" s="10">
        <v>30</v>
      </c>
      <c r="F10" s="126">
        <v>336.24</v>
      </c>
      <c r="G10" s="17">
        <v>0</v>
      </c>
      <c r="H10" s="123">
        <f>+'[15]Data Input'!$CI15</f>
        <v>5568</v>
      </c>
      <c r="I10" s="125">
        <v>125.14477470537335</v>
      </c>
      <c r="J10" s="152">
        <f t="shared" si="1"/>
        <v>37561</v>
      </c>
      <c r="K10" s="125">
        <f>'[4]cansim3230794907820228566'!D24</f>
        <v>583.5</v>
      </c>
      <c r="L10" s="124">
        <v>1</v>
      </c>
      <c r="M10" s="122">
        <f t="shared" si="2"/>
        <v>12740409.824538779</v>
      </c>
      <c r="N10" s="10"/>
      <c r="O10"/>
      <c r="P10"/>
      <c r="Q10"/>
      <c r="R10"/>
      <c r="S10"/>
      <c r="T10"/>
      <c r="U10"/>
      <c r="V10"/>
      <c r="W10"/>
      <c r="X10" s="11"/>
      <c r="Y10" s="11"/>
      <c r="Z10" s="11"/>
      <c r="AA10" s="11"/>
      <c r="AB10" s="122">
        <f>'[15]Data Input'!G12</f>
        <v>0</v>
      </c>
      <c r="AC10" s="122">
        <f t="shared" si="0"/>
        <v>13101900.052533334</v>
      </c>
      <c r="AD10" s="11"/>
    </row>
    <row r="11" spans="1:30" s="14" customFormat="1" ht="13.5" thickBot="1">
      <c r="A11" s="3">
        <v>37591</v>
      </c>
      <c r="B11" s="155">
        <f>+'[15]Data Input'!D16</f>
        <v>13553187.635733334</v>
      </c>
      <c r="C11" s="123">
        <f>'Weather Analysis - Pearson'!L19</f>
        <v>619.4</v>
      </c>
      <c r="D11" s="123">
        <f>'Weather Analysis - Pearson'!L39</f>
        <v>0</v>
      </c>
      <c r="E11" s="17">
        <v>31</v>
      </c>
      <c r="F11" s="126">
        <v>319.92</v>
      </c>
      <c r="G11" s="17">
        <v>0</v>
      </c>
      <c r="H11" s="123">
        <f>+'[15]Data Input'!$CI16</f>
        <v>5568</v>
      </c>
      <c r="I11" s="125">
        <v>125.51474680022261</v>
      </c>
      <c r="J11" s="152">
        <f t="shared" si="1"/>
        <v>37591</v>
      </c>
      <c r="K11" s="125">
        <f>'[4]cansim3230794907820228566'!D25</f>
        <v>591.8</v>
      </c>
      <c r="L11" s="124">
        <v>0</v>
      </c>
      <c r="M11" s="122">
        <f t="shared" si="2"/>
        <v>13488580.114156988</v>
      </c>
      <c r="N11" s="10"/>
      <c r="O11" t="s">
        <v>26</v>
      </c>
      <c r="P11"/>
      <c r="Q11"/>
      <c r="R11"/>
      <c r="S11"/>
      <c r="T11"/>
      <c r="U11"/>
      <c r="V11"/>
      <c r="W11"/>
      <c r="X11" s="11"/>
      <c r="Y11" s="11"/>
      <c r="Z11" s="11"/>
      <c r="AA11" s="11"/>
      <c r="AB11" s="122">
        <f>'[15]Data Input'!G13</f>
        <v>0</v>
      </c>
      <c r="AC11" s="122">
        <f t="shared" si="0"/>
        <v>13553187.635733334</v>
      </c>
      <c r="AD11" s="11"/>
    </row>
    <row r="12" spans="1:30" s="14" customFormat="1" ht="12.75">
      <c r="A12" s="3">
        <v>37622</v>
      </c>
      <c r="B12" s="155">
        <f>+'[15]Data Input'!D17</f>
        <v>14570873.324000001</v>
      </c>
      <c r="C12" s="24">
        <f>'Weather Analysis - Pearson'!M8</f>
        <v>814.5</v>
      </c>
      <c r="D12" s="24">
        <f>'Weather Analysis - Pearson'!M28</f>
        <v>0</v>
      </c>
      <c r="E12" s="10">
        <v>31</v>
      </c>
      <c r="F12" s="10">
        <v>351.912</v>
      </c>
      <c r="G12" s="17">
        <v>0</v>
      </c>
      <c r="H12" s="123">
        <f>+'[15]Data Input'!$CI17</f>
        <v>5595</v>
      </c>
      <c r="I12" s="36">
        <v>125.66024937363977</v>
      </c>
      <c r="J12" s="152">
        <f t="shared" si="1"/>
        <v>37622</v>
      </c>
      <c r="K12" s="125">
        <f>'[4]cansim3230794907820228566'!D26</f>
        <v>591.3</v>
      </c>
      <c r="L12" s="10">
        <v>0</v>
      </c>
      <c r="M12" s="122">
        <f t="shared" si="2"/>
        <v>14551439.48701347</v>
      </c>
      <c r="N12" s="10"/>
      <c r="O12" s="212"/>
      <c r="P12" s="212" t="s">
        <v>30</v>
      </c>
      <c r="Q12" s="212" t="s">
        <v>31</v>
      </c>
      <c r="R12" s="212" t="s">
        <v>32</v>
      </c>
      <c r="S12" s="212" t="s">
        <v>33</v>
      </c>
      <c r="T12" s="212" t="s">
        <v>34</v>
      </c>
      <c r="U12"/>
      <c r="V12"/>
      <c r="W12"/>
      <c r="X12" s="11"/>
      <c r="Y12" s="11"/>
      <c r="Z12" s="11"/>
      <c r="AA12" s="11"/>
      <c r="AB12" s="122">
        <f>'[15]Data Input'!G14</f>
        <v>0</v>
      </c>
      <c r="AC12" s="122">
        <f t="shared" si="0"/>
        <v>14570873.324000001</v>
      </c>
      <c r="AD12" s="11"/>
    </row>
    <row r="13" spans="1:29" ht="12.75">
      <c r="A13" s="3">
        <v>37653</v>
      </c>
      <c r="B13" s="155">
        <f>+'[15]Data Input'!D18</f>
        <v>12971288.5396</v>
      </c>
      <c r="C13" s="24">
        <f>'Weather Analysis - Pearson'!M9</f>
        <v>699</v>
      </c>
      <c r="D13" s="24">
        <f>'Weather Analysis - Pearson'!M29</f>
        <v>0</v>
      </c>
      <c r="E13" s="10">
        <v>28</v>
      </c>
      <c r="F13" s="10">
        <v>319.872</v>
      </c>
      <c r="G13" s="17">
        <v>0</v>
      </c>
      <c r="H13" s="123">
        <f>+'[15]Data Input'!$CI18</f>
        <v>5622</v>
      </c>
      <c r="I13" s="36">
        <v>125.80592062045517</v>
      </c>
      <c r="J13" s="152">
        <f t="shared" si="1"/>
        <v>37653</v>
      </c>
      <c r="K13" s="125">
        <f>'[4]cansim3230794907820228566'!D27</f>
        <v>588.4</v>
      </c>
      <c r="L13" s="10">
        <v>0</v>
      </c>
      <c r="M13" s="122">
        <f t="shared" si="2"/>
        <v>13293895.821901802</v>
      </c>
      <c r="N13" s="10"/>
      <c r="O13" s="37" t="s">
        <v>27</v>
      </c>
      <c r="P13" s="37">
        <v>6</v>
      </c>
      <c r="Q13" s="37">
        <v>73931875442640.02</v>
      </c>
      <c r="R13" s="37">
        <v>12321979240440.002</v>
      </c>
      <c r="S13" s="37">
        <v>69.3299546837969</v>
      </c>
      <c r="T13" s="37">
        <v>6.15527164954753E-35</v>
      </c>
      <c r="AB13" s="122">
        <f>'[15]Data Input'!G15</f>
        <v>0</v>
      </c>
      <c r="AC13" s="122">
        <f t="shared" si="0"/>
        <v>12971288.5396</v>
      </c>
    </row>
    <row r="14" spans="1:29" ht="12.75">
      <c r="A14" s="3">
        <v>37681</v>
      </c>
      <c r="B14" s="155">
        <f>+'[15]Data Input'!D19</f>
        <v>13181390.0048</v>
      </c>
      <c r="C14" s="24">
        <f>'Weather Analysis - Pearson'!M10</f>
        <v>581.1</v>
      </c>
      <c r="D14" s="24">
        <f>'Weather Analysis - Pearson'!M30</f>
        <v>0</v>
      </c>
      <c r="E14" s="10">
        <v>31</v>
      </c>
      <c r="F14" s="10">
        <v>336.288</v>
      </c>
      <c r="G14" s="17">
        <v>0</v>
      </c>
      <c r="H14" s="123">
        <f>+'[15]Data Input'!$CI19</f>
        <v>5638</v>
      </c>
      <c r="I14" s="36">
        <v>125.9517607362029</v>
      </c>
      <c r="J14" s="152">
        <f t="shared" si="1"/>
        <v>37681</v>
      </c>
      <c r="K14" s="125">
        <f>'[4]cansim3230794907820228566'!D28</f>
        <v>584.5</v>
      </c>
      <c r="L14" s="10">
        <v>1</v>
      </c>
      <c r="M14" s="122">
        <f t="shared" si="2"/>
        <v>13551841.051347643</v>
      </c>
      <c r="N14" s="10"/>
      <c r="O14" s="37" t="s">
        <v>28</v>
      </c>
      <c r="P14" s="37">
        <v>109</v>
      </c>
      <c r="Q14" s="37">
        <v>19372517165684.16</v>
      </c>
      <c r="R14" s="37">
        <v>177729515281.50604</v>
      </c>
      <c r="S14" s="37"/>
      <c r="T14" s="37"/>
      <c r="AB14" s="122">
        <f>'[15]Data Input'!G16</f>
        <v>0</v>
      </c>
      <c r="AC14" s="122">
        <f t="shared" si="0"/>
        <v>13181390.0048</v>
      </c>
    </row>
    <row r="15" spans="1:29" ht="13.5" thickBot="1">
      <c r="A15" s="3">
        <v>37712</v>
      </c>
      <c r="B15" s="155">
        <f>+'[15]Data Input'!D20</f>
        <v>11915238.1092</v>
      </c>
      <c r="C15" s="24">
        <f>'Weather Analysis - Pearson'!M11</f>
        <v>372.5</v>
      </c>
      <c r="D15" s="24">
        <f>'Weather Analysis - Pearson'!M31</f>
        <v>2.4</v>
      </c>
      <c r="E15" s="10">
        <v>30</v>
      </c>
      <c r="F15" s="10">
        <v>336.24</v>
      </c>
      <c r="G15" s="17">
        <v>0</v>
      </c>
      <c r="H15" s="123">
        <f>+'[15]Data Input'!$CI20</f>
        <v>5653</v>
      </c>
      <c r="I15" s="36">
        <v>126.09776991664374</v>
      </c>
      <c r="J15" s="152">
        <f t="shared" si="1"/>
        <v>37712</v>
      </c>
      <c r="K15" s="125">
        <f>'[4]cansim3230794907820228566'!D29</f>
        <v>587.8</v>
      </c>
      <c r="L15" s="10">
        <v>1</v>
      </c>
      <c r="M15" s="122">
        <f t="shared" si="2"/>
        <v>12578316.77282551</v>
      </c>
      <c r="N15" s="10"/>
      <c r="O15" s="54" t="s">
        <v>9</v>
      </c>
      <c r="P15" s="54">
        <v>115</v>
      </c>
      <c r="Q15" s="54">
        <v>93304392608324.17</v>
      </c>
      <c r="R15" s="54"/>
      <c r="S15" s="54"/>
      <c r="T15" s="54"/>
      <c r="AB15" s="122">
        <f>'[15]Data Input'!G17</f>
        <v>0</v>
      </c>
      <c r="AC15" s="122">
        <f t="shared" si="0"/>
        <v>11915238.1092</v>
      </c>
    </row>
    <row r="16" spans="1:29" ht="13.5" thickBot="1">
      <c r="A16" s="3">
        <v>37742</v>
      </c>
      <c r="B16" s="155">
        <f>+'[15]Data Input'!D21</f>
        <v>11214524.3668</v>
      </c>
      <c r="C16" s="24">
        <f>'Weather Analysis - Pearson'!M12</f>
        <v>177.9</v>
      </c>
      <c r="D16" s="24">
        <f>'Weather Analysis - Pearson'!M32</f>
        <v>0</v>
      </c>
      <c r="E16" s="10">
        <v>31</v>
      </c>
      <c r="F16" s="10">
        <v>336.288</v>
      </c>
      <c r="G16" s="17">
        <v>0</v>
      </c>
      <c r="H16" s="123">
        <f>+'[15]Data Input'!$CI21</f>
        <v>5668</v>
      </c>
      <c r="I16" s="36">
        <v>126.2439483577654</v>
      </c>
      <c r="J16" s="152">
        <f t="shared" si="1"/>
        <v>37742</v>
      </c>
      <c r="K16" s="125">
        <f>'[4]cansim3230794907820228566'!D30</f>
        <v>596.4</v>
      </c>
      <c r="L16" s="10">
        <v>1</v>
      </c>
      <c r="M16" s="122">
        <f t="shared" si="2"/>
        <v>11992184.685364198</v>
      </c>
      <c r="N16" s="10"/>
      <c r="AB16" s="122">
        <f>'[15]Data Input'!G18</f>
        <v>0</v>
      </c>
      <c r="AC16" s="122">
        <f t="shared" si="0"/>
        <v>11214524.3668</v>
      </c>
    </row>
    <row r="17" spans="1:29" ht="12.75">
      <c r="A17" s="3">
        <v>37773</v>
      </c>
      <c r="B17" s="155">
        <f>+'[15]Data Input'!D22</f>
        <v>11747389.018399999</v>
      </c>
      <c r="C17" s="24">
        <f>'Weather Analysis - Pearson'!M13</f>
        <v>43.4</v>
      </c>
      <c r="D17" s="24">
        <f>'Weather Analysis - Pearson'!M33</f>
        <v>52.9</v>
      </c>
      <c r="E17" s="10">
        <v>30</v>
      </c>
      <c r="F17" s="10">
        <v>336.24</v>
      </c>
      <c r="G17" s="17">
        <v>0</v>
      </c>
      <c r="H17" s="123">
        <f>+'[15]Data Input'!$CI22</f>
        <v>5682</v>
      </c>
      <c r="I17" s="36">
        <v>126.3902962557828</v>
      </c>
      <c r="J17" s="152">
        <f t="shared" si="1"/>
        <v>37773</v>
      </c>
      <c r="K17" s="125">
        <f>'[4]cansim3230794907820228566'!D31</f>
        <v>601.7</v>
      </c>
      <c r="L17" s="10">
        <v>0</v>
      </c>
      <c r="M17" s="122">
        <f t="shared" si="2"/>
        <v>11840060.828135364</v>
      </c>
      <c r="N17" s="10"/>
      <c r="O17" s="212"/>
      <c r="P17" s="212" t="s">
        <v>35</v>
      </c>
      <c r="Q17" s="212" t="s">
        <v>24</v>
      </c>
      <c r="R17" s="212" t="s">
        <v>36</v>
      </c>
      <c r="S17" s="212" t="s">
        <v>37</v>
      </c>
      <c r="T17" s="212" t="s">
        <v>38</v>
      </c>
      <c r="U17" s="212" t="s">
        <v>39</v>
      </c>
      <c r="V17" s="212" t="s">
        <v>150</v>
      </c>
      <c r="W17" s="212" t="s">
        <v>151</v>
      </c>
      <c r="AB17" s="122">
        <f>'[15]Data Input'!G19</f>
        <v>0</v>
      </c>
      <c r="AC17" s="122">
        <f t="shared" si="0"/>
        <v>11747389.018399999</v>
      </c>
    </row>
    <row r="18" spans="1:29" ht="12.75">
      <c r="A18" s="3">
        <v>37803</v>
      </c>
      <c r="B18" s="155">
        <f>+'[15]Data Input'!D23</f>
        <v>12580263.272400001</v>
      </c>
      <c r="C18" s="24">
        <f>'Weather Analysis - Pearson'!M14</f>
        <v>0.2</v>
      </c>
      <c r="D18" s="24">
        <f>'Weather Analysis - Pearson'!M34</f>
        <v>118.3</v>
      </c>
      <c r="E18" s="10">
        <v>31</v>
      </c>
      <c r="F18" s="10">
        <v>351.912</v>
      </c>
      <c r="G18" s="17">
        <v>0</v>
      </c>
      <c r="H18" s="123">
        <f>+'[15]Data Input'!$CI23</f>
        <v>5697</v>
      </c>
      <c r="I18" s="36">
        <v>126.5368138071383</v>
      </c>
      <c r="J18" s="152">
        <f t="shared" si="1"/>
        <v>37803</v>
      </c>
      <c r="K18" s="125">
        <f>'[4]cansim3230794907820228566'!D32</f>
        <v>605.7</v>
      </c>
      <c r="L18" s="10">
        <v>0</v>
      </c>
      <c r="M18" s="122">
        <f t="shared" si="2"/>
        <v>12690400.626048233</v>
      </c>
      <c r="N18" s="10"/>
      <c r="O18" s="37" t="s">
        <v>29</v>
      </c>
      <c r="P18" s="59">
        <v>-3989336.419192153</v>
      </c>
      <c r="Q18" s="37">
        <v>2336383.282706257</v>
      </c>
      <c r="R18" s="59">
        <v>-1.7074837201245778</v>
      </c>
      <c r="S18" s="37">
        <v>0.09057905749436324</v>
      </c>
      <c r="T18" s="37">
        <v>-8619971.98908287</v>
      </c>
      <c r="U18" s="37">
        <v>641299.150698564</v>
      </c>
      <c r="V18" s="37">
        <v>-8619971.98908287</v>
      </c>
      <c r="W18" s="37">
        <v>641299.150698564</v>
      </c>
      <c r="AB18" s="122">
        <f>'[15]Data Input'!G20</f>
        <v>0</v>
      </c>
      <c r="AC18" s="122">
        <f t="shared" si="0"/>
        <v>12580263.272400001</v>
      </c>
    </row>
    <row r="19" spans="1:29" ht="12.75">
      <c r="A19" s="3">
        <v>37834</v>
      </c>
      <c r="B19" s="155">
        <f>+'[15]Data Input'!D24</f>
        <v>10786421.1812</v>
      </c>
      <c r="C19" s="24">
        <f>'Weather Analysis - Pearson'!M15</f>
        <v>2</v>
      </c>
      <c r="D19" s="24">
        <f>'Weather Analysis - Pearson'!M35</f>
        <v>128</v>
      </c>
      <c r="E19" s="10">
        <v>31</v>
      </c>
      <c r="F19" s="10">
        <v>319.92</v>
      </c>
      <c r="G19" s="17">
        <v>0</v>
      </c>
      <c r="H19" s="123">
        <f>+'[15]Data Input'!$CI24</f>
        <v>5712</v>
      </c>
      <c r="I19" s="36">
        <v>126.683501208502</v>
      </c>
      <c r="J19" s="152">
        <f t="shared" si="1"/>
        <v>37834</v>
      </c>
      <c r="K19" s="125">
        <f>'[4]cansim3230794907820228566'!D33</f>
        <v>607.6</v>
      </c>
      <c r="L19" s="10">
        <v>0</v>
      </c>
      <c r="M19" s="122">
        <f t="shared" si="2"/>
        <v>12557207.385003313</v>
      </c>
      <c r="N19" s="10"/>
      <c r="O19" s="37" t="s">
        <v>2</v>
      </c>
      <c r="P19" s="59">
        <v>3955.294641234512</v>
      </c>
      <c r="Q19" s="37">
        <v>206.49380818198887</v>
      </c>
      <c r="R19" s="59">
        <v>19.154543548098054</v>
      </c>
      <c r="S19" s="37">
        <v>1.1294596902274475E-36</v>
      </c>
      <c r="T19" s="37">
        <v>3546.0306389591083</v>
      </c>
      <c r="U19" s="37">
        <v>4364.558643509916</v>
      </c>
      <c r="V19" s="37">
        <v>3546.0306389591083</v>
      </c>
      <c r="W19" s="37">
        <v>4364.558643509916</v>
      </c>
      <c r="AB19" s="122">
        <f>'[15]Data Input'!G21</f>
        <v>0</v>
      </c>
      <c r="AC19" s="122">
        <f t="shared" si="0"/>
        <v>10786421.1812</v>
      </c>
    </row>
    <row r="20" spans="1:29" ht="12.75">
      <c r="A20" s="3">
        <v>37865</v>
      </c>
      <c r="B20" s="155">
        <f>+'[15]Data Input'!D25</f>
        <v>11859140.1096</v>
      </c>
      <c r="C20" s="24">
        <f>'Weather Analysis - Pearson'!M16</f>
        <v>54.9</v>
      </c>
      <c r="D20" s="24">
        <f>'Weather Analysis - Pearson'!M36</f>
        <v>24</v>
      </c>
      <c r="E20" s="10">
        <v>30</v>
      </c>
      <c r="F20" s="10">
        <v>336.24</v>
      </c>
      <c r="G20" s="17">
        <v>0</v>
      </c>
      <c r="H20" s="123">
        <f>+'[15]Data Input'!$CI25</f>
        <v>5727</v>
      </c>
      <c r="I20" s="36">
        <v>126.83035865677196</v>
      </c>
      <c r="J20" s="152">
        <f t="shared" si="1"/>
        <v>37865</v>
      </c>
      <c r="K20" s="125">
        <f>'[4]cansim3230794907820228566'!D34</f>
        <v>607.6</v>
      </c>
      <c r="L20" s="10">
        <v>1</v>
      </c>
      <c r="M20" s="122">
        <f t="shared" si="2"/>
        <v>11635212.90097696</v>
      </c>
      <c r="N20" s="10"/>
      <c r="O20" s="37" t="s">
        <v>3</v>
      </c>
      <c r="P20" s="59">
        <v>10484.825798479864</v>
      </c>
      <c r="Q20" s="37">
        <v>1050.5608819166478</v>
      </c>
      <c r="R20" s="59">
        <v>9.980217214400087</v>
      </c>
      <c r="S20" s="37">
        <v>4.7331165429313484E-17</v>
      </c>
      <c r="T20" s="37">
        <v>8402.648347482147</v>
      </c>
      <c r="U20" s="37">
        <v>12567.00324947758</v>
      </c>
      <c r="V20" s="37">
        <v>8402.648347482147</v>
      </c>
      <c r="W20" s="37">
        <v>12567.00324947758</v>
      </c>
      <c r="AB20" s="122">
        <f>'[15]Data Input'!G22</f>
        <v>0</v>
      </c>
      <c r="AC20" s="122">
        <f t="shared" si="0"/>
        <v>11859140.1096</v>
      </c>
    </row>
    <row r="21" spans="1:29" ht="12.75">
      <c r="A21" s="3">
        <v>37895</v>
      </c>
      <c r="B21" s="155">
        <f>+'[15]Data Input'!D26</f>
        <v>12713743.9504</v>
      </c>
      <c r="C21" s="24">
        <f>'Weather Analysis - Pearson'!M17</f>
        <v>276</v>
      </c>
      <c r="D21" s="24">
        <f>'Weather Analysis - Pearson'!M37</f>
        <v>0</v>
      </c>
      <c r="E21" s="10">
        <v>31</v>
      </c>
      <c r="F21" s="10">
        <v>351.912</v>
      </c>
      <c r="G21" s="17">
        <v>0</v>
      </c>
      <c r="H21" s="123">
        <f>+'[15]Data Input'!$CI26</f>
        <v>5738</v>
      </c>
      <c r="I21" s="36">
        <v>126.97738634907456</v>
      </c>
      <c r="J21" s="152">
        <f t="shared" si="1"/>
        <v>37895</v>
      </c>
      <c r="K21" s="125">
        <f>'[4]cansim3230794907820228566'!D35</f>
        <v>609.5</v>
      </c>
      <c r="L21" s="10">
        <v>1</v>
      </c>
      <c r="M21" s="122">
        <f t="shared" si="2"/>
        <v>12588911.18840237</v>
      </c>
      <c r="N21" s="10"/>
      <c r="O21" s="37" t="s">
        <v>4</v>
      </c>
      <c r="P21" s="59">
        <v>190783.15539574457</v>
      </c>
      <c r="Q21" s="37">
        <v>53231.78880093991</v>
      </c>
      <c r="R21" s="59">
        <v>3.5840079714243216</v>
      </c>
      <c r="S21" s="37">
        <v>0.0005075151193580092</v>
      </c>
      <c r="T21" s="37">
        <v>85279.48376143009</v>
      </c>
      <c r="U21" s="37">
        <v>296286.82703005907</v>
      </c>
      <c r="V21" s="37">
        <v>85279.48376143009</v>
      </c>
      <c r="W21" s="37">
        <v>296286.82703005907</v>
      </c>
      <c r="AB21" s="122">
        <f>'[15]Data Input'!G23</f>
        <v>0</v>
      </c>
      <c r="AC21" s="122">
        <f t="shared" si="0"/>
        <v>12713743.9504</v>
      </c>
    </row>
    <row r="22" spans="1:29" ht="12.75">
      <c r="A22" s="3">
        <v>37926</v>
      </c>
      <c r="B22" s="155">
        <f>+'[15]Data Input'!D27</f>
        <v>13054572.4112</v>
      </c>
      <c r="C22" s="24">
        <f>'Weather Analysis - Pearson'!M18</f>
        <v>398.5</v>
      </c>
      <c r="D22" s="24">
        <f>'Weather Analysis - Pearson'!M38</f>
        <v>0</v>
      </c>
      <c r="E22" s="10">
        <v>30</v>
      </c>
      <c r="F22" s="10">
        <v>319.68</v>
      </c>
      <c r="G22" s="17">
        <v>0</v>
      </c>
      <c r="H22" s="123">
        <f>+'[15]Data Input'!$CI27</f>
        <v>5764</v>
      </c>
      <c r="I22" s="36">
        <v>127.12458448276465</v>
      </c>
      <c r="J22" s="152">
        <f t="shared" si="1"/>
        <v>37926</v>
      </c>
      <c r="K22" s="125">
        <f>'[4]cansim3230794907820228566'!D36</f>
        <v>609</v>
      </c>
      <c r="L22" s="10">
        <v>1</v>
      </c>
      <c r="M22" s="122">
        <f t="shared" si="2"/>
        <v>12651565.506001074</v>
      </c>
      <c r="N22" s="10"/>
      <c r="O22" s="37" t="s">
        <v>149</v>
      </c>
      <c r="P22" s="59">
        <v>8113.740882894214</v>
      </c>
      <c r="Q22" s="37">
        <v>2560.075126210946</v>
      </c>
      <c r="R22" s="59">
        <v>3.1693370244579513</v>
      </c>
      <c r="S22" s="37">
        <v>0.001983411283130296</v>
      </c>
      <c r="T22" s="37">
        <v>3039.755364861674</v>
      </c>
      <c r="U22" s="37">
        <v>13187.726400926755</v>
      </c>
      <c r="V22" s="37">
        <v>3039.755364861674</v>
      </c>
      <c r="W22" s="37">
        <v>13187.726400926755</v>
      </c>
      <c r="AB22" s="122">
        <f>'[15]Data Input'!G24</f>
        <v>0</v>
      </c>
      <c r="AC22" s="122">
        <f t="shared" si="0"/>
        <v>13054572.4112</v>
      </c>
    </row>
    <row r="23" spans="1:30" s="33" customFormat="1" ht="12.75">
      <c r="A23" s="3">
        <v>37956</v>
      </c>
      <c r="B23" s="155">
        <f>+'[15]Data Input'!D28</f>
        <v>13588149.2692</v>
      </c>
      <c r="C23" s="24">
        <f>'Weather Analysis - Pearson'!M19</f>
        <v>561.5</v>
      </c>
      <c r="D23" s="24">
        <f>'Weather Analysis - Pearson'!M39</f>
        <v>0</v>
      </c>
      <c r="E23" s="10">
        <v>31</v>
      </c>
      <c r="F23" s="10">
        <v>336.288</v>
      </c>
      <c r="G23" s="17">
        <v>0</v>
      </c>
      <c r="H23" s="123">
        <f>+'[15]Data Input'!$CI28</f>
        <v>5782</v>
      </c>
      <c r="I23" s="36">
        <v>127.27195325542573</v>
      </c>
      <c r="J23" s="152">
        <f t="shared" si="1"/>
        <v>37956</v>
      </c>
      <c r="K23" s="125">
        <f>'[4]cansim3230794907820228566'!D37</f>
        <v>609.2</v>
      </c>
      <c r="L23" s="10">
        <v>0</v>
      </c>
      <c r="M23" s="122">
        <f t="shared" si="2"/>
        <v>13642885.756518539</v>
      </c>
      <c r="N23" s="10"/>
      <c r="O23" s="37" t="s">
        <v>74</v>
      </c>
      <c r="P23" s="59">
        <v>-1.9601964324842727</v>
      </c>
      <c r="Q23" s="37">
        <v>0.6830920836553399</v>
      </c>
      <c r="R23" s="59">
        <v>-2.8695932501441592</v>
      </c>
      <c r="S23" s="37">
        <v>0.004937366629918293</v>
      </c>
      <c r="T23" s="37">
        <v>-3.3140626938543987</v>
      </c>
      <c r="U23" s="37">
        <v>-0.6063301711141467</v>
      </c>
      <c r="V23" s="37">
        <v>-3.3140626938543987</v>
      </c>
      <c r="W23" s="37">
        <v>-0.6063301711141467</v>
      </c>
      <c r="X23" s="28"/>
      <c r="Y23" s="28"/>
      <c r="Z23" s="28"/>
      <c r="AA23" s="28"/>
      <c r="AB23" s="122">
        <f>'[15]Data Input'!G25</f>
        <v>0</v>
      </c>
      <c r="AC23" s="122">
        <f t="shared" si="0"/>
        <v>13588149.2692</v>
      </c>
      <c r="AD23" s="28"/>
    </row>
    <row r="24" spans="1:29" ht="13.5" thickBot="1">
      <c r="A24" s="3">
        <v>37987</v>
      </c>
      <c r="B24" s="155">
        <f>+'[15]Data Input'!D29</f>
        <v>15005906.907200001</v>
      </c>
      <c r="C24" s="24">
        <f>'Weather Analysis - Pearson'!N8</f>
        <v>849.1</v>
      </c>
      <c r="D24" s="24">
        <f>'Weather Analysis - Pearson'!N28</f>
        <v>0</v>
      </c>
      <c r="E24" s="10">
        <v>31</v>
      </c>
      <c r="F24" s="10">
        <v>336.288</v>
      </c>
      <c r="G24" s="17">
        <v>0</v>
      </c>
      <c r="H24" s="123">
        <f>+'[15]Data Input'!$CI29</f>
        <v>5787</v>
      </c>
      <c r="I24" s="36">
        <v>127.53411264087498</v>
      </c>
      <c r="J24" s="152">
        <f t="shared" si="1"/>
        <v>37987</v>
      </c>
      <c r="K24" s="125">
        <f>'[4]cansim3230794907820228566'!D38</f>
        <v>605</v>
      </c>
      <c r="L24" s="10">
        <v>0</v>
      </c>
      <c r="M24" s="122">
        <f t="shared" si="2"/>
        <v>14786281.567564636</v>
      </c>
      <c r="N24" s="10"/>
      <c r="O24" s="54" t="s">
        <v>77</v>
      </c>
      <c r="P24" s="208">
        <v>1170.61444541036</v>
      </c>
      <c r="Q24" s="54">
        <v>289.99278935066866</v>
      </c>
      <c r="R24" s="208">
        <v>4.036701905697439</v>
      </c>
      <c r="S24" s="54">
        <v>0.00010102299060098801</v>
      </c>
      <c r="T24" s="54">
        <v>595.8581820358019</v>
      </c>
      <c r="U24" s="54">
        <v>1745.3707087849184</v>
      </c>
      <c r="V24" s="54">
        <v>595.8581820358019</v>
      </c>
      <c r="W24" s="54">
        <v>1745.3707087849184</v>
      </c>
      <c r="X24" s="11"/>
      <c r="AB24" s="122">
        <f>'[15]Data Input'!G26</f>
        <v>0</v>
      </c>
      <c r="AC24" s="122">
        <f t="shared" si="0"/>
        <v>15005906.907200001</v>
      </c>
    </row>
    <row r="25" spans="1:29" ht="12.75">
      <c r="A25" s="3">
        <v>38018</v>
      </c>
      <c r="B25" s="155">
        <f>+'[15]Data Input'!D30</f>
        <v>13600097.4324</v>
      </c>
      <c r="C25" s="24">
        <f>'Weather Analysis - Pearson'!N9</f>
        <v>631.7</v>
      </c>
      <c r="D25" s="24">
        <f>'Weather Analysis - Pearson'!N29</f>
        <v>0</v>
      </c>
      <c r="E25" s="10">
        <v>29</v>
      </c>
      <c r="F25" s="10">
        <v>320.16</v>
      </c>
      <c r="G25" s="17">
        <v>0</v>
      </c>
      <c r="H25" s="123">
        <f>+'[15]Data Input'!$CI30</f>
        <v>5802</v>
      </c>
      <c r="I25" s="36">
        <v>127.79681203173486</v>
      </c>
      <c r="J25" s="152">
        <f t="shared" si="1"/>
        <v>38018</v>
      </c>
      <c r="K25" s="125">
        <f>'[4]cansim3230794907820228566'!D39</f>
        <v>599.4</v>
      </c>
      <c r="L25" s="10">
        <v>0</v>
      </c>
      <c r="M25" s="122">
        <f t="shared" si="2"/>
        <v>13431535.005490601</v>
      </c>
      <c r="N25" s="10"/>
      <c r="AB25" s="122">
        <f>'[15]Data Input'!G27</f>
        <v>0</v>
      </c>
      <c r="AC25" s="122">
        <f t="shared" si="0"/>
        <v>13600097.4324</v>
      </c>
    </row>
    <row r="26" spans="1:29" ht="12.75">
      <c r="A26" s="3">
        <v>38047</v>
      </c>
      <c r="B26" s="155">
        <f>+'[15]Data Input'!D31</f>
        <v>14047102.3668</v>
      </c>
      <c r="C26" s="24">
        <f>'Weather Analysis - Pearson'!N10</f>
        <v>487.3</v>
      </c>
      <c r="D26" s="24">
        <f>'Weather Analysis - Pearson'!N30</f>
        <v>0</v>
      </c>
      <c r="E26" s="10">
        <v>31</v>
      </c>
      <c r="F26" s="10">
        <v>368.28</v>
      </c>
      <c r="G26" s="17">
        <v>0</v>
      </c>
      <c r="H26" s="123">
        <f>+'[15]Data Input'!$CI31</f>
        <v>5819</v>
      </c>
      <c r="I26" s="36">
        <v>128.06005254032812</v>
      </c>
      <c r="J26" s="152">
        <f t="shared" si="1"/>
        <v>38047</v>
      </c>
      <c r="K26" s="125">
        <f>'[4]cansim3230794907820228566'!D40</f>
        <v>595.4</v>
      </c>
      <c r="L26" s="10">
        <v>1</v>
      </c>
      <c r="M26" s="122">
        <f t="shared" si="2"/>
        <v>13652290.426944673</v>
      </c>
      <c r="N26" s="10"/>
      <c r="AB26" s="122">
        <f>'[15]Data Input'!G28</f>
        <v>0</v>
      </c>
      <c r="AC26" s="122">
        <f t="shared" si="0"/>
        <v>14047102.3668</v>
      </c>
    </row>
    <row r="27" spans="1:29" ht="12.75">
      <c r="A27" s="3">
        <v>38078</v>
      </c>
      <c r="B27" s="155">
        <f>+'[15]Data Input'!D32</f>
        <v>12488543.1064</v>
      </c>
      <c r="C27" s="24">
        <f>'Weather Analysis - Pearson'!N11</f>
        <v>331.5</v>
      </c>
      <c r="D27" s="24">
        <f>'Weather Analysis - Pearson'!N31</f>
        <v>0</v>
      </c>
      <c r="E27" s="10">
        <v>30</v>
      </c>
      <c r="F27" s="10">
        <v>336.24</v>
      </c>
      <c r="G27" s="17">
        <v>0</v>
      </c>
      <c r="H27" s="123">
        <f>+'[15]Data Input'!$CI32</f>
        <v>5825</v>
      </c>
      <c r="I27" s="36">
        <v>128.32383528126866</v>
      </c>
      <c r="J27" s="152">
        <f t="shared" si="1"/>
        <v>38078</v>
      </c>
      <c r="K27" s="125">
        <f>'[4]cansim3230794907820228566'!D41</f>
        <v>597.7</v>
      </c>
      <c r="L27" s="10">
        <v>1</v>
      </c>
      <c r="M27" s="122">
        <f t="shared" si="2"/>
        <v>12592331.795229122</v>
      </c>
      <c r="N27" s="10"/>
      <c r="AB27" s="122">
        <f>'[15]Data Input'!G29</f>
        <v>0</v>
      </c>
      <c r="AC27" s="122">
        <f t="shared" si="0"/>
        <v>12488543.1064</v>
      </c>
    </row>
    <row r="28" spans="1:29" ht="12.75">
      <c r="A28" s="3">
        <v>38108</v>
      </c>
      <c r="B28" s="155">
        <f>+'[15]Data Input'!D33</f>
        <v>11867796.775600001</v>
      </c>
      <c r="C28" s="24">
        <f>'Weather Analysis - Pearson'!N12</f>
        <v>158.9</v>
      </c>
      <c r="D28" s="24">
        <f>'Weather Analysis - Pearson'!N32</f>
        <v>8.6</v>
      </c>
      <c r="E28" s="10">
        <v>31</v>
      </c>
      <c r="F28" s="10">
        <v>319.92</v>
      </c>
      <c r="G28" s="17">
        <v>0</v>
      </c>
      <c r="H28" s="123">
        <f>+'[15]Data Input'!$CI33</f>
        <v>5840</v>
      </c>
      <c r="I28" s="36">
        <v>128.58816137146633</v>
      </c>
      <c r="J28" s="152">
        <f t="shared" si="1"/>
        <v>38108</v>
      </c>
      <c r="K28" s="125">
        <f>'[4]cansim3230794907820228566'!D42</f>
        <v>605.6</v>
      </c>
      <c r="L28" s="10">
        <v>1</v>
      </c>
      <c r="M28" s="122">
        <f t="shared" si="2"/>
        <v>12075743.562887039</v>
      </c>
      <c r="N28" s="10"/>
      <c r="AB28" s="122">
        <f>'[15]Data Input'!G30</f>
        <v>0</v>
      </c>
      <c r="AC28" s="122">
        <f t="shared" si="0"/>
        <v>11867796.775600001</v>
      </c>
    </row>
    <row r="29" spans="1:29" ht="12.75">
      <c r="A29" s="3">
        <v>38139</v>
      </c>
      <c r="B29" s="155">
        <f>+'[15]Data Input'!D34</f>
        <v>12302878.0228</v>
      </c>
      <c r="C29" s="24">
        <f>'Weather Analysis - Pearson'!N13</f>
        <v>44.2</v>
      </c>
      <c r="D29" s="24">
        <f>'Weather Analysis - Pearson'!N33</f>
        <v>31.6</v>
      </c>
      <c r="E29" s="10">
        <v>30</v>
      </c>
      <c r="F29" s="10">
        <v>352.08</v>
      </c>
      <c r="G29" s="17">
        <v>0</v>
      </c>
      <c r="H29" s="123">
        <f>+'[15]Data Input'!$CI34</f>
        <v>5851</v>
      </c>
      <c r="I29" s="36">
        <v>128.85303193013166</v>
      </c>
      <c r="J29" s="152">
        <f t="shared" si="1"/>
        <v>38139</v>
      </c>
      <c r="K29" s="125">
        <f>'[4]cansim3230794907820228566'!D43</f>
        <v>615.4</v>
      </c>
      <c r="L29" s="10">
        <v>0</v>
      </c>
      <c r="M29" s="122">
        <f t="shared" si="2"/>
        <v>11946253.771200124</v>
      </c>
      <c r="N29" s="10"/>
      <c r="AB29" s="122">
        <f>'[15]Data Input'!G31</f>
        <v>0</v>
      </c>
      <c r="AC29" s="122">
        <f t="shared" si="0"/>
        <v>12302878.0228</v>
      </c>
    </row>
    <row r="30" spans="1:29" ht="12.75">
      <c r="A30" s="3">
        <v>38169</v>
      </c>
      <c r="B30" s="155">
        <f>+'[15]Data Input'!D35</f>
        <v>12671087.5916</v>
      </c>
      <c r="C30" s="24">
        <f>'Weather Analysis - Pearson'!N14</f>
        <v>3.6</v>
      </c>
      <c r="D30" s="24">
        <f>'Weather Analysis - Pearson'!N34</f>
        <v>86.4</v>
      </c>
      <c r="E30" s="10">
        <v>31</v>
      </c>
      <c r="F30" s="10">
        <v>336.288</v>
      </c>
      <c r="G30" s="17">
        <v>0</v>
      </c>
      <c r="H30" s="123">
        <f>+'[15]Data Input'!$CI35</f>
        <v>5883</v>
      </c>
      <c r="I30" s="36">
        <v>129.11844807878055</v>
      </c>
      <c r="J30" s="152">
        <f t="shared" si="1"/>
        <v>38169</v>
      </c>
      <c r="K30" s="125">
        <f>'[4]cansim3230794907820228566'!D44</f>
        <v>623.8</v>
      </c>
      <c r="L30" s="10">
        <v>0</v>
      </c>
      <c r="M30" s="122">
        <f t="shared" si="2"/>
        <v>12460347.88414891</v>
      </c>
      <c r="N30" s="10"/>
      <c r="AB30" s="122">
        <f>'[15]Data Input'!G32</f>
        <v>0</v>
      </c>
      <c r="AC30" s="122">
        <f t="shared" si="0"/>
        <v>12671087.5916</v>
      </c>
    </row>
    <row r="31" spans="1:29" ht="12.75">
      <c r="A31" s="3">
        <v>38200</v>
      </c>
      <c r="B31" s="155">
        <f>+'[15]Data Input'!D36</f>
        <v>12462921.7132</v>
      </c>
      <c r="C31" s="24">
        <f>'Weather Analysis - Pearson'!N15</f>
        <v>12.8</v>
      </c>
      <c r="D31" s="24">
        <f>'Weather Analysis - Pearson'!N35</f>
        <v>59.6</v>
      </c>
      <c r="E31" s="10">
        <v>31</v>
      </c>
      <c r="F31" s="10">
        <v>336.288</v>
      </c>
      <c r="G31" s="17">
        <v>0</v>
      </c>
      <c r="H31" s="123">
        <f>+'[15]Data Input'!$CI36</f>
        <v>5885</v>
      </c>
      <c r="I31" s="36">
        <v>129.38441094123903</v>
      </c>
      <c r="J31" s="152">
        <f t="shared" si="1"/>
        <v>38200</v>
      </c>
      <c r="K31" s="125">
        <f>'[4]cansim3230794907820228566'!D45</f>
        <v>625.7</v>
      </c>
      <c r="L31" s="10">
        <v>0</v>
      </c>
      <c r="M31" s="122">
        <f t="shared" si="2"/>
        <v>12218084.49233983</v>
      </c>
      <c r="N31" s="10"/>
      <c r="AB31" s="122">
        <f>'[15]Data Input'!G33</f>
        <v>0</v>
      </c>
      <c r="AC31" s="122">
        <f t="shared" si="0"/>
        <v>12462921.7132</v>
      </c>
    </row>
    <row r="32" spans="1:29" ht="12.75">
      <c r="A32" s="3">
        <v>38231</v>
      </c>
      <c r="B32" s="155">
        <f>+'[15]Data Input'!D37</f>
        <v>12376299.231999999</v>
      </c>
      <c r="C32" s="24">
        <f>'Weather Analysis - Pearson'!N16</f>
        <v>30</v>
      </c>
      <c r="D32" s="24">
        <f>'Weather Analysis - Pearson'!N36</f>
        <v>41.2</v>
      </c>
      <c r="E32" s="10">
        <v>30</v>
      </c>
      <c r="F32" s="10">
        <v>336.24</v>
      </c>
      <c r="G32" s="17">
        <v>0</v>
      </c>
      <c r="H32" s="123">
        <f>+'[15]Data Input'!$CI37</f>
        <v>5898</v>
      </c>
      <c r="I32" s="36">
        <v>129.65092164364802</v>
      </c>
      <c r="J32" s="152">
        <f t="shared" si="1"/>
        <v>38231</v>
      </c>
      <c r="K32" s="125">
        <f>'[4]cansim3230794907820228566'!D46</f>
        <v>626.7</v>
      </c>
      <c r="L32" s="10">
        <v>1</v>
      </c>
      <c r="M32" s="122">
        <f t="shared" si="2"/>
        <v>11917240.138309244</v>
      </c>
      <c r="N32" s="10"/>
      <c r="AB32" s="122">
        <f>'[15]Data Input'!G34</f>
        <v>0</v>
      </c>
      <c r="AC32" s="122">
        <f t="shared" si="0"/>
        <v>12376299.231999999</v>
      </c>
    </row>
    <row r="33" spans="1:29" ht="12.75">
      <c r="A33" s="3">
        <v>38261</v>
      </c>
      <c r="B33" s="155">
        <f>+'[15]Data Input'!D38</f>
        <v>12676725.685199998</v>
      </c>
      <c r="C33" s="24">
        <f>'Weather Analysis - Pearson'!N17</f>
        <v>226.3</v>
      </c>
      <c r="D33" s="24">
        <f>'Weather Analysis - Pearson'!N37</f>
        <v>1.5</v>
      </c>
      <c r="E33" s="10">
        <v>31</v>
      </c>
      <c r="F33" s="10">
        <v>319.92</v>
      </c>
      <c r="G33" s="17">
        <v>0</v>
      </c>
      <c r="H33" s="123">
        <f>+'[15]Data Input'!$CI38</f>
        <v>5910</v>
      </c>
      <c r="I33" s="36">
        <v>129.91798131446814</v>
      </c>
      <c r="J33" s="152">
        <f t="shared" si="1"/>
        <v>38261</v>
      </c>
      <c r="K33" s="125">
        <f>'[4]cansim3230794907820228566'!D47</f>
        <v>625.1</v>
      </c>
      <c r="L33" s="10">
        <v>1</v>
      </c>
      <c r="M33" s="122">
        <f t="shared" si="2"/>
        <v>12349831.169715766</v>
      </c>
      <c r="N33" s="10"/>
      <c r="AB33" s="122">
        <f>'[15]Data Input'!G35</f>
        <v>0</v>
      </c>
      <c r="AC33" s="122">
        <f t="shared" si="0"/>
        <v>12676725.685199998</v>
      </c>
    </row>
    <row r="34" spans="1:29" ht="12.75">
      <c r="A34" s="3">
        <v>38292</v>
      </c>
      <c r="B34" s="155">
        <f>+'[15]Data Input'!D39</f>
        <v>13092336.3552</v>
      </c>
      <c r="C34" s="24">
        <f>'Weather Analysis - Pearson'!N18</f>
        <v>379.1</v>
      </c>
      <c r="D34" s="24">
        <f>'Weather Analysis - Pearson'!N38</f>
        <v>0</v>
      </c>
      <c r="E34" s="10">
        <v>30</v>
      </c>
      <c r="F34" s="10">
        <v>352.08</v>
      </c>
      <c r="G34" s="17">
        <v>0</v>
      </c>
      <c r="H34" s="123">
        <f>+'[15]Data Input'!$CI39</f>
        <v>5926</v>
      </c>
      <c r="I34" s="36">
        <v>130.18559108448443</v>
      </c>
      <c r="J34" s="152">
        <f t="shared" si="1"/>
        <v>38292</v>
      </c>
      <c r="K34" s="125">
        <f>'[4]cansim3230794907820228566'!D48</f>
        <v>625.2</v>
      </c>
      <c r="L34" s="10">
        <v>1</v>
      </c>
      <c r="M34" s="122">
        <f t="shared" si="2"/>
        <v>13027357.534723375</v>
      </c>
      <c r="N34" s="10"/>
      <c r="AB34" s="122">
        <f>'[15]Data Input'!G36</f>
        <v>0</v>
      </c>
      <c r="AC34" s="122">
        <f t="shared" si="0"/>
        <v>13092336.3552</v>
      </c>
    </row>
    <row r="35" spans="1:29" ht="12.75">
      <c r="A35" s="3">
        <v>38322</v>
      </c>
      <c r="B35" s="155">
        <f>+'[15]Data Input'!D40</f>
        <v>14081851.4916</v>
      </c>
      <c r="C35" s="24">
        <f>'Weather Analysis - Pearson'!N19</f>
        <v>643.4</v>
      </c>
      <c r="D35" s="24">
        <f>'Weather Analysis - Pearson'!N39</f>
        <v>0</v>
      </c>
      <c r="E35" s="10">
        <v>31</v>
      </c>
      <c r="F35" s="10">
        <v>336.288</v>
      </c>
      <c r="G35" s="17">
        <v>0</v>
      </c>
      <c r="H35" s="123">
        <f>+'[15]Data Input'!$CI40</f>
        <v>5956</v>
      </c>
      <c r="I35" s="36">
        <v>130.45375208681136</v>
      </c>
      <c r="J35" s="152">
        <f t="shared" si="1"/>
        <v>38322</v>
      </c>
      <c r="K35" s="125">
        <f>'[4]cansim3230794907820228566'!D49</f>
        <v>628.4</v>
      </c>
      <c r="L35" s="10">
        <v>0</v>
      </c>
      <c r="M35" s="122">
        <f t="shared" si="2"/>
        <v>14170511.301137049</v>
      </c>
      <c r="N35" s="10"/>
      <c r="AB35" s="122">
        <f>'[15]Data Input'!G37</f>
        <v>0</v>
      </c>
      <c r="AC35" s="122">
        <f t="shared" si="0"/>
        <v>14081851.4916</v>
      </c>
    </row>
    <row r="36" spans="1:29" ht="12.75">
      <c r="A36" s="3">
        <v>38353</v>
      </c>
      <c r="B36" s="155">
        <f>+'[15]Data Input'!D41</f>
        <v>15095803.6584</v>
      </c>
      <c r="C36" s="24">
        <f>'Weather Analysis - Pearson'!O8</f>
        <v>770</v>
      </c>
      <c r="D36" s="24">
        <f>'Weather Analysis - Pearson'!O28</f>
        <v>0</v>
      </c>
      <c r="E36" s="10">
        <v>31</v>
      </c>
      <c r="F36" s="10">
        <v>319.92</v>
      </c>
      <c r="G36" s="17">
        <v>0</v>
      </c>
      <c r="H36" s="123">
        <f>+'[15]Data Input'!$CI41</f>
        <v>5958</v>
      </c>
      <c r="I36" s="36">
        <v>130.7437021568508</v>
      </c>
      <c r="J36" s="152">
        <f t="shared" si="1"/>
        <v>38353</v>
      </c>
      <c r="K36" s="125">
        <f>'[4]cansim3230794907820228566'!D50</f>
        <v>629.5</v>
      </c>
      <c r="L36" s="10">
        <v>0</v>
      </c>
      <c r="M36" s="122">
        <f t="shared" si="2"/>
        <v>14540787.120836947</v>
      </c>
      <c r="N36" s="10"/>
      <c r="X36" s="11"/>
      <c r="AB36" s="122">
        <f>'[15]Data Input'!G38</f>
        <v>0</v>
      </c>
      <c r="AC36" s="122">
        <f aca="true" t="shared" si="3" ref="AC36:AC67">B36-AB36</f>
        <v>15095803.6584</v>
      </c>
    </row>
    <row r="37" spans="1:29" ht="12.75">
      <c r="A37" s="3">
        <v>38384</v>
      </c>
      <c r="B37" s="155">
        <f>+'[15]Data Input'!D42</f>
        <v>12727705.3808</v>
      </c>
      <c r="C37" s="24">
        <f>'Weather Analysis - Pearson'!O9</f>
        <v>616.4</v>
      </c>
      <c r="D37" s="24">
        <f>'Weather Analysis - Pearson'!O29</f>
        <v>0</v>
      </c>
      <c r="E37" s="10">
        <v>28</v>
      </c>
      <c r="F37" s="10">
        <v>319.872</v>
      </c>
      <c r="G37" s="17">
        <v>0</v>
      </c>
      <c r="H37" s="123">
        <f>+'[15]Data Input'!$CI42</f>
        <v>5961</v>
      </c>
      <c r="I37" s="36">
        <v>131.0342966778299</v>
      </c>
      <c r="J37" s="152">
        <f t="shared" si="1"/>
        <v>38384</v>
      </c>
      <c r="K37" s="125">
        <f>'[4]cansim3230794907820228566'!D51</f>
        <v>630.9</v>
      </c>
      <c r="L37" s="10">
        <v>0</v>
      </c>
      <c r="M37" s="122">
        <f t="shared" si="2"/>
        <v>13364026.781529943</v>
      </c>
      <c r="N37" s="10"/>
      <c r="AB37" s="122">
        <f>'[15]Data Input'!G39</f>
        <v>0</v>
      </c>
      <c r="AC37" s="122">
        <f t="shared" si="3"/>
        <v>12727705.3808</v>
      </c>
    </row>
    <row r="38" spans="1:29" ht="12.75">
      <c r="A38" s="3">
        <v>38412</v>
      </c>
      <c r="B38" s="155">
        <f>+'[15]Data Input'!D43</f>
        <v>14322671.207999999</v>
      </c>
      <c r="C38" s="24">
        <f>'Weather Analysis - Pearson'!O10</f>
        <v>608.6</v>
      </c>
      <c r="D38" s="24">
        <f>'Weather Analysis - Pearson'!O30</f>
        <v>0</v>
      </c>
      <c r="E38" s="10">
        <v>31</v>
      </c>
      <c r="F38" s="10">
        <v>351.912</v>
      </c>
      <c r="G38" s="17">
        <v>0</v>
      </c>
      <c r="H38" s="123">
        <f>+'[15]Data Input'!$CI43</f>
        <v>5967</v>
      </c>
      <c r="I38" s="36">
        <v>131.32553708212293</v>
      </c>
      <c r="J38" s="152">
        <f t="shared" si="1"/>
        <v>38412</v>
      </c>
      <c r="K38" s="125">
        <f>'[4]cansim3230794907820228566'!D52</f>
        <v>628.1</v>
      </c>
      <c r="L38" s="10">
        <v>1</v>
      </c>
      <c r="M38" s="122">
        <f t="shared" si="2"/>
        <v>14172512.894075941</v>
      </c>
      <c r="N38" s="10"/>
      <c r="AB38" s="122">
        <f>'[15]Data Input'!G40</f>
        <v>0</v>
      </c>
      <c r="AC38" s="122">
        <f t="shared" si="3"/>
        <v>14322671.207999999</v>
      </c>
    </row>
    <row r="39" spans="1:29" ht="12.75">
      <c r="A39" s="3">
        <v>38443</v>
      </c>
      <c r="B39" s="155">
        <f>+'[15]Data Input'!D44</f>
        <v>12156872.5724</v>
      </c>
      <c r="C39" s="24">
        <f>'Weather Analysis - Pearson'!O11</f>
        <v>306.8</v>
      </c>
      <c r="D39" s="24">
        <f>'Weather Analysis - Pearson'!O31</f>
        <v>0</v>
      </c>
      <c r="E39" s="10">
        <v>30</v>
      </c>
      <c r="F39" s="10">
        <v>336.24</v>
      </c>
      <c r="G39" s="17">
        <v>0</v>
      </c>
      <c r="H39" s="123">
        <f>+'[15]Data Input'!$CI44</f>
        <v>5973</v>
      </c>
      <c r="I39" s="36">
        <v>131.61742480528775</v>
      </c>
      <c r="J39" s="152">
        <f t="shared" si="1"/>
        <v>38443</v>
      </c>
      <c r="K39" s="125">
        <f>'[4]cansim3230794907820228566'!D53</f>
        <v>631.3</v>
      </c>
      <c r="L39" s="10">
        <v>1</v>
      </c>
      <c r="M39" s="122">
        <f t="shared" si="2"/>
        <v>12667886.955511365</v>
      </c>
      <c r="N39" s="10"/>
      <c r="AB39" s="122">
        <f>'[15]Data Input'!G41</f>
        <v>0</v>
      </c>
      <c r="AC39" s="122">
        <f t="shared" si="3"/>
        <v>12156872.5724</v>
      </c>
    </row>
    <row r="40" spans="1:29" ht="12.75">
      <c r="A40" s="3">
        <v>38473</v>
      </c>
      <c r="B40" s="155">
        <f>+'[15]Data Input'!D45</f>
        <v>11666872.6776</v>
      </c>
      <c r="C40" s="24">
        <f>'Weather Analysis - Pearson'!O12</f>
        <v>189.4</v>
      </c>
      <c r="D40" s="24">
        <f>'Weather Analysis - Pearson'!O32</f>
        <v>0.8</v>
      </c>
      <c r="E40" s="10">
        <v>31</v>
      </c>
      <c r="F40" s="10">
        <v>336.288</v>
      </c>
      <c r="G40" s="17">
        <v>0</v>
      </c>
      <c r="H40" s="123">
        <f>+'[15]Data Input'!$CI45</f>
        <v>5981</v>
      </c>
      <c r="I40" s="36">
        <v>131.90996128607298</v>
      </c>
      <c r="J40" s="152">
        <f t="shared" si="1"/>
        <v>38473</v>
      </c>
      <c r="K40" s="125">
        <f>'[4]cansim3230794907820228566'!D54</f>
        <v>638.6</v>
      </c>
      <c r="L40" s="10">
        <v>1</v>
      </c>
      <c r="M40" s="122">
        <f t="shared" si="2"/>
        <v>12412460.755790621</v>
      </c>
      <c r="N40" s="10"/>
      <c r="AB40" s="122">
        <f>'[15]Data Input'!G42</f>
        <v>0</v>
      </c>
      <c r="AC40" s="122">
        <f t="shared" si="3"/>
        <v>11666872.6776</v>
      </c>
    </row>
    <row r="41" spans="1:29" ht="12.75">
      <c r="A41" s="3">
        <v>38504</v>
      </c>
      <c r="B41" s="155">
        <f>+'[15]Data Input'!D46</f>
        <v>13505238.1164</v>
      </c>
      <c r="C41" s="24">
        <f>'Weather Analysis - Pearson'!O13</f>
        <v>8.9</v>
      </c>
      <c r="D41" s="24">
        <f>'Weather Analysis - Pearson'!O33</f>
        <v>146.3</v>
      </c>
      <c r="E41" s="10">
        <v>30</v>
      </c>
      <c r="F41" s="10">
        <v>352.08</v>
      </c>
      <c r="G41" s="17">
        <v>0</v>
      </c>
      <c r="H41" s="123">
        <f>+'[15]Data Input'!$CI46</f>
        <v>5991</v>
      </c>
      <c r="I41" s="36">
        <v>132.203147966425</v>
      </c>
      <c r="J41" s="152">
        <f t="shared" si="1"/>
        <v>38504</v>
      </c>
      <c r="K41" s="125">
        <f>'[4]cansim3230794907820228566'!D55</f>
        <v>648.1</v>
      </c>
      <c r="L41" s="10">
        <v>0</v>
      </c>
      <c r="M41" s="122">
        <f t="shared" si="2"/>
        <v>13173127.411807638</v>
      </c>
      <c r="N41" s="10"/>
      <c r="AB41" s="122">
        <f>'[15]Data Input'!G43</f>
        <v>0</v>
      </c>
      <c r="AC41" s="122">
        <f t="shared" si="3"/>
        <v>13505238.1164</v>
      </c>
    </row>
    <row r="42" spans="1:29" ht="12.75">
      <c r="A42" s="3">
        <v>38534</v>
      </c>
      <c r="B42" s="155">
        <f>+'[15]Data Input'!D47</f>
        <v>13589817.297600001</v>
      </c>
      <c r="C42" s="24">
        <f>'Weather Analysis - Pearson'!O14</f>
        <v>0</v>
      </c>
      <c r="D42" s="24">
        <f>'Weather Analysis - Pearson'!O34</f>
        <v>188.7</v>
      </c>
      <c r="E42" s="10">
        <v>31</v>
      </c>
      <c r="F42" s="10">
        <v>319.92</v>
      </c>
      <c r="G42" s="17">
        <v>0</v>
      </c>
      <c r="H42" s="123">
        <f>+'[15]Data Input'!$CI47</f>
        <v>5995</v>
      </c>
      <c r="I42" s="36">
        <v>132.49698629149512</v>
      </c>
      <c r="J42" s="152">
        <f t="shared" si="1"/>
        <v>38534</v>
      </c>
      <c r="K42" s="125">
        <f>'[4]cansim3230794907820228566'!D56</f>
        <v>653.1</v>
      </c>
      <c r="L42" s="10">
        <v>0</v>
      </c>
      <c r="M42" s="122">
        <f t="shared" si="2"/>
        <v>13517009.609739704</v>
      </c>
      <c r="N42" s="10"/>
      <c r="AB42" s="122">
        <f>'[15]Data Input'!G44</f>
        <v>0</v>
      </c>
      <c r="AC42" s="122">
        <f t="shared" si="3"/>
        <v>13589817.297600001</v>
      </c>
    </row>
    <row r="43" spans="1:29" ht="12.75">
      <c r="A43" s="3">
        <v>38565</v>
      </c>
      <c r="B43" s="155">
        <f>+'[15]Data Input'!D48</f>
        <v>13369748.1028</v>
      </c>
      <c r="C43" s="24">
        <f>'Weather Analysis - Pearson'!O15</f>
        <v>0.2</v>
      </c>
      <c r="D43" s="24">
        <f>'Weather Analysis - Pearson'!O35</f>
        <v>140.7</v>
      </c>
      <c r="E43" s="10">
        <v>31</v>
      </c>
      <c r="F43" s="10">
        <v>351.912</v>
      </c>
      <c r="G43" s="17">
        <v>0</v>
      </c>
      <c r="H43" s="123">
        <f>+'[15]Data Input'!$CI48</f>
        <v>6003</v>
      </c>
      <c r="I43" s="36">
        <v>132.79147770964664</v>
      </c>
      <c r="J43" s="152">
        <f t="shared" si="1"/>
        <v>38565</v>
      </c>
      <c r="K43" s="125">
        <f>'[4]cansim3230794907820228566'!D57</f>
        <v>655.6</v>
      </c>
      <c r="L43" s="10">
        <v>0</v>
      </c>
      <c r="M43" s="122">
        <f t="shared" si="2"/>
        <v>13283468.744229753</v>
      </c>
      <c r="N43" s="10"/>
      <c r="AB43" s="122">
        <f>'[15]Data Input'!G45</f>
        <v>0</v>
      </c>
      <c r="AC43" s="122">
        <f t="shared" si="3"/>
        <v>13369748.1028</v>
      </c>
    </row>
    <row r="44" spans="1:29" ht="12.75">
      <c r="A44" s="3">
        <v>38596</v>
      </c>
      <c r="B44" s="155">
        <f>+'[15]Data Input'!D49</f>
        <v>12041003.474000001</v>
      </c>
      <c r="C44" s="24">
        <f>'Weather Analysis - Pearson'!O16</f>
        <v>22.6</v>
      </c>
      <c r="D44" s="24">
        <f>'Weather Analysis - Pearson'!O36</f>
        <v>52.1</v>
      </c>
      <c r="E44" s="10">
        <v>30</v>
      </c>
      <c r="F44" s="10">
        <v>336.24</v>
      </c>
      <c r="G44" s="17">
        <v>0</v>
      </c>
      <c r="H44" s="123">
        <f>+'[15]Data Input'!$CI49</f>
        <v>6015</v>
      </c>
      <c r="I44" s="36">
        <v>133.0866236724621</v>
      </c>
      <c r="J44" s="152">
        <f t="shared" si="1"/>
        <v>38596</v>
      </c>
      <c r="K44" s="125">
        <f>'[4]cansim3230794907820228566'!D58</f>
        <v>652.2</v>
      </c>
      <c r="L44" s="10">
        <v>1</v>
      </c>
      <c r="M44" s="122">
        <f t="shared" si="2"/>
        <v>12139217.449280553</v>
      </c>
      <c r="N44" s="10"/>
      <c r="AB44" s="122">
        <f>'[15]Data Input'!G46</f>
        <v>0</v>
      </c>
      <c r="AC44" s="122">
        <f t="shared" si="3"/>
        <v>12041003.474000001</v>
      </c>
    </row>
    <row r="45" spans="1:29" ht="12.75">
      <c r="A45" s="3">
        <v>38626</v>
      </c>
      <c r="B45" s="155">
        <f>+'[15]Data Input'!D50</f>
        <v>13069831.805599999</v>
      </c>
      <c r="C45" s="24">
        <f>'Weather Analysis - Pearson'!O17</f>
        <v>220.2</v>
      </c>
      <c r="D45" s="24">
        <f>'Weather Analysis - Pearson'!O37</f>
        <v>7.6</v>
      </c>
      <c r="E45" s="10">
        <v>31</v>
      </c>
      <c r="F45" s="10">
        <v>319.92</v>
      </c>
      <c r="G45" s="17">
        <v>0</v>
      </c>
      <c r="H45" s="123">
        <f>+'[15]Data Input'!$CI50</f>
        <v>6031</v>
      </c>
      <c r="I45" s="36">
        <v>133.38242563475035</v>
      </c>
      <c r="J45" s="152">
        <f t="shared" si="1"/>
        <v>38626</v>
      </c>
      <c r="K45" s="125">
        <f>'[4]cansim3230794907820228566'!D59</f>
        <v>649.8</v>
      </c>
      <c r="L45" s="10">
        <v>1</v>
      </c>
      <c r="M45" s="122">
        <f t="shared" si="2"/>
        <v>12531305.657669615</v>
      </c>
      <c r="N45" s="10"/>
      <c r="AB45" s="122">
        <f>'[15]Data Input'!G47</f>
        <v>0</v>
      </c>
      <c r="AC45" s="122">
        <f t="shared" si="3"/>
        <v>13069831.805599999</v>
      </c>
    </row>
    <row r="46" spans="1:29" ht="12.75">
      <c r="A46" s="3">
        <v>38657</v>
      </c>
      <c r="B46" s="155">
        <f>+'[15]Data Input'!D51</f>
        <v>13568720.646</v>
      </c>
      <c r="C46" s="24">
        <f>'Weather Analysis - Pearson'!O18</f>
        <v>388.4</v>
      </c>
      <c r="D46" s="24">
        <f>'Weather Analysis - Pearson'!O38</f>
        <v>0</v>
      </c>
      <c r="E46" s="10">
        <v>30</v>
      </c>
      <c r="F46" s="10">
        <v>352.08</v>
      </c>
      <c r="G46" s="17">
        <v>0</v>
      </c>
      <c r="H46" s="123">
        <f>+'[15]Data Input'!$CI51</f>
        <v>6035</v>
      </c>
      <c r="I46" s="36">
        <v>133.6788850545537</v>
      </c>
      <c r="J46" s="152">
        <f t="shared" si="1"/>
        <v>38657</v>
      </c>
      <c r="K46" s="125">
        <f>'[4]cansim3230794907820228566'!D60</f>
        <v>643.8</v>
      </c>
      <c r="L46" s="10">
        <v>1</v>
      </c>
      <c r="M46" s="122">
        <f t="shared" si="2"/>
        <v>13191738.749436587</v>
      </c>
      <c r="N46" s="10"/>
      <c r="AB46" s="122">
        <f>'[15]Data Input'!G48</f>
        <v>0</v>
      </c>
      <c r="AC46" s="122">
        <f t="shared" si="3"/>
        <v>13568720.646</v>
      </c>
    </row>
    <row r="47" spans="1:29" ht="12.75">
      <c r="A47" s="3">
        <v>38687</v>
      </c>
      <c r="B47" s="155">
        <f>+'[15]Data Input'!D52</f>
        <v>14296115.9496</v>
      </c>
      <c r="C47" s="24">
        <f>'Weather Analysis - Pearson'!O19</f>
        <v>665.3</v>
      </c>
      <c r="D47" s="24">
        <f>'Weather Analysis - Pearson'!O39</f>
        <v>0</v>
      </c>
      <c r="E47" s="10">
        <v>31</v>
      </c>
      <c r="F47" s="10">
        <v>319.92</v>
      </c>
      <c r="G47" s="17">
        <v>0</v>
      </c>
      <c r="H47" s="123">
        <f>+'[15]Data Input'!$CI52</f>
        <v>6042</v>
      </c>
      <c r="I47" s="36">
        <v>133.97600339315525</v>
      </c>
      <c r="J47" s="152">
        <f t="shared" si="1"/>
        <v>38687</v>
      </c>
      <c r="K47" s="125">
        <f>'[4]cansim3230794907820228566'!D61</f>
        <v>644.6</v>
      </c>
      <c r="L47" s="10">
        <v>0</v>
      </c>
      <c r="M47" s="122">
        <f t="shared" si="2"/>
        <v>14224999.385314163</v>
      </c>
      <c r="N47" s="10"/>
      <c r="AB47" s="122">
        <f>'[15]Data Input'!G49</f>
        <v>0</v>
      </c>
      <c r="AC47" s="122">
        <f t="shared" si="3"/>
        <v>14296115.9496</v>
      </c>
    </row>
    <row r="48" spans="1:29" ht="12.75">
      <c r="A48" s="3">
        <v>38718</v>
      </c>
      <c r="B48" s="155">
        <f>+'[15]Data Input'!D53</f>
        <v>14448335.718</v>
      </c>
      <c r="C48" s="24">
        <f>'Weather Analysis - Pearson'!P8</f>
        <v>551.8</v>
      </c>
      <c r="D48" s="24">
        <f>'Weather Analysis - Pearson'!P28</f>
        <v>0</v>
      </c>
      <c r="E48" s="10">
        <v>31</v>
      </c>
      <c r="F48" s="10">
        <v>336.288</v>
      </c>
      <c r="G48" s="17">
        <f>'CDM Activity'!F16</f>
        <v>5336.896278152831</v>
      </c>
      <c r="H48" s="123">
        <f>+'[15]Data Input'!$CI53</f>
        <v>6041</v>
      </c>
      <c r="I48" s="36">
        <v>134.25197202423305</v>
      </c>
      <c r="J48" s="152">
        <f t="shared" si="1"/>
        <v>38718</v>
      </c>
      <c r="K48" s="125">
        <f>'[4]cansim3230794907820228566'!D62</f>
        <v>643.6</v>
      </c>
      <c r="L48" s="10">
        <v>0</v>
      </c>
      <c r="M48" s="122">
        <f t="shared" si="2"/>
        <v>13897247.174814872</v>
      </c>
      <c r="N48" s="10"/>
      <c r="X48" s="11"/>
      <c r="AB48" s="122">
        <f>'[15]Data Input'!G50</f>
        <v>0</v>
      </c>
      <c r="AC48" s="122">
        <f t="shared" si="3"/>
        <v>14448335.718</v>
      </c>
    </row>
    <row r="49" spans="1:29" ht="12.75">
      <c r="A49" s="3">
        <v>38749</v>
      </c>
      <c r="B49" s="155">
        <f>+'[15]Data Input'!D54</f>
        <v>13369252.2196</v>
      </c>
      <c r="C49" s="24">
        <f>'Weather Analysis - Pearson'!P9</f>
        <v>604.3</v>
      </c>
      <c r="D49" s="24">
        <f>'Weather Analysis - Pearson'!P29</f>
        <v>0</v>
      </c>
      <c r="E49" s="10">
        <v>28</v>
      </c>
      <c r="F49" s="10">
        <v>319.872</v>
      </c>
      <c r="G49" s="17">
        <f>'CDM Activity'!F17</f>
        <v>10673.792556305661</v>
      </c>
      <c r="H49" s="123">
        <f>+'[15]Data Input'!$CI54</f>
        <v>6050</v>
      </c>
      <c r="I49" s="36">
        <v>134.5285091055065</v>
      </c>
      <c r="J49" s="152">
        <f t="shared" si="1"/>
        <v>38749</v>
      </c>
      <c r="K49" s="125">
        <f>'[4]cansim3230794907820228566'!D63</f>
        <v>642.9</v>
      </c>
      <c r="L49" s="10">
        <v>0</v>
      </c>
      <c r="M49" s="122">
        <f t="shared" si="2"/>
        <v>13399429.67192258</v>
      </c>
      <c r="N49" s="10"/>
      <c r="AB49" s="122">
        <f>'[15]Data Input'!G51</f>
        <v>0</v>
      </c>
      <c r="AC49" s="122">
        <f t="shared" si="3"/>
        <v>13369252.2196</v>
      </c>
    </row>
    <row r="50" spans="1:30" ht="12.75">
      <c r="A50" s="3">
        <v>38777</v>
      </c>
      <c r="B50" s="155">
        <f>+'[15]Data Input'!D55</f>
        <v>14192626.4572</v>
      </c>
      <c r="C50" s="24">
        <f>'Weather Analysis - Pearson'!P10</f>
        <v>516.6</v>
      </c>
      <c r="D50" s="24">
        <f>'Weather Analysis - Pearson'!P30</f>
        <v>0</v>
      </c>
      <c r="E50" s="10">
        <v>31</v>
      </c>
      <c r="F50" s="10">
        <v>368.28</v>
      </c>
      <c r="G50" s="17">
        <f>'CDM Activity'!F18</f>
        <v>16010.688834458491</v>
      </c>
      <c r="H50" s="123">
        <f>+'[15]Data Input'!$CI55</f>
        <v>6052</v>
      </c>
      <c r="I50" s="36">
        <v>134.80561580788986</v>
      </c>
      <c r="J50" s="152">
        <f t="shared" si="1"/>
        <v>38777</v>
      </c>
      <c r="K50" s="125">
        <f>'[4]cansim3230794907820228566'!D64</f>
        <v>641</v>
      </c>
      <c r="L50" s="10">
        <v>1</v>
      </c>
      <c r="M50" s="122">
        <f t="shared" si="2"/>
        <v>14009549.630578537</v>
      </c>
      <c r="N50" s="10"/>
      <c r="AB50" s="122">
        <f>'[15]Data Input'!G52</f>
        <v>0</v>
      </c>
      <c r="AC50" s="122">
        <f t="shared" si="3"/>
        <v>14192626.4572</v>
      </c>
      <c r="AD50"/>
    </row>
    <row r="51" spans="1:30" ht="12.75">
      <c r="A51" s="3">
        <v>38808</v>
      </c>
      <c r="B51" s="155">
        <f>+'[15]Data Input'!D56</f>
        <v>12146461.238799999</v>
      </c>
      <c r="C51" s="24">
        <f>'Weather Analysis - Pearson'!P11</f>
        <v>293.3</v>
      </c>
      <c r="D51" s="24">
        <f>'Weather Analysis - Pearson'!P31</f>
        <v>0</v>
      </c>
      <c r="E51" s="10">
        <v>30</v>
      </c>
      <c r="F51" s="10">
        <v>303.84</v>
      </c>
      <c r="G51" s="17">
        <f>'CDM Activity'!F19</f>
        <v>21347.585112611323</v>
      </c>
      <c r="H51" s="123">
        <f>+'[15]Data Input'!$CI56</f>
        <v>6062</v>
      </c>
      <c r="I51" s="36">
        <v>135.08329330470943</v>
      </c>
      <c r="J51" s="152">
        <f t="shared" si="1"/>
        <v>38808</v>
      </c>
      <c r="K51" s="125">
        <f>'[4]cansim3230794907820228566'!D65</f>
        <v>643.6</v>
      </c>
      <c r="L51" s="10">
        <v>1</v>
      </c>
      <c r="M51" s="122">
        <f t="shared" si="2"/>
        <v>12413944.498710552</v>
      </c>
      <c r="N51" s="10"/>
      <c r="AB51" s="122">
        <f>'[15]Data Input'!G53</f>
        <v>0</v>
      </c>
      <c r="AC51" s="122">
        <f t="shared" si="3"/>
        <v>12146461.238799999</v>
      </c>
      <c r="AD51"/>
    </row>
    <row r="52" spans="1:30" ht="12.75">
      <c r="A52" s="3">
        <v>38838</v>
      </c>
      <c r="B52" s="155">
        <f>+'[15]Data Input'!D57</f>
        <v>12284198.8804</v>
      </c>
      <c r="C52" s="24">
        <f>'Weather Analysis - Pearson'!P12</f>
        <v>136.9</v>
      </c>
      <c r="D52" s="24">
        <f>'Weather Analysis - Pearson'!P32</f>
        <v>26</v>
      </c>
      <c r="E52" s="10">
        <v>31</v>
      </c>
      <c r="F52" s="10">
        <v>351.912</v>
      </c>
      <c r="G52" s="17">
        <f>'CDM Activity'!F20</f>
        <v>26684.481390764155</v>
      </c>
      <c r="H52" s="123">
        <f>+'[15]Data Input'!$CI57</f>
        <v>6068</v>
      </c>
      <c r="I52" s="36">
        <v>135.3615427717083</v>
      </c>
      <c r="J52" s="152">
        <f t="shared" si="1"/>
        <v>38838</v>
      </c>
      <c r="K52" s="125">
        <f>'[4]cansim3230794907820228566'!D66</f>
        <v>652.3</v>
      </c>
      <c r="L52" s="10">
        <v>1</v>
      </c>
      <c r="M52" s="122">
        <f t="shared" si="2"/>
        <v>12645331.116327673</v>
      </c>
      <c r="N52" s="10"/>
      <c r="AB52" s="122">
        <f>'[15]Data Input'!G54</f>
        <v>0</v>
      </c>
      <c r="AC52" s="122">
        <f t="shared" si="3"/>
        <v>12284198.8804</v>
      </c>
      <c r="AD52"/>
    </row>
    <row r="53" spans="1:30" ht="12.75">
      <c r="A53" s="3">
        <v>38869</v>
      </c>
      <c r="B53" s="155">
        <f>+'[15]Data Input'!D58</f>
        <v>12691476.2664</v>
      </c>
      <c r="C53" s="24">
        <f>'Weather Analysis - Pearson'!P13</f>
        <v>19.5</v>
      </c>
      <c r="D53" s="24">
        <f>'Weather Analysis - Pearson'!P33</f>
        <v>73.6</v>
      </c>
      <c r="E53" s="10">
        <v>30</v>
      </c>
      <c r="F53" s="10">
        <v>352.08</v>
      </c>
      <c r="G53" s="17">
        <f>'CDM Activity'!F21</f>
        <v>32021.377668916986</v>
      </c>
      <c r="H53" s="123">
        <f>+'[15]Data Input'!$CI58</f>
        <v>6080</v>
      </c>
      <c r="I53" s="36">
        <v>135.64036538705133</v>
      </c>
      <c r="J53" s="152">
        <f t="shared" si="1"/>
        <v>38869</v>
      </c>
      <c r="K53" s="125">
        <f>'[4]cansim3230794907820228566'!D67</f>
        <v>660</v>
      </c>
      <c r="L53" s="10">
        <v>0</v>
      </c>
      <c r="M53" s="122">
        <f t="shared" si="2"/>
        <v>12494223.194826916</v>
      </c>
      <c r="N53" s="10"/>
      <c r="AB53" s="122">
        <f>'[15]Data Input'!G55</f>
        <v>0</v>
      </c>
      <c r="AC53" s="122">
        <f t="shared" si="3"/>
        <v>12691476.2664</v>
      </c>
      <c r="AD53"/>
    </row>
    <row r="54" spans="1:30" ht="12.75">
      <c r="A54" s="3">
        <v>38899</v>
      </c>
      <c r="B54" s="155">
        <f>+'[15]Data Input'!D59</f>
        <v>13465774.5408</v>
      </c>
      <c r="C54" s="24">
        <f>'Weather Analysis - Pearson'!P14</f>
        <v>0</v>
      </c>
      <c r="D54" s="24">
        <f>'Weather Analysis - Pearson'!P34</f>
        <v>167.3</v>
      </c>
      <c r="E54" s="10">
        <v>31</v>
      </c>
      <c r="F54" s="10">
        <v>319.92</v>
      </c>
      <c r="G54" s="17">
        <f>'CDM Activity'!F22</f>
        <v>37358.273947069814</v>
      </c>
      <c r="H54" s="123">
        <f>+'[15]Data Input'!$CI59</f>
        <v>6085</v>
      </c>
      <c r="I54" s="36">
        <v>135.9197623313303</v>
      </c>
      <c r="J54" s="152">
        <f t="shared" si="1"/>
        <v>38899</v>
      </c>
      <c r="K54" s="125">
        <f>'[4]cansim3230794907820228566'!D68</f>
        <v>665.1</v>
      </c>
      <c r="L54" s="10">
        <v>0</v>
      </c>
      <c r="M54" s="122">
        <f t="shared" si="2"/>
        <v>13324760.082424354</v>
      </c>
      <c r="N54" s="10"/>
      <c r="AB54" s="122">
        <f>'[15]Data Input'!G56</f>
        <v>0</v>
      </c>
      <c r="AC54" s="122">
        <f t="shared" si="3"/>
        <v>13465774.5408</v>
      </c>
      <c r="AD54"/>
    </row>
    <row r="55" spans="1:30" ht="12.75">
      <c r="A55" s="3">
        <v>38930</v>
      </c>
      <c r="B55" s="155">
        <f>+'[15]Data Input'!D60</f>
        <v>12433519.185600001</v>
      </c>
      <c r="C55" s="24">
        <f>'Weather Analysis - Pearson'!P15</f>
        <v>4.2</v>
      </c>
      <c r="D55" s="24">
        <f>'Weather Analysis - Pearson'!P35</f>
        <v>101.6</v>
      </c>
      <c r="E55" s="10">
        <v>31</v>
      </c>
      <c r="F55" s="10">
        <v>351.912</v>
      </c>
      <c r="G55" s="17">
        <f>'CDM Activity'!F23</f>
        <v>42695.170225222646</v>
      </c>
      <c r="H55" s="123">
        <f>+'[15]Data Input'!$CI60</f>
        <v>6088</v>
      </c>
      <c r="I55" s="36">
        <v>136.1997347875688</v>
      </c>
      <c r="J55" s="152">
        <f t="shared" si="1"/>
        <v>38930</v>
      </c>
      <c r="K55" s="125">
        <f>'[4]cansim3230794907820228566'!D69</f>
        <v>667.3</v>
      </c>
      <c r="L55" s="10">
        <v>0</v>
      </c>
      <c r="M55" s="122">
        <f t="shared" si="2"/>
        <v>12905144.541574217</v>
      </c>
      <c r="N55" s="10"/>
      <c r="AB55" s="122">
        <f>'[15]Data Input'!G57</f>
        <v>0</v>
      </c>
      <c r="AC55" s="122">
        <f t="shared" si="3"/>
        <v>12433519.185600001</v>
      </c>
      <c r="AD55"/>
    </row>
    <row r="56" spans="1:30" ht="12.75">
      <c r="A56" s="3">
        <v>38961</v>
      </c>
      <c r="B56" s="155">
        <f>+'[15]Data Input'!D61</f>
        <v>11807639.9028</v>
      </c>
      <c r="C56" s="24">
        <f>'Weather Analysis - Pearson'!P16</f>
        <v>80.9</v>
      </c>
      <c r="D56" s="24">
        <f>'Weather Analysis - Pearson'!P36</f>
        <v>12.9</v>
      </c>
      <c r="E56" s="10">
        <v>30</v>
      </c>
      <c r="F56" s="10">
        <v>319.68</v>
      </c>
      <c r="G56" s="17">
        <f>'CDM Activity'!F24</f>
        <v>48032.06650337548</v>
      </c>
      <c r="H56" s="123">
        <f>+'[15]Data Input'!$CI61</f>
        <v>6088</v>
      </c>
      <c r="I56" s="36">
        <v>136.48028394122719</v>
      </c>
      <c r="J56" s="152">
        <f t="shared" si="1"/>
        <v>38961</v>
      </c>
      <c r="K56" s="125">
        <f>'[4]cansim3230794907820228566'!D70</f>
        <v>664.9</v>
      </c>
      <c r="L56" s="10">
        <v>1</v>
      </c>
      <c r="M56" s="122">
        <f t="shared" si="2"/>
        <v>11815744.975653578</v>
      </c>
      <c r="N56" s="10"/>
      <c r="AB56" s="122">
        <f>'[15]Data Input'!G58</f>
        <v>0</v>
      </c>
      <c r="AC56" s="122">
        <f t="shared" si="3"/>
        <v>11807639.9028</v>
      </c>
      <c r="AD56"/>
    </row>
    <row r="57" spans="1:30" ht="12.75">
      <c r="A57" s="3">
        <v>38991</v>
      </c>
      <c r="B57" s="155">
        <f>+'[15]Data Input'!D62</f>
        <v>12740013.477200001</v>
      </c>
      <c r="C57" s="24">
        <f>'Weather Analysis - Pearson'!P17</f>
        <v>288.3</v>
      </c>
      <c r="D57" s="24">
        <f>'Weather Analysis - Pearson'!P37</f>
        <v>1.1</v>
      </c>
      <c r="E57" s="10">
        <v>31</v>
      </c>
      <c r="F57" s="10">
        <v>336.288</v>
      </c>
      <c r="G57" s="17">
        <f>'CDM Activity'!F25</f>
        <v>53368.96278152831</v>
      </c>
      <c r="H57" s="123">
        <f>+'[15]Data Input'!$CI62</f>
        <v>6093</v>
      </c>
      <c r="I57" s="36">
        <v>136.76141098020776</v>
      </c>
      <c r="J57" s="152">
        <f t="shared" si="1"/>
        <v>38991</v>
      </c>
      <c r="K57" s="125">
        <f>'[4]cansim3230794907820228566'!D71</f>
        <v>667</v>
      </c>
      <c r="L57" s="10">
        <v>1</v>
      </c>
      <c r="M57" s="122">
        <f t="shared" si="2"/>
        <v>12833280.010984482</v>
      </c>
      <c r="N57" s="10"/>
      <c r="AB57" s="122">
        <f>'[15]Data Input'!G59</f>
        <v>0</v>
      </c>
      <c r="AC57" s="122">
        <f t="shared" si="3"/>
        <v>12740013.477200001</v>
      </c>
      <c r="AD57"/>
    </row>
    <row r="58" spans="1:29" ht="12.75">
      <c r="A58" s="3">
        <v>39022</v>
      </c>
      <c r="B58" s="155">
        <f>+'[15]Data Input'!D63</f>
        <v>13281120.4816</v>
      </c>
      <c r="C58" s="24">
        <f>'Weather Analysis - Pearson'!P18</f>
        <v>382.2</v>
      </c>
      <c r="D58" s="24">
        <f>'Weather Analysis - Pearson'!P38</f>
        <v>0</v>
      </c>
      <c r="E58" s="10">
        <v>30</v>
      </c>
      <c r="F58" s="10">
        <v>352.08</v>
      </c>
      <c r="G58" s="17">
        <f>'CDM Activity'!F26</f>
        <v>58705.85905968114</v>
      </c>
      <c r="H58" s="123">
        <f>+'[15]Data Input'!$CI63</f>
        <v>6121</v>
      </c>
      <c r="I58" s="36">
        <v>137.04311709485967</v>
      </c>
      <c r="J58" s="152">
        <f t="shared" si="1"/>
        <v>39022</v>
      </c>
      <c r="K58" s="125">
        <f>'[4]cansim3230794907820228566'!D72</f>
        <v>666.2</v>
      </c>
      <c r="L58" s="10">
        <v>1</v>
      </c>
      <c r="M58" s="122">
        <f t="shared" si="2"/>
        <v>13152813.749471512</v>
      </c>
      <c r="N58" s="10"/>
      <c r="AB58" s="122">
        <f>'[15]Data Input'!G60</f>
        <v>0</v>
      </c>
      <c r="AC58" s="122">
        <f t="shared" si="3"/>
        <v>13281120.4816</v>
      </c>
    </row>
    <row r="59" spans="1:29" ht="12.75">
      <c r="A59" s="3">
        <v>39052</v>
      </c>
      <c r="B59" s="155">
        <f>+'[15]Data Input'!D64</f>
        <v>13405779.6096</v>
      </c>
      <c r="C59" s="24">
        <f>'Weather Analysis - Pearson'!P19</f>
        <v>500.5</v>
      </c>
      <c r="D59" s="24">
        <f>'Weather Analysis - Pearson'!P39</f>
        <v>0</v>
      </c>
      <c r="E59" s="10">
        <v>31</v>
      </c>
      <c r="F59" s="10">
        <v>304.296</v>
      </c>
      <c r="G59" s="17">
        <f>'CDM Activity'!F27</f>
        <v>64042.75533783397</v>
      </c>
      <c r="H59" s="123">
        <f>+'[15]Data Input'!$CI64</f>
        <v>6120</v>
      </c>
      <c r="I59" s="36">
        <v>137.3254034779841</v>
      </c>
      <c r="J59" s="152">
        <f t="shared" si="1"/>
        <v>39052</v>
      </c>
      <c r="K59" s="125">
        <f>'[4]cansim3230794907820228566'!D73</f>
        <v>667.7</v>
      </c>
      <c r="L59" s="10">
        <v>0</v>
      </c>
      <c r="M59" s="122">
        <f t="shared" si="2"/>
        <v>13412169.2870867</v>
      </c>
      <c r="N59" s="10"/>
      <c r="AB59" s="122">
        <f>'[15]Data Input'!G61</f>
        <v>0</v>
      </c>
      <c r="AC59" s="122">
        <f t="shared" si="3"/>
        <v>13405779.6096</v>
      </c>
    </row>
    <row r="60" spans="1:29" ht="12.75">
      <c r="A60" s="3">
        <v>39083</v>
      </c>
      <c r="B60" s="155">
        <f>+'[15]Data Input'!D65</f>
        <v>14641113.9892</v>
      </c>
      <c r="C60" s="24">
        <f>'Weather Analysis - Pearson'!Q8</f>
        <v>647.1</v>
      </c>
      <c r="D60" s="24">
        <f>'Weather Analysis - Pearson'!Q28</f>
        <v>0</v>
      </c>
      <c r="E60" s="10">
        <v>31</v>
      </c>
      <c r="F60" s="10">
        <v>351.912</v>
      </c>
      <c r="G60" s="17">
        <f>'CDM Activity'!F28</f>
        <v>78567.68631241636</v>
      </c>
      <c r="H60" s="123">
        <f>+'[15]Data Input'!$CI65</f>
        <v>6127</v>
      </c>
      <c r="I60" s="36">
        <v>137.5858759607308</v>
      </c>
      <c r="J60" s="152">
        <f t="shared" si="1"/>
        <v>39083</v>
      </c>
      <c r="K60" s="125">
        <f>'[4]cansim3230794907820228566'!D74</f>
        <v>662.2</v>
      </c>
      <c r="L60" s="10">
        <v>0</v>
      </c>
      <c r="M60" s="122">
        <f t="shared" si="2"/>
        <v>14358081.950610984</v>
      </c>
      <c r="N60" s="10"/>
      <c r="X60" s="11"/>
      <c r="AB60" s="122">
        <f>'[15]Data Input'!G62</f>
        <v>0</v>
      </c>
      <c r="AC60" s="122">
        <f t="shared" si="3"/>
        <v>14641113.9892</v>
      </c>
    </row>
    <row r="61" spans="1:29" ht="12.75">
      <c r="A61" s="3">
        <v>39114</v>
      </c>
      <c r="B61" s="155">
        <f>+'[15]Data Input'!D66</f>
        <v>13805623.376799999</v>
      </c>
      <c r="C61" s="24">
        <f>'Weather Analysis - Pearson'!Q9</f>
        <v>740.1</v>
      </c>
      <c r="D61" s="24">
        <f>'Weather Analysis - Pearson'!Q29</f>
        <v>0</v>
      </c>
      <c r="E61" s="10">
        <v>28</v>
      </c>
      <c r="F61" s="10">
        <v>319.872</v>
      </c>
      <c r="G61" s="17">
        <f>'CDM Activity'!F29</f>
        <v>93092.61728699875</v>
      </c>
      <c r="H61" s="123">
        <f>+'[15]Data Input'!$CI66</f>
        <v>6133</v>
      </c>
      <c r="I61" s="36">
        <v>137.84684249565245</v>
      </c>
      <c r="J61" s="152">
        <f t="shared" si="1"/>
        <v>39114</v>
      </c>
      <c r="K61" s="125">
        <f>'[4]cansim3230794907820228566'!D75</f>
        <v>656.8</v>
      </c>
      <c r="L61" s="10">
        <v>0</v>
      </c>
      <c r="M61" s="122">
        <f t="shared" si="2"/>
        <v>13872162.596964635</v>
      </c>
      <c r="N61" s="10"/>
      <c r="AB61" s="122">
        <f>'[15]Data Input'!G63</f>
        <v>0</v>
      </c>
      <c r="AC61" s="122">
        <f t="shared" si="3"/>
        <v>13805623.376799999</v>
      </c>
    </row>
    <row r="62" spans="1:29" ht="12.75">
      <c r="A62" s="3">
        <v>39142</v>
      </c>
      <c r="B62" s="155">
        <f>+'[15]Data Input'!D67</f>
        <v>14017925.7992</v>
      </c>
      <c r="C62" s="24">
        <f>'Weather Analysis - Pearson'!Q10</f>
        <v>546.7</v>
      </c>
      <c r="D62" s="24">
        <f>'Weather Analysis - Pearson'!Q30</f>
        <v>0</v>
      </c>
      <c r="E62" s="10">
        <v>31</v>
      </c>
      <c r="F62" s="10">
        <v>351.912</v>
      </c>
      <c r="G62" s="17">
        <f>'CDM Activity'!F30</f>
        <v>107617.54826158113</v>
      </c>
      <c r="H62" s="123">
        <f>+'[15]Data Input'!$CI67</f>
        <v>6151</v>
      </c>
      <c r="I62" s="36">
        <v>138.10830401984444</v>
      </c>
      <c r="J62" s="152">
        <f t="shared" si="1"/>
        <v>39142</v>
      </c>
      <c r="K62" s="125">
        <f>'[4]cansim3230794907820228566'!D76</f>
        <v>652.2</v>
      </c>
      <c r="L62" s="10">
        <v>1</v>
      </c>
      <c r="M62" s="122">
        <f t="shared" si="2"/>
        <v>13932121.679563975</v>
      </c>
      <c r="N62" s="10"/>
      <c r="AB62" s="122">
        <f>'[15]Data Input'!G64</f>
        <v>0</v>
      </c>
      <c r="AC62" s="122">
        <f t="shared" si="3"/>
        <v>14017925.7992</v>
      </c>
    </row>
    <row r="63" spans="1:29" ht="12.75">
      <c r="A63" s="3">
        <v>39173</v>
      </c>
      <c r="B63" s="155">
        <f>+'[15]Data Input'!D68</f>
        <v>12545102.378</v>
      </c>
      <c r="C63" s="24">
        <f>'Weather Analysis - Pearson'!Q11</f>
        <v>356.4</v>
      </c>
      <c r="D63" s="24">
        <f>'Weather Analysis - Pearson'!Q31</f>
        <v>0</v>
      </c>
      <c r="E63" s="10">
        <v>30</v>
      </c>
      <c r="F63" s="10">
        <v>319.68</v>
      </c>
      <c r="G63" s="17">
        <f>'CDM Activity'!F31</f>
        <v>122142.47923616352</v>
      </c>
      <c r="H63" s="123">
        <f>+'[15]Data Input'!$CI68</f>
        <v>6154</v>
      </c>
      <c r="I63" s="36">
        <v>138.37026147217955</v>
      </c>
      <c r="J63" s="152">
        <f t="shared" si="1"/>
        <v>39173</v>
      </c>
      <c r="K63" s="125">
        <f>'[4]cansim3230794907820228566'!D77</f>
        <v>647.4</v>
      </c>
      <c r="L63" s="10">
        <v>1</v>
      </c>
      <c r="M63" s="122">
        <f t="shared" si="2"/>
        <v>12702163.98326163</v>
      </c>
      <c r="N63" s="10"/>
      <c r="AB63" s="122">
        <f>'[15]Data Input'!G65</f>
        <v>0</v>
      </c>
      <c r="AC63" s="122">
        <f t="shared" si="3"/>
        <v>12545102.378</v>
      </c>
    </row>
    <row r="64" spans="1:29" ht="12.75">
      <c r="A64" s="3">
        <v>39203</v>
      </c>
      <c r="B64" s="155">
        <f>+'[15]Data Input'!D69</f>
        <v>11947966.207999999</v>
      </c>
      <c r="C64" s="24">
        <f>'Weather Analysis - Pearson'!Q12</f>
        <v>136.4</v>
      </c>
      <c r="D64" s="24">
        <f>'Weather Analysis - Pearson'!Q32</f>
        <v>22.4</v>
      </c>
      <c r="E64" s="10">
        <v>31</v>
      </c>
      <c r="F64" s="10">
        <v>351.912</v>
      </c>
      <c r="G64" s="17">
        <f>'CDM Activity'!F32</f>
        <v>136667.4102107459</v>
      </c>
      <c r="H64" s="123">
        <f>+'[15]Data Input'!$CI69</f>
        <v>6158</v>
      </c>
      <c r="I64" s="36">
        <v>138.63271579331135</v>
      </c>
      <c r="J64" s="152">
        <f t="shared" si="1"/>
        <v>39203</v>
      </c>
      <c r="K64" s="125">
        <f>'[4]cansim3230794907820228566'!D78</f>
        <v>646.9</v>
      </c>
      <c r="L64" s="10">
        <v>1</v>
      </c>
      <c r="M64" s="122">
        <f t="shared" si="2"/>
        <v>12495375.251512364</v>
      </c>
      <c r="N64" s="10"/>
      <c r="AB64" s="122">
        <f>'[15]Data Input'!G66</f>
        <v>0</v>
      </c>
      <c r="AC64" s="122">
        <f t="shared" si="3"/>
        <v>11947966.207999999</v>
      </c>
    </row>
    <row r="65" spans="1:29" ht="12.75">
      <c r="A65" s="3">
        <v>39234</v>
      </c>
      <c r="B65" s="155">
        <f>+'[15]Data Input'!D70</f>
        <v>13001660.374</v>
      </c>
      <c r="C65" s="24">
        <f>'Weather Analysis - Pearson'!Q13</f>
        <v>16.5</v>
      </c>
      <c r="D65" s="24">
        <f>'Weather Analysis - Pearson'!Q33</f>
        <v>99.2</v>
      </c>
      <c r="E65" s="10">
        <v>30</v>
      </c>
      <c r="F65" s="10">
        <v>336.24</v>
      </c>
      <c r="G65" s="17">
        <f>'CDM Activity'!F33</f>
        <v>151192.3411853283</v>
      </c>
      <c r="H65" s="123">
        <f>+'[15]Data Input'!$CI70</f>
        <v>6174</v>
      </c>
      <c r="I65" s="36">
        <v>138.89566792567766</v>
      </c>
      <c r="J65" s="152">
        <f t="shared" si="1"/>
        <v>39234</v>
      </c>
      <c r="K65" s="125">
        <f>'[4]cansim3230794907820228566'!D79</f>
        <v>652.3</v>
      </c>
      <c r="L65" s="10">
        <v>0</v>
      </c>
      <c r="M65" s="122">
        <f t="shared" si="2"/>
        <v>12498686.456087245</v>
      </c>
      <c r="N65" s="10"/>
      <c r="AB65" s="122">
        <f>'[15]Data Input'!G67</f>
        <v>0</v>
      </c>
      <c r="AC65" s="122">
        <f t="shared" si="3"/>
        <v>13001660.374</v>
      </c>
    </row>
    <row r="66" spans="1:29" ht="12.75">
      <c r="A66" s="3">
        <v>39264</v>
      </c>
      <c r="B66" s="155">
        <f>+'[15]Data Input'!D71</f>
        <v>12605628.675999999</v>
      </c>
      <c r="C66" s="24">
        <f>'Weather Analysis - Pearson'!Q14</f>
        <v>3.2</v>
      </c>
      <c r="D66" s="24">
        <f>'Weather Analysis - Pearson'!Q34</f>
        <v>106.1</v>
      </c>
      <c r="E66" s="10">
        <v>31</v>
      </c>
      <c r="F66" s="10">
        <v>336.288</v>
      </c>
      <c r="G66" s="17">
        <f>'CDM Activity'!F34</f>
        <v>165717.27215991067</v>
      </c>
      <c r="H66" s="123">
        <f>+'[15]Data Input'!$CI71</f>
        <v>6177</v>
      </c>
      <c r="I66" s="36">
        <v>139.1591188135038</v>
      </c>
      <c r="J66" s="152">
        <f t="shared" si="1"/>
        <v>39264</v>
      </c>
      <c r="K66" s="125">
        <f>'[4]cansim3230794907820228566'!D80</f>
        <v>659.9</v>
      </c>
      <c r="L66" s="10">
        <v>0</v>
      </c>
      <c r="M66" s="122">
        <f t="shared" si="2"/>
        <v>12684639.075784234</v>
      </c>
      <c r="N66" s="10"/>
      <c r="AB66" s="122">
        <f>'[15]Data Input'!G68</f>
        <v>0</v>
      </c>
      <c r="AC66" s="122">
        <f t="shared" si="3"/>
        <v>12605628.675999999</v>
      </c>
    </row>
    <row r="67" spans="1:29" ht="12.75">
      <c r="A67" s="3">
        <v>39295</v>
      </c>
      <c r="B67" s="155">
        <f>+'[15]Data Input'!D72</f>
        <v>12671872.988</v>
      </c>
      <c r="C67" s="24">
        <f>'Weather Analysis - Pearson'!Q15</f>
        <v>5.2</v>
      </c>
      <c r="D67" s="24">
        <f>'Weather Analysis - Pearson'!Q35</f>
        <v>141</v>
      </c>
      <c r="E67" s="10">
        <v>31</v>
      </c>
      <c r="F67" s="10">
        <v>351.912</v>
      </c>
      <c r="G67" s="17">
        <f>'CDM Activity'!F35</f>
        <v>180242.20313449306</v>
      </c>
      <c r="H67" s="123">
        <f>+'[15]Data Input'!$CI72</f>
        <v>6183</v>
      </c>
      <c r="I67" s="36">
        <v>139.4230694028061</v>
      </c>
      <c r="J67" s="152">
        <f t="shared" si="1"/>
        <v>39295</v>
      </c>
      <c r="K67" s="125">
        <f>'[4]cansim3230794907820228566'!D81</f>
        <v>662.1</v>
      </c>
      <c r="L67" s="10">
        <v>0</v>
      </c>
      <c r="M67" s="122">
        <f t="shared" si="2"/>
        <v>13163791.141781995</v>
      </c>
      <c r="N67" s="10"/>
      <c r="AB67" s="122">
        <f>'[15]Data Input'!G69</f>
        <v>0</v>
      </c>
      <c r="AC67" s="122">
        <f t="shared" si="3"/>
        <v>12671872.988</v>
      </c>
    </row>
    <row r="68" spans="1:29" ht="12.75">
      <c r="A68" s="3">
        <v>39326</v>
      </c>
      <c r="B68" s="155">
        <f>+'[15]Data Input'!D73</f>
        <v>12246713.421999998</v>
      </c>
      <c r="C68" s="24">
        <f>'Weather Analysis - Pearson'!Q16</f>
        <v>36.9</v>
      </c>
      <c r="D68" s="24">
        <f>'Weather Analysis - Pearson'!Q36</f>
        <v>47.5</v>
      </c>
      <c r="E68" s="10">
        <v>30</v>
      </c>
      <c r="F68" s="10">
        <v>303.84</v>
      </c>
      <c r="G68" s="17">
        <f>'CDM Activity'!F36</f>
        <v>194767.13410907544</v>
      </c>
      <c r="H68" s="123">
        <f>+'[15]Data Input'!$CI73</f>
        <v>6194</v>
      </c>
      <c r="I68" s="36">
        <v>139.68752064139528</v>
      </c>
      <c r="J68" s="152">
        <f t="shared" si="1"/>
        <v>39326</v>
      </c>
      <c r="K68" s="125">
        <f>'[4]cansim3230794907820228566'!D82</f>
        <v>660.7</v>
      </c>
      <c r="L68" s="10">
        <v>1</v>
      </c>
      <c r="M68" s="122">
        <f t="shared" si="2"/>
        <v>11712420.903654084</v>
      </c>
      <c r="N68" s="10"/>
      <c r="AB68" s="122">
        <f>'[15]Data Input'!G70</f>
        <v>0</v>
      </c>
      <c r="AC68" s="122">
        <f aca="true" t="shared" si="4" ref="AC68:AC99">B68-AB68</f>
        <v>12246713.421999998</v>
      </c>
    </row>
    <row r="69" spans="1:29" ht="12.75">
      <c r="A69" s="3">
        <v>39356</v>
      </c>
      <c r="B69" s="155">
        <f>+'[15]Data Input'!D74</f>
        <v>12905565.751999998</v>
      </c>
      <c r="C69" s="24">
        <f>'Weather Analysis - Pearson'!Q17</f>
        <v>137.7</v>
      </c>
      <c r="D69" s="24">
        <f>'Weather Analysis - Pearson'!Q37</f>
        <v>19.8</v>
      </c>
      <c r="E69" s="10">
        <v>31</v>
      </c>
      <c r="F69" s="10">
        <v>351.912</v>
      </c>
      <c r="G69" s="17">
        <f>'CDM Activity'!F37</f>
        <v>209292.06508365783</v>
      </c>
      <c r="H69" s="123">
        <f>+'[15]Data Input'!$CI74</f>
        <v>6191</v>
      </c>
      <c r="I69" s="36">
        <v>139.95247347887977</v>
      </c>
      <c r="J69" s="152">
        <f aca="true" t="shared" si="5" ref="J69:J132">A69</f>
        <v>39356</v>
      </c>
      <c r="K69" s="125">
        <f>'[4]cansim3230794907820228566'!D83</f>
        <v>662.5</v>
      </c>
      <c r="L69" s="10">
        <v>1</v>
      </c>
      <c r="M69" s="122">
        <f aca="true" t="shared" si="6" ref="M69:M132">$P$18+$P$19*C69+$P$20*D69+$P$21*E69+$P$22*F69+$P$23*G69+$P$24*H69</f>
        <v>12369528.274776177</v>
      </c>
      <c r="N69" s="10"/>
      <c r="AB69" s="122">
        <f>'[15]Data Input'!G71</f>
        <v>0</v>
      </c>
      <c r="AC69" s="122">
        <f t="shared" si="4"/>
        <v>12905565.751999998</v>
      </c>
    </row>
    <row r="70" spans="1:29" ht="12.75">
      <c r="A70" s="3">
        <v>39387</v>
      </c>
      <c r="B70" s="155">
        <f>+'[15]Data Input'!D75</f>
        <v>13217711.656000001</v>
      </c>
      <c r="C70" s="24">
        <f>'Weather Analysis - Pearson'!Q18</f>
        <v>462.5</v>
      </c>
      <c r="D70" s="24">
        <f>'Weather Analysis - Pearson'!Q38</f>
        <v>0</v>
      </c>
      <c r="E70" s="10">
        <v>30</v>
      </c>
      <c r="F70" s="10">
        <v>352.08</v>
      </c>
      <c r="G70" s="17">
        <f>'CDM Activity'!F38</f>
        <v>223816.9960582402</v>
      </c>
      <c r="H70" s="123">
        <f>+'[15]Data Input'!$CI75</f>
        <v>6195</v>
      </c>
      <c r="I70" s="36">
        <v>140.21792886666915</v>
      </c>
      <c r="J70" s="152">
        <f t="shared" si="5"/>
        <v>39387</v>
      </c>
      <c r="K70" s="125">
        <f>'[4]cansim3230794907820228566'!D84</f>
        <v>666.7</v>
      </c>
      <c r="L70" s="10">
        <v>1</v>
      </c>
      <c r="M70" s="122">
        <f t="shared" si="6"/>
        <v>13233399.116415013</v>
      </c>
      <c r="N70" s="10"/>
      <c r="AB70" s="122">
        <f>'[15]Data Input'!G72</f>
        <v>0</v>
      </c>
      <c r="AC70" s="122">
        <f t="shared" si="4"/>
        <v>13217711.656000001</v>
      </c>
    </row>
    <row r="71" spans="1:29" ht="12.75">
      <c r="A71" s="3">
        <v>39417</v>
      </c>
      <c r="B71" s="155">
        <f>+'[15]Data Input'!D76</f>
        <v>14047189.056000002</v>
      </c>
      <c r="C71" s="24">
        <f>'Weather Analysis - Pearson'!Q19</f>
        <v>630.7</v>
      </c>
      <c r="D71" s="24">
        <f>'Weather Analysis - Pearson'!Q39</f>
        <v>0</v>
      </c>
      <c r="E71" s="10">
        <v>31</v>
      </c>
      <c r="F71" s="10">
        <v>304.296</v>
      </c>
      <c r="G71" s="17">
        <f>'CDM Activity'!F39</f>
        <v>238341.9270328226</v>
      </c>
      <c r="H71" s="123">
        <f>+'[15]Data Input'!$CI76</f>
        <v>6195</v>
      </c>
      <c r="I71" s="36">
        <v>140.48388775797773</v>
      </c>
      <c r="J71" s="152">
        <f t="shared" si="5"/>
        <v>39417</v>
      </c>
      <c r="K71" s="125">
        <f>'[4]cansim3230794907820228566'!D85</f>
        <v>668.5</v>
      </c>
      <c r="L71" s="10">
        <v>0</v>
      </c>
      <c r="M71" s="122">
        <f t="shared" si="6"/>
        <v>13673284.118239729</v>
      </c>
      <c r="N71" s="10"/>
      <c r="AB71" s="122">
        <f>'[15]Data Input'!G73</f>
        <v>0</v>
      </c>
      <c r="AC71" s="122">
        <f t="shared" si="4"/>
        <v>14047189.056000002</v>
      </c>
    </row>
    <row r="72" spans="1:29" ht="12.75">
      <c r="A72" s="3">
        <v>39448</v>
      </c>
      <c r="B72" s="155">
        <f>+'[15]Data Input'!D77</f>
        <v>15011871.316</v>
      </c>
      <c r="C72" s="24">
        <f>'Weather Analysis - Pearson'!R8</f>
        <v>623.5</v>
      </c>
      <c r="D72" s="24">
        <f>'Weather Analysis - Pearson'!R28</f>
        <v>0</v>
      </c>
      <c r="E72" s="10">
        <v>31</v>
      </c>
      <c r="F72" s="1">
        <v>352</v>
      </c>
      <c r="G72" s="17">
        <f>'CDM Activity'!F40</f>
        <v>229402.04229052924</v>
      </c>
      <c r="H72" s="123">
        <f>+'[15]Data Input'!$CI77</f>
        <v>6198</v>
      </c>
      <c r="I72" s="34">
        <v>140.42521823206457</v>
      </c>
      <c r="J72" s="152">
        <f t="shared" si="5"/>
        <v>39448</v>
      </c>
      <c r="K72" s="125">
        <f>'[4]cansim3230794907820228566'!D86</f>
        <v>661.4</v>
      </c>
      <c r="L72" s="10">
        <v>0</v>
      </c>
      <c r="M72" s="122">
        <f t="shared" si="6"/>
        <v>14052899.66541532</v>
      </c>
      <c r="X72" s="11"/>
      <c r="AB72" s="122">
        <v>0</v>
      </c>
      <c r="AC72" s="122">
        <f t="shared" si="4"/>
        <v>15011871.316</v>
      </c>
    </row>
    <row r="73" spans="1:29" ht="12.75">
      <c r="A73" s="3">
        <v>39479</v>
      </c>
      <c r="B73" s="155">
        <f>+'[15]Data Input'!D78</f>
        <v>13971626.544</v>
      </c>
      <c r="C73" s="24">
        <f>'Weather Analysis - Pearson'!R9</f>
        <v>674.7</v>
      </c>
      <c r="D73" s="24">
        <f>'Weather Analysis - Pearson'!R29</f>
        <v>0</v>
      </c>
      <c r="E73" s="10">
        <v>29</v>
      </c>
      <c r="F73" s="1">
        <v>320</v>
      </c>
      <c r="G73" s="17">
        <f>'CDM Activity'!F41</f>
        <v>220462.15754823587</v>
      </c>
      <c r="H73" s="123">
        <f>+'[15]Data Input'!$CI78</f>
        <v>6209</v>
      </c>
      <c r="I73" s="34">
        <v>140.36657320798807</v>
      </c>
      <c r="J73" s="152">
        <f t="shared" si="5"/>
        <v>39479</v>
      </c>
      <c r="K73" s="125">
        <f>'[4]cansim3230794907820228566'!D87</f>
        <v>656.3</v>
      </c>
      <c r="L73" s="10">
        <v>0</v>
      </c>
      <c r="M73" s="122">
        <f t="shared" si="6"/>
        <v>13644605.4210806</v>
      </c>
      <c r="AB73" s="122">
        <v>0</v>
      </c>
      <c r="AC73" s="122">
        <f t="shared" si="4"/>
        <v>13971626.544</v>
      </c>
    </row>
    <row r="74" spans="1:29" ht="12.75">
      <c r="A74" s="3">
        <v>39508</v>
      </c>
      <c r="B74" s="155">
        <f>+'[15]Data Input'!D79</f>
        <v>14261173.685999999</v>
      </c>
      <c r="C74" s="24">
        <f>'Weather Analysis - Pearson'!R10</f>
        <v>610.2</v>
      </c>
      <c r="D74" s="24">
        <f>'Weather Analysis - Pearson'!R30</f>
        <v>0</v>
      </c>
      <c r="E74" s="10">
        <v>31</v>
      </c>
      <c r="F74" s="1">
        <v>304</v>
      </c>
      <c r="G74" s="17">
        <f>'CDM Activity'!F42</f>
        <v>211522.2728059425</v>
      </c>
      <c r="H74" s="123">
        <f>+'[15]Data Input'!$CI79</f>
        <v>6215</v>
      </c>
      <c r="I74" s="34">
        <v>140.30795267551565</v>
      </c>
      <c r="J74" s="152">
        <f t="shared" si="5"/>
        <v>39508</v>
      </c>
      <c r="K74" s="125">
        <f>'[4]cansim3230794907820228566'!D88</f>
        <v>647</v>
      </c>
      <c r="L74" s="10">
        <v>1</v>
      </c>
      <c r="M74" s="122">
        <f t="shared" si="6"/>
        <v>13665782.990237284</v>
      </c>
      <c r="AB74" s="122">
        <v>0</v>
      </c>
      <c r="AC74" s="122">
        <f t="shared" si="4"/>
        <v>14261173.685999999</v>
      </c>
    </row>
    <row r="75" spans="1:29" ht="12.75">
      <c r="A75" s="3">
        <v>39539</v>
      </c>
      <c r="B75" s="155">
        <f>+'[15]Data Input'!D80</f>
        <v>12643502.586</v>
      </c>
      <c r="C75" s="24">
        <f>'Weather Analysis - Pearson'!R11</f>
        <v>253.9</v>
      </c>
      <c r="D75" s="24">
        <f>'Weather Analysis - Pearson'!R31</f>
        <v>0</v>
      </c>
      <c r="E75" s="10">
        <v>30</v>
      </c>
      <c r="F75" s="1">
        <v>352</v>
      </c>
      <c r="G75" s="17">
        <f>'CDM Activity'!F43</f>
        <v>202582.38806364915</v>
      </c>
      <c r="H75" s="123">
        <f>+'[15]Data Input'!$CI80</f>
        <v>6214</v>
      </c>
      <c r="I75" s="34">
        <v>140.24935662441902</v>
      </c>
      <c r="J75" s="152">
        <f t="shared" si="5"/>
        <v>39539</v>
      </c>
      <c r="K75" s="125">
        <f>'[4]cansim3230794907820228566'!D89</f>
        <v>647.2</v>
      </c>
      <c r="L75" s="10">
        <v>1</v>
      </c>
      <c r="M75" s="122">
        <f t="shared" si="6"/>
        <v>12471541.23228186</v>
      </c>
      <c r="AB75" s="122">
        <v>0</v>
      </c>
      <c r="AC75" s="122">
        <f t="shared" si="4"/>
        <v>12643502.586</v>
      </c>
    </row>
    <row r="76" spans="1:29" ht="12.75">
      <c r="A76" s="3">
        <v>39569</v>
      </c>
      <c r="B76" s="155">
        <f>+'[15]Data Input'!D81</f>
        <v>12164290.617999999</v>
      </c>
      <c r="C76" s="24">
        <f>'Weather Analysis - Pearson'!R12</f>
        <v>193.5</v>
      </c>
      <c r="D76" s="24">
        <f>'Weather Analysis - Pearson'!R32</f>
        <v>2.5</v>
      </c>
      <c r="E76" s="10">
        <v>31</v>
      </c>
      <c r="F76" s="1">
        <v>336</v>
      </c>
      <c r="G76" s="17">
        <f>'CDM Activity'!F44</f>
        <v>193642.5033213558</v>
      </c>
      <c r="H76" s="123">
        <f>+'[15]Data Input'!$CI81</f>
        <v>6225</v>
      </c>
      <c r="I76" s="34">
        <v>140.19078504447415</v>
      </c>
      <c r="J76" s="152">
        <f t="shared" si="5"/>
        <v>39569</v>
      </c>
      <c r="K76" s="125">
        <f>'[4]cansim3230794907820228566'!D90</f>
        <v>648.8</v>
      </c>
      <c r="L76" s="10">
        <v>1</v>
      </c>
      <c r="M76" s="122">
        <f t="shared" si="6"/>
        <v>12350217.49079511</v>
      </c>
      <c r="AB76" s="122">
        <v>0</v>
      </c>
      <c r="AC76" s="122">
        <f t="shared" si="4"/>
        <v>12164290.617999999</v>
      </c>
    </row>
    <row r="77" spans="1:29" ht="12.75">
      <c r="A77" s="3">
        <v>39600</v>
      </c>
      <c r="B77" s="155">
        <f>+'[15]Data Input'!D82</f>
        <v>12984485.151999999</v>
      </c>
      <c r="C77" s="24">
        <f>'Weather Analysis - Pearson'!R13</f>
        <v>22.7</v>
      </c>
      <c r="D77" s="24">
        <f>'Weather Analysis - Pearson'!R33</f>
        <v>71.5</v>
      </c>
      <c r="E77" s="10">
        <v>30</v>
      </c>
      <c r="F77" s="1">
        <v>336</v>
      </c>
      <c r="G77" s="17">
        <f>'CDM Activity'!F45</f>
        <v>184702.61857906243</v>
      </c>
      <c r="H77" s="123">
        <f>+'[15]Data Input'!$CI82</f>
        <v>6227</v>
      </c>
      <c r="I77" s="34">
        <v>140.1322379254613</v>
      </c>
      <c r="J77" s="152">
        <f t="shared" si="5"/>
        <v>39600</v>
      </c>
      <c r="K77" s="125">
        <f>'[4]cansim3230794907820228566'!D91</f>
        <v>656.8</v>
      </c>
      <c r="L77" s="10">
        <v>0</v>
      </c>
      <c r="M77" s="122">
        <f t="shared" si="6"/>
        <v>12227188.149841104</v>
      </c>
      <c r="AB77" s="122">
        <v>0</v>
      </c>
      <c r="AC77" s="122">
        <f t="shared" si="4"/>
        <v>12984485.151999999</v>
      </c>
    </row>
    <row r="78" spans="1:29" ht="12.75">
      <c r="A78" s="3">
        <v>39630</v>
      </c>
      <c r="B78" s="155">
        <f>+'[15]Data Input'!D83</f>
        <v>13519471.598</v>
      </c>
      <c r="C78" s="24">
        <f>'Weather Analysis - Pearson'!R14</f>
        <v>1</v>
      </c>
      <c r="D78" s="24">
        <f>'Weather Analysis - Pearson'!R34</f>
        <v>111</v>
      </c>
      <c r="E78" s="10">
        <v>31</v>
      </c>
      <c r="F78" s="1">
        <v>352</v>
      </c>
      <c r="G78" s="17">
        <f>'CDM Activity'!F46</f>
        <v>175762.73383676907</v>
      </c>
      <c r="H78" s="123">
        <f>+'[15]Data Input'!$CI83</f>
        <v>6235</v>
      </c>
      <c r="I78" s="34">
        <v>140.073715257165</v>
      </c>
      <c r="J78" s="152">
        <f t="shared" si="5"/>
        <v>39630</v>
      </c>
      <c r="K78" s="125">
        <f>'[4]cansim3230794907820228566'!D92</f>
        <v>663.6</v>
      </c>
      <c r="L78" s="10">
        <v>0</v>
      </c>
      <c r="M78" s="122">
        <f t="shared" si="6"/>
        <v>12903000.73043027</v>
      </c>
      <c r="AB78" s="122">
        <v>0</v>
      </c>
      <c r="AC78" s="122">
        <f t="shared" si="4"/>
        <v>13519471.598</v>
      </c>
    </row>
    <row r="79" spans="1:29" ht="12.75">
      <c r="A79" s="3">
        <v>39661</v>
      </c>
      <c r="B79" s="155">
        <f>+'[15]Data Input'!D84</f>
        <v>12700972.37</v>
      </c>
      <c r="C79" s="24">
        <f>'Weather Analysis - Pearson'!R15</f>
        <v>12.7</v>
      </c>
      <c r="D79" s="24">
        <f>'Weather Analysis - Pearson'!R35</f>
        <v>64</v>
      </c>
      <c r="E79" s="10">
        <v>31</v>
      </c>
      <c r="F79" s="1">
        <v>320</v>
      </c>
      <c r="G79" s="17">
        <f>'CDM Activity'!F47</f>
        <v>166822.8490944757</v>
      </c>
      <c r="H79" s="123">
        <f>+'[15]Data Input'!$CI84</f>
        <v>6244</v>
      </c>
      <c r="I79" s="34">
        <v>140.01521702937399</v>
      </c>
      <c r="J79" s="152">
        <f t="shared" si="5"/>
        <v>39661</v>
      </c>
      <c r="K79" s="125">
        <f>'[4]cansim3230794907820228566'!D93</f>
        <v>666.6</v>
      </c>
      <c r="L79" s="10">
        <v>0</v>
      </c>
      <c r="M79" s="122">
        <f t="shared" si="6"/>
        <v>12224910.617138904</v>
      </c>
      <c r="AB79" s="122">
        <v>0</v>
      </c>
      <c r="AC79" s="122">
        <f t="shared" si="4"/>
        <v>12700972.37</v>
      </c>
    </row>
    <row r="80" spans="1:29" ht="12.75">
      <c r="A80" s="3">
        <v>39692</v>
      </c>
      <c r="B80" s="155">
        <f>+'[15]Data Input'!D85</f>
        <v>12971249.196</v>
      </c>
      <c r="C80" s="24">
        <f>'Weather Analysis - Pearson'!R16</f>
        <v>59</v>
      </c>
      <c r="D80" s="24">
        <f>'Weather Analysis - Pearson'!R36</f>
        <v>26.7</v>
      </c>
      <c r="E80" s="10">
        <v>30</v>
      </c>
      <c r="F80" s="1">
        <v>336</v>
      </c>
      <c r="G80" s="17">
        <f>'CDM Activity'!F48</f>
        <v>157882.96435218235</v>
      </c>
      <c r="H80" s="123">
        <f>+'[15]Data Input'!$CI85</f>
        <v>6245</v>
      </c>
      <c r="I80" s="34">
        <v>139.95674323188132</v>
      </c>
      <c r="J80" s="152">
        <f t="shared" si="5"/>
        <v>39692</v>
      </c>
      <c r="K80" s="125">
        <f>'[4]cansim3230794907820228566'!D94</f>
        <v>669.7</v>
      </c>
      <c r="L80" s="10">
        <v>1</v>
      </c>
      <c r="M80" s="122">
        <f t="shared" si="6"/>
        <v>11974688.000099398</v>
      </c>
      <c r="AB80" s="122">
        <v>0</v>
      </c>
      <c r="AC80" s="122">
        <f t="shared" si="4"/>
        <v>12971249.196</v>
      </c>
    </row>
    <row r="81" spans="1:29" ht="12.75">
      <c r="A81" s="3">
        <v>39722</v>
      </c>
      <c r="B81" s="155">
        <f>+'[15]Data Input'!D86</f>
        <v>13122178.284</v>
      </c>
      <c r="C81" s="24">
        <f>'Weather Analysis - Pearson'!R17</f>
        <v>278.6</v>
      </c>
      <c r="D81" s="24">
        <f>'Weather Analysis - Pearson'!R37</f>
        <v>0</v>
      </c>
      <c r="E81" s="10">
        <v>31</v>
      </c>
      <c r="F81" s="1">
        <v>352</v>
      </c>
      <c r="G81" s="17">
        <f>'CDM Activity'!F49</f>
        <v>148943.07960988898</v>
      </c>
      <c r="H81" s="123">
        <f>+'[15]Data Input'!$CI86</f>
        <v>6260</v>
      </c>
      <c r="I81" s="34">
        <v>139.8982938544843</v>
      </c>
      <c r="J81" s="152">
        <f t="shared" si="5"/>
        <v>39722</v>
      </c>
      <c r="K81" s="125">
        <f>'[4]cansim3230794907820228566'!D95</f>
        <v>673</v>
      </c>
      <c r="L81" s="10">
        <v>1</v>
      </c>
      <c r="M81" s="122">
        <f t="shared" si="6"/>
        <v>12919012.010876957</v>
      </c>
      <c r="AB81" s="122">
        <v>0</v>
      </c>
      <c r="AC81" s="122">
        <f t="shared" si="4"/>
        <v>13122178.284</v>
      </c>
    </row>
    <row r="82" spans="1:29" ht="12.75">
      <c r="A82" s="3">
        <v>39753</v>
      </c>
      <c r="B82" s="155">
        <f>+'[15]Data Input'!D87</f>
        <v>13520664.026</v>
      </c>
      <c r="C82" s="24">
        <f>'Weather Analysis - Pearson'!R18</f>
        <v>451.6</v>
      </c>
      <c r="D82" s="24">
        <f>'Weather Analysis - Pearson'!R38</f>
        <v>0</v>
      </c>
      <c r="E82" s="10">
        <v>30</v>
      </c>
      <c r="F82" s="1">
        <v>304</v>
      </c>
      <c r="G82" s="17">
        <f>'CDM Activity'!F50</f>
        <v>140003.19486759562</v>
      </c>
      <c r="H82" s="123">
        <f>+'[15]Data Input'!$CI87</f>
        <v>6265</v>
      </c>
      <c r="I82" s="34">
        <v>139.83986888698453</v>
      </c>
      <c r="J82" s="152">
        <f t="shared" si="5"/>
        <v>39753</v>
      </c>
      <c r="K82" s="125">
        <f>'[4]cansim3230794907820228566'!D96</f>
        <v>676.9</v>
      </c>
      <c r="L82" s="10">
        <v>1</v>
      </c>
      <c r="M82" s="122">
        <f t="shared" si="6"/>
        <v>13046412.268441577</v>
      </c>
      <c r="AB82" s="122">
        <v>0</v>
      </c>
      <c r="AC82" s="122">
        <f t="shared" si="4"/>
        <v>13520664.026</v>
      </c>
    </row>
    <row r="83" spans="1:29" ht="12.75">
      <c r="A83" s="3">
        <v>39783</v>
      </c>
      <c r="B83" s="155">
        <f>+'[15]Data Input'!D88</f>
        <v>14255916.175999999</v>
      </c>
      <c r="C83" s="24">
        <f>'Weather Analysis - Pearson'!R19</f>
        <v>654.6</v>
      </c>
      <c r="D83" s="24">
        <f>'Weather Analysis - Pearson'!R39</f>
        <v>0</v>
      </c>
      <c r="E83" s="10">
        <v>31</v>
      </c>
      <c r="F83" s="1">
        <v>336</v>
      </c>
      <c r="G83" s="17">
        <f>'CDM Activity'!F51</f>
        <v>131063.31012530225</v>
      </c>
      <c r="H83" s="123">
        <f>+'[15]Data Input'!$CI88</f>
        <v>6271</v>
      </c>
      <c r="I83" s="34">
        <v>139.78146831918784</v>
      </c>
      <c r="J83" s="152">
        <f t="shared" si="5"/>
        <v>39783</v>
      </c>
      <c r="K83" s="125">
        <f>'[4]cansim3230794907820228566'!D97</f>
        <v>673.6</v>
      </c>
      <c r="L83" s="10">
        <v>0</v>
      </c>
      <c r="M83" s="122">
        <f t="shared" si="6"/>
        <v>14324307.561111666</v>
      </c>
      <c r="N83" s="52"/>
      <c r="AB83" s="122">
        <v>0</v>
      </c>
      <c r="AC83" s="122">
        <f t="shared" si="4"/>
        <v>14255916.175999999</v>
      </c>
    </row>
    <row r="84" spans="1:29" ht="12.75">
      <c r="A84" s="3">
        <v>39814</v>
      </c>
      <c r="B84" s="155">
        <f>+'[15]Data Input'!D89</f>
        <v>14975469.714</v>
      </c>
      <c r="C84" s="24">
        <f>'Weather Analysis - Pearson'!S8</f>
        <v>830.2</v>
      </c>
      <c r="D84" s="24">
        <f>'Weather Analysis - Pearson'!S28</f>
        <v>0</v>
      </c>
      <c r="E84" s="10">
        <v>31</v>
      </c>
      <c r="F84" s="1">
        <v>336</v>
      </c>
      <c r="G84" s="17">
        <f>'CDM Activity'!F52</f>
        <v>143659.25372164507</v>
      </c>
      <c r="H84" s="123">
        <f>+'[15]Data Input'!$CI89</f>
        <v>6275</v>
      </c>
      <c r="I84" s="34">
        <v>139.3791116068711</v>
      </c>
      <c r="J84" s="152">
        <f t="shared" si="5"/>
        <v>39814</v>
      </c>
      <c r="K84" s="125">
        <f>'[4]cansim3230794907820228566'!D98</f>
        <v>662.3</v>
      </c>
      <c r="L84" s="10">
        <v>0</v>
      </c>
      <c r="M84" s="122">
        <f t="shared" si="6"/>
        <v>14998849.234192766</v>
      </c>
      <c r="N84" s="50"/>
      <c r="AB84" s="122">
        <v>0</v>
      </c>
      <c r="AC84" s="122">
        <f t="shared" si="4"/>
        <v>14975469.714</v>
      </c>
    </row>
    <row r="85" spans="1:29" ht="12.75">
      <c r="A85" s="3">
        <v>39845</v>
      </c>
      <c r="B85" s="155">
        <f>+'[15]Data Input'!D90</f>
        <v>13170978.806</v>
      </c>
      <c r="C85" s="24">
        <f>'Weather Analysis - Pearson'!S9</f>
        <v>606.4</v>
      </c>
      <c r="D85" s="24">
        <f>'Weather Analysis - Pearson'!S29</f>
        <v>0</v>
      </c>
      <c r="E85" s="10">
        <v>28</v>
      </c>
      <c r="F85" s="1">
        <v>304</v>
      </c>
      <c r="G85" s="17">
        <f>'CDM Activity'!F53</f>
        <v>156255.19731798788</v>
      </c>
      <c r="H85" s="123">
        <f>+'[15]Data Input'!$CI90</f>
        <v>6281</v>
      </c>
      <c r="I85" s="34">
        <v>138.97791306613385</v>
      </c>
      <c r="J85" s="152">
        <f t="shared" si="5"/>
        <v>39845</v>
      </c>
      <c r="K85" s="125">
        <f>'[4]cansim3230794907820228566'!D99</f>
        <v>649.3</v>
      </c>
      <c r="L85" s="10">
        <v>0</v>
      </c>
      <c r="M85" s="122">
        <f t="shared" si="6"/>
        <v>13263998.28201577</v>
      </c>
      <c r="N85" s="50"/>
      <c r="AB85" s="122">
        <v>0</v>
      </c>
      <c r="AC85" s="122">
        <f t="shared" si="4"/>
        <v>13170978.806</v>
      </c>
    </row>
    <row r="86" spans="1:29" ht="12.75">
      <c r="A86" s="3">
        <v>39873</v>
      </c>
      <c r="B86" s="155">
        <f>+'[15]Data Input'!D91</f>
        <v>13812792.328</v>
      </c>
      <c r="C86" s="24">
        <f>'Weather Analysis - Pearson'!S10</f>
        <v>533.8</v>
      </c>
      <c r="D86" s="24">
        <f>'Weather Analysis - Pearson'!S30</f>
        <v>0</v>
      </c>
      <c r="E86" s="10">
        <v>31</v>
      </c>
      <c r="F86" s="1">
        <v>352</v>
      </c>
      <c r="G86" s="17">
        <f>'CDM Activity'!F54</f>
        <v>168851.1409143307</v>
      </c>
      <c r="H86" s="123">
        <f>+'[15]Data Input'!$CI91</f>
        <v>6282</v>
      </c>
      <c r="I86" s="34">
        <v>138.57786936321438</v>
      </c>
      <c r="J86" s="152">
        <f t="shared" si="5"/>
        <v>39873</v>
      </c>
      <c r="K86" s="125">
        <f>'[4]cansim3230794907820228566'!D100</f>
        <v>636.3</v>
      </c>
      <c r="L86" s="10">
        <v>1</v>
      </c>
      <c r="M86" s="122">
        <f t="shared" si="6"/>
        <v>13915133.010372385</v>
      </c>
      <c r="N86" s="50"/>
      <c r="AB86" s="122">
        <v>0</v>
      </c>
      <c r="AC86" s="122">
        <f t="shared" si="4"/>
        <v>13812792.328</v>
      </c>
    </row>
    <row r="87" spans="1:29" ht="12.75">
      <c r="A87" s="3">
        <v>39904</v>
      </c>
      <c r="B87" s="155">
        <f>+'[15]Data Input'!D92</f>
        <v>12422992.620000001</v>
      </c>
      <c r="C87" s="24">
        <f>'Weather Analysis - Pearson'!S11</f>
        <v>305.8</v>
      </c>
      <c r="D87" s="24">
        <f>'Weather Analysis - Pearson'!S31</f>
        <v>1.2</v>
      </c>
      <c r="E87" s="10">
        <v>30</v>
      </c>
      <c r="F87" s="1">
        <v>320</v>
      </c>
      <c r="G87" s="17">
        <f>'CDM Activity'!F55</f>
        <v>181447.0845106735</v>
      </c>
      <c r="H87" s="123">
        <f>+'[15]Data Input'!$CI92</f>
        <v>6284</v>
      </c>
      <c r="I87" s="34">
        <v>138.17897717394706</v>
      </c>
      <c r="J87" s="152">
        <f t="shared" si="5"/>
        <v>39904</v>
      </c>
      <c r="K87" s="125">
        <f>'[4]cansim3230794907820228566'!D101</f>
        <v>632.2</v>
      </c>
      <c r="L87" s="10">
        <v>1</v>
      </c>
      <c r="M87" s="122">
        <f t="shared" si="6"/>
        <v>12553135.464670232</v>
      </c>
      <c r="N87" s="50"/>
      <c r="AB87" s="122">
        <v>0</v>
      </c>
      <c r="AC87" s="122">
        <f t="shared" si="4"/>
        <v>12422992.620000001</v>
      </c>
    </row>
    <row r="88" spans="1:29" ht="12.75">
      <c r="A88" s="3">
        <v>39934</v>
      </c>
      <c r="B88" s="155">
        <f>+'[15]Data Input'!D93</f>
        <v>11568813.37</v>
      </c>
      <c r="C88" s="24">
        <f>'Weather Analysis - Pearson'!S12</f>
        <v>158.8</v>
      </c>
      <c r="D88" s="24">
        <f>'Weather Analysis - Pearson'!S32</f>
        <v>6.9</v>
      </c>
      <c r="E88" s="10">
        <v>31</v>
      </c>
      <c r="F88" s="1">
        <v>320</v>
      </c>
      <c r="G88" s="17">
        <f>'CDM Activity'!F56</f>
        <v>194043.02810701632</v>
      </c>
      <c r="H88" s="123">
        <f>+'[15]Data Input'!$CI93</f>
        <v>6286</v>
      </c>
      <c r="I88" s="34">
        <v>137.78123318373483</v>
      </c>
      <c r="J88" s="152">
        <f t="shared" si="5"/>
        <v>39934</v>
      </c>
      <c r="K88" s="125">
        <f>'[4]cansim3230794907820228566'!D102</f>
        <v>631.7</v>
      </c>
      <c r="L88" s="10">
        <v>1</v>
      </c>
      <c r="M88" s="122">
        <f t="shared" si="6"/>
        <v>12199904.520045334</v>
      </c>
      <c r="N88" s="50"/>
      <c r="AB88" s="122">
        <v>0</v>
      </c>
      <c r="AC88" s="122">
        <f t="shared" si="4"/>
        <v>11568813.37</v>
      </c>
    </row>
    <row r="89" spans="1:29" ht="12.75">
      <c r="A89" s="3">
        <v>39965</v>
      </c>
      <c r="B89" s="155">
        <f>+'[15]Data Input'!D94</f>
        <v>12161991.47</v>
      </c>
      <c r="C89" s="24">
        <f>'Weather Analysis - Pearson'!S13</f>
        <v>49.3</v>
      </c>
      <c r="D89" s="24">
        <f>'Weather Analysis - Pearson'!S33</f>
        <v>34.2</v>
      </c>
      <c r="E89" s="10">
        <v>30</v>
      </c>
      <c r="F89" s="1">
        <v>352</v>
      </c>
      <c r="G89" s="17">
        <f>'CDM Activity'!F57</f>
        <v>206638.97170335913</v>
      </c>
      <c r="H89" s="123">
        <f>+'[15]Data Input'!$CI94</f>
        <v>6291</v>
      </c>
      <c r="I89" s="34">
        <v>137.38463408752156</v>
      </c>
      <c r="J89" s="152">
        <f t="shared" si="5"/>
        <v>39965</v>
      </c>
      <c r="K89" s="125">
        <f>'[4]cansim3230794907820228566'!D103</f>
        <v>642.7</v>
      </c>
      <c r="L89" s="10">
        <v>0</v>
      </c>
      <c r="M89" s="122">
        <f t="shared" si="6"/>
        <v>12103054.602511253</v>
      </c>
      <c r="N89" s="50"/>
      <c r="AB89" s="122">
        <v>0</v>
      </c>
      <c r="AC89" s="122">
        <f t="shared" si="4"/>
        <v>12161991.47</v>
      </c>
    </row>
    <row r="90" spans="1:29" ht="12.75">
      <c r="A90" s="3">
        <v>39995</v>
      </c>
      <c r="B90" s="155">
        <f>+'[15]Data Input'!D95</f>
        <v>11870356.158</v>
      </c>
      <c r="C90" s="24">
        <f>'Weather Analysis - Pearson'!S14</f>
        <v>6.2</v>
      </c>
      <c r="D90" s="24">
        <f>'Weather Analysis - Pearson'!S34</f>
        <v>43.7</v>
      </c>
      <c r="E90" s="10">
        <v>31</v>
      </c>
      <c r="F90" s="1">
        <v>352</v>
      </c>
      <c r="G90" s="17">
        <f>'CDM Activity'!F58</f>
        <v>219234.91529970194</v>
      </c>
      <c r="H90" s="123">
        <f>+'[15]Data Input'!$CI95</f>
        <v>6302</v>
      </c>
      <c r="I90" s="34">
        <v>136.98917658976464</v>
      </c>
      <c r="J90" s="152">
        <f t="shared" si="5"/>
        <v>39995</v>
      </c>
      <c r="K90" s="125">
        <f>'[4]cansim3230794907820228566'!D104</f>
        <v>650</v>
      </c>
      <c r="L90" s="10">
        <v>0</v>
      </c>
      <c r="M90" s="122">
        <f t="shared" si="6"/>
        <v>12211156.639153538</v>
      </c>
      <c r="N90" s="50"/>
      <c r="AB90" s="122">
        <v>0</v>
      </c>
      <c r="AC90" s="122">
        <f t="shared" si="4"/>
        <v>11870356.158</v>
      </c>
    </row>
    <row r="91" spans="1:29" ht="12.75">
      <c r="A91" s="3">
        <v>40026</v>
      </c>
      <c r="B91" s="155">
        <f>+'[15]Data Input'!D96</f>
        <v>12313749.944</v>
      </c>
      <c r="C91" s="24">
        <f>'Weather Analysis - Pearson'!S15</f>
        <v>9.8</v>
      </c>
      <c r="D91" s="24">
        <f>'Weather Analysis - Pearson'!S35</f>
        <v>91</v>
      </c>
      <c r="E91" s="10">
        <v>31</v>
      </c>
      <c r="F91" s="1">
        <v>320</v>
      </c>
      <c r="G91" s="17">
        <f>'CDM Activity'!F59</f>
        <v>231830.85889604475</v>
      </c>
      <c r="H91" s="123">
        <f>+'[15]Data Input'!$CI96</f>
        <v>6305</v>
      </c>
      <c r="I91" s="34">
        <v>136.59485740440758</v>
      </c>
      <c r="J91" s="152">
        <f t="shared" si="5"/>
        <v>40026</v>
      </c>
      <c r="K91" s="125">
        <f>'[4]cansim3230794907820228566'!D105</f>
        <v>655.3</v>
      </c>
      <c r="L91" s="10">
        <v>0</v>
      </c>
      <c r="M91" s="122">
        <f t="shared" si="6"/>
        <v>12440509.571512371</v>
      </c>
      <c r="N91" s="50"/>
      <c r="AB91" s="122">
        <v>0</v>
      </c>
      <c r="AC91" s="122">
        <f t="shared" si="4"/>
        <v>12313749.944</v>
      </c>
    </row>
    <row r="92" spans="1:29" ht="12.75">
      <c r="A92" s="3">
        <v>40057</v>
      </c>
      <c r="B92" s="155">
        <f>+'[15]Data Input'!D97</f>
        <v>12142523.694</v>
      </c>
      <c r="C92" s="24">
        <f>'Weather Analysis - Pearson'!S16</f>
        <v>55.2</v>
      </c>
      <c r="D92" s="24">
        <f>'Weather Analysis - Pearson'!S36</f>
        <v>20.9</v>
      </c>
      <c r="E92" s="10">
        <v>30</v>
      </c>
      <c r="F92" s="1">
        <v>336</v>
      </c>
      <c r="G92" s="17">
        <f>'CDM Activity'!F60</f>
        <v>244426.80249238756</v>
      </c>
      <c r="H92" s="123">
        <f>+'[15]Data Input'!$CI97</f>
        <v>6314</v>
      </c>
      <c r="I92" s="34">
        <v>136.20167325485272</v>
      </c>
      <c r="J92" s="152">
        <f t="shared" si="5"/>
        <v>40057</v>
      </c>
      <c r="K92" s="125">
        <f>'[4]cansim3230794907820228566'!D106</f>
        <v>654.9</v>
      </c>
      <c r="L92" s="10">
        <v>1</v>
      </c>
      <c r="M92" s="122">
        <f t="shared" si="6"/>
        <v>11809975.364788912</v>
      </c>
      <c r="N92" s="50"/>
      <c r="AB92" s="122">
        <v>0</v>
      </c>
      <c r="AC92" s="122">
        <f t="shared" si="4"/>
        <v>12142523.694</v>
      </c>
    </row>
    <row r="93" spans="1:29" ht="12.75">
      <c r="A93" s="3">
        <v>40087</v>
      </c>
      <c r="B93" s="155">
        <f>+'[15]Data Input'!D98</f>
        <v>12538315.326</v>
      </c>
      <c r="C93" s="24">
        <f>'Weather Analysis - Pearson'!S17</f>
        <v>287.8</v>
      </c>
      <c r="D93" s="24">
        <f>'Weather Analysis - Pearson'!S37</f>
        <v>0</v>
      </c>
      <c r="E93" s="10">
        <v>31</v>
      </c>
      <c r="F93" s="1">
        <v>336</v>
      </c>
      <c r="G93" s="17">
        <f>'CDM Activity'!F61</f>
        <v>257022.74608873038</v>
      </c>
      <c r="H93" s="123">
        <f>+'[15]Data Input'!$CI98</f>
        <v>6323</v>
      </c>
      <c r="I93" s="34">
        <v>135.80962087393394</v>
      </c>
      <c r="J93" s="152">
        <f t="shared" si="5"/>
        <v>40087</v>
      </c>
      <c r="K93" s="125">
        <f>'[4]cansim3230794907820228566'!D107</f>
        <v>656.6</v>
      </c>
      <c r="L93" s="10">
        <v>1</v>
      </c>
      <c r="M93" s="122">
        <f t="shared" si="6"/>
        <v>12687472.200854946</v>
      </c>
      <c r="N93" s="50"/>
      <c r="AB93" s="122">
        <v>0</v>
      </c>
      <c r="AC93" s="122">
        <f t="shared" si="4"/>
        <v>12538315.326</v>
      </c>
    </row>
    <row r="94" spans="1:29" ht="12.75">
      <c r="A94" s="3">
        <v>40118</v>
      </c>
      <c r="B94" s="155">
        <f>+'[15]Data Input'!D99</f>
        <v>12724780.878</v>
      </c>
      <c r="C94" s="24">
        <f>'Weather Analysis - Pearson'!S18</f>
        <v>361.2</v>
      </c>
      <c r="D94" s="24">
        <f>'Weather Analysis - Pearson'!S38</f>
        <v>0</v>
      </c>
      <c r="E94" s="10">
        <v>30</v>
      </c>
      <c r="F94" s="1">
        <v>320</v>
      </c>
      <c r="G94" s="17">
        <f>'CDM Activity'!F62</f>
        <v>269618.6896850732</v>
      </c>
      <c r="H94" s="123">
        <f>+'[15]Data Input'!$CI99</f>
        <v>6327</v>
      </c>
      <c r="I94" s="34">
        <v>135.41869700388958</v>
      </c>
      <c r="J94" s="152">
        <f t="shared" si="5"/>
        <v>40118</v>
      </c>
      <c r="K94" s="125">
        <f>'[4]cansim3230794907820228566'!D108</f>
        <v>654.8</v>
      </c>
      <c r="L94" s="10">
        <v>1</v>
      </c>
      <c r="M94" s="122">
        <f t="shared" si="6"/>
        <v>12637179.752079822</v>
      </c>
      <c r="N94" s="50"/>
      <c r="AB94" s="122">
        <v>0</v>
      </c>
      <c r="AC94" s="122">
        <f t="shared" si="4"/>
        <v>12724780.878</v>
      </c>
    </row>
    <row r="95" spans="1:29" ht="12.75">
      <c r="A95" s="3">
        <v>40148</v>
      </c>
      <c r="B95" s="155">
        <f>+'[15]Data Input'!D100</f>
        <v>14406804.299999999</v>
      </c>
      <c r="C95" s="24">
        <f>'Weather Analysis - Pearson'!S19</f>
        <v>631.3</v>
      </c>
      <c r="D95" s="24">
        <f>'Weather Analysis - Pearson'!S39</f>
        <v>0</v>
      </c>
      <c r="E95" s="10">
        <v>31</v>
      </c>
      <c r="F95" s="1">
        <v>352</v>
      </c>
      <c r="G95" s="17">
        <f>'CDM Activity'!F63</f>
        <v>282214.633281416</v>
      </c>
      <c r="H95" s="123">
        <f>+'[15]Data Input'!$CI100</f>
        <v>6329</v>
      </c>
      <c r="I95" s="34">
        <v>135.02889839633545</v>
      </c>
      <c r="J95" s="152">
        <f t="shared" si="5"/>
        <v>40148</v>
      </c>
      <c r="K95" s="125">
        <f>'[4]cansim3230794907820228566'!D109</f>
        <v>652.3</v>
      </c>
      <c r="L95" s="10">
        <v>0</v>
      </c>
      <c r="M95" s="122">
        <f t="shared" si="6"/>
        <v>14133578.40351512</v>
      </c>
      <c r="N95" s="50"/>
      <c r="AB95" s="122">
        <v>0</v>
      </c>
      <c r="AC95" s="122">
        <f t="shared" si="4"/>
        <v>14406804.299999999</v>
      </c>
    </row>
    <row r="96" spans="1:29" ht="12.75">
      <c r="A96" s="3">
        <v>40179</v>
      </c>
      <c r="B96" s="155">
        <f>+'[15]Data Input'!D101</f>
        <v>14420889.116</v>
      </c>
      <c r="C96" s="24">
        <f>'Weather Analysis - Pearson'!T8</f>
        <v>720</v>
      </c>
      <c r="D96" s="24">
        <f>'Weather Analysis - Pearson'!T28</f>
        <v>0</v>
      </c>
      <c r="E96" s="10">
        <v>31</v>
      </c>
      <c r="F96" s="1">
        <v>320</v>
      </c>
      <c r="G96" s="17">
        <f>'CDM Activity'!F64</f>
        <v>273285.7699998244</v>
      </c>
      <c r="H96" s="123">
        <f>+'[15]Data Input'!$CI101</f>
        <v>6329</v>
      </c>
      <c r="I96" s="34">
        <v>135.32901731143812</v>
      </c>
      <c r="J96" s="152">
        <f t="shared" si="5"/>
        <v>40179</v>
      </c>
      <c r="K96" s="125">
        <f>'[4]cansim3230794907820228566'!D110</f>
        <v>646</v>
      </c>
      <c r="L96" s="10">
        <v>0</v>
      </c>
      <c r="M96" s="122">
        <f t="shared" si="6"/>
        <v>14242275.655890722</v>
      </c>
      <c r="N96" s="50"/>
      <c r="AB96" s="122">
        <v>0</v>
      </c>
      <c r="AC96" s="122">
        <f t="shared" si="4"/>
        <v>14420889.116</v>
      </c>
    </row>
    <row r="97" spans="1:29" ht="12.75">
      <c r="A97" s="3">
        <v>40210</v>
      </c>
      <c r="B97" s="155">
        <f>+'[15]Data Input'!D102</f>
        <v>12830985.026</v>
      </c>
      <c r="C97" s="24">
        <f>'Weather Analysis - Pearson'!T9</f>
        <v>598.3</v>
      </c>
      <c r="D97" s="24">
        <f>'Weather Analysis - Pearson'!T29</f>
        <v>0</v>
      </c>
      <c r="E97" s="10">
        <v>28</v>
      </c>
      <c r="F97" s="1">
        <v>304</v>
      </c>
      <c r="G97" s="17">
        <f>'CDM Activity'!F65</f>
        <v>264356.9067182328</v>
      </c>
      <c r="H97" s="123">
        <f>+'[15]Data Input'!$CI102</f>
        <v>6340</v>
      </c>
      <c r="I97" s="34">
        <v>135.62980327903304</v>
      </c>
      <c r="J97" s="152">
        <f t="shared" si="5"/>
        <v>40210</v>
      </c>
      <c r="K97" s="125">
        <f>'[4]cansim3230794907820228566'!D111</f>
        <v>642.3</v>
      </c>
      <c r="L97" s="10">
        <v>0</v>
      </c>
      <c r="M97" s="122">
        <f t="shared" si="6"/>
        <v>13089126.062589169</v>
      </c>
      <c r="N97" s="50"/>
      <c r="AB97" s="122">
        <v>0</v>
      </c>
      <c r="AC97" s="122">
        <f t="shared" si="4"/>
        <v>12830985.026</v>
      </c>
    </row>
    <row r="98" spans="1:29" ht="12.75">
      <c r="A98" s="3">
        <v>40238</v>
      </c>
      <c r="B98" s="155">
        <f>+'[15]Data Input'!D103</f>
        <v>13447986.706</v>
      </c>
      <c r="C98" s="24">
        <f>'Weather Analysis - Pearson'!T10</f>
        <v>422.8</v>
      </c>
      <c r="D98" s="24">
        <f>'Weather Analysis - Pearson'!T30</f>
        <v>0</v>
      </c>
      <c r="E98" s="10">
        <v>31</v>
      </c>
      <c r="F98" s="1">
        <v>368</v>
      </c>
      <c r="G98" s="17">
        <f>'CDM Activity'!F66</f>
        <v>255428.04343664116</v>
      </c>
      <c r="H98" s="123">
        <f>+'[15]Data Input'!$CI103</f>
        <v>6347</v>
      </c>
      <c r="I98" s="34">
        <v>135.9312577817293</v>
      </c>
      <c r="J98" s="152">
        <f t="shared" si="5"/>
        <v>40238</v>
      </c>
      <c r="K98" s="125">
        <f>'[4]cansim3230794907820228566'!D112</f>
        <v>639.5</v>
      </c>
      <c r="L98" s="10">
        <v>1</v>
      </c>
      <c r="M98" s="122">
        <f t="shared" si="6"/>
        <v>13512297.362813566</v>
      </c>
      <c r="N98" s="50"/>
      <c r="AB98" s="122">
        <v>0</v>
      </c>
      <c r="AC98" s="122">
        <f t="shared" si="4"/>
        <v>13447986.706</v>
      </c>
    </row>
    <row r="99" spans="1:29" ht="12.75">
      <c r="A99" s="3">
        <v>40269</v>
      </c>
      <c r="B99" s="155">
        <f>+'[15]Data Input'!D104</f>
        <v>11680183.818</v>
      </c>
      <c r="C99" s="24">
        <f>'Weather Analysis - Pearson'!T11</f>
        <v>225.1</v>
      </c>
      <c r="D99" s="24">
        <f>'Weather Analysis - Pearson'!T31</f>
        <v>0</v>
      </c>
      <c r="E99" s="10">
        <v>30</v>
      </c>
      <c r="F99" s="1">
        <v>320</v>
      </c>
      <c r="G99" s="17">
        <f>'CDM Activity'!F67</f>
        <v>246499.18015504954</v>
      </c>
      <c r="H99" s="123">
        <f>+'[15]Data Input'!$CI104</f>
        <v>6351</v>
      </c>
      <c r="I99" s="34">
        <v>136.23338230543126</v>
      </c>
      <c r="J99" s="152">
        <f t="shared" si="5"/>
        <v>40269</v>
      </c>
      <c r="K99" s="125">
        <f>'[4]cansim3230794907820228566'!D113</f>
        <v>643.8</v>
      </c>
      <c r="L99" s="10">
        <v>1</v>
      </c>
      <c r="M99" s="122">
        <f t="shared" si="6"/>
        <v>12172277.678199193</v>
      </c>
      <c r="N99" s="50"/>
      <c r="AB99" s="122">
        <v>0</v>
      </c>
      <c r="AC99" s="122">
        <f t="shared" si="4"/>
        <v>11680183.818</v>
      </c>
    </row>
    <row r="100" spans="1:29" ht="12.75">
      <c r="A100" s="3">
        <v>40299</v>
      </c>
      <c r="B100" s="155">
        <f>+'[15]Data Input'!D105</f>
        <v>12024636.948</v>
      </c>
      <c r="C100" s="24">
        <f>'Weather Analysis - Pearson'!T12</f>
        <v>107.9</v>
      </c>
      <c r="D100" s="24">
        <f>'Weather Analysis - Pearson'!T32</f>
        <v>45.7</v>
      </c>
      <c r="E100" s="10">
        <v>31</v>
      </c>
      <c r="F100" s="1">
        <v>320</v>
      </c>
      <c r="G100" s="17">
        <f>'CDM Activity'!F68</f>
        <v>237570.31687345792</v>
      </c>
      <c r="H100" s="123">
        <f>+'[15]Data Input'!$CI105</f>
        <v>6356</v>
      </c>
      <c r="I100" s="34">
        <v>136.5361783393459</v>
      </c>
      <c r="J100" s="152">
        <f t="shared" si="5"/>
        <v>40299</v>
      </c>
      <c r="K100" s="125">
        <f>'[4]cansim3230794907820228566'!D114</f>
        <v>653.4</v>
      </c>
      <c r="L100" s="10">
        <v>1</v>
      </c>
      <c r="M100" s="122">
        <f t="shared" si="6"/>
        <v>12402012.23881055</v>
      </c>
      <c r="N100" s="50"/>
      <c r="AB100" s="122">
        <v>0</v>
      </c>
      <c r="AC100" s="122">
        <f aca="true" t="shared" si="7" ref="AC100:AC119">B100-AB100</f>
        <v>12024636.948</v>
      </c>
    </row>
    <row r="101" spans="1:29" ht="12.75">
      <c r="A101" s="3">
        <v>40330</v>
      </c>
      <c r="B101" s="155">
        <f>+'[15]Data Input'!D106</f>
        <v>12572885.992</v>
      </c>
      <c r="C101" s="24">
        <f>'Weather Analysis - Pearson'!T13</f>
        <v>21.7</v>
      </c>
      <c r="D101" s="24">
        <f>'Weather Analysis - Pearson'!T33</f>
        <v>58.7</v>
      </c>
      <c r="E101" s="10">
        <v>30</v>
      </c>
      <c r="F101" s="1">
        <v>352</v>
      </c>
      <c r="G101" s="17">
        <f>'CDM Activity'!F69</f>
        <v>228641.4535918663</v>
      </c>
      <c r="H101" s="123">
        <f>+'[15]Data Input'!$CI106</f>
        <v>6357</v>
      </c>
      <c r="I101" s="34">
        <v>136.83964737599013</v>
      </c>
      <c r="J101" s="152">
        <f t="shared" si="5"/>
        <v>40330</v>
      </c>
      <c r="K101" s="125">
        <f>'[4]cansim3230794907820228566'!D115</f>
        <v>668.5</v>
      </c>
      <c r="L101" s="10">
        <v>0</v>
      </c>
      <c r="M101" s="122">
        <f t="shared" si="6"/>
        <v>12284898.069369368</v>
      </c>
      <c r="N101" s="50"/>
      <c r="AB101" s="122">
        <v>0</v>
      </c>
      <c r="AC101" s="122">
        <f t="shared" si="7"/>
        <v>12572885.992</v>
      </c>
    </row>
    <row r="102" spans="1:29" ht="12.75">
      <c r="A102" s="3">
        <v>40360</v>
      </c>
      <c r="B102" s="155">
        <f>+'[15]Data Input'!D107</f>
        <v>13574189.908</v>
      </c>
      <c r="C102" s="24">
        <f>'Weather Analysis - Pearson'!T14</f>
        <v>1.8</v>
      </c>
      <c r="D102" s="24">
        <f>'Weather Analysis - Pearson'!T34</f>
        <v>164.9</v>
      </c>
      <c r="E102" s="10">
        <v>31</v>
      </c>
      <c r="F102" s="1">
        <v>336</v>
      </c>
      <c r="G102" s="17">
        <f>'CDM Activity'!F70</f>
        <v>219712.59031027468</v>
      </c>
      <c r="H102" s="123">
        <f>+'[15]Data Input'!$CI107</f>
        <v>6362</v>
      </c>
      <c r="I102" s="34">
        <v>137.1437909111982</v>
      </c>
      <c r="J102" s="152">
        <f t="shared" si="5"/>
        <v>40360</v>
      </c>
      <c r="K102" s="125">
        <f>'[4]cansim3230794907820228566'!D116</f>
        <v>680.1</v>
      </c>
      <c r="L102" s="10">
        <v>0</v>
      </c>
      <c r="M102" s="122">
        <f t="shared" si="6"/>
        <v>13403994.905254569</v>
      </c>
      <c r="N102" s="50"/>
      <c r="AB102" s="122">
        <v>0</v>
      </c>
      <c r="AC102" s="122">
        <f t="shared" si="7"/>
        <v>13574189.908</v>
      </c>
    </row>
    <row r="103" spans="1:29" ht="12.75">
      <c r="A103" s="3">
        <v>40391</v>
      </c>
      <c r="B103" s="155">
        <f>+'[15]Data Input'!D108</f>
        <v>13146533.404</v>
      </c>
      <c r="C103" s="24">
        <f>'Weather Analysis - Pearson'!T15</f>
        <v>2.1</v>
      </c>
      <c r="D103" s="24">
        <f>'Weather Analysis - Pearson'!T35</f>
        <v>138.8</v>
      </c>
      <c r="E103" s="10">
        <v>31</v>
      </c>
      <c r="F103" s="1">
        <v>336</v>
      </c>
      <c r="G103" s="17">
        <f>'CDM Activity'!F71</f>
        <v>210783.72702868306</v>
      </c>
      <c r="H103" s="123">
        <f>+'[15]Data Input'!$CI108</f>
        <v>6364</v>
      </c>
      <c r="I103" s="34">
        <v>137.44861044412903</v>
      </c>
      <c r="J103" s="152">
        <f t="shared" si="5"/>
        <v>40391</v>
      </c>
      <c r="K103" s="125">
        <f>'[4]cansim3230794907820228566'!D117</f>
        <v>683.1</v>
      </c>
      <c r="L103" s="10">
        <v>0</v>
      </c>
      <c r="M103" s="122">
        <f t="shared" si="6"/>
        <v>13151371.09514815</v>
      </c>
      <c r="N103" s="50"/>
      <c r="AB103" s="122">
        <v>0</v>
      </c>
      <c r="AC103" s="122">
        <f t="shared" si="7"/>
        <v>13146533.404</v>
      </c>
    </row>
    <row r="104" spans="1:29" ht="12.75">
      <c r="A104" s="3">
        <v>40422</v>
      </c>
      <c r="B104" s="155">
        <f>+'[15]Data Input'!D109</f>
        <v>12371095.174</v>
      </c>
      <c r="C104" s="24">
        <f>'Weather Analysis - Pearson'!T16</f>
        <v>78.1</v>
      </c>
      <c r="D104" s="24">
        <f>'Weather Analysis - Pearson'!T36</f>
        <v>31.5</v>
      </c>
      <c r="E104" s="10">
        <v>30</v>
      </c>
      <c r="F104" s="1">
        <v>336</v>
      </c>
      <c r="G104" s="17">
        <f>'CDM Activity'!F72</f>
        <v>201854.86374709144</v>
      </c>
      <c r="H104" s="123">
        <f>+'[15]Data Input'!$CI109</f>
        <v>6364</v>
      </c>
      <c r="I104" s="34">
        <v>137.7541074772736</v>
      </c>
      <c r="J104" s="152">
        <f t="shared" si="5"/>
        <v>40422</v>
      </c>
      <c r="K104" s="125">
        <f>'[4]cansim3230794907820228566'!D118</f>
        <v>677.1</v>
      </c>
      <c r="L104" s="10">
        <v>1</v>
      </c>
      <c r="M104" s="122">
        <f t="shared" si="6"/>
        <v>12153670.850260055</v>
      </c>
      <c r="N104" s="50"/>
      <c r="AB104" s="122">
        <v>0</v>
      </c>
      <c r="AC104" s="122">
        <f t="shared" si="7"/>
        <v>12371095.174</v>
      </c>
    </row>
    <row r="105" spans="1:29" ht="12.75">
      <c r="A105" s="3">
        <v>40452</v>
      </c>
      <c r="B105" s="155">
        <f>+'[15]Data Input'!D110</f>
        <v>12574419.986000001</v>
      </c>
      <c r="C105" s="24">
        <f>'Weather Analysis - Pearson'!T17</f>
        <v>241.6</v>
      </c>
      <c r="D105" s="24">
        <f>'Weather Analysis - Pearson'!T37</f>
        <v>0</v>
      </c>
      <c r="E105" s="10">
        <v>31</v>
      </c>
      <c r="F105" s="1">
        <v>320</v>
      </c>
      <c r="G105" s="17">
        <f>'CDM Activity'!F73</f>
        <v>192926.00046549982</v>
      </c>
      <c r="H105" s="123">
        <f>+'[15]Data Input'!$CI110</f>
        <v>6423</v>
      </c>
      <c r="I105" s="34">
        <v>138.0602835164624</v>
      </c>
      <c r="J105" s="152">
        <f t="shared" si="5"/>
        <v>40452</v>
      </c>
      <c r="K105" s="125">
        <f>'[4]cansim3230794907820228566'!D119</f>
        <v>670.2</v>
      </c>
      <c r="L105" s="10">
        <v>1</v>
      </c>
      <c r="M105" s="122">
        <f t="shared" si="6"/>
        <v>12617621.390949145</v>
      </c>
      <c r="N105" s="50"/>
      <c r="AB105" s="122">
        <v>0</v>
      </c>
      <c r="AC105" s="122">
        <f t="shared" si="7"/>
        <v>12574419.986000001</v>
      </c>
    </row>
    <row r="106" spans="1:29" ht="12.75">
      <c r="A106" s="3">
        <v>40483</v>
      </c>
      <c r="B106" s="155">
        <f>+'[15]Data Input'!D111</f>
        <v>13305320.657999998</v>
      </c>
      <c r="C106" s="24">
        <f>'Weather Analysis - Pearson'!T18</f>
        <v>405.3</v>
      </c>
      <c r="D106" s="24">
        <f>'Weather Analysis - Pearson'!T38</f>
        <v>0</v>
      </c>
      <c r="E106" s="10">
        <v>30</v>
      </c>
      <c r="F106" s="1">
        <v>336</v>
      </c>
      <c r="G106" s="17">
        <f>'CDM Activity'!F74</f>
        <v>183997.1371839082</v>
      </c>
      <c r="H106" s="123">
        <f>+'[15]Data Input'!$CI111</f>
        <v>6426</v>
      </c>
      <c r="I106" s="34">
        <v>138.36714007087275</v>
      </c>
      <c r="J106" s="152">
        <f t="shared" si="5"/>
        <v>40483</v>
      </c>
      <c r="K106" s="125">
        <f>'[4]cansim3230794907820228566'!D120</f>
        <v>668.1</v>
      </c>
      <c r="L106" s="10">
        <v>1</v>
      </c>
      <c r="M106" s="122">
        <f t="shared" si="6"/>
        <v>13225153.991736745</v>
      </c>
      <c r="N106" s="50"/>
      <c r="AB106" s="122">
        <v>0</v>
      </c>
      <c r="AC106" s="122">
        <f t="shared" si="7"/>
        <v>13305320.657999998</v>
      </c>
    </row>
    <row r="107" spans="1:29" ht="12.75">
      <c r="A107" s="3">
        <v>40513</v>
      </c>
      <c r="B107" s="155">
        <f>+'[15]Data Input'!D112</f>
        <v>13783365.311999999</v>
      </c>
      <c r="C107" s="24">
        <f>'Weather Analysis - Pearson'!T19</f>
        <v>676.2</v>
      </c>
      <c r="D107" s="24">
        <f>'Weather Analysis - Pearson'!T39</f>
        <v>0</v>
      </c>
      <c r="E107" s="10">
        <v>31</v>
      </c>
      <c r="F107" s="1">
        <v>368</v>
      </c>
      <c r="G107" s="17">
        <f>'CDM Activity'!F75</f>
        <v>175068.27390231658</v>
      </c>
      <c r="H107" s="123">
        <f>+'[15]Data Input'!$CI112</f>
        <v>6426</v>
      </c>
      <c r="I107" s="34">
        <v>138.6746786530365</v>
      </c>
      <c r="J107" s="152">
        <f t="shared" si="5"/>
        <v>40513</v>
      </c>
      <c r="K107" s="125">
        <f>'[4]cansim3230794907820228566'!D121</f>
        <v>666.9</v>
      </c>
      <c r="L107" s="10">
        <v>0</v>
      </c>
      <c r="M107" s="122">
        <f t="shared" si="6"/>
        <v>14764568.49964625</v>
      </c>
      <c r="N107" s="50"/>
      <c r="AB107" s="122">
        <v>0</v>
      </c>
      <c r="AC107" s="122">
        <f t="shared" si="7"/>
        <v>13783365.311999999</v>
      </c>
    </row>
    <row r="108" spans="1:29" ht="12.75">
      <c r="A108" s="3">
        <v>40544</v>
      </c>
      <c r="B108" s="155">
        <f>+'[15]Data Input'!D113</f>
        <v>14537467.292</v>
      </c>
      <c r="C108" s="24">
        <f>'Weather Analysis - Pearson'!U8</f>
        <v>775.3</v>
      </c>
      <c r="D108" s="24">
        <f>'Weather Analysis - Pearson'!U28</f>
        <v>0</v>
      </c>
      <c r="E108" s="50">
        <v>31</v>
      </c>
      <c r="F108" s="1">
        <v>336</v>
      </c>
      <c r="G108" s="17">
        <f>'CDM Activity'!F76</f>
        <v>193076.05790077086</v>
      </c>
      <c r="H108" s="123">
        <f>+'[15]Data Input'!$CI113</f>
        <v>6429</v>
      </c>
      <c r="I108" s="34">
        <v>139.03916243618784</v>
      </c>
      <c r="J108" s="152">
        <f t="shared" si="5"/>
        <v>40544</v>
      </c>
      <c r="K108" s="125">
        <f>'[4]cansim3230794907820228566'!D122</f>
        <v>663.9</v>
      </c>
      <c r="L108" s="10">
        <v>0</v>
      </c>
      <c r="M108" s="122">
        <f t="shared" si="6"/>
        <v>14865111.53972549</v>
      </c>
      <c r="AB108" s="122">
        <v>0</v>
      </c>
      <c r="AC108" s="122">
        <f t="shared" si="7"/>
        <v>14537467.292</v>
      </c>
    </row>
    <row r="109" spans="1:29" ht="12.75">
      <c r="A109" s="3">
        <v>40575</v>
      </c>
      <c r="B109" s="155">
        <f>+'[15]Data Input'!D114</f>
        <v>12979100.904</v>
      </c>
      <c r="C109" s="24">
        <f>'Weather Analysis - Pearson'!U9</f>
        <v>654.2</v>
      </c>
      <c r="D109" s="24">
        <f>'Weather Analysis - Pearson'!U29</f>
        <v>0</v>
      </c>
      <c r="E109" s="50">
        <v>28</v>
      </c>
      <c r="F109" s="1">
        <v>304</v>
      </c>
      <c r="G109" s="17">
        <f>'CDM Activity'!F77</f>
        <v>211083.84189922514</v>
      </c>
      <c r="H109" s="123">
        <f>+'[15]Data Input'!$CI114</f>
        <v>6431</v>
      </c>
      <c r="I109" s="34">
        <v>139.4046042055373</v>
      </c>
      <c r="J109" s="152">
        <f t="shared" si="5"/>
        <v>40575</v>
      </c>
      <c r="K109" s="125">
        <f>'[4]cansim3230794907820228566'!D123</f>
        <v>666.1</v>
      </c>
      <c r="L109" s="10">
        <v>0</v>
      </c>
      <c r="M109" s="122">
        <f t="shared" si="6"/>
        <v>13521178.619172245</v>
      </c>
      <c r="AB109" s="122">
        <v>0</v>
      </c>
      <c r="AC109" s="122">
        <f t="shared" si="7"/>
        <v>12979100.904</v>
      </c>
    </row>
    <row r="110" spans="1:29" ht="12.75">
      <c r="A110" s="3">
        <v>40603</v>
      </c>
      <c r="B110" s="155">
        <f>+'[15]Data Input'!D115</f>
        <v>13668924.3</v>
      </c>
      <c r="C110" s="24">
        <f>'Weather Analysis - Pearson'!U10</f>
        <v>572.8</v>
      </c>
      <c r="D110" s="24">
        <f>'Weather Analysis - Pearson'!U30</f>
        <v>0</v>
      </c>
      <c r="E110" s="50">
        <v>31</v>
      </c>
      <c r="F110" s="1">
        <v>368</v>
      </c>
      <c r="G110" s="17">
        <f>'CDM Activity'!F78</f>
        <v>229091.62589767942</v>
      </c>
      <c r="H110" s="123">
        <f>+'[15]Data Input'!$CI115</f>
        <v>6440</v>
      </c>
      <c r="I110" s="34">
        <v>139.77100647899545</v>
      </c>
      <c r="J110" s="152">
        <f t="shared" si="5"/>
        <v>40603</v>
      </c>
      <c r="K110" s="125">
        <f>'[4]cansim3230794907820228566'!D124</f>
        <v>671.2</v>
      </c>
      <c r="L110" s="10">
        <v>1</v>
      </c>
      <c r="M110" s="122">
        <f t="shared" si="6"/>
        <v>14266083.254126195</v>
      </c>
      <c r="AB110" s="122">
        <v>0</v>
      </c>
      <c r="AC110" s="122">
        <f t="shared" si="7"/>
        <v>13668924.3</v>
      </c>
    </row>
    <row r="111" spans="1:29" ht="12.75">
      <c r="A111" s="3">
        <v>40634</v>
      </c>
      <c r="B111" s="155">
        <f>+'[15]Data Input'!D116</f>
        <v>11899533.264</v>
      </c>
      <c r="C111" s="24">
        <f>'Weather Analysis - Pearson'!U11</f>
        <v>332.3</v>
      </c>
      <c r="D111" s="24">
        <f>'Weather Analysis - Pearson'!U31</f>
        <v>0</v>
      </c>
      <c r="E111" s="50">
        <v>30</v>
      </c>
      <c r="F111" s="1">
        <v>320</v>
      </c>
      <c r="G111" s="17">
        <f>'CDM Activity'!F79</f>
        <v>247099.4098961337</v>
      </c>
      <c r="H111" s="123">
        <f>+'[15]Data Input'!$CI116</f>
        <v>6444</v>
      </c>
      <c r="I111" s="34">
        <v>140.1383717810907</v>
      </c>
      <c r="J111" s="152">
        <f t="shared" si="5"/>
        <v>40634</v>
      </c>
      <c r="K111" s="125">
        <f>'[4]cansim3230794907820228566'!D125</f>
        <v>679.9</v>
      </c>
      <c r="L111" s="10">
        <v>1</v>
      </c>
      <c r="M111" s="122">
        <f t="shared" si="6"/>
        <v>12703975.838965552</v>
      </c>
      <c r="AB111" s="122">
        <v>0</v>
      </c>
      <c r="AC111" s="122">
        <f t="shared" si="7"/>
        <v>11899533.264</v>
      </c>
    </row>
    <row r="112" spans="1:29" ht="12.75">
      <c r="A112" s="3">
        <v>40664</v>
      </c>
      <c r="B112" s="155">
        <f>+'[15]Data Input'!D117</f>
        <v>11597436.967999998</v>
      </c>
      <c r="C112" s="24">
        <f>'Weather Analysis - Pearson'!U12</f>
        <v>134.1</v>
      </c>
      <c r="D112" s="24">
        <f>'Weather Analysis - Pearson'!U32</f>
        <v>13</v>
      </c>
      <c r="E112" s="50">
        <v>31</v>
      </c>
      <c r="F112" s="1">
        <v>336</v>
      </c>
      <c r="G112" s="17">
        <f>'CDM Activity'!F80</f>
        <v>265107.193894588</v>
      </c>
      <c r="H112" s="123">
        <f>+'[15]Data Input'!$CI117</f>
        <v>6446</v>
      </c>
      <c r="I112" s="34">
        <v>140.50670264298682</v>
      </c>
      <c r="J112" s="152">
        <f t="shared" si="5"/>
        <v>40664</v>
      </c>
      <c r="K112" s="125">
        <f>'[4]cansim3230794907820228566'!D126</f>
        <v>685.8</v>
      </c>
      <c r="L112" s="10">
        <v>1</v>
      </c>
      <c r="M112" s="122">
        <f t="shared" si="6"/>
        <v>12343984.620915264</v>
      </c>
      <c r="AB112" s="122">
        <v>0</v>
      </c>
      <c r="AC112" s="122">
        <f t="shared" si="7"/>
        <v>11597436.967999998</v>
      </c>
    </row>
    <row r="113" spans="1:29" ht="12.75">
      <c r="A113" s="3">
        <v>40695</v>
      </c>
      <c r="B113" s="155">
        <f>+'[15]Data Input'!D118</f>
        <v>12188401.724</v>
      </c>
      <c r="C113" s="24">
        <f>'Weather Analysis - Pearson'!U13</f>
        <v>19</v>
      </c>
      <c r="D113" s="24">
        <f>'Weather Analysis - Pearson'!U33</f>
        <v>52.2</v>
      </c>
      <c r="E113" s="50">
        <v>30</v>
      </c>
      <c r="F113" s="1">
        <v>352</v>
      </c>
      <c r="G113" s="17">
        <f>'CDM Activity'!F81</f>
        <v>283114.97789304226</v>
      </c>
      <c r="H113" s="123">
        <f>+'[15]Data Input'!$CI118</f>
        <v>6449</v>
      </c>
      <c r="I113" s="34">
        <v>140.87600160250034</v>
      </c>
      <c r="J113" s="152">
        <f t="shared" si="5"/>
        <v>40695</v>
      </c>
      <c r="K113" s="125">
        <f>'[4]cansim3230794907820228566'!D127</f>
        <v>697.1</v>
      </c>
      <c r="L113" s="10">
        <v>0</v>
      </c>
      <c r="M113" s="122">
        <f t="shared" si="6"/>
        <v>12206985.12712566</v>
      </c>
      <c r="AB113" s="122">
        <v>0</v>
      </c>
      <c r="AC113" s="122">
        <f t="shared" si="7"/>
        <v>12188401.724</v>
      </c>
    </row>
    <row r="114" spans="1:29" ht="12.75">
      <c r="A114" s="3">
        <v>40725</v>
      </c>
      <c r="B114" s="155">
        <f>+'[15]Data Input'!D119</f>
        <v>13514283.678</v>
      </c>
      <c r="C114" s="24">
        <f>'Weather Analysis - Pearson'!U14</f>
        <v>0</v>
      </c>
      <c r="D114" s="24">
        <f>'Weather Analysis - Pearson'!U34</f>
        <v>198.5</v>
      </c>
      <c r="E114" s="50">
        <v>31</v>
      </c>
      <c r="F114" s="1">
        <v>320</v>
      </c>
      <c r="G114" s="17">
        <f>'CDM Activity'!F82</f>
        <v>301122.76189149654</v>
      </c>
      <c r="H114" s="123">
        <f>+'[15]Data Input'!$CI119</f>
        <v>6448</v>
      </c>
      <c r="I114" s="34">
        <v>141.246271204118</v>
      </c>
      <c r="J114" s="152">
        <f t="shared" si="5"/>
        <v>40725</v>
      </c>
      <c r="K114" s="125">
        <f>'[4]cansim3230794907820228566'!D128</f>
        <v>707.5</v>
      </c>
      <c r="L114" s="10">
        <v>0</v>
      </c>
      <c r="M114" s="122">
        <f t="shared" si="6"/>
        <v>13560438.58200681</v>
      </c>
      <c r="AB114" s="122">
        <v>0</v>
      </c>
      <c r="AC114" s="122">
        <f t="shared" si="7"/>
        <v>13514283.678</v>
      </c>
    </row>
    <row r="115" spans="1:29" ht="12.75">
      <c r="A115" s="3">
        <v>40756</v>
      </c>
      <c r="B115" s="155">
        <f>+'[15]Data Input'!D120</f>
        <v>12758371.23</v>
      </c>
      <c r="C115" s="24">
        <f>'Weather Analysis - Pearson'!U15</f>
        <v>0</v>
      </c>
      <c r="D115" s="24">
        <f>'Weather Analysis - Pearson'!U35</f>
        <v>122.2</v>
      </c>
      <c r="E115" s="50">
        <v>31</v>
      </c>
      <c r="F115" s="1">
        <v>352</v>
      </c>
      <c r="G115" s="17">
        <f>'CDM Activity'!F83</f>
        <v>319130.5458899508</v>
      </c>
      <c r="H115" s="123">
        <f>+'[15]Data Input'!$CI120</f>
        <v>6456</v>
      </c>
      <c r="I115" s="34">
        <v>141.61751399901428</v>
      </c>
      <c r="J115" s="152">
        <f t="shared" si="5"/>
        <v>40756</v>
      </c>
      <c r="K115" s="125">
        <f>'[4]cansim3230794907820228566'!D129</f>
        <v>708.3</v>
      </c>
      <c r="L115" s="10">
        <v>0</v>
      </c>
      <c r="M115" s="122">
        <f t="shared" si="6"/>
        <v>12994152.203447977</v>
      </c>
      <c r="AB115" s="122">
        <v>0</v>
      </c>
      <c r="AC115" s="122">
        <f t="shared" si="7"/>
        <v>12758371.23</v>
      </c>
    </row>
    <row r="116" spans="1:29" ht="12.75">
      <c r="A116" s="3">
        <v>40787</v>
      </c>
      <c r="B116" s="155">
        <f>+'[15]Data Input'!D121</f>
        <v>12135631.416</v>
      </c>
      <c r="C116" s="24">
        <f>'Weather Analysis - Pearson'!U16</f>
        <v>48.2</v>
      </c>
      <c r="D116" s="24">
        <f>'Weather Analysis - Pearson'!U36</f>
        <v>39.7</v>
      </c>
      <c r="E116" s="50">
        <v>30</v>
      </c>
      <c r="F116" s="1">
        <v>336</v>
      </c>
      <c r="G116" s="17">
        <f>'CDM Activity'!F84</f>
        <v>337138.3298884051</v>
      </c>
      <c r="H116" s="123">
        <f>+'[15]Data Input'!$CI121</f>
        <v>6460</v>
      </c>
      <c r="I116" s="34">
        <v>141.98973254506907</v>
      </c>
      <c r="J116" s="152">
        <f t="shared" si="5"/>
        <v>40787</v>
      </c>
      <c r="K116" s="125">
        <f>'[4]cansim3230794907820228566'!D130</f>
        <v>700.8</v>
      </c>
      <c r="L116" s="10">
        <v>1</v>
      </c>
      <c r="M116" s="122">
        <f t="shared" si="6"/>
        <v>11968579.931089763</v>
      </c>
      <c r="AB116" s="122">
        <v>0</v>
      </c>
      <c r="AC116" s="122">
        <f t="shared" si="7"/>
        <v>12135631.416</v>
      </c>
    </row>
    <row r="117" spans="1:29" ht="12.75">
      <c r="A117" s="3">
        <v>40817</v>
      </c>
      <c r="B117" s="155">
        <f>+'[15]Data Input'!D122</f>
        <v>12451657.964000002</v>
      </c>
      <c r="C117" s="24">
        <f>'Weather Analysis - Pearson'!U17</f>
        <v>235.5</v>
      </c>
      <c r="D117" s="24">
        <f>'Weather Analysis - Pearson'!U37</f>
        <v>2.4</v>
      </c>
      <c r="E117" s="50">
        <v>31</v>
      </c>
      <c r="F117" s="1">
        <v>320</v>
      </c>
      <c r="G117" s="17">
        <f>'CDM Activity'!F85</f>
        <v>355146.1138868594</v>
      </c>
      <c r="H117" s="123">
        <f>+'[15]Data Input'!$CI122</f>
        <v>6462</v>
      </c>
      <c r="I117" s="34">
        <v>142.3629294068852</v>
      </c>
      <c r="J117" s="152">
        <f t="shared" si="5"/>
        <v>40817</v>
      </c>
      <c r="K117" s="125">
        <f>'[4]cansim3230794907820228566'!D131</f>
        <v>693.6</v>
      </c>
      <c r="L117" s="10">
        <v>1</v>
      </c>
      <c r="M117" s="122">
        <f t="shared" si="6"/>
        <v>12346328.351319227</v>
      </c>
      <c r="AB117" s="122">
        <v>0</v>
      </c>
      <c r="AC117" s="122">
        <f t="shared" si="7"/>
        <v>12451657.964000002</v>
      </c>
    </row>
    <row r="118" spans="1:29" ht="12.75">
      <c r="A118" s="3">
        <v>40848</v>
      </c>
      <c r="B118" s="155">
        <f>+'[15]Data Input'!D123</f>
        <v>12725678.299999999</v>
      </c>
      <c r="C118" s="24">
        <f>'Weather Analysis - Pearson'!U18</f>
        <v>342.1</v>
      </c>
      <c r="D118" s="24">
        <f>'Weather Analysis - Pearson'!U38</f>
        <v>0</v>
      </c>
      <c r="E118" s="50">
        <v>30</v>
      </c>
      <c r="F118" s="1">
        <v>352</v>
      </c>
      <c r="G118" s="17">
        <f>'CDM Activity'!F86</f>
        <v>373153.89788531367</v>
      </c>
      <c r="H118" s="123">
        <f>+'[15]Data Input'!$CI123</f>
        <v>6461</v>
      </c>
      <c r="I118" s="34">
        <v>142.73710715580614</v>
      </c>
      <c r="J118" s="152">
        <f t="shared" si="5"/>
        <v>40848</v>
      </c>
      <c r="K118" s="125">
        <f>'[4]cansim3230794907820228566'!D132</f>
        <v>690.2</v>
      </c>
      <c r="L118" s="10">
        <v>1</v>
      </c>
      <c r="M118" s="122">
        <f t="shared" si="6"/>
        <v>12775186.322619218</v>
      </c>
      <c r="AB118" s="122">
        <v>0</v>
      </c>
      <c r="AC118" s="122">
        <f t="shared" si="7"/>
        <v>12725678.299999999</v>
      </c>
    </row>
    <row r="119" spans="1:29" ht="12.75">
      <c r="A119" s="3">
        <v>40878</v>
      </c>
      <c r="B119" s="155">
        <f>+'[15]Data Input'!D124</f>
        <v>13424111.544000002</v>
      </c>
      <c r="C119" s="24">
        <f>'Weather Analysis - Pearson'!U19</f>
        <v>534</v>
      </c>
      <c r="D119" s="24">
        <f>'Weather Analysis - Pearson'!U39</f>
        <v>0</v>
      </c>
      <c r="E119" s="50">
        <v>31</v>
      </c>
      <c r="F119" s="1">
        <v>336</v>
      </c>
      <c r="G119" s="17">
        <f>'CDM Activity'!F87</f>
        <v>391161.68188376795</v>
      </c>
      <c r="H119" s="123">
        <f>+'[15]Data Input'!$CI124</f>
        <v>6464</v>
      </c>
      <c r="I119" s="34">
        <v>143.11226836993367</v>
      </c>
      <c r="J119" s="152">
        <f t="shared" si="5"/>
        <v>40878</v>
      </c>
      <c r="K119" s="125">
        <f>'[4]cansim3230794907820228566'!D133</f>
        <v>690.4</v>
      </c>
      <c r="L119" s="10">
        <v>0</v>
      </c>
      <c r="M119" s="122">
        <f t="shared" si="6"/>
        <v>13563383.714927072</v>
      </c>
      <c r="AB119" s="122">
        <v>0</v>
      </c>
      <c r="AC119" s="122">
        <f t="shared" si="7"/>
        <v>13424111.544000002</v>
      </c>
    </row>
    <row r="120" spans="1:29" ht="12.75">
      <c r="A120" s="3">
        <v>40909</v>
      </c>
      <c r="B120" s="120"/>
      <c r="C120" s="18">
        <f>(C12+C24+C36+C48+C60+C72+C84+C96+C108)/9</f>
        <v>731.2777777777778</v>
      </c>
      <c r="D120" s="18">
        <f>(D12+D24+D36+D48+D60+D72+D84+D96+D108)/9</f>
        <v>0</v>
      </c>
      <c r="E120" s="86">
        <v>31</v>
      </c>
      <c r="F120" s="19">
        <v>336</v>
      </c>
      <c r="G120" s="86">
        <f>'CDM Activity'!F88</f>
        <v>380946.64371458685</v>
      </c>
      <c r="H120" s="160">
        <f>H119+($H$125-$H$119)/6</f>
        <v>6481.305305085715</v>
      </c>
      <c r="I120" s="154">
        <v>143.49</v>
      </c>
      <c r="J120" s="153">
        <f t="shared" si="5"/>
        <v>40909</v>
      </c>
      <c r="K120" s="87"/>
      <c r="L120" s="86"/>
      <c r="M120" s="161">
        <f t="shared" si="6"/>
        <v>14383956.773698661</v>
      </c>
      <c r="N120" s="159"/>
      <c r="AB120" s="120"/>
      <c r="AC120" s="120"/>
    </row>
    <row r="121" spans="1:14" ht="12.75">
      <c r="A121" s="3">
        <v>40940</v>
      </c>
      <c r="C121" s="18">
        <f aca="true" t="shared" si="8" ref="C121:D123">(C13+C25+C37+C49+C61+C73+C85+C97+C109)/9</f>
        <v>647.2333333333332</v>
      </c>
      <c r="D121" s="18">
        <f t="shared" si="8"/>
        <v>0</v>
      </c>
      <c r="E121" s="86">
        <v>29</v>
      </c>
      <c r="F121" s="19">
        <v>320</v>
      </c>
      <c r="G121" s="86">
        <f>'CDM Activity'!F89</f>
        <v>370731.60554540576</v>
      </c>
      <c r="H121" s="160">
        <f>H120+($H$125-$H$119)/6</f>
        <v>6498.61061017143</v>
      </c>
      <c r="I121" s="154">
        <v>143.87</v>
      </c>
      <c r="J121" s="153">
        <f t="shared" si="5"/>
        <v>40940</v>
      </c>
      <c r="K121" s="87"/>
      <c r="L121" s="86"/>
      <c r="M121" s="161">
        <f t="shared" si="6"/>
        <v>13580431.38953671</v>
      </c>
      <c r="N121" s="159"/>
    </row>
    <row r="122" spans="1:14" ht="12.75">
      <c r="A122" s="3">
        <v>40969</v>
      </c>
      <c r="C122" s="18">
        <f t="shared" si="8"/>
        <v>542.2111111111112</v>
      </c>
      <c r="D122" s="18">
        <f t="shared" si="8"/>
        <v>0</v>
      </c>
      <c r="E122" s="86">
        <v>31</v>
      </c>
      <c r="F122" s="19">
        <v>352</v>
      </c>
      <c r="G122" s="86">
        <f>'CDM Activity'!F90</f>
        <v>360516.5673762247</v>
      </c>
      <c r="H122" s="160">
        <f>H121+($H$125-$H$119)/6</f>
        <v>6515.915915257146</v>
      </c>
      <c r="I122" s="154">
        <v>144.24</v>
      </c>
      <c r="J122" s="153">
        <f t="shared" si="5"/>
        <v>40969</v>
      </c>
      <c r="K122" s="87"/>
      <c r="L122" s="86"/>
      <c r="M122" s="161">
        <f t="shared" si="6"/>
        <v>13846524.897307212</v>
      </c>
      <c r="N122" s="159"/>
    </row>
    <row r="123" spans="1:14" ht="12.75">
      <c r="A123" s="3">
        <v>41000</v>
      </c>
      <c r="C123" s="18">
        <f t="shared" si="8"/>
        <v>308.62222222222226</v>
      </c>
      <c r="D123" s="18">
        <f t="shared" si="8"/>
        <v>0.39999999999999997</v>
      </c>
      <c r="E123" s="86">
        <v>30</v>
      </c>
      <c r="F123" s="19">
        <v>320</v>
      </c>
      <c r="G123" s="86">
        <f>'CDM Activity'!F91</f>
        <v>350301.5292070436</v>
      </c>
      <c r="H123" s="160">
        <f>H122+($H$125-$H$119)/6</f>
        <v>6533.221220342861</v>
      </c>
      <c r="I123" s="154">
        <v>144.62</v>
      </c>
      <c r="J123" s="153">
        <f t="shared" si="5"/>
        <v>41000</v>
      </c>
      <c r="K123" s="87"/>
      <c r="L123" s="86"/>
      <c r="M123" s="161">
        <f t="shared" si="6"/>
        <v>12516664.404996589</v>
      </c>
      <c r="N123" s="159"/>
    </row>
    <row r="124" spans="1:14" ht="12.75">
      <c r="A124" s="3">
        <v>41030</v>
      </c>
      <c r="C124" s="18">
        <f>(C4+C16+C28+C40+C52+C64+C76+C88+C100+C112)/10</f>
        <v>162.13</v>
      </c>
      <c r="D124" s="18">
        <f>(D4+D16+D28+D40+D52+D64+D76+D88+D100+D112)/10</f>
        <v>13.37</v>
      </c>
      <c r="E124" s="86">
        <v>31</v>
      </c>
      <c r="F124" s="19">
        <v>352</v>
      </c>
      <c r="G124" s="86">
        <f>'CDM Activity'!F92</f>
        <v>340086.4910378625</v>
      </c>
      <c r="H124" s="160">
        <f>H123+($H$125-$H$119)/6</f>
        <v>6550.526525428576</v>
      </c>
      <c r="I124" s="154">
        <v>145</v>
      </c>
      <c r="J124" s="153">
        <f t="shared" si="5"/>
        <v>41030</v>
      </c>
      <c r="K124" s="87"/>
      <c r="L124" s="86"/>
      <c r="M124" s="161">
        <f t="shared" si="6"/>
        <v>12563936.879205633</v>
      </c>
      <c r="N124" s="159"/>
    </row>
    <row r="125" spans="1:14" ht="12.75">
      <c r="A125" s="3">
        <v>41061</v>
      </c>
      <c r="C125" s="18">
        <f aca="true" t="shared" si="9" ref="C125:D131">(C5+C17+C29+C41+C53+C65+C77+C89+C101+C113)/10</f>
        <v>28.139999999999997</v>
      </c>
      <c r="D125" s="18">
        <f t="shared" si="9"/>
        <v>69.02000000000001</v>
      </c>
      <c r="E125" s="86">
        <v>30</v>
      </c>
      <c r="F125" s="19">
        <v>336</v>
      </c>
      <c r="G125" s="86">
        <f>'CDM Activity'!F93</f>
        <v>329871.4528686814</v>
      </c>
      <c r="H125" s="160">
        <f>SUM('Rate Class Customer Model'!B12+'Rate Class Customer Model'!C12+'Rate Class Customer Model'!D12)</f>
        <v>6567.831830514289</v>
      </c>
      <c r="I125" s="154">
        <v>145.38</v>
      </c>
      <c r="J125" s="153">
        <f t="shared" si="5"/>
        <v>41061</v>
      </c>
      <c r="K125" s="87"/>
      <c r="L125" s="86"/>
      <c r="M125" s="161">
        <f t="shared" si="6"/>
        <v>12337125.817882461</v>
      </c>
      <c r="N125" s="159"/>
    </row>
    <row r="126" spans="1:14" ht="12.75">
      <c r="A126" s="3">
        <v>41091</v>
      </c>
      <c r="C126" s="18">
        <f t="shared" si="9"/>
        <v>1.6</v>
      </c>
      <c r="D126" s="18">
        <f t="shared" si="9"/>
        <v>137.73</v>
      </c>
      <c r="E126" s="86">
        <v>31</v>
      </c>
      <c r="F126" s="19">
        <v>336</v>
      </c>
      <c r="G126" s="86">
        <f>'CDM Activity'!F94</f>
        <v>319656.4146995003</v>
      </c>
      <c r="H126" s="160">
        <f aca="true" t="shared" si="10" ref="H126:H136">H125+($H$137-$H$125)/12</f>
        <v>6575.339668059332</v>
      </c>
      <c r="I126" s="154">
        <v>145.77</v>
      </c>
      <c r="J126" s="153">
        <f t="shared" si="5"/>
        <v>41091</v>
      </c>
      <c r="K126" s="87"/>
      <c r="L126" s="86"/>
      <c r="M126" s="161">
        <f t="shared" si="6"/>
        <v>13172160.098574335</v>
      </c>
      <c r="N126" s="159"/>
    </row>
    <row r="127" spans="1:14" ht="12.75">
      <c r="A127" s="3">
        <v>41122</v>
      </c>
      <c r="C127" s="18">
        <f t="shared" si="9"/>
        <v>4.92</v>
      </c>
      <c r="D127" s="18">
        <f t="shared" si="9"/>
        <v>112.96000000000001</v>
      </c>
      <c r="E127" s="86">
        <v>31</v>
      </c>
      <c r="F127" s="19">
        <v>352</v>
      </c>
      <c r="G127" s="86">
        <f>'CDM Activity'!F95</f>
        <v>309441.3765303192</v>
      </c>
      <c r="H127" s="160">
        <f t="shared" si="10"/>
        <v>6582.847505604375</v>
      </c>
      <c r="I127" s="154">
        <v>146.15</v>
      </c>
      <c r="J127" s="153">
        <f t="shared" si="5"/>
        <v>41122</v>
      </c>
      <c r="K127" s="87"/>
      <c r="L127" s="86"/>
      <c r="M127" s="161">
        <f t="shared" si="6"/>
        <v>13084214.660342135</v>
      </c>
      <c r="N127" s="159"/>
    </row>
    <row r="128" spans="1:14" ht="12.75">
      <c r="A128" s="3">
        <v>41153</v>
      </c>
      <c r="C128" s="18">
        <f t="shared" si="9"/>
        <v>48.76</v>
      </c>
      <c r="D128" s="18">
        <f t="shared" si="9"/>
        <v>38.41</v>
      </c>
      <c r="E128" s="86">
        <v>30</v>
      </c>
      <c r="F128" s="19">
        <v>304</v>
      </c>
      <c r="G128" s="86">
        <f>'CDM Activity'!F96</f>
        <v>299226.3383611381</v>
      </c>
      <c r="H128" s="160">
        <f t="shared" si="10"/>
        <v>6590.355343149418</v>
      </c>
      <c r="I128" s="154">
        <v>146.53</v>
      </c>
      <c r="J128" s="153">
        <f t="shared" si="5"/>
        <v>41153</v>
      </c>
      <c r="K128" s="87"/>
      <c r="L128" s="86"/>
      <c r="M128" s="161">
        <f t="shared" si="6"/>
        <v>11924540.560823455</v>
      </c>
      <c r="N128" s="159"/>
    </row>
    <row r="129" spans="1:14" ht="12.75">
      <c r="A129" s="3">
        <v>41183</v>
      </c>
      <c r="C129" s="18">
        <f t="shared" si="9"/>
        <v>248.42000000000002</v>
      </c>
      <c r="D129" s="18">
        <f t="shared" si="9"/>
        <v>4.24</v>
      </c>
      <c r="E129" s="86">
        <v>31</v>
      </c>
      <c r="F129" s="19">
        <v>352</v>
      </c>
      <c r="G129" s="86">
        <f>'CDM Activity'!F97</f>
        <v>289011.30019195704</v>
      </c>
      <c r="H129" s="160">
        <f t="shared" si="10"/>
        <v>6597.863180694461</v>
      </c>
      <c r="I129" s="154">
        <v>146.92</v>
      </c>
      <c r="J129" s="153">
        <f t="shared" si="5"/>
        <v>41183</v>
      </c>
      <c r="K129" s="87"/>
      <c r="L129" s="86"/>
      <c r="M129" s="161">
        <f t="shared" si="6"/>
        <v>12965043.17359389</v>
      </c>
      <c r="N129" s="159"/>
    </row>
    <row r="130" spans="1:14" ht="12.75">
      <c r="A130" s="3">
        <v>41214</v>
      </c>
      <c r="C130" s="18">
        <f t="shared" si="9"/>
        <v>401.59</v>
      </c>
      <c r="D130" s="18">
        <f t="shared" si="9"/>
        <v>0</v>
      </c>
      <c r="E130" s="86">
        <v>30</v>
      </c>
      <c r="F130" s="19">
        <v>352</v>
      </c>
      <c r="G130" s="86">
        <f>'CDM Activity'!F98</f>
        <v>278796.26202277595</v>
      </c>
      <c r="H130" s="160">
        <f t="shared" si="10"/>
        <v>6605.371018239504</v>
      </c>
      <c r="I130" s="154">
        <v>147.3</v>
      </c>
      <c r="J130" s="153">
        <f t="shared" si="5"/>
        <v>41214</v>
      </c>
      <c r="K130" s="87"/>
      <c r="L130" s="86"/>
      <c r="M130" s="161">
        <f t="shared" si="6"/>
        <v>13364449.101471422</v>
      </c>
      <c r="N130" s="159"/>
    </row>
    <row r="131" spans="1:14" ht="12.75">
      <c r="A131" s="3">
        <v>41244</v>
      </c>
      <c r="C131" s="18">
        <f t="shared" si="9"/>
        <v>611.69</v>
      </c>
      <c r="D131" s="18">
        <f t="shared" si="9"/>
        <v>0</v>
      </c>
      <c r="E131" s="86">
        <v>31</v>
      </c>
      <c r="F131" s="19">
        <v>304</v>
      </c>
      <c r="G131" s="86">
        <f>'CDM Activity'!F99</f>
        <v>268581.22385359486</v>
      </c>
      <c r="H131" s="160">
        <f t="shared" si="10"/>
        <v>6612.878855784547</v>
      </c>
      <c r="I131" s="154">
        <v>147.69</v>
      </c>
      <c r="J131" s="153">
        <f t="shared" si="5"/>
        <v>41244</v>
      </c>
      <c r="K131" s="87"/>
      <c r="L131" s="86"/>
      <c r="M131" s="161">
        <f t="shared" si="6"/>
        <v>14025592.363072556</v>
      </c>
      <c r="N131" s="159"/>
    </row>
    <row r="132" spans="1:14" ht="12.75">
      <c r="A132" s="3">
        <v>41275</v>
      </c>
      <c r="C132" s="18">
        <f>C120</f>
        <v>731.2777777777778</v>
      </c>
      <c r="D132" s="18">
        <f>D120</f>
        <v>0</v>
      </c>
      <c r="E132" s="86">
        <v>31</v>
      </c>
      <c r="F132" s="86">
        <f>22*16</f>
        <v>352</v>
      </c>
      <c r="G132" s="86">
        <f>'CDM Activity'!F100</f>
        <v>277069.45914351544</v>
      </c>
      <c r="H132" s="160">
        <f t="shared" si="10"/>
        <v>6620.38669332959</v>
      </c>
      <c r="I132" s="154">
        <v>147.88</v>
      </c>
      <c r="J132" s="153">
        <f t="shared" si="5"/>
        <v>41275</v>
      </c>
      <c r="K132" s="87"/>
      <c r="L132" s="86"/>
      <c r="M132" s="161">
        <f t="shared" si="6"/>
        <v>14880206.996603701</v>
      </c>
      <c r="N132" s="159"/>
    </row>
    <row r="133" spans="1:14" ht="12.75">
      <c r="A133" s="3">
        <v>41306</v>
      </c>
      <c r="C133" s="18">
        <f aca="true" t="shared" si="11" ref="C133:D143">C121</f>
        <v>647.2333333333332</v>
      </c>
      <c r="D133" s="18">
        <f t="shared" si="11"/>
        <v>0</v>
      </c>
      <c r="E133" s="86">
        <v>28</v>
      </c>
      <c r="F133" s="86">
        <f>19*16</f>
        <v>304</v>
      </c>
      <c r="G133" s="86">
        <f>'CDM Activity'!F101</f>
        <v>285557.69443343603</v>
      </c>
      <c r="H133" s="160">
        <f t="shared" si="10"/>
        <v>6627.894530874633</v>
      </c>
      <c r="I133" s="154">
        <v>148.08</v>
      </c>
      <c r="J133" s="153">
        <f aca="true" t="shared" si="12" ref="J133:J143">A133</f>
        <v>41306</v>
      </c>
      <c r="K133" s="87"/>
      <c r="L133" s="86"/>
      <c r="M133" s="161">
        <f aca="true" t="shared" si="13" ref="M133:M143">$P$18+$P$19*C133+$P$20*D133+$P$21*E133+$P$22*F133+$P$23*G133+$P$24*H133</f>
        <v>13578127.60185153</v>
      </c>
      <c r="N133" s="159"/>
    </row>
    <row r="134" spans="1:14" ht="12.75">
      <c r="A134" s="3">
        <v>41334</v>
      </c>
      <c r="C134" s="18">
        <f t="shared" si="11"/>
        <v>542.2111111111112</v>
      </c>
      <c r="D134" s="18">
        <f t="shared" si="11"/>
        <v>0</v>
      </c>
      <c r="E134" s="86">
        <v>31</v>
      </c>
      <c r="F134" s="86">
        <f>20*16</f>
        <v>320</v>
      </c>
      <c r="G134" s="86">
        <f>'CDM Activity'!F102</f>
        <v>294045.9297233566</v>
      </c>
      <c r="H134" s="160">
        <f t="shared" si="10"/>
        <v>6635.402368419676</v>
      </c>
      <c r="I134" s="154">
        <v>148.27</v>
      </c>
      <c r="J134" s="153">
        <f t="shared" si="12"/>
        <v>41334</v>
      </c>
      <c r="K134" s="87"/>
      <c r="L134" s="86"/>
      <c r="M134" s="161">
        <f t="shared" si="13"/>
        <v>13857053.26394961</v>
      </c>
      <c r="N134" s="159"/>
    </row>
    <row r="135" spans="1:14" ht="12.75">
      <c r="A135" s="3">
        <v>41365</v>
      </c>
      <c r="C135" s="18">
        <f t="shared" si="11"/>
        <v>308.62222222222226</v>
      </c>
      <c r="D135" s="18">
        <f t="shared" si="11"/>
        <v>0.39999999999999997</v>
      </c>
      <c r="E135" s="86">
        <v>30</v>
      </c>
      <c r="F135" s="86">
        <f>22*16</f>
        <v>352</v>
      </c>
      <c r="G135" s="86">
        <f>'CDM Activity'!F103</f>
        <v>302534.1650132772</v>
      </c>
      <c r="H135" s="160">
        <f t="shared" si="10"/>
        <v>6642.910205964719</v>
      </c>
      <c r="I135" s="154">
        <v>148.46</v>
      </c>
      <c r="J135" s="153">
        <f t="shared" si="12"/>
        <v>41365</v>
      </c>
      <c r="K135" s="87"/>
      <c r="L135" s="86"/>
      <c r="M135" s="161">
        <f t="shared" si="13"/>
        <v>12998341.041202359</v>
      </c>
      <c r="N135" s="159"/>
    </row>
    <row r="136" spans="1:14" ht="12.75">
      <c r="A136" s="3">
        <v>41395</v>
      </c>
      <c r="C136" s="18">
        <f t="shared" si="11"/>
        <v>162.13</v>
      </c>
      <c r="D136" s="18">
        <f t="shared" si="11"/>
        <v>13.37</v>
      </c>
      <c r="E136" s="86">
        <v>31</v>
      </c>
      <c r="F136" s="86">
        <f>22*16</f>
        <v>352</v>
      </c>
      <c r="G136" s="86">
        <f>'CDM Activity'!F104</f>
        <v>311022.4003031978</v>
      </c>
      <c r="H136" s="160">
        <f t="shared" si="10"/>
        <v>6650.418043509762</v>
      </c>
      <c r="I136" s="154">
        <v>148.65</v>
      </c>
      <c r="J136" s="153">
        <f t="shared" si="12"/>
        <v>41395</v>
      </c>
      <c r="K136" s="87"/>
      <c r="L136" s="86"/>
      <c r="M136" s="161">
        <f t="shared" si="13"/>
        <v>12737842.660216928</v>
      </c>
      <c r="N136" s="159"/>
    </row>
    <row r="137" spans="1:14" ht="12.75">
      <c r="A137" s="3">
        <v>41426</v>
      </c>
      <c r="C137" s="18">
        <f t="shared" si="11"/>
        <v>28.139999999999997</v>
      </c>
      <c r="D137" s="18">
        <f t="shared" si="11"/>
        <v>69.02000000000001</v>
      </c>
      <c r="E137" s="86">
        <v>30</v>
      </c>
      <c r="F137" s="86">
        <f>20*16</f>
        <v>320</v>
      </c>
      <c r="G137" s="86">
        <f>'CDM Activity'!F105</f>
        <v>319510.6355931184</v>
      </c>
      <c r="H137" s="160">
        <f>SUM('Rate Class Customer Model'!B13+'Rate Class Customer Model'!C13+'Rate Class Customer Model'!D13)</f>
        <v>6657.9258810548035</v>
      </c>
      <c r="I137" s="154">
        <v>148.85</v>
      </c>
      <c r="J137" s="153">
        <f t="shared" si="12"/>
        <v>41426</v>
      </c>
      <c r="K137" s="87"/>
      <c r="L137" s="86"/>
      <c r="M137" s="161">
        <f t="shared" si="13"/>
        <v>12333080.59782559</v>
      </c>
      <c r="N137" s="159"/>
    </row>
    <row r="138" spans="1:14" ht="12.75">
      <c r="A138" s="3">
        <v>41456</v>
      </c>
      <c r="C138" s="18">
        <f t="shared" si="11"/>
        <v>1.6</v>
      </c>
      <c r="D138" s="18">
        <f t="shared" si="11"/>
        <v>137.73</v>
      </c>
      <c r="E138" s="86">
        <v>31</v>
      </c>
      <c r="F138" s="86">
        <f>22*16</f>
        <v>352</v>
      </c>
      <c r="G138" s="86">
        <f>'CDM Activity'!F106</f>
        <v>327998.87088303897</v>
      </c>
      <c r="H138" s="160">
        <f aca="true" t="shared" si="14" ref="H138:H143">H137+($H$137-$H$125)/12</f>
        <v>6665.4337185998465</v>
      </c>
      <c r="I138" s="154">
        <v>149.04</v>
      </c>
      <c r="J138" s="153">
        <f t="shared" si="12"/>
        <v>41456</v>
      </c>
      <c r="K138" s="87"/>
      <c r="L138" s="86"/>
      <c r="M138" s="161">
        <f t="shared" si="13"/>
        <v>13391092.49685977</v>
      </c>
      <c r="N138" s="159"/>
    </row>
    <row r="139" spans="1:14" ht="12.75">
      <c r="A139" s="3">
        <v>41487</v>
      </c>
      <c r="C139" s="18">
        <f t="shared" si="11"/>
        <v>4.92</v>
      </c>
      <c r="D139" s="18">
        <f t="shared" si="11"/>
        <v>112.96000000000001</v>
      </c>
      <c r="E139" s="86">
        <v>31</v>
      </c>
      <c r="F139" s="86">
        <f>21*16</f>
        <v>336</v>
      </c>
      <c r="G139" s="86">
        <f>'CDM Activity'!F107</f>
        <v>336487.10617295955</v>
      </c>
      <c r="H139" s="160">
        <f t="shared" si="14"/>
        <v>6672.94155614489</v>
      </c>
      <c r="I139" s="154">
        <v>149.23</v>
      </c>
      <c r="J139" s="153">
        <f t="shared" si="12"/>
        <v>41487</v>
      </c>
      <c r="K139" s="87"/>
      <c r="L139" s="86"/>
      <c r="M139" s="161">
        <f t="shared" si="13"/>
        <v>13006845.260464646</v>
      </c>
      <c r="N139" s="35"/>
    </row>
    <row r="140" spans="1:14" ht="12.75">
      <c r="A140" s="3">
        <v>41518</v>
      </c>
      <c r="C140" s="18">
        <f t="shared" si="11"/>
        <v>48.76</v>
      </c>
      <c r="D140" s="18">
        <f t="shared" si="11"/>
        <v>38.41</v>
      </c>
      <c r="E140" s="86">
        <v>30</v>
      </c>
      <c r="F140" s="86">
        <f>20*16</f>
        <v>320</v>
      </c>
      <c r="G140" s="86">
        <f>'CDM Activity'!F108</f>
        <v>344975.34146288014</v>
      </c>
      <c r="H140" s="160">
        <f t="shared" si="14"/>
        <v>6680.449393689933</v>
      </c>
      <c r="I140" s="154">
        <v>149.42</v>
      </c>
      <c r="J140" s="153">
        <f t="shared" si="12"/>
        <v>41518</v>
      </c>
      <c r="K140" s="87"/>
      <c r="L140" s="86"/>
      <c r="M140" s="161">
        <f t="shared" si="13"/>
        <v>12070148.779288273</v>
      </c>
      <c r="N140" s="35"/>
    </row>
    <row r="141" spans="1:14" ht="12.75">
      <c r="A141" s="3">
        <v>41548</v>
      </c>
      <c r="C141" s="18">
        <f t="shared" si="11"/>
        <v>248.42000000000002</v>
      </c>
      <c r="D141" s="18">
        <f t="shared" si="11"/>
        <v>4.24</v>
      </c>
      <c r="E141" s="86">
        <v>31</v>
      </c>
      <c r="F141" s="86">
        <f>22*16</f>
        <v>352</v>
      </c>
      <c r="G141" s="86">
        <f>'CDM Activity'!F109</f>
        <v>353463.5767528007</v>
      </c>
      <c r="H141" s="160">
        <f t="shared" si="14"/>
        <v>6687.957231234976</v>
      </c>
      <c r="I141" s="154">
        <v>149.62</v>
      </c>
      <c r="J141" s="153">
        <f t="shared" si="12"/>
        <v>41548</v>
      </c>
      <c r="K141" s="87"/>
      <c r="L141" s="86"/>
      <c r="M141" s="161">
        <f t="shared" si="13"/>
        <v>12944169.448022094</v>
      </c>
      <c r="N141" s="35"/>
    </row>
    <row r="142" spans="1:14" ht="12.75">
      <c r="A142" s="3">
        <v>41579</v>
      </c>
      <c r="C142" s="18">
        <f t="shared" si="11"/>
        <v>401.59</v>
      </c>
      <c r="D142" s="18">
        <f t="shared" si="11"/>
        <v>0</v>
      </c>
      <c r="E142" s="86">
        <v>30</v>
      </c>
      <c r="F142" s="86">
        <f>21*16</f>
        <v>336</v>
      </c>
      <c r="G142" s="86">
        <f>'CDM Activity'!F110</f>
        <v>361951.8120427213</v>
      </c>
      <c r="H142" s="160">
        <f t="shared" si="14"/>
        <v>6695.465068780019</v>
      </c>
      <c r="I142" s="154">
        <v>149.81</v>
      </c>
      <c r="J142" s="153">
        <f t="shared" si="12"/>
        <v>41579</v>
      </c>
      <c r="K142" s="87"/>
      <c r="L142" s="86"/>
      <c r="M142" s="161">
        <f t="shared" si="13"/>
        <v>13177093.431863008</v>
      </c>
      <c r="N142" s="35"/>
    </row>
    <row r="143" spans="1:14" ht="12.75">
      <c r="A143" s="3">
        <v>41609</v>
      </c>
      <c r="C143" s="18">
        <f t="shared" si="11"/>
        <v>611.69</v>
      </c>
      <c r="D143" s="18">
        <f t="shared" si="11"/>
        <v>0</v>
      </c>
      <c r="E143" s="86">
        <v>31</v>
      </c>
      <c r="F143" s="86">
        <f>20*16</f>
        <v>320</v>
      </c>
      <c r="G143" s="86">
        <f>'CDM Activity'!F111</f>
        <v>370440.0473326419</v>
      </c>
      <c r="H143" s="160">
        <f t="shared" si="14"/>
        <v>6702.972906325062</v>
      </c>
      <c r="I143" s="154">
        <v>150</v>
      </c>
      <c r="J143" s="153">
        <f t="shared" si="12"/>
        <v>41609</v>
      </c>
      <c r="K143" s="87"/>
      <c r="L143" s="86"/>
      <c r="M143" s="161">
        <f t="shared" si="13"/>
        <v>14061214.311806448</v>
      </c>
      <c r="N143" s="35"/>
    </row>
    <row r="144" spans="1:7" ht="12.75">
      <c r="A144" s="3"/>
      <c r="F144" s="17"/>
      <c r="G144" s="17"/>
    </row>
    <row r="145" spans="1:13" ht="12.75">
      <c r="A145" s="3"/>
      <c r="D145" s="442" t="s">
        <v>63</v>
      </c>
      <c r="E145" s="442"/>
      <c r="M145" s="50">
        <f>SUM(M4:M143)</f>
        <v>1822728576.0035262</v>
      </c>
    </row>
    <row r="146" ht="12.75">
      <c r="A146" s="3"/>
    </row>
    <row r="147" spans="1:15" ht="12.75">
      <c r="A147">
        <v>2002</v>
      </c>
      <c r="B147" s="28">
        <f>SUM(B4:B11)</f>
        <v>100891446.42186667</v>
      </c>
      <c r="M147" s="28">
        <f>SUM(M4:M11)</f>
        <v>100615986.24601646</v>
      </c>
      <c r="N147" s="38">
        <f aca="true" t="shared" si="15" ref="N147:N156">M147-B147</f>
        <v>-275460.1758502126</v>
      </c>
      <c r="O147" s="147">
        <f aca="true" t="shared" si="16" ref="O147:O156">N147/B147</f>
        <v>-0.0027302629273289</v>
      </c>
    </row>
    <row r="148" spans="1:15" ht="12.75">
      <c r="A148" s="16">
        <v>2003</v>
      </c>
      <c r="B148" s="28">
        <f>SUM(B12:B23)</f>
        <v>150182993.55679998</v>
      </c>
      <c r="M148" s="28">
        <f>SUM(M12:M23)</f>
        <v>153573922.0095385</v>
      </c>
      <c r="N148" s="38">
        <f t="shared" si="15"/>
        <v>3390928.4527385235</v>
      </c>
      <c r="O148" s="147">
        <f t="shared" si="16"/>
        <v>0.0225786447082376</v>
      </c>
    </row>
    <row r="149" spans="1:15" ht="12.75">
      <c r="A149">
        <v>2004</v>
      </c>
      <c r="B149" s="28">
        <f>SUM(B24:B35)</f>
        <v>156673546.68</v>
      </c>
      <c r="M149" s="28">
        <f>SUM(M24:M35)</f>
        <v>154627808.6496904</v>
      </c>
      <c r="N149" s="38">
        <f t="shared" si="15"/>
        <v>-2045738.0303096175</v>
      </c>
      <c r="O149" s="147">
        <f t="shared" si="16"/>
        <v>-0.013057328908804003</v>
      </c>
    </row>
    <row r="150" spans="1:15" ht="12.75">
      <c r="A150" s="16">
        <v>2005</v>
      </c>
      <c r="B150" s="28">
        <f>SUM(B36:B47)</f>
        <v>159410400.88920003</v>
      </c>
      <c r="M150" s="28">
        <f>SUM(M36:M47)</f>
        <v>159218541.51522285</v>
      </c>
      <c r="N150" s="38">
        <f t="shared" si="15"/>
        <v>-191859.3739771843</v>
      </c>
      <c r="O150" s="147">
        <f t="shared" si="16"/>
        <v>-0.001203556185211141</v>
      </c>
    </row>
    <row r="151" spans="1:15" ht="12.75">
      <c r="A151">
        <v>2006</v>
      </c>
      <c r="B151" s="28">
        <f>SUM(B48:B59)</f>
        <v>156266197.978</v>
      </c>
      <c r="M151" s="28">
        <f>SUM(M48:M59)</f>
        <v>156303637.93437597</v>
      </c>
      <c r="N151" s="38">
        <f t="shared" si="15"/>
        <v>37439.95637598634</v>
      </c>
      <c r="O151" s="147">
        <f t="shared" si="16"/>
        <v>0.00023959088312404799</v>
      </c>
    </row>
    <row r="152" spans="1:15" ht="12.75">
      <c r="A152" s="16">
        <v>2007</v>
      </c>
      <c r="B152" s="28">
        <f>SUM(B60:B71)</f>
        <v>157654073.6752</v>
      </c>
      <c r="M152" s="28">
        <f>SUM(M60:M71)</f>
        <v>156695654.54865208</v>
      </c>
      <c r="N152" s="38">
        <f t="shared" si="15"/>
        <v>-958419.1265479028</v>
      </c>
      <c r="O152" s="147">
        <f t="shared" si="16"/>
        <v>-0.006079253800459635</v>
      </c>
    </row>
    <row r="153" spans="1:15" ht="12.75">
      <c r="A153">
        <v>2008</v>
      </c>
      <c r="B153" s="28">
        <f>SUM(B72:B83)</f>
        <v>161127401.552</v>
      </c>
      <c r="M153" s="28">
        <f>SUM(M72:M83)</f>
        <v>155804566.13775006</v>
      </c>
      <c r="N153" s="38">
        <f t="shared" si="15"/>
        <v>-5322835.414249927</v>
      </c>
      <c r="O153" s="147">
        <f t="shared" si="16"/>
        <v>-0.033034948512665675</v>
      </c>
    </row>
    <row r="154" spans="1:15" ht="12.75">
      <c r="A154" s="16">
        <v>2009</v>
      </c>
      <c r="B154" s="28">
        <f>SUM(B84:B95)</f>
        <v>154109568.608</v>
      </c>
      <c r="M154" s="28">
        <f>SUM(M84:M95)</f>
        <v>154953947.04571247</v>
      </c>
      <c r="N154" s="38">
        <f t="shared" si="15"/>
        <v>844378.4377124608</v>
      </c>
      <c r="O154" s="147">
        <f t="shared" si="16"/>
        <v>0.005479078588950304</v>
      </c>
    </row>
    <row r="155" spans="1:15" ht="12.75">
      <c r="A155">
        <v>2010</v>
      </c>
      <c r="B155" s="28">
        <f>SUM(B96:B107)</f>
        <v>155732492.048</v>
      </c>
      <c r="M155" s="28">
        <f>SUM(M96:M107)</f>
        <v>157019267.8006675</v>
      </c>
      <c r="N155" s="38">
        <f t="shared" si="15"/>
        <v>1286775.7526674867</v>
      </c>
      <c r="O155" s="147">
        <f t="shared" si="16"/>
        <v>0.008262731403995483</v>
      </c>
    </row>
    <row r="156" spans="1:15" ht="12.75">
      <c r="A156">
        <v>2011</v>
      </c>
      <c r="B156" s="28">
        <f>SUM(B108:B119)</f>
        <v>153880598.584</v>
      </c>
      <c r="M156" s="28">
        <f>SUM(M108:M119)</f>
        <v>157115388.1054405</v>
      </c>
      <c r="N156" s="38">
        <f t="shared" si="15"/>
        <v>3234789.521440506</v>
      </c>
      <c r="O156" s="147">
        <f t="shared" si="16"/>
        <v>0.02102142538570063</v>
      </c>
    </row>
    <row r="157" spans="1:13" ht="12.75">
      <c r="A157">
        <v>2012</v>
      </c>
      <c r="M157" s="6">
        <f>SUM(M120:M131)</f>
        <v>157764640.12050506</v>
      </c>
    </row>
    <row r="158" spans="1:13" ht="12.75">
      <c r="A158">
        <v>2013</v>
      </c>
      <c r="M158" s="6">
        <f>SUM(M132:M143)</f>
        <v>159035215.88995394</v>
      </c>
    </row>
    <row r="159" ht="12.75">
      <c r="M159" s="6"/>
    </row>
    <row r="160" spans="1:14" ht="12.75">
      <c r="A160" t="s">
        <v>75</v>
      </c>
      <c r="B160" s="28">
        <f>SUM(B147:B156)</f>
        <v>1505928719.9930668</v>
      </c>
      <c r="M160" s="28">
        <f>SUM(M147:M156)</f>
        <v>1505928719.9930668</v>
      </c>
      <c r="N160" s="6">
        <f>M160-B160</f>
        <v>0</v>
      </c>
    </row>
    <row r="162" spans="13:14" ht="12.75">
      <c r="M162" s="6">
        <f>SUM(M147:M158)</f>
        <v>1822728576.0035257</v>
      </c>
      <c r="N162" s="50">
        <f>M145-M162</f>
        <v>0</v>
      </c>
    </row>
    <row r="163" spans="13:14" ht="12.75">
      <c r="M163" s="19"/>
      <c r="N163" s="19" t="s">
        <v>57</v>
      </c>
    </row>
    <row r="172" ht="12.75">
      <c r="M172" s="6"/>
    </row>
    <row r="173" ht="12.75">
      <c r="M173" s="6"/>
    </row>
  </sheetData>
  <sheetProtection/>
  <mergeCells count="2">
    <mergeCell ref="D145:E145"/>
    <mergeCell ref="I2:L2"/>
  </mergeCells>
  <printOptions/>
  <pageMargins left="0.38" right="0.75" top="0.73" bottom="0.74" header="0.5" footer="0.5"/>
  <pageSetup fitToHeight="10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0"/>
  <sheetViews>
    <sheetView zoomScalePageLayoutView="0" workbookViewId="0" topLeftCell="A1">
      <pane xSplit="1" ySplit="2" topLeftCell="N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20" sqref="P20"/>
    </sheetView>
  </sheetViews>
  <sheetFormatPr defaultColWidth="9.140625" defaultRowHeight="12.75"/>
  <cols>
    <col min="1" max="1" width="11.8515625" style="0" customWidth="1"/>
    <col min="2" max="2" width="18.00390625" style="28" customWidth="1"/>
    <col min="3" max="3" width="11.7109375" style="24" customWidth="1"/>
    <col min="4" max="4" width="13.421875" style="24" customWidth="1"/>
    <col min="5" max="5" width="12.421875" style="24" customWidth="1"/>
    <col min="6" max="6" width="10.140625" style="24" customWidth="1"/>
    <col min="7" max="8" width="12.421875" style="24" customWidth="1"/>
    <col min="9" max="11" width="12.421875" style="24" hidden="1" customWidth="1"/>
    <col min="12" max="12" width="14.421875" style="36" hidden="1" customWidth="1"/>
    <col min="13" max="13" width="12.421875" style="24" customWidth="1"/>
    <col min="14" max="14" width="29.00390625" style="24" bestFit="1" customWidth="1"/>
    <col min="15" max="15" width="26.421875" style="24" customWidth="1"/>
    <col min="16" max="16" width="22.7109375" style="24" customWidth="1"/>
    <col min="17" max="17" width="15.7109375" style="1" customWidth="1"/>
    <col min="18" max="18" width="17.00390625" style="1" customWidth="1"/>
    <col min="19" max="19" width="12.421875" style="1" customWidth="1"/>
    <col min="20" max="20" width="25.8515625" style="0" bestFit="1" customWidth="1"/>
    <col min="21" max="23" width="18.00390625" style="0" customWidth="1"/>
    <col min="24" max="24" width="17.140625" style="0" customWidth="1"/>
    <col min="25" max="26" width="15.7109375" style="0" customWidth="1"/>
    <col min="27" max="27" width="15.00390625" style="0" customWidth="1"/>
    <col min="28" max="29" width="14.140625" style="0" bestFit="1" customWidth="1"/>
    <col min="30" max="30" width="11.7109375" style="0" bestFit="1" customWidth="1"/>
    <col min="31" max="31" width="11.8515625" style="0" bestFit="1" customWidth="1"/>
    <col min="32" max="32" width="12.57421875" style="0" customWidth="1"/>
    <col min="33" max="33" width="11.28125" style="0" customWidth="1"/>
    <col min="34" max="34" width="11.57421875" style="0" customWidth="1"/>
    <col min="35" max="35" width="9.28125" style="6" customWidth="1"/>
    <col min="36" max="36" width="9.140625" style="6" customWidth="1"/>
    <col min="37" max="37" width="11.7109375" style="6" bestFit="1" customWidth="1"/>
    <col min="38" max="38" width="10.7109375" style="6" bestFit="1" customWidth="1"/>
    <col min="39" max="40" width="9.140625" style="6" customWidth="1"/>
  </cols>
  <sheetData>
    <row r="1" spans="7:12" ht="12.75">
      <c r="G1" s="146"/>
      <c r="H1" s="146"/>
      <c r="I1" s="443" t="s">
        <v>154</v>
      </c>
      <c r="J1" s="443"/>
      <c r="K1" s="443"/>
      <c r="L1" s="443"/>
    </row>
    <row r="2" spans="2:19" ht="42" customHeight="1">
      <c r="B2" s="76" t="s">
        <v>72</v>
      </c>
      <c r="C2" s="77" t="s">
        <v>2</v>
      </c>
      <c r="D2" s="77" t="s">
        <v>3</v>
      </c>
      <c r="E2" s="77" t="s">
        <v>18</v>
      </c>
      <c r="F2" s="77" t="s">
        <v>4</v>
      </c>
      <c r="G2" s="77" t="s">
        <v>152</v>
      </c>
      <c r="H2" s="77" t="s">
        <v>74</v>
      </c>
      <c r="I2" s="77" t="s">
        <v>164</v>
      </c>
      <c r="J2" s="77" t="s">
        <v>59</v>
      </c>
      <c r="K2" s="12" t="s">
        <v>149</v>
      </c>
      <c r="L2" s="80" t="s">
        <v>5</v>
      </c>
      <c r="M2" s="117" t="s">
        <v>153</v>
      </c>
      <c r="O2" t="s">
        <v>19</v>
      </c>
      <c r="P2"/>
      <c r="Q2"/>
      <c r="R2"/>
      <c r="S2"/>
    </row>
    <row r="3" spans="1:19" ht="13.5" thickBot="1">
      <c r="A3" s="3">
        <v>37408</v>
      </c>
      <c r="B3" s="28">
        <f>+'[15]Data Input'!$H10</f>
        <v>3316669.96</v>
      </c>
      <c r="C3" s="24">
        <f>'Purchased Power Model '!C5</f>
        <v>36.2</v>
      </c>
      <c r="D3" s="24">
        <f>'Purchased Power Model '!D5</f>
        <v>70</v>
      </c>
      <c r="E3" s="17">
        <f>'Purchased Power Model '!L5</f>
        <v>0</v>
      </c>
      <c r="F3" s="17">
        <f>'Purchased Power Model '!E5</f>
        <v>30</v>
      </c>
      <c r="G3" s="116">
        <v>581.8</v>
      </c>
      <c r="H3" s="17">
        <f>'Purchased Power Model '!G5</f>
        <v>0</v>
      </c>
      <c r="I3" s="17">
        <f>A3</f>
        <v>37408</v>
      </c>
      <c r="J3" s="17">
        <f>+'[15]Data Input'!$J10</f>
        <v>4986</v>
      </c>
      <c r="K3" s="10">
        <f>'Purchased Power Model '!F5</f>
        <v>319.68</v>
      </c>
      <c r="L3" s="36">
        <f>'Purchased Power Model '!I5</f>
        <v>123.31120824213403</v>
      </c>
      <c r="M3" s="17">
        <f>$P$18+$P$19*C3+$P$20*D3+$P$21*E3+$P$22*F3+$P$23*G3+$P$24*H3</f>
        <v>3238320.585272853</v>
      </c>
      <c r="O3"/>
      <c r="P3"/>
      <c r="Q3"/>
      <c r="R3"/>
      <c r="S3"/>
    </row>
    <row r="4" spans="1:19" ht="12.75">
      <c r="A4" s="3">
        <v>37438</v>
      </c>
      <c r="B4" s="28">
        <f>+'[15]Data Input'!$H11</f>
        <v>3720830.13</v>
      </c>
      <c r="C4" s="24">
        <f>'Purchased Power Model '!C6</f>
        <v>0</v>
      </c>
      <c r="D4" s="24">
        <f>'Purchased Power Model '!D6</f>
        <v>192.4</v>
      </c>
      <c r="E4" s="17">
        <f>'Purchased Power Model '!L6</f>
        <v>0</v>
      </c>
      <c r="F4" s="17">
        <f>'Purchased Power Model '!E6</f>
        <v>31</v>
      </c>
      <c r="G4" s="116">
        <v>584.7</v>
      </c>
      <c r="H4" s="17">
        <f>'Purchased Power Model '!G6</f>
        <v>0</v>
      </c>
      <c r="I4" s="17">
        <f aca="true" t="shared" si="0" ref="I4:I67">A4</f>
        <v>37438</v>
      </c>
      <c r="J4" s="17">
        <f>+'[15]Data Input'!$J11</f>
        <v>4986</v>
      </c>
      <c r="K4" s="10">
        <f>'Purchased Power Model '!F6</f>
        <v>351.912</v>
      </c>
      <c r="L4" s="36">
        <f>'Purchased Power Model '!I6</f>
        <v>123.67575966778612</v>
      </c>
      <c r="M4" s="17">
        <f aca="true" t="shared" si="1" ref="M4:M67">$P$18+$P$19*C4+$P$20*D4+$P$21*E4+$P$22*F4+$P$23*G4+$P$24*H4</f>
        <v>3801490.0227372004</v>
      </c>
      <c r="O4" s="213" t="s">
        <v>20</v>
      </c>
      <c r="P4" s="222"/>
      <c r="Q4"/>
      <c r="R4"/>
      <c r="S4"/>
    </row>
    <row r="5" spans="1:19" ht="12.75">
      <c r="A5" s="3">
        <v>37469</v>
      </c>
      <c r="B5" s="28">
        <f>+'[15]Data Input'!$H12</f>
        <v>3583553.63</v>
      </c>
      <c r="C5" s="24">
        <f>'Purchased Power Model '!C7</f>
        <v>0.2</v>
      </c>
      <c r="D5" s="24">
        <f>'Purchased Power Model '!D7</f>
        <v>142.7</v>
      </c>
      <c r="E5" s="17">
        <f>'Purchased Power Model '!L7</f>
        <v>0</v>
      </c>
      <c r="F5" s="17">
        <f>'Purchased Power Model '!E7</f>
        <v>31</v>
      </c>
      <c r="G5" s="116">
        <v>586.6</v>
      </c>
      <c r="H5" s="17">
        <f>'Purchased Power Model '!G7</f>
        <v>0</v>
      </c>
      <c r="I5" s="17">
        <f t="shared" si="0"/>
        <v>37469</v>
      </c>
      <c r="J5" s="17">
        <f>+'[15]Data Input'!$J12</f>
        <v>4986</v>
      </c>
      <c r="K5" s="10">
        <f>'Purchased Power Model '!F7</f>
        <v>336.288</v>
      </c>
      <c r="L5" s="36">
        <f>'Purchased Power Model '!I7</f>
        <v>124.04138883603632</v>
      </c>
      <c r="M5" s="17">
        <f t="shared" si="1"/>
        <v>3607046.3057917906</v>
      </c>
      <c r="O5" s="37" t="s">
        <v>21</v>
      </c>
      <c r="P5" s="60">
        <v>0.9065036715181344</v>
      </c>
      <c r="Q5"/>
      <c r="R5"/>
      <c r="S5"/>
    </row>
    <row r="6" spans="1:19" ht="12.75">
      <c r="A6" s="3">
        <v>37500</v>
      </c>
      <c r="B6" s="28">
        <f>+'[15]Data Input'!$H13</f>
        <v>3147453.49</v>
      </c>
      <c r="C6" s="24">
        <f>'Purchased Power Model '!C8</f>
        <v>21.8</v>
      </c>
      <c r="D6" s="24">
        <f>'Purchased Power Model '!D8</f>
        <v>87.6</v>
      </c>
      <c r="E6" s="17">
        <f>'Purchased Power Model '!L8</f>
        <v>1</v>
      </c>
      <c r="F6" s="17">
        <f>'Purchased Power Model '!E8</f>
        <v>30</v>
      </c>
      <c r="G6" s="116">
        <v>583.2</v>
      </c>
      <c r="H6" s="17">
        <f>'Purchased Power Model '!G8</f>
        <v>0</v>
      </c>
      <c r="I6" s="17">
        <f t="shared" si="0"/>
        <v>37500</v>
      </c>
      <c r="J6" s="17">
        <f>+'[15]Data Input'!$J13</f>
        <v>4986</v>
      </c>
      <c r="K6" s="10">
        <f>'Purchased Power Model '!F8</f>
        <v>319.68</v>
      </c>
      <c r="L6" s="36">
        <f>'Purchased Power Model '!I8</f>
        <v>124.40809893307186</v>
      </c>
      <c r="M6" s="17">
        <f t="shared" si="1"/>
        <v>3072757.690474087</v>
      </c>
      <c r="O6" s="37" t="s">
        <v>22</v>
      </c>
      <c r="P6" s="60">
        <v>0.8217489064758576</v>
      </c>
      <c r="Q6"/>
      <c r="R6"/>
      <c r="S6"/>
    </row>
    <row r="7" spans="1:19" ht="12.75">
      <c r="A7" s="3">
        <v>37530</v>
      </c>
      <c r="B7" s="28">
        <f>+'[15]Data Input'!$H14</f>
        <v>3367699.59</v>
      </c>
      <c r="C7" s="24">
        <f>'Purchased Power Model '!C9</f>
        <v>292.2</v>
      </c>
      <c r="D7" s="24">
        <f>'Purchased Power Model '!D9</f>
        <v>10</v>
      </c>
      <c r="E7" s="17">
        <f>'Purchased Power Model '!L9</f>
        <v>1</v>
      </c>
      <c r="F7" s="17">
        <f>'Purchased Power Model '!E9</f>
        <v>31</v>
      </c>
      <c r="G7" s="116">
        <v>582.9</v>
      </c>
      <c r="H7" s="17">
        <f>'Purchased Power Model '!G9</f>
        <v>0</v>
      </c>
      <c r="I7" s="17">
        <f t="shared" si="0"/>
        <v>37530</v>
      </c>
      <c r="J7" s="17">
        <f>+'[15]Data Input'!$J14</f>
        <v>4986</v>
      </c>
      <c r="K7" s="10">
        <f>'Purchased Power Model '!F9</f>
        <v>351.912</v>
      </c>
      <c r="L7" s="36">
        <f>'Purchased Power Model '!I9</f>
        <v>124.7758931544995</v>
      </c>
      <c r="M7" s="17">
        <f t="shared" si="1"/>
        <v>3363443.766495184</v>
      </c>
      <c r="O7" s="37" t="s">
        <v>23</v>
      </c>
      <c r="P7" s="60">
        <v>0.8118460679467385</v>
      </c>
      <c r="Q7"/>
      <c r="R7"/>
      <c r="S7"/>
    </row>
    <row r="8" spans="1:19" ht="12.75">
      <c r="A8" s="3">
        <v>37561</v>
      </c>
      <c r="B8" s="28">
        <f>+'[15]Data Input'!$H15</f>
        <v>3664473.21</v>
      </c>
      <c r="C8" s="24">
        <f>'Purchased Power Model '!C10</f>
        <v>445</v>
      </c>
      <c r="D8" s="24">
        <f>'Purchased Power Model '!D10</f>
        <v>0</v>
      </c>
      <c r="E8" s="17">
        <f>'Purchased Power Model '!L10</f>
        <v>1</v>
      </c>
      <c r="F8" s="17">
        <f>'Purchased Power Model '!E10</f>
        <v>30</v>
      </c>
      <c r="G8" s="116">
        <v>583.5</v>
      </c>
      <c r="H8" s="17">
        <f>'Purchased Power Model '!G10</f>
        <v>0</v>
      </c>
      <c r="I8" s="17">
        <f t="shared" si="0"/>
        <v>37561</v>
      </c>
      <c r="J8" s="17">
        <f>+'[15]Data Input'!$J15</f>
        <v>4986</v>
      </c>
      <c r="K8" s="10">
        <f>'Purchased Power Model '!F10</f>
        <v>336.24</v>
      </c>
      <c r="L8" s="36">
        <f>'Purchased Power Model '!I10</f>
        <v>125.14477470537335</v>
      </c>
      <c r="M8" s="17">
        <f t="shared" si="1"/>
        <v>3490872.527748014</v>
      </c>
      <c r="O8" s="37" t="s">
        <v>24</v>
      </c>
      <c r="P8" s="37">
        <v>206179.59371385956</v>
      </c>
      <c r="Q8"/>
      <c r="R8"/>
      <c r="S8"/>
    </row>
    <row r="9" spans="1:19" ht="13.5" thickBot="1">
      <c r="A9" s="3">
        <v>37591</v>
      </c>
      <c r="B9" s="28">
        <f>+'[15]Data Input'!$H16</f>
        <v>4493717.26</v>
      </c>
      <c r="C9" s="24">
        <f>'Purchased Power Model '!C11</f>
        <v>619.4</v>
      </c>
      <c r="D9" s="24">
        <f>'Purchased Power Model '!D11</f>
        <v>0</v>
      </c>
      <c r="E9" s="17">
        <f>'Purchased Power Model '!L11</f>
        <v>0</v>
      </c>
      <c r="F9" s="17">
        <f>'Purchased Power Model '!E11</f>
        <v>31</v>
      </c>
      <c r="G9" s="116">
        <v>591.8</v>
      </c>
      <c r="H9" s="17">
        <f>'Purchased Power Model '!G11</f>
        <v>0</v>
      </c>
      <c r="I9" s="17">
        <f t="shared" si="0"/>
        <v>37591</v>
      </c>
      <c r="J9" s="17">
        <f>+'[15]Data Input'!$J16</f>
        <v>4986</v>
      </c>
      <c r="K9" s="10">
        <f>'Purchased Power Model '!F11</f>
        <v>319.92</v>
      </c>
      <c r="L9" s="36">
        <f>'Purchased Power Model '!I11</f>
        <v>125.51474680022261</v>
      </c>
      <c r="M9" s="17">
        <f t="shared" si="1"/>
        <v>4181439.052411116</v>
      </c>
      <c r="O9" s="54" t="s">
        <v>25</v>
      </c>
      <c r="P9" s="54">
        <v>115</v>
      </c>
      <c r="Q9"/>
      <c r="R9"/>
      <c r="S9"/>
    </row>
    <row r="10" spans="1:19" ht="12.75">
      <c r="A10" s="3">
        <v>37622</v>
      </c>
      <c r="B10" s="28">
        <f>+'[15]Data Input'!$H17</f>
        <v>4493946.26</v>
      </c>
      <c r="C10" s="24">
        <f>'Purchased Power Model '!C12</f>
        <v>814.5</v>
      </c>
      <c r="D10" s="24">
        <f>'Purchased Power Model '!D12</f>
        <v>0</v>
      </c>
      <c r="E10" s="17">
        <f>'Purchased Power Model '!L12</f>
        <v>0</v>
      </c>
      <c r="F10" s="17">
        <v>31</v>
      </c>
      <c r="G10" s="116">
        <v>591.3</v>
      </c>
      <c r="H10" s="17">
        <f>'Purchased Power Model '!G12</f>
        <v>0</v>
      </c>
      <c r="I10" s="17">
        <f t="shared" si="0"/>
        <v>37622</v>
      </c>
      <c r="J10" s="17">
        <f>+'[15]Data Input'!$J17</f>
        <v>5010</v>
      </c>
      <c r="K10" s="10">
        <v>351.912</v>
      </c>
      <c r="L10" s="36">
        <f>'Purchased Power Model '!I12</f>
        <v>125.66024937363977</v>
      </c>
      <c r="M10" s="17">
        <f t="shared" si="1"/>
        <v>4536707.94469838</v>
      </c>
      <c r="O10"/>
      <c r="P10"/>
      <c r="Q10"/>
      <c r="R10"/>
      <c r="S10"/>
    </row>
    <row r="11" spans="1:19" ht="13.5" thickBot="1">
      <c r="A11" s="3">
        <v>37653</v>
      </c>
      <c r="B11" s="28">
        <f>+'[15]Data Input'!$H18</f>
        <v>3927254.05</v>
      </c>
      <c r="C11" s="24">
        <f>'Purchased Power Model '!C13</f>
        <v>699</v>
      </c>
      <c r="D11" s="24">
        <f>'Purchased Power Model '!D13</f>
        <v>0</v>
      </c>
      <c r="E11" s="17">
        <v>0</v>
      </c>
      <c r="F11" s="17">
        <v>28</v>
      </c>
      <c r="G11" s="116">
        <v>588.4</v>
      </c>
      <c r="H11" s="17">
        <f>'Purchased Power Model '!G13</f>
        <v>0</v>
      </c>
      <c r="I11" s="17">
        <f t="shared" si="0"/>
        <v>37653</v>
      </c>
      <c r="J11" s="17">
        <f>+'[15]Data Input'!$J18</f>
        <v>5034</v>
      </c>
      <c r="K11" s="10">
        <v>319.872</v>
      </c>
      <c r="L11" s="36">
        <v>125.80592062045517</v>
      </c>
      <c r="M11" s="17">
        <f t="shared" si="1"/>
        <v>3968144.773075671</v>
      </c>
      <c r="O11" t="s">
        <v>26</v>
      </c>
      <c r="P11"/>
      <c r="Q11"/>
      <c r="R11"/>
      <c r="S11"/>
    </row>
    <row r="12" spans="1:20" ht="12.75">
      <c r="A12" s="3">
        <v>37681</v>
      </c>
      <c r="B12" s="28">
        <f>+'[15]Data Input'!$H19</f>
        <v>3853813.65</v>
      </c>
      <c r="C12" s="24">
        <f>'Purchased Power Model '!C14</f>
        <v>581.1</v>
      </c>
      <c r="D12" s="24">
        <f>'Purchased Power Model '!D14</f>
        <v>0</v>
      </c>
      <c r="E12" s="17">
        <v>1</v>
      </c>
      <c r="F12" s="17">
        <v>31</v>
      </c>
      <c r="G12" s="116">
        <v>584.5</v>
      </c>
      <c r="H12" s="17">
        <f>'Purchased Power Model '!G14</f>
        <v>0</v>
      </c>
      <c r="I12" s="17">
        <f t="shared" si="0"/>
        <v>37681</v>
      </c>
      <c r="J12" s="17">
        <f>+'[15]Data Input'!$J19</f>
        <v>5047</v>
      </c>
      <c r="K12" s="10">
        <v>336.288</v>
      </c>
      <c r="L12" s="36">
        <v>125.9517607362029</v>
      </c>
      <c r="M12" s="17">
        <f t="shared" si="1"/>
        <v>3859438.9960414344</v>
      </c>
      <c r="O12" s="212"/>
      <c r="P12" s="212" t="s">
        <v>30</v>
      </c>
      <c r="Q12" s="212" t="s">
        <v>31</v>
      </c>
      <c r="R12" s="212" t="s">
        <v>32</v>
      </c>
      <c r="S12" s="212" t="s">
        <v>33</v>
      </c>
      <c r="T12" s="212" t="s">
        <v>34</v>
      </c>
    </row>
    <row r="13" spans="1:20" ht="12.75">
      <c r="A13" s="3">
        <v>37712</v>
      </c>
      <c r="B13" s="28">
        <f>+'[15]Data Input'!$H20</f>
        <v>3267426.84</v>
      </c>
      <c r="C13" s="24">
        <f>'Purchased Power Model '!C15</f>
        <v>372.5</v>
      </c>
      <c r="D13" s="24">
        <f>'Purchased Power Model '!D15</f>
        <v>2.4</v>
      </c>
      <c r="E13" s="17">
        <v>1</v>
      </c>
      <c r="F13" s="17">
        <v>30</v>
      </c>
      <c r="G13" s="116">
        <v>587.8</v>
      </c>
      <c r="H13" s="17">
        <f>'Purchased Power Model '!G15</f>
        <v>0</v>
      </c>
      <c r="I13" s="17">
        <f t="shared" si="0"/>
        <v>37712</v>
      </c>
      <c r="J13" s="17">
        <f>+'[15]Data Input'!$J20</f>
        <v>5059</v>
      </c>
      <c r="K13" s="10">
        <v>336.24</v>
      </c>
      <c r="L13" s="36">
        <v>126.09776991664374</v>
      </c>
      <c r="M13" s="17">
        <f t="shared" si="1"/>
        <v>3387845.0983844358</v>
      </c>
      <c r="O13" s="37" t="s">
        <v>27</v>
      </c>
      <c r="P13" s="37">
        <v>6</v>
      </c>
      <c r="Q13" s="37">
        <v>21165183907752.48</v>
      </c>
      <c r="R13" s="37">
        <v>3527530651292.08</v>
      </c>
      <c r="S13" s="37">
        <v>82.98114768402286</v>
      </c>
      <c r="T13" s="37">
        <v>3.768454979839497E-38</v>
      </c>
    </row>
    <row r="14" spans="1:20" ht="12.75">
      <c r="A14" s="3">
        <v>37742</v>
      </c>
      <c r="B14" s="28">
        <f>+'[15]Data Input'!$H21</f>
        <v>3015667.95</v>
      </c>
      <c r="C14" s="24">
        <f>'Purchased Power Model '!C16</f>
        <v>177.9</v>
      </c>
      <c r="D14" s="24">
        <f>'Purchased Power Model '!D16</f>
        <v>0</v>
      </c>
      <c r="E14" s="17">
        <v>1</v>
      </c>
      <c r="F14" s="17">
        <v>31</v>
      </c>
      <c r="G14" s="116">
        <v>596.4</v>
      </c>
      <c r="H14" s="17">
        <f>'Purchased Power Model '!G16</f>
        <v>0</v>
      </c>
      <c r="I14" s="17">
        <f t="shared" si="0"/>
        <v>37742</v>
      </c>
      <c r="J14" s="17">
        <f>+'[15]Data Input'!$J21</f>
        <v>5071</v>
      </c>
      <c r="K14" s="10">
        <v>336.288</v>
      </c>
      <c r="L14" s="36">
        <v>126.2439483577654</v>
      </c>
      <c r="M14" s="17">
        <f t="shared" si="1"/>
        <v>3175828.6546251243</v>
      </c>
      <c r="O14" s="37" t="s">
        <v>28</v>
      </c>
      <c r="P14" s="37">
        <v>108</v>
      </c>
      <c r="Q14" s="37">
        <v>4591082685313.317</v>
      </c>
      <c r="R14" s="37">
        <v>42510024864.0122</v>
      </c>
      <c r="S14" s="37"/>
      <c r="T14" s="37"/>
    </row>
    <row r="15" spans="1:20" ht="13.5" thickBot="1">
      <c r="A15" s="3">
        <v>37773</v>
      </c>
      <c r="B15" s="28">
        <f>+'[15]Data Input'!$H22</f>
        <v>3142966.53</v>
      </c>
      <c r="C15" s="24">
        <f>'Purchased Power Model '!C17</f>
        <v>43.4</v>
      </c>
      <c r="D15" s="24">
        <f>'Purchased Power Model '!D17</f>
        <v>52.9</v>
      </c>
      <c r="E15" s="17">
        <v>0</v>
      </c>
      <c r="F15" s="17">
        <v>30</v>
      </c>
      <c r="G15" s="116">
        <v>601.7</v>
      </c>
      <c r="H15" s="17">
        <f>'Purchased Power Model '!G17</f>
        <v>0</v>
      </c>
      <c r="I15" s="17">
        <f t="shared" si="0"/>
        <v>37773</v>
      </c>
      <c r="J15" s="17">
        <f>+'[15]Data Input'!$J22</f>
        <v>5082</v>
      </c>
      <c r="K15" s="10">
        <v>336.24</v>
      </c>
      <c r="L15" s="36">
        <v>126.3902962557828</v>
      </c>
      <c r="M15" s="17">
        <f t="shared" si="1"/>
        <v>3274108.9639971307</v>
      </c>
      <c r="O15" s="54" t="s">
        <v>9</v>
      </c>
      <c r="P15" s="54">
        <v>114</v>
      </c>
      <c r="Q15" s="54">
        <v>25756266593065.797</v>
      </c>
      <c r="R15" s="54"/>
      <c r="S15" s="54"/>
      <c r="T15" s="54"/>
    </row>
    <row r="16" spans="1:19" ht="13.5" thickBot="1">
      <c r="A16" s="3">
        <v>37803</v>
      </c>
      <c r="B16" s="28">
        <f>+'[15]Data Input'!$H23</f>
        <v>3423900.38</v>
      </c>
      <c r="C16" s="24">
        <f>'Purchased Power Model '!C18</f>
        <v>0.2</v>
      </c>
      <c r="D16" s="24">
        <f>'Purchased Power Model '!D18</f>
        <v>118.3</v>
      </c>
      <c r="E16" s="17">
        <v>0</v>
      </c>
      <c r="F16" s="17">
        <v>31</v>
      </c>
      <c r="G16" s="116">
        <v>605.7</v>
      </c>
      <c r="H16" s="17">
        <f>'Purchased Power Model '!G18</f>
        <v>0</v>
      </c>
      <c r="I16" s="17">
        <f t="shared" si="0"/>
        <v>37803</v>
      </c>
      <c r="J16" s="17">
        <f>+'[15]Data Input'!$J23</f>
        <v>5094</v>
      </c>
      <c r="K16" s="10">
        <v>351.912</v>
      </c>
      <c r="L16" s="36">
        <v>126.5368138071383</v>
      </c>
      <c r="M16" s="17">
        <f t="shared" si="1"/>
        <v>3595999.2506178925</v>
      </c>
      <c r="O16"/>
      <c r="P16"/>
      <c r="Q16"/>
      <c r="R16"/>
      <c r="S16"/>
    </row>
    <row r="17" spans="1:24" ht="12.75">
      <c r="A17" s="3">
        <v>37834</v>
      </c>
      <c r="B17" s="28">
        <f>+'[15]Data Input'!$H24</f>
        <v>3352307.5</v>
      </c>
      <c r="C17" s="24">
        <f>'Purchased Power Model '!C19</f>
        <v>2</v>
      </c>
      <c r="D17" s="24">
        <f>'Purchased Power Model '!D19</f>
        <v>128</v>
      </c>
      <c r="E17" s="17">
        <v>0</v>
      </c>
      <c r="F17" s="17">
        <v>31</v>
      </c>
      <c r="G17" s="116">
        <v>607.6</v>
      </c>
      <c r="H17" s="17">
        <f>'Purchased Power Model '!G19</f>
        <v>0</v>
      </c>
      <c r="I17" s="17">
        <f t="shared" si="0"/>
        <v>37834</v>
      </c>
      <c r="J17" s="17">
        <f>+'[15]Data Input'!$J24</f>
        <v>5106</v>
      </c>
      <c r="K17" s="10">
        <v>319.92</v>
      </c>
      <c r="L17" s="36">
        <v>126.683501208502</v>
      </c>
      <c r="M17" s="17">
        <f t="shared" si="1"/>
        <v>3647893.7060183743</v>
      </c>
      <c r="O17" s="212"/>
      <c r="P17" s="212" t="s">
        <v>35</v>
      </c>
      <c r="Q17" s="212" t="s">
        <v>24</v>
      </c>
      <c r="R17" s="212" t="s">
        <v>36</v>
      </c>
      <c r="S17" s="212" t="s">
        <v>37</v>
      </c>
      <c r="T17" s="212" t="s">
        <v>38</v>
      </c>
      <c r="U17" s="212" t="s">
        <v>39</v>
      </c>
      <c r="V17" s="212" t="s">
        <v>150</v>
      </c>
      <c r="W17" s="212" t="s">
        <v>151</v>
      </c>
      <c r="X17" s="55" t="s">
        <v>151</v>
      </c>
    </row>
    <row r="18" spans="1:24" ht="12.75">
      <c r="A18" s="3">
        <v>37865</v>
      </c>
      <c r="B18" s="28">
        <f>+'[15]Data Input'!$H25</f>
        <v>3052541.62</v>
      </c>
      <c r="C18" s="24">
        <f>'Purchased Power Model '!C20</f>
        <v>54.9</v>
      </c>
      <c r="D18" s="24">
        <f>'Purchased Power Model '!D20</f>
        <v>24</v>
      </c>
      <c r="E18" s="17">
        <v>1</v>
      </c>
      <c r="F18" s="17">
        <v>30</v>
      </c>
      <c r="G18" s="116">
        <v>607.6</v>
      </c>
      <c r="H18" s="17">
        <f>'Purchased Power Model '!G20</f>
        <v>0</v>
      </c>
      <c r="I18" s="17">
        <f t="shared" si="0"/>
        <v>37865</v>
      </c>
      <c r="J18" s="17">
        <f>+'[15]Data Input'!$J25</f>
        <v>5118</v>
      </c>
      <c r="K18" s="10">
        <v>336.24</v>
      </c>
      <c r="L18" s="36">
        <v>126.83035865677196</v>
      </c>
      <c r="M18" s="17">
        <f t="shared" si="1"/>
        <v>2986427.1215599547</v>
      </c>
      <c r="O18" s="37" t="s">
        <v>29</v>
      </c>
      <c r="P18" s="59">
        <v>-3257585.484943858</v>
      </c>
      <c r="Q18" s="37">
        <v>933061.1209445619</v>
      </c>
      <c r="R18" s="59">
        <v>-3.4912884181114734</v>
      </c>
      <c r="S18" s="37">
        <v>0.0006974161077814041</v>
      </c>
      <c r="T18" s="37">
        <v>-5107074.442062752</v>
      </c>
      <c r="U18" s="37">
        <v>-1408096.5278249637</v>
      </c>
      <c r="V18" s="37">
        <v>-5107074.442062752</v>
      </c>
      <c r="W18" s="37">
        <v>-1408096.5278249637</v>
      </c>
      <c r="X18" s="37">
        <v>-1645790.1548949976</v>
      </c>
    </row>
    <row r="19" spans="1:24" ht="12.75">
      <c r="A19" s="3">
        <v>37895</v>
      </c>
      <c r="B19" s="28">
        <f>+'[15]Data Input'!$H26</f>
        <v>3333446.74</v>
      </c>
      <c r="C19" s="24">
        <f>'Purchased Power Model '!C21</f>
        <v>276</v>
      </c>
      <c r="D19" s="24">
        <f>'Purchased Power Model '!D21</f>
        <v>0</v>
      </c>
      <c r="E19" s="17">
        <v>1</v>
      </c>
      <c r="F19" s="17">
        <v>31</v>
      </c>
      <c r="G19" s="116">
        <v>609.5</v>
      </c>
      <c r="H19" s="17">
        <f>'Purchased Power Model '!G21</f>
        <v>0</v>
      </c>
      <c r="I19" s="17">
        <f t="shared" si="0"/>
        <v>37895</v>
      </c>
      <c r="J19" s="17">
        <f>+'[15]Data Input'!$J26</f>
        <v>5126</v>
      </c>
      <c r="K19" s="10">
        <v>351.912</v>
      </c>
      <c r="L19" s="36">
        <v>126.97738634907456</v>
      </c>
      <c r="M19" s="17">
        <f t="shared" si="1"/>
        <v>3416634.462763217</v>
      </c>
      <c r="O19" s="37" t="s">
        <v>2</v>
      </c>
      <c r="P19" s="59">
        <v>1832.8913619281686</v>
      </c>
      <c r="Q19" s="37">
        <v>125.20936693378165</v>
      </c>
      <c r="R19" s="59">
        <v>14.638612164675454</v>
      </c>
      <c r="S19" s="37">
        <v>2.1404588887861123E-27</v>
      </c>
      <c r="T19" s="37">
        <v>1584.70468232732</v>
      </c>
      <c r="U19" s="37">
        <v>2081.0780415290174</v>
      </c>
      <c r="V19" s="37">
        <v>1584.70468232732</v>
      </c>
      <c r="W19" s="37">
        <v>2081.0780415290174</v>
      </c>
      <c r="X19" s="37">
        <v>2115.1381862221474</v>
      </c>
    </row>
    <row r="20" spans="1:24" ht="12.75">
      <c r="A20" s="3">
        <v>37926</v>
      </c>
      <c r="B20" s="28">
        <f>+'[15]Data Input'!$H27</f>
        <v>3662975</v>
      </c>
      <c r="C20" s="24">
        <f>'Purchased Power Model '!C22</f>
        <v>398.5</v>
      </c>
      <c r="D20" s="24">
        <f>'Purchased Power Model '!D22</f>
        <v>0</v>
      </c>
      <c r="E20" s="17">
        <v>1</v>
      </c>
      <c r="F20" s="17">
        <v>30</v>
      </c>
      <c r="G20" s="116">
        <v>609</v>
      </c>
      <c r="H20" s="17">
        <f>'Purchased Power Model '!G22</f>
        <v>0</v>
      </c>
      <c r="I20" s="17">
        <f t="shared" si="0"/>
        <v>37926</v>
      </c>
      <c r="J20" s="17">
        <f>+'[15]Data Input'!$J27</f>
        <v>5149</v>
      </c>
      <c r="K20" s="10">
        <v>319.68</v>
      </c>
      <c r="L20" s="36">
        <v>127.12458448276465</v>
      </c>
      <c r="M20" s="17">
        <f t="shared" si="1"/>
        <v>3524381.913089342</v>
      </c>
      <c r="O20" s="37" t="s">
        <v>3</v>
      </c>
      <c r="P20" s="59">
        <v>4097.736467454648</v>
      </c>
      <c r="Q20" s="37">
        <v>718.7658185489248</v>
      </c>
      <c r="R20" s="59">
        <v>5.701073091827507</v>
      </c>
      <c r="S20" s="37">
        <v>1.0467199738301607E-07</v>
      </c>
      <c r="T20" s="37">
        <v>2673.017963681793</v>
      </c>
      <c r="U20" s="37">
        <v>5522.454971227503</v>
      </c>
      <c r="V20" s="37">
        <v>2673.017963681793</v>
      </c>
      <c r="W20" s="37">
        <v>5522.454971227503</v>
      </c>
      <c r="X20" s="37">
        <v>5594.297490816997</v>
      </c>
    </row>
    <row r="21" spans="1:24" ht="12.75">
      <c r="A21" s="3">
        <v>37956</v>
      </c>
      <c r="B21" s="28">
        <f>+'[15]Data Input'!$H28</f>
        <v>4380910.73</v>
      </c>
      <c r="C21" s="24">
        <f>'Purchased Power Model '!C23</f>
        <v>561.5</v>
      </c>
      <c r="D21" s="24">
        <f>'Purchased Power Model '!D23</f>
        <v>0</v>
      </c>
      <c r="E21" s="17">
        <v>0</v>
      </c>
      <c r="F21" s="17">
        <v>31</v>
      </c>
      <c r="G21" s="116">
        <v>609.2</v>
      </c>
      <c r="H21" s="17">
        <f>'Purchased Power Model '!G23</f>
        <v>0</v>
      </c>
      <c r="I21" s="17">
        <f t="shared" si="0"/>
        <v>37956</v>
      </c>
      <c r="J21" s="17">
        <f>+'[15]Data Input'!$J28</f>
        <v>5163</v>
      </c>
      <c r="K21" s="10">
        <v>336.288</v>
      </c>
      <c r="L21" s="36">
        <v>127.27195325542573</v>
      </c>
      <c r="M21" s="17">
        <f t="shared" si="1"/>
        <v>4156336.434942738</v>
      </c>
      <c r="O21" s="37" t="s">
        <v>18</v>
      </c>
      <c r="P21" s="59">
        <v>-217808.41580398206</v>
      </c>
      <c r="Q21" s="37">
        <v>53784.954956396</v>
      </c>
      <c r="R21" s="59">
        <v>-4.049616030738735</v>
      </c>
      <c r="S21" s="37">
        <v>9.6813728848802E-05</v>
      </c>
      <c r="T21" s="37">
        <v>-324419.52414197684</v>
      </c>
      <c r="U21" s="37">
        <v>-111197.30746598728</v>
      </c>
      <c r="V21" s="37">
        <v>-324419.52414197684</v>
      </c>
      <c r="W21" s="37">
        <v>-111197.30746598728</v>
      </c>
      <c r="X21" s="37">
        <v>-99455.13867929633</v>
      </c>
    </row>
    <row r="22" spans="1:24" ht="12.75">
      <c r="A22" s="3">
        <v>37987</v>
      </c>
      <c r="B22" s="28">
        <f>+'[15]Data Input'!$H29</f>
        <v>4591982.92</v>
      </c>
      <c r="C22" s="24">
        <f>'Purchased Power Model '!C24</f>
        <v>849.1</v>
      </c>
      <c r="D22" s="24">
        <f>'Purchased Power Model '!D24</f>
        <v>0</v>
      </c>
      <c r="E22" s="17">
        <v>0</v>
      </c>
      <c r="F22" s="17">
        <v>31</v>
      </c>
      <c r="G22" s="116">
        <v>605</v>
      </c>
      <c r="H22" s="17">
        <f>'Purchased Power Model '!G24</f>
        <v>0</v>
      </c>
      <c r="I22" s="17">
        <f t="shared" si="0"/>
        <v>37987</v>
      </c>
      <c r="J22" s="17">
        <f>+'[15]Data Input'!$J29</f>
        <v>5164</v>
      </c>
      <c r="K22" s="10">
        <v>336.288</v>
      </c>
      <c r="L22" s="36">
        <v>127.53411264087498</v>
      </c>
      <c r="M22" s="17">
        <f t="shared" si="1"/>
        <v>4663919.00626394</v>
      </c>
      <c r="O22" s="37" t="s">
        <v>4</v>
      </c>
      <c r="P22" s="59">
        <v>114453.52908515415</v>
      </c>
      <c r="Q22" s="37">
        <v>24907.589923297663</v>
      </c>
      <c r="R22" s="59">
        <v>4.595126603481553</v>
      </c>
      <c r="S22" s="37">
        <v>1.1782382560273738E-05</v>
      </c>
      <c r="T22" s="37">
        <v>65082.36627756577</v>
      </c>
      <c r="U22" s="37">
        <v>163824.69189274253</v>
      </c>
      <c r="V22" s="37">
        <v>65082.36627756577</v>
      </c>
      <c r="W22" s="37">
        <v>163824.69189274253</v>
      </c>
      <c r="X22" s="37">
        <v>165891.73948811216</v>
      </c>
    </row>
    <row r="23" spans="1:24" ht="12.75">
      <c r="A23" s="3">
        <v>38018</v>
      </c>
      <c r="B23" s="28">
        <f>+'[15]Data Input'!$H30</f>
        <v>4019927.73</v>
      </c>
      <c r="C23" s="24">
        <f>'Purchased Power Model '!C25</f>
        <v>631.7</v>
      </c>
      <c r="D23" s="24">
        <f>'Purchased Power Model '!D25</f>
        <v>0</v>
      </c>
      <c r="E23" s="17">
        <v>0</v>
      </c>
      <c r="F23" s="17">
        <v>29</v>
      </c>
      <c r="G23" s="116">
        <v>599.4</v>
      </c>
      <c r="H23" s="17">
        <f>'Purchased Power Model '!G25</f>
        <v>0</v>
      </c>
      <c r="I23" s="17">
        <f t="shared" si="0"/>
        <v>38018</v>
      </c>
      <c r="J23" s="17">
        <f>+'[15]Data Input'!$J30</f>
        <v>5181</v>
      </c>
      <c r="K23" s="10">
        <v>320.16</v>
      </c>
      <c r="L23" s="36">
        <v>127.79681203173486</v>
      </c>
      <c r="M23" s="17">
        <f t="shared" si="1"/>
        <v>4010465.386851329</v>
      </c>
      <c r="O23" s="37" t="s">
        <v>152</v>
      </c>
      <c r="P23" s="59">
        <v>4656.424849842663</v>
      </c>
      <c r="Q23" s="37">
        <v>931.8568075213609</v>
      </c>
      <c r="R23" s="59">
        <v>4.996931730560894</v>
      </c>
      <c r="S23" s="37">
        <v>2.25953868837533E-06</v>
      </c>
      <c r="T23" s="37">
        <v>2809.3230507856815</v>
      </c>
      <c r="U23" s="37">
        <v>6503.526648899645</v>
      </c>
      <c r="V23" s="37">
        <v>2809.3230507856815</v>
      </c>
      <c r="W23" s="37">
        <v>6503.526648899645</v>
      </c>
      <c r="X23" s="37">
        <v>6649.3653063251</v>
      </c>
    </row>
    <row r="24" spans="1:24" ht="13.5" thickBot="1">
      <c r="A24" s="3">
        <v>38047</v>
      </c>
      <c r="B24" s="28">
        <f>+'[15]Data Input'!$H31</f>
        <v>3940250.2</v>
      </c>
      <c r="C24" s="24">
        <f>'Purchased Power Model '!C26</f>
        <v>487.3</v>
      </c>
      <c r="D24" s="24">
        <f>'Purchased Power Model '!D26</f>
        <v>0</v>
      </c>
      <c r="E24" s="17">
        <v>1</v>
      </c>
      <c r="F24" s="17">
        <v>31</v>
      </c>
      <c r="G24" s="116">
        <v>595.4</v>
      </c>
      <c r="H24" s="17">
        <f>'Purchased Power Model '!G26</f>
        <v>0</v>
      </c>
      <c r="I24" s="17">
        <f t="shared" si="0"/>
        <v>38047</v>
      </c>
      <c r="J24" s="17">
        <f>+'[15]Data Input'!$J31</f>
        <v>5197</v>
      </c>
      <c r="K24" s="10">
        <v>368.28</v>
      </c>
      <c r="L24" s="36">
        <v>128.06005254032812</v>
      </c>
      <c r="M24" s="17">
        <f t="shared" si="1"/>
        <v>3738268.817155857</v>
      </c>
      <c r="O24" s="54" t="s">
        <v>74</v>
      </c>
      <c r="P24" s="208">
        <v>-0.8635831005454231</v>
      </c>
      <c r="Q24" s="54">
        <v>0.24944425655416794</v>
      </c>
      <c r="R24" s="208">
        <v>-3.46202840055326</v>
      </c>
      <c r="S24" s="54">
        <v>0.0007692591967367808</v>
      </c>
      <c r="T24" s="54">
        <v>-1.3580248767139929</v>
      </c>
      <c r="U24" s="54">
        <v>-0.3691413243768532</v>
      </c>
      <c r="V24" s="54">
        <v>-1.3580248767139929</v>
      </c>
      <c r="W24" s="54">
        <v>-0.3691413243768532</v>
      </c>
      <c r="X24" s="54">
        <v>-0.46227572239444903</v>
      </c>
    </row>
    <row r="25" spans="1:19" ht="12.75">
      <c r="A25" s="3">
        <v>38078</v>
      </c>
      <c r="B25" s="28">
        <f>+'[15]Data Input'!$H32</f>
        <v>2759925.54</v>
      </c>
      <c r="C25" s="24">
        <f>'Purchased Power Model '!C27</f>
        <v>331.5</v>
      </c>
      <c r="D25" s="24">
        <f>'Purchased Power Model '!D27</f>
        <v>0</v>
      </c>
      <c r="E25" s="17">
        <v>1</v>
      </c>
      <c r="F25" s="17">
        <v>30</v>
      </c>
      <c r="G25" s="116">
        <v>597.7</v>
      </c>
      <c r="H25" s="17">
        <f>'Purchased Power Model '!G27</f>
        <v>0</v>
      </c>
      <c r="I25" s="17">
        <f t="shared" si="0"/>
        <v>38078</v>
      </c>
      <c r="J25" s="17">
        <f>+'[15]Data Input'!$J32</f>
        <v>5203</v>
      </c>
      <c r="K25" s="10">
        <v>336.24</v>
      </c>
      <c r="L25" s="36">
        <v>128.32383528126866</v>
      </c>
      <c r="M25" s="17">
        <f t="shared" si="1"/>
        <v>3348960.5910369325</v>
      </c>
      <c r="O25"/>
      <c r="P25"/>
      <c r="Q25"/>
      <c r="R25"/>
      <c r="S25"/>
    </row>
    <row r="26" spans="1:19" ht="12.75">
      <c r="A26" s="3">
        <v>38108</v>
      </c>
      <c r="B26" s="28">
        <f>+'[15]Data Input'!$H33</f>
        <v>3239453.75</v>
      </c>
      <c r="C26" s="24">
        <f>'Purchased Power Model '!C28</f>
        <v>158.9</v>
      </c>
      <c r="D26" s="24">
        <f>'Purchased Power Model '!D28</f>
        <v>8.6</v>
      </c>
      <c r="E26" s="17">
        <v>1</v>
      </c>
      <c r="F26" s="17">
        <v>31</v>
      </c>
      <c r="G26" s="116">
        <v>605.6</v>
      </c>
      <c r="H26" s="17">
        <f>'Purchased Power Model '!G28</f>
        <v>0</v>
      </c>
      <c r="I26" s="17">
        <f t="shared" si="0"/>
        <v>38108</v>
      </c>
      <c r="J26" s="17">
        <f>+'[15]Data Input'!$J33</f>
        <v>5216</v>
      </c>
      <c r="K26" s="10">
        <v>319.92</v>
      </c>
      <c r="L26" s="36">
        <v>128.58816137146633</v>
      </c>
      <c r="M26" s="17">
        <f t="shared" si="1"/>
        <v>3219083.3609871515</v>
      </c>
      <c r="N26"/>
      <c r="O26"/>
      <c r="P26"/>
      <c r="Q26"/>
      <c r="R26"/>
      <c r="S26"/>
    </row>
    <row r="27" spans="1:19" ht="12.75">
      <c r="A27" s="3">
        <v>38139</v>
      </c>
      <c r="B27" s="28">
        <f>+'[15]Data Input'!$H34</f>
        <v>3224219.17</v>
      </c>
      <c r="C27" s="24">
        <f>'Purchased Power Model '!C29</f>
        <v>44.2</v>
      </c>
      <c r="D27" s="24">
        <f>'Purchased Power Model '!D29</f>
        <v>31.6</v>
      </c>
      <c r="E27" s="17">
        <v>0</v>
      </c>
      <c r="F27" s="17">
        <v>30</v>
      </c>
      <c r="G27" s="116">
        <v>615.4</v>
      </c>
      <c r="H27" s="17">
        <f>'Purchased Power Model '!G29</f>
        <v>0</v>
      </c>
      <c r="I27" s="17">
        <f t="shared" si="0"/>
        <v>38139</v>
      </c>
      <c r="J27" s="17">
        <f>+'[15]Data Input'!$J34</f>
        <v>5226</v>
      </c>
      <c r="K27" s="10">
        <v>352.08</v>
      </c>
      <c r="L27" s="36">
        <v>128.85303193013166</v>
      </c>
      <c r="M27" s="17">
        <f t="shared" si="1"/>
        <v>3252086.5107727335</v>
      </c>
      <c r="N27"/>
      <c r="O27"/>
      <c r="P27"/>
      <c r="Q27"/>
      <c r="R27"/>
      <c r="S27"/>
    </row>
    <row r="28" spans="1:19" ht="12.75">
      <c r="A28" s="3">
        <v>38169</v>
      </c>
      <c r="B28" s="28">
        <f>+'[15]Data Input'!$H35</f>
        <v>3519653.25</v>
      </c>
      <c r="C28" s="24">
        <f>'Purchased Power Model '!C30</f>
        <v>3.6</v>
      </c>
      <c r="D28" s="24">
        <f>'Purchased Power Model '!D30</f>
        <v>86.4</v>
      </c>
      <c r="E28" s="17">
        <v>0</v>
      </c>
      <c r="F28" s="17">
        <v>31</v>
      </c>
      <c r="G28" s="116">
        <v>623.8</v>
      </c>
      <c r="H28" s="17">
        <f>'Purchased Power Model '!G30</f>
        <v>0</v>
      </c>
      <c r="I28" s="17">
        <f t="shared" si="0"/>
        <v>38169</v>
      </c>
      <c r="J28" s="17">
        <f>+'[15]Data Input'!$J35</f>
        <v>5251</v>
      </c>
      <c r="K28" s="10">
        <v>336.288</v>
      </c>
      <c r="L28" s="36">
        <v>129.11844807878055</v>
      </c>
      <c r="M28" s="17">
        <f t="shared" si="1"/>
        <v>3555794.5777187967</v>
      </c>
      <c r="N28"/>
      <c r="O28"/>
      <c r="P28"/>
      <c r="Q28"/>
      <c r="R28"/>
      <c r="S28"/>
    </row>
    <row r="29" spans="1:19" ht="12.75">
      <c r="A29" s="3">
        <v>38200</v>
      </c>
      <c r="B29" s="28">
        <f>+'[15]Data Input'!$H36</f>
        <v>3487720.46</v>
      </c>
      <c r="C29" s="24">
        <f>'Purchased Power Model '!C31</f>
        <v>12.8</v>
      </c>
      <c r="D29" s="24">
        <f>'Purchased Power Model '!D31</f>
        <v>59.6</v>
      </c>
      <c r="E29" s="17">
        <v>0</v>
      </c>
      <c r="F29" s="17">
        <v>31</v>
      </c>
      <c r="G29" s="116">
        <v>625.7</v>
      </c>
      <c r="H29" s="17">
        <f>'Purchased Power Model '!G31</f>
        <v>0</v>
      </c>
      <c r="I29" s="17">
        <f t="shared" si="0"/>
        <v>38200</v>
      </c>
      <c r="J29" s="17">
        <f>+'[15]Data Input'!$J36</f>
        <v>5254</v>
      </c>
      <c r="K29" s="10">
        <v>336.288</v>
      </c>
      <c r="L29" s="36">
        <v>129.38441094123903</v>
      </c>
      <c r="M29" s="17">
        <f t="shared" si="1"/>
        <v>3471685.048135453</v>
      </c>
      <c r="N29"/>
      <c r="O29"/>
      <c r="P29"/>
      <c r="Q29"/>
      <c r="R29"/>
      <c r="S29"/>
    </row>
    <row r="30" spans="1:19" ht="12.75">
      <c r="A30" s="3">
        <v>38231</v>
      </c>
      <c r="B30" s="28">
        <f>+'[15]Data Input'!$H37</f>
        <v>3297016.24</v>
      </c>
      <c r="C30" s="24">
        <f>'Purchased Power Model '!C32</f>
        <v>30</v>
      </c>
      <c r="D30" s="24">
        <f>'Purchased Power Model '!D32</f>
        <v>41.2</v>
      </c>
      <c r="E30" s="17">
        <v>1</v>
      </c>
      <c r="F30" s="17">
        <v>30</v>
      </c>
      <c r="G30" s="116">
        <v>626.7</v>
      </c>
      <c r="H30" s="17">
        <f>'Purchased Power Model '!G32</f>
        <v>0</v>
      </c>
      <c r="I30" s="17">
        <f t="shared" si="0"/>
        <v>38231</v>
      </c>
      <c r="J30" s="17">
        <f>+'[15]Data Input'!$J37</f>
        <v>5268</v>
      </c>
      <c r="K30" s="10">
        <v>336.24</v>
      </c>
      <c r="L30" s="36">
        <v>129.65092164364802</v>
      </c>
      <c r="M30" s="17">
        <f t="shared" si="1"/>
        <v>3100206.9085201584</v>
      </c>
      <c r="N30"/>
      <c r="O30"/>
      <c r="P30"/>
      <c r="Q30"/>
      <c r="R30"/>
      <c r="S30"/>
    </row>
    <row r="31" spans="1:19" ht="12.75">
      <c r="A31" s="3">
        <v>38261</v>
      </c>
      <c r="B31" s="28">
        <f>+'[15]Data Input'!$H38</f>
        <v>3617219.03</v>
      </c>
      <c r="C31" s="24">
        <f>'Purchased Power Model '!C33</f>
        <v>226.3</v>
      </c>
      <c r="D31" s="24">
        <f>'Purchased Power Model '!D33</f>
        <v>1.5</v>
      </c>
      <c r="E31" s="17">
        <v>1</v>
      </c>
      <c r="F31" s="17">
        <v>31</v>
      </c>
      <c r="G31" s="116">
        <v>625.1</v>
      </c>
      <c r="H31" s="17">
        <f>'Purchased Power Model '!G33</f>
        <v>0</v>
      </c>
      <c r="I31" s="17">
        <f t="shared" si="0"/>
        <v>38261</v>
      </c>
      <c r="J31" s="17">
        <f>+'[15]Data Input'!$J38</f>
        <v>5280</v>
      </c>
      <c r="K31" s="10">
        <v>319.92</v>
      </c>
      <c r="L31" s="36">
        <v>129.91798131446814</v>
      </c>
      <c r="M31" s="17">
        <f t="shared" si="1"/>
        <v>3404326.594434114</v>
      </c>
      <c r="N31" s="17"/>
      <c r="O31"/>
      <c r="P31"/>
      <c r="Q31"/>
      <c r="R31"/>
      <c r="S31"/>
    </row>
    <row r="32" spans="1:19" ht="12.75">
      <c r="A32" s="3">
        <v>38292</v>
      </c>
      <c r="B32" s="28">
        <f>+'[15]Data Input'!$H39</f>
        <v>3893360.87</v>
      </c>
      <c r="C32" s="24">
        <f>'Purchased Power Model '!C34</f>
        <v>379.1</v>
      </c>
      <c r="D32" s="24">
        <f>'Purchased Power Model '!D34</f>
        <v>0</v>
      </c>
      <c r="E32" s="17">
        <v>1</v>
      </c>
      <c r="F32" s="17">
        <v>30</v>
      </c>
      <c r="G32" s="116">
        <v>625.2</v>
      </c>
      <c r="H32" s="17">
        <f>'Purchased Power Model '!G34</f>
        <v>0</v>
      </c>
      <c r="I32" s="17">
        <f t="shared" si="0"/>
        <v>38292</v>
      </c>
      <c r="J32" s="17">
        <f>+'[15]Data Input'!$J39</f>
        <v>5294</v>
      </c>
      <c r="K32" s="10">
        <v>352.08</v>
      </c>
      <c r="L32" s="36">
        <v>130.18559108448443</v>
      </c>
      <c r="M32" s="17">
        <f t="shared" si="1"/>
        <v>3564257.9032353866</v>
      </c>
      <c r="N32" s="17"/>
      <c r="O32"/>
      <c r="P32"/>
      <c r="Q32"/>
      <c r="R32"/>
      <c r="S32"/>
    </row>
    <row r="33" spans="1:19" ht="12.75">
      <c r="A33" s="3">
        <v>38322</v>
      </c>
      <c r="B33" s="28">
        <f>+'[15]Data Input'!$H40</f>
        <v>4762808.94</v>
      </c>
      <c r="C33" s="24">
        <f>'Purchased Power Model '!C35</f>
        <v>643.4</v>
      </c>
      <c r="D33" s="24">
        <f>'Purchased Power Model '!D35</f>
        <v>0</v>
      </c>
      <c r="E33" s="17">
        <v>0</v>
      </c>
      <c r="F33" s="17">
        <v>31</v>
      </c>
      <c r="G33" s="116">
        <v>628.4</v>
      </c>
      <c r="H33" s="17">
        <f>'Purchased Power Model '!G35</f>
        <v>0</v>
      </c>
      <c r="I33" s="17">
        <f t="shared" si="0"/>
        <v>38322</v>
      </c>
      <c r="J33" s="17">
        <f>+'[15]Data Input'!$J40</f>
        <v>5319</v>
      </c>
      <c r="K33" s="10">
        <v>336.288</v>
      </c>
      <c r="L33" s="36">
        <v>130.45375208681136</v>
      </c>
      <c r="M33" s="17">
        <f t="shared" si="1"/>
        <v>4395853.594601634</v>
      </c>
      <c r="N33" s="17"/>
      <c r="O33"/>
      <c r="P33"/>
      <c r="Q33"/>
      <c r="R33"/>
      <c r="S33"/>
    </row>
    <row r="34" spans="1:19" ht="12.75">
      <c r="A34" s="3">
        <v>38353</v>
      </c>
      <c r="B34" s="28">
        <f>+'[15]Data Input'!$H41</f>
        <v>4897512.12</v>
      </c>
      <c r="C34" s="24">
        <f>'Purchased Power Model '!C36</f>
        <v>770</v>
      </c>
      <c r="D34" s="24">
        <f>'Purchased Power Model '!D36</f>
        <v>0</v>
      </c>
      <c r="E34" s="17">
        <v>0</v>
      </c>
      <c r="F34" s="17">
        <v>31</v>
      </c>
      <c r="G34" s="116">
        <v>629.5</v>
      </c>
      <c r="H34" s="17">
        <f>'Purchased Power Model '!G36</f>
        <v>0</v>
      </c>
      <c r="I34" s="17">
        <f t="shared" si="0"/>
        <v>38353</v>
      </c>
      <c r="J34" s="17">
        <f>+'[15]Data Input'!$J41</f>
        <v>5321</v>
      </c>
      <c r="K34" s="10">
        <v>319.92</v>
      </c>
      <c r="L34" s="36">
        <v>130.7437021568508</v>
      </c>
      <c r="M34" s="17">
        <f t="shared" si="1"/>
        <v>4633019.708356567</v>
      </c>
      <c r="N34" s="17"/>
      <c r="O34"/>
      <c r="P34"/>
      <c r="Q34"/>
      <c r="R34"/>
      <c r="S34"/>
    </row>
    <row r="35" spans="1:19" ht="12.75">
      <c r="A35" s="3">
        <v>38384</v>
      </c>
      <c r="B35" s="28">
        <f>+'[15]Data Input'!$H42</f>
        <v>4113977.37</v>
      </c>
      <c r="C35" s="24">
        <f>'Purchased Power Model '!C37</f>
        <v>616.4</v>
      </c>
      <c r="D35" s="24">
        <f>'Purchased Power Model '!D37</f>
        <v>0</v>
      </c>
      <c r="E35" s="17">
        <v>0</v>
      </c>
      <c r="F35" s="17">
        <v>28</v>
      </c>
      <c r="G35" s="116">
        <v>630.9</v>
      </c>
      <c r="H35" s="17">
        <f>'Purchased Power Model '!G37</f>
        <v>0</v>
      </c>
      <c r="I35" s="17">
        <f t="shared" si="0"/>
        <v>38384</v>
      </c>
      <c r="J35" s="17">
        <f>+'[15]Data Input'!$J42</f>
        <v>5325</v>
      </c>
      <c r="K35" s="10">
        <v>319.872</v>
      </c>
      <c r="L35" s="36">
        <v>131.0342966778299</v>
      </c>
      <c r="M35" s="17">
        <f t="shared" si="1"/>
        <v>4014646.0026987176</v>
      </c>
      <c r="N35" s="17"/>
      <c r="O35"/>
      <c r="P35"/>
      <c r="Q35"/>
      <c r="R35"/>
      <c r="S35"/>
    </row>
    <row r="36" spans="1:19" ht="12.75">
      <c r="A36" s="3">
        <v>38412</v>
      </c>
      <c r="B36" s="28">
        <f>+'[15]Data Input'!$H43</f>
        <v>4150982.1</v>
      </c>
      <c r="C36" s="24">
        <f>'Purchased Power Model '!C38</f>
        <v>608.6</v>
      </c>
      <c r="D36" s="24">
        <f>'Purchased Power Model '!D38</f>
        <v>0</v>
      </c>
      <c r="E36" s="17">
        <v>1</v>
      </c>
      <c r="F36" s="17">
        <v>31</v>
      </c>
      <c r="G36" s="116">
        <v>628.1</v>
      </c>
      <c r="H36" s="17">
        <f>'Purchased Power Model '!G38</f>
        <v>0</v>
      </c>
      <c r="I36" s="17">
        <f t="shared" si="0"/>
        <v>38412</v>
      </c>
      <c r="J36" s="17">
        <f>+'[15]Data Input'!$J43</f>
        <v>5336</v>
      </c>
      <c r="K36" s="10">
        <v>351.912</v>
      </c>
      <c r="L36" s="36">
        <v>131.32553708212293</v>
      </c>
      <c r="M36" s="17">
        <f t="shared" si="1"/>
        <v>4112863.631947599</v>
      </c>
      <c r="N36" s="17"/>
      <c r="O36"/>
      <c r="P36"/>
      <c r="Q36"/>
      <c r="R36"/>
      <c r="S36"/>
    </row>
    <row r="37" spans="1:19" ht="12.75">
      <c r="A37" s="3">
        <v>38443</v>
      </c>
      <c r="B37" s="28">
        <f>+'[15]Data Input'!$H44</f>
        <v>3433209.68</v>
      </c>
      <c r="C37" s="24">
        <f>'Purchased Power Model '!C39</f>
        <v>306.8</v>
      </c>
      <c r="D37" s="24">
        <f>'Purchased Power Model '!D39</f>
        <v>0</v>
      </c>
      <c r="E37" s="17">
        <v>1</v>
      </c>
      <c r="F37" s="17">
        <v>30</v>
      </c>
      <c r="G37" s="116">
        <v>631.3</v>
      </c>
      <c r="H37" s="17">
        <f>'Purchased Power Model '!G39</f>
        <v>0</v>
      </c>
      <c r="I37" s="17">
        <f t="shared" si="0"/>
        <v>38443</v>
      </c>
      <c r="J37" s="17">
        <f>+'[15]Data Input'!$J44</f>
        <v>5343</v>
      </c>
      <c r="K37" s="10">
        <v>336.24</v>
      </c>
      <c r="L37" s="36">
        <v>131.61742480528775</v>
      </c>
      <c r="M37" s="17">
        <f t="shared" si="1"/>
        <v>3460144.04935202</v>
      </c>
      <c r="N37" s="17"/>
      <c r="O37"/>
      <c r="P37"/>
      <c r="Q37"/>
      <c r="R37"/>
      <c r="S37"/>
    </row>
    <row r="38" spans="1:19" ht="12.75">
      <c r="A38" s="3">
        <v>38473</v>
      </c>
      <c r="B38" s="28">
        <f>+'[15]Data Input'!$H45</f>
        <v>3331069.6</v>
      </c>
      <c r="C38" s="24">
        <f>'Purchased Power Model '!C40</f>
        <v>189.4</v>
      </c>
      <c r="D38" s="24">
        <f>'Purchased Power Model '!D40</f>
        <v>0.8</v>
      </c>
      <c r="E38" s="17">
        <v>1</v>
      </c>
      <c r="F38" s="17">
        <v>31</v>
      </c>
      <c r="G38" s="116">
        <v>638.6</v>
      </c>
      <c r="H38" s="17">
        <f>'Purchased Power Model '!G40</f>
        <v>0</v>
      </c>
      <c r="I38" s="17">
        <f t="shared" si="0"/>
        <v>38473</v>
      </c>
      <c r="J38" s="17">
        <f>+'[15]Data Input'!$J45</f>
        <v>5350</v>
      </c>
      <c r="K38" s="10">
        <v>336.288</v>
      </c>
      <c r="L38" s="36">
        <v>131.90996128607298</v>
      </c>
      <c r="M38" s="17">
        <f t="shared" si="1"/>
        <v>3396686.223124623</v>
      </c>
      <c r="N38" s="17"/>
      <c r="O38"/>
      <c r="P38"/>
      <c r="Q38"/>
      <c r="R38"/>
      <c r="S38"/>
    </row>
    <row r="39" spans="1:19" ht="12.75">
      <c r="A39" s="3">
        <v>38504</v>
      </c>
      <c r="B39" s="28">
        <f>+'[15]Data Input'!$H46</f>
        <v>3830183.48</v>
      </c>
      <c r="C39" s="24">
        <f>'Purchased Power Model '!C41</f>
        <v>8.9</v>
      </c>
      <c r="D39" s="24">
        <f>'Purchased Power Model '!D41</f>
        <v>146.3</v>
      </c>
      <c r="E39" s="17">
        <v>0</v>
      </c>
      <c r="F39" s="17">
        <v>30</v>
      </c>
      <c r="G39" s="116">
        <v>648.1</v>
      </c>
      <c r="H39" s="17">
        <f>'Purchased Power Model '!G41</f>
        <v>0</v>
      </c>
      <c r="I39" s="17">
        <f t="shared" si="0"/>
        <v>38504</v>
      </c>
      <c r="J39" s="17">
        <f>+'[15]Data Input'!$J46</f>
        <v>5360</v>
      </c>
      <c r="K39" s="10">
        <v>352.08</v>
      </c>
      <c r="L39" s="36">
        <v>132.203147966425</v>
      </c>
      <c r="M39" s="17">
        <f t="shared" si="1"/>
        <v>3809660.9111035727</v>
      </c>
      <c r="N39" s="17"/>
      <c r="O39"/>
      <c r="P39"/>
      <c r="Q39"/>
      <c r="R39"/>
      <c r="S39"/>
    </row>
    <row r="40" spans="1:19" ht="12.75">
      <c r="A40" s="3">
        <v>38534</v>
      </c>
      <c r="B40" s="28">
        <f>+'[15]Data Input'!$H47</f>
        <v>4313821.82</v>
      </c>
      <c r="C40" s="24">
        <f>'Purchased Power Model '!C42</f>
        <v>0</v>
      </c>
      <c r="D40" s="24">
        <f>'Purchased Power Model '!D42</f>
        <v>188.7</v>
      </c>
      <c r="E40" s="17">
        <v>0</v>
      </c>
      <c r="F40" s="17">
        <v>31</v>
      </c>
      <c r="G40" s="116">
        <v>653.1</v>
      </c>
      <c r="H40" s="17">
        <f>'Purchased Power Model '!G42</f>
        <v>0</v>
      </c>
      <c r="I40" s="17">
        <f t="shared" si="0"/>
        <v>38534</v>
      </c>
      <c r="J40" s="17">
        <f>+'[15]Data Input'!$J47</f>
        <v>5364</v>
      </c>
      <c r="K40" s="10">
        <v>319.92</v>
      </c>
      <c r="L40" s="36">
        <v>132.49698629149512</v>
      </c>
      <c r="M40" s="17">
        <f t="shared" si="1"/>
        <v>4104827.857536856</v>
      </c>
      <c r="N40" s="17"/>
      <c r="O40"/>
      <c r="P40"/>
      <c r="Q40"/>
      <c r="R40"/>
      <c r="S40"/>
    </row>
    <row r="41" spans="1:19" ht="12.75">
      <c r="A41" s="3">
        <v>38565</v>
      </c>
      <c r="B41" s="28">
        <f>+'[15]Data Input'!$H48</f>
        <v>3828829.8</v>
      </c>
      <c r="C41" s="24">
        <f>'Purchased Power Model '!C43</f>
        <v>0.2</v>
      </c>
      <c r="D41" s="24">
        <f>'Purchased Power Model '!D43</f>
        <v>140.7</v>
      </c>
      <c r="E41" s="17">
        <v>0</v>
      </c>
      <c r="F41" s="17">
        <v>31</v>
      </c>
      <c r="G41" s="116">
        <v>655.6</v>
      </c>
      <c r="H41" s="17">
        <f>'Purchased Power Model '!G43</f>
        <v>0</v>
      </c>
      <c r="I41" s="17">
        <f t="shared" si="0"/>
        <v>38565</v>
      </c>
      <c r="J41" s="17">
        <f>+'[15]Data Input'!$J48</f>
        <v>5371</v>
      </c>
      <c r="K41" s="10">
        <v>351.912</v>
      </c>
      <c r="L41" s="36">
        <v>132.79147770964664</v>
      </c>
      <c r="M41" s="17">
        <f t="shared" si="1"/>
        <v>3920144.147496025</v>
      </c>
      <c r="N41" s="17"/>
      <c r="O41"/>
      <c r="P41"/>
      <c r="Q41"/>
      <c r="R41"/>
      <c r="S41"/>
    </row>
    <row r="42" spans="1:19" ht="12.75">
      <c r="A42" s="3">
        <v>38596</v>
      </c>
      <c r="B42" s="28">
        <f>+'[15]Data Input'!$H49</f>
        <v>3278506.76</v>
      </c>
      <c r="C42" s="24">
        <f>'Purchased Power Model '!C44</f>
        <v>22.6</v>
      </c>
      <c r="D42" s="24">
        <f>'Purchased Power Model '!D44</f>
        <v>52.1</v>
      </c>
      <c r="E42" s="17">
        <v>1</v>
      </c>
      <c r="F42" s="17">
        <v>30</v>
      </c>
      <c r="G42" s="116">
        <v>652.2</v>
      </c>
      <c r="H42" s="17">
        <f>'Purchased Power Model '!G44</f>
        <v>0</v>
      </c>
      <c r="I42" s="17">
        <f t="shared" si="0"/>
        <v>38596</v>
      </c>
      <c r="J42" s="17">
        <f>+'[15]Data Input'!$J49</f>
        <v>5385</v>
      </c>
      <c r="K42" s="10">
        <v>336.24</v>
      </c>
      <c r="L42" s="36">
        <v>133.0866236724621</v>
      </c>
      <c r="M42" s="17">
        <f t="shared" si="1"/>
        <v>3250047.6736081336</v>
      </c>
      <c r="N42" s="17"/>
      <c r="O42"/>
      <c r="P42"/>
      <c r="Q42"/>
      <c r="R42"/>
      <c r="S42"/>
    </row>
    <row r="43" spans="1:19" ht="12.75">
      <c r="A43" s="3">
        <v>38626</v>
      </c>
      <c r="B43" s="28">
        <f>+'[15]Data Input'!$H50</f>
        <v>3525985.83</v>
      </c>
      <c r="C43" s="24">
        <f>'Purchased Power Model '!C45</f>
        <v>220.2</v>
      </c>
      <c r="D43" s="24">
        <f>'Purchased Power Model '!D45</f>
        <v>7.6</v>
      </c>
      <c r="E43" s="17">
        <v>1</v>
      </c>
      <c r="F43" s="17">
        <v>31</v>
      </c>
      <c r="G43" s="116">
        <v>649.8</v>
      </c>
      <c r="H43" s="17">
        <f>'Purchased Power Model '!G45</f>
        <v>0</v>
      </c>
      <c r="I43" s="17">
        <f t="shared" si="0"/>
        <v>38626</v>
      </c>
      <c r="J43" s="17">
        <f>+'[15]Data Input'!$J50</f>
        <v>5401</v>
      </c>
      <c r="K43" s="10">
        <v>319.92</v>
      </c>
      <c r="L43" s="36">
        <v>133.38242563475035</v>
      </c>
      <c r="M43" s="17">
        <f t="shared" si="1"/>
        <v>3533155.8433689387</v>
      </c>
      <c r="N43" s="17"/>
      <c r="O43"/>
      <c r="P43"/>
      <c r="Q43"/>
      <c r="R43"/>
      <c r="S43"/>
    </row>
    <row r="44" spans="1:19" ht="12.75">
      <c r="A44" s="3">
        <v>38657</v>
      </c>
      <c r="B44" s="28">
        <f>+'[15]Data Input'!$H51</f>
        <v>3931823.92</v>
      </c>
      <c r="C44" s="24">
        <f>'Purchased Power Model '!C46</f>
        <v>388.4</v>
      </c>
      <c r="D44" s="24">
        <f>'Purchased Power Model '!D46</f>
        <v>0</v>
      </c>
      <c r="E44" s="17">
        <v>1</v>
      </c>
      <c r="F44" s="17">
        <v>30</v>
      </c>
      <c r="G44" s="116">
        <v>643.8</v>
      </c>
      <c r="H44" s="17">
        <f>'Purchased Power Model '!G46</f>
        <v>0</v>
      </c>
      <c r="I44" s="17">
        <f t="shared" si="0"/>
        <v>38657</v>
      </c>
      <c r="J44" s="17">
        <f>+'[15]Data Input'!$J51</f>
        <v>5404</v>
      </c>
      <c r="K44" s="10">
        <v>352.08</v>
      </c>
      <c r="L44" s="36">
        <v>133.6788850545537</v>
      </c>
      <c r="M44" s="17">
        <f t="shared" si="1"/>
        <v>3667913.295108392</v>
      </c>
      <c r="N44" s="17"/>
      <c r="O44"/>
      <c r="P44"/>
      <c r="Q44"/>
      <c r="R44"/>
      <c r="S44"/>
    </row>
    <row r="45" spans="1:19" ht="12.75">
      <c r="A45" s="3">
        <v>38687</v>
      </c>
      <c r="B45" s="28">
        <f>+'[15]Data Input'!$H52</f>
        <v>4676709.91</v>
      </c>
      <c r="C45" s="24">
        <f>'Purchased Power Model '!C47</f>
        <v>665.3</v>
      </c>
      <c r="D45" s="24">
        <f>'Purchased Power Model '!D47</f>
        <v>0</v>
      </c>
      <c r="E45" s="17">
        <v>0</v>
      </c>
      <c r="F45" s="17">
        <v>31</v>
      </c>
      <c r="G45" s="116">
        <v>644.6</v>
      </c>
      <c r="H45" s="17">
        <f>'Purchased Power Model '!G47</f>
        <v>0</v>
      </c>
      <c r="I45" s="17">
        <f t="shared" si="0"/>
        <v>38687</v>
      </c>
      <c r="J45" s="17">
        <f>+'[15]Data Input'!$J52</f>
        <v>5409</v>
      </c>
      <c r="K45" s="10">
        <v>319.92</v>
      </c>
      <c r="L45" s="36">
        <v>133.97600339315525</v>
      </c>
      <c r="M45" s="17">
        <f t="shared" si="1"/>
        <v>4511427.997995312</v>
      </c>
      <c r="N45" s="17"/>
      <c r="O45"/>
      <c r="P45"/>
      <c r="Q45"/>
      <c r="R45"/>
      <c r="S45"/>
    </row>
    <row r="46" spans="1:19" ht="12.75">
      <c r="A46" s="3">
        <v>38718</v>
      </c>
      <c r="B46" s="28">
        <f>+'[15]Data Input'!$H53</f>
        <v>4505524.22</v>
      </c>
      <c r="C46" s="24">
        <f>'Purchased Power Model '!C48</f>
        <v>551.8</v>
      </c>
      <c r="D46" s="24">
        <f>'Purchased Power Model '!D48</f>
        <v>0</v>
      </c>
      <c r="E46" s="17">
        <v>0</v>
      </c>
      <c r="F46" s="17">
        <v>31</v>
      </c>
      <c r="G46" s="116">
        <v>643.6</v>
      </c>
      <c r="H46" s="17">
        <f>'Purchased Power Model '!G48</f>
        <v>5336.896278152831</v>
      </c>
      <c r="I46" s="17">
        <f t="shared" si="0"/>
        <v>38718</v>
      </c>
      <c r="J46" s="17">
        <f>+'[15]Data Input'!$J53</f>
        <v>5409</v>
      </c>
      <c r="K46" s="10">
        <v>336.288</v>
      </c>
      <c r="L46" s="36">
        <v>134.25197202423305</v>
      </c>
      <c r="M46" s="17">
        <f t="shared" si="1"/>
        <v>4294129.550131446</v>
      </c>
      <c r="N46" s="17"/>
      <c r="O46"/>
      <c r="P46"/>
      <c r="Q46"/>
      <c r="R46"/>
      <c r="S46"/>
    </row>
    <row r="47" spans="1:19" ht="12.75">
      <c r="A47" s="3">
        <v>38749</v>
      </c>
      <c r="B47" s="28">
        <f>+'[15]Data Input'!$H54</f>
        <v>3984911.07</v>
      </c>
      <c r="C47" s="24">
        <f>'Purchased Power Model '!C49</f>
        <v>604.3</v>
      </c>
      <c r="D47" s="24">
        <f>'Purchased Power Model '!D49</f>
        <v>0</v>
      </c>
      <c r="E47" s="17">
        <v>0</v>
      </c>
      <c r="F47" s="17">
        <v>28</v>
      </c>
      <c r="G47" s="116">
        <v>642.9</v>
      </c>
      <c r="H47" s="17">
        <f>'Purchased Power Model '!G49</f>
        <v>10673.792556305661</v>
      </c>
      <c r="I47" s="17">
        <f t="shared" si="0"/>
        <v>38749</v>
      </c>
      <c r="J47" s="17">
        <f>+'[15]Data Input'!$J54</f>
        <v>5417</v>
      </c>
      <c r="K47" s="10">
        <v>319.872</v>
      </c>
      <c r="L47" s="36">
        <v>134.5285091055065</v>
      </c>
      <c r="M47" s="17">
        <f t="shared" si="1"/>
        <v>4039127.4085471453</v>
      </c>
      <c r="N47" s="17"/>
      <c r="O47"/>
      <c r="P47"/>
      <c r="Q47"/>
      <c r="R47"/>
      <c r="S47"/>
    </row>
    <row r="48" spans="1:19" ht="12.75">
      <c r="A48" s="3">
        <v>38777</v>
      </c>
      <c r="B48" s="28">
        <f>+'[15]Data Input'!$H55</f>
        <v>4063856.93</v>
      </c>
      <c r="C48" s="24">
        <f>'Purchased Power Model '!C50</f>
        <v>516.6</v>
      </c>
      <c r="D48" s="24">
        <f>'Purchased Power Model '!D50</f>
        <v>0</v>
      </c>
      <c r="E48" s="17">
        <v>1</v>
      </c>
      <c r="F48" s="17">
        <v>31</v>
      </c>
      <c r="G48" s="116">
        <v>641</v>
      </c>
      <c r="H48" s="17">
        <f>'Purchased Power Model '!G50</f>
        <v>16010.688834458491</v>
      </c>
      <c r="I48" s="17">
        <f t="shared" si="0"/>
        <v>38777</v>
      </c>
      <c r="J48" s="17">
        <f>+'[15]Data Input'!$J55</f>
        <v>5418</v>
      </c>
      <c r="K48" s="10">
        <v>368.28</v>
      </c>
      <c r="L48" s="36">
        <v>134.80561580788986</v>
      </c>
      <c r="M48" s="17">
        <f t="shared" si="1"/>
        <v>3990478.9469076484</v>
      </c>
      <c r="N48" s="17"/>
      <c r="O48"/>
      <c r="P48"/>
      <c r="Q48"/>
      <c r="R48"/>
      <c r="S48"/>
    </row>
    <row r="49" spans="1:19" ht="12.75">
      <c r="A49" s="3">
        <v>38808</v>
      </c>
      <c r="B49" s="28">
        <f>+'[15]Data Input'!$H56</f>
        <v>3409069.93</v>
      </c>
      <c r="C49" s="24">
        <f>'Purchased Power Model '!C51</f>
        <v>293.3</v>
      </c>
      <c r="D49" s="24">
        <f>'Purchased Power Model '!D51</f>
        <v>0</v>
      </c>
      <c r="E49" s="17">
        <v>1</v>
      </c>
      <c r="F49" s="17">
        <v>30</v>
      </c>
      <c r="G49" s="116">
        <v>643.6</v>
      </c>
      <c r="H49" s="17">
        <f>'Purchased Power Model '!G51</f>
        <v>21347.585112611323</v>
      </c>
      <c r="I49" s="17">
        <f t="shared" si="0"/>
        <v>38808</v>
      </c>
      <c r="J49" s="17">
        <f>+'[15]Data Input'!$J56</f>
        <v>5422</v>
      </c>
      <c r="K49" s="10">
        <v>303.84</v>
      </c>
      <c r="L49" s="36">
        <v>135.08329330470943</v>
      </c>
      <c r="M49" s="17">
        <f t="shared" si="1"/>
        <v>3474238.627878349</v>
      </c>
      <c r="N49" s="17"/>
      <c r="O49"/>
      <c r="P49"/>
      <c r="Q49"/>
      <c r="R49"/>
      <c r="S49"/>
    </row>
    <row r="50" spans="1:19" ht="12.75">
      <c r="A50" s="3">
        <v>38838</v>
      </c>
      <c r="B50" s="28">
        <f>+'[15]Data Input'!$H57</f>
        <v>3321485.2</v>
      </c>
      <c r="C50" s="24">
        <f>'Purchased Power Model '!C52</f>
        <v>136.9</v>
      </c>
      <c r="D50" s="24">
        <f>'Purchased Power Model '!D52</f>
        <v>26</v>
      </c>
      <c r="E50" s="17">
        <v>1</v>
      </c>
      <c r="F50" s="17">
        <v>31</v>
      </c>
      <c r="G50" s="116">
        <v>652.3</v>
      </c>
      <c r="H50" s="17">
        <f>'Purchased Power Model '!G52</f>
        <v>26684.481390764155</v>
      </c>
      <c r="I50" s="17">
        <f t="shared" si="0"/>
        <v>38838</v>
      </c>
      <c r="J50" s="17">
        <f>+'[15]Data Input'!$J57</f>
        <v>5429</v>
      </c>
      <c r="K50" s="10">
        <v>351.912</v>
      </c>
      <c r="L50" s="36">
        <v>135.3615427717083</v>
      </c>
      <c r="M50" s="17">
        <f t="shared" si="1"/>
        <v>3444471.1388702122</v>
      </c>
      <c r="N50" s="17"/>
      <c r="O50"/>
      <c r="P50"/>
      <c r="Q50"/>
      <c r="R50"/>
      <c r="S50"/>
    </row>
    <row r="51" spans="1:19" ht="12.75">
      <c r="A51" s="3">
        <v>38869</v>
      </c>
      <c r="B51" s="28">
        <f>+'[15]Data Input'!$H58</f>
        <v>3566259.56</v>
      </c>
      <c r="C51" s="24">
        <f>'Purchased Power Model '!C53</f>
        <v>19.5</v>
      </c>
      <c r="D51" s="24">
        <f>'Purchased Power Model '!D53</f>
        <v>73.6</v>
      </c>
      <c r="E51" s="17">
        <v>0</v>
      </c>
      <c r="F51" s="17">
        <v>30</v>
      </c>
      <c r="G51" s="116">
        <v>660</v>
      </c>
      <c r="H51" s="17">
        <f>'Purchased Power Model '!G53</f>
        <v>32021.377668916986</v>
      </c>
      <c r="I51" s="17">
        <f t="shared" si="0"/>
        <v>38869</v>
      </c>
      <c r="J51" s="17">
        <f>+'[15]Data Input'!$J58</f>
        <v>5430</v>
      </c>
      <c r="K51" s="10">
        <v>352.08</v>
      </c>
      <c r="L51" s="36">
        <v>135.64036538705133</v>
      </c>
      <c r="M51" s="17">
        <f t="shared" si="1"/>
        <v>3558942.453458126</v>
      </c>
      <c r="N51" s="17"/>
      <c r="O51"/>
      <c r="P51"/>
      <c r="Q51"/>
      <c r="R51"/>
      <c r="S51"/>
    </row>
    <row r="52" spans="1:19" ht="12.75">
      <c r="A52" s="3">
        <v>38899</v>
      </c>
      <c r="B52" s="28">
        <f>+'[15]Data Input'!$H59</f>
        <v>4152499.23</v>
      </c>
      <c r="C52" s="24">
        <f>'Purchased Power Model '!C54</f>
        <v>0</v>
      </c>
      <c r="D52" s="24">
        <f>'Purchased Power Model '!D54</f>
        <v>167.3</v>
      </c>
      <c r="E52" s="17">
        <v>0</v>
      </c>
      <c r="F52" s="17">
        <v>31</v>
      </c>
      <c r="G52" s="116">
        <v>665.1</v>
      </c>
      <c r="H52" s="17">
        <f>'Purchased Power Model '!G54</f>
        <v>37358.273947069814</v>
      </c>
      <c r="I52" s="17">
        <f t="shared" si="0"/>
        <v>38899</v>
      </c>
      <c r="J52" s="17">
        <f>+'[15]Data Input'!$J59</f>
        <v>5434</v>
      </c>
      <c r="K52" s="10">
        <v>319.92</v>
      </c>
      <c r="L52" s="36">
        <v>135.9197623313303</v>
      </c>
      <c r="M52" s="17">
        <f t="shared" si="1"/>
        <v>4040751.4212852027</v>
      </c>
      <c r="N52" s="17"/>
      <c r="O52"/>
      <c r="P52"/>
      <c r="Q52"/>
      <c r="R52"/>
      <c r="S52"/>
    </row>
    <row r="53" spans="1:19" ht="12.75">
      <c r="A53" s="3">
        <v>38930</v>
      </c>
      <c r="B53" s="28">
        <f>+'[15]Data Input'!$H60</f>
        <v>3749698.25</v>
      </c>
      <c r="C53" s="24">
        <f>'Purchased Power Model '!C55</f>
        <v>4.2</v>
      </c>
      <c r="D53" s="24">
        <f>'Purchased Power Model '!D55</f>
        <v>101.6</v>
      </c>
      <c r="E53" s="17">
        <v>0</v>
      </c>
      <c r="F53" s="17">
        <v>31</v>
      </c>
      <c r="G53" s="116">
        <v>667.3</v>
      </c>
      <c r="H53" s="17">
        <f>'Purchased Power Model '!G55</f>
        <v>42695.170225222646</v>
      </c>
      <c r="I53" s="17">
        <f t="shared" si="0"/>
        <v>38930</v>
      </c>
      <c r="J53" s="17">
        <f>+'[15]Data Input'!$J60</f>
        <v>5437</v>
      </c>
      <c r="K53" s="10">
        <v>351.912</v>
      </c>
      <c r="L53" s="36">
        <v>136.1997347875688</v>
      </c>
      <c r="M53" s="17">
        <f t="shared" si="1"/>
        <v>3784863.560328008</v>
      </c>
      <c r="N53" s="17"/>
      <c r="O53"/>
      <c r="P53"/>
      <c r="Q53"/>
      <c r="R53"/>
      <c r="S53"/>
    </row>
    <row r="54" spans="1:19" ht="12.75">
      <c r="A54" s="3">
        <v>38961</v>
      </c>
      <c r="B54" s="28">
        <f>+'[15]Data Input'!$H61</f>
        <v>3274116.91</v>
      </c>
      <c r="C54" s="24">
        <f>'Purchased Power Model '!C56</f>
        <v>80.9</v>
      </c>
      <c r="D54" s="24">
        <f>'Purchased Power Model '!D56</f>
        <v>12.9</v>
      </c>
      <c r="E54" s="17">
        <v>1</v>
      </c>
      <c r="F54" s="17">
        <v>30</v>
      </c>
      <c r="G54" s="116">
        <v>664.9</v>
      </c>
      <c r="H54" s="17">
        <f>'Purchased Power Model '!G56</f>
        <v>48032.06650337548</v>
      </c>
      <c r="I54" s="17">
        <f t="shared" si="0"/>
        <v>38961</v>
      </c>
      <c r="J54" s="17">
        <f>+'[15]Data Input'!$J61</f>
        <v>5436</v>
      </c>
      <c r="K54" s="10">
        <v>319.68</v>
      </c>
      <c r="L54" s="36">
        <v>136.48028394122719</v>
      </c>
      <c r="M54" s="17">
        <f t="shared" si="1"/>
        <v>3213930.8851607363</v>
      </c>
      <c r="N54" s="17"/>
      <c r="O54"/>
      <c r="P54"/>
      <c r="Q54"/>
      <c r="R54"/>
      <c r="S54"/>
    </row>
    <row r="55" spans="1:19" ht="12.75">
      <c r="A55" s="3">
        <v>38991</v>
      </c>
      <c r="B55" s="28">
        <f>+'[15]Data Input'!$H62</f>
        <v>3654905.84</v>
      </c>
      <c r="C55" s="24">
        <f>'Purchased Power Model '!C57</f>
        <v>288.3</v>
      </c>
      <c r="D55" s="24">
        <f>'Purchased Power Model '!D57</f>
        <v>1.1</v>
      </c>
      <c r="E55" s="17">
        <v>1</v>
      </c>
      <c r="F55" s="17">
        <v>31</v>
      </c>
      <c r="G55" s="116">
        <v>667</v>
      </c>
      <c r="H55" s="17">
        <f>'Purchased Power Model '!G57</f>
        <v>53368.96278152831</v>
      </c>
      <c r="I55" s="17">
        <f t="shared" si="0"/>
        <v>38991</v>
      </c>
      <c r="J55" s="17">
        <f>+'[15]Data Input'!$J62</f>
        <v>5439</v>
      </c>
      <c r="K55" s="10">
        <v>336.288</v>
      </c>
      <c r="L55" s="36">
        <v>136.76141098020776</v>
      </c>
      <c r="M55" s="17">
        <f t="shared" si="1"/>
        <v>3665342.4311433206</v>
      </c>
      <c r="N55" s="17"/>
      <c r="O55"/>
      <c r="P55"/>
      <c r="Q55"/>
      <c r="R55"/>
      <c r="S55"/>
    </row>
    <row r="56" spans="1:19" ht="12.75">
      <c r="A56" s="3">
        <v>39022</v>
      </c>
      <c r="B56" s="28">
        <f>+'[15]Data Input'!$H63</f>
        <v>3751993.3</v>
      </c>
      <c r="C56" s="24">
        <f>'Purchased Power Model '!C58</f>
        <v>382.2</v>
      </c>
      <c r="D56" s="24">
        <f>'Purchased Power Model '!D58</f>
        <v>0</v>
      </c>
      <c r="E56" s="17">
        <v>1</v>
      </c>
      <c r="F56" s="17">
        <v>30</v>
      </c>
      <c r="G56" s="116">
        <v>666.2</v>
      </c>
      <c r="H56" s="17">
        <f>'Purchased Power Model '!G58</f>
        <v>58705.85905968114</v>
      </c>
      <c r="I56" s="17">
        <f t="shared" si="0"/>
        <v>39022</v>
      </c>
      <c r="J56" s="17">
        <f>+'[15]Data Input'!$J63</f>
        <v>5467</v>
      </c>
      <c r="K56" s="10">
        <v>352.08</v>
      </c>
      <c r="L56" s="36">
        <v>137.04311709485967</v>
      </c>
      <c r="M56" s="17">
        <f t="shared" si="1"/>
        <v>3710155.8975139707</v>
      </c>
      <c r="N56" s="17"/>
      <c r="O56"/>
      <c r="P56"/>
      <c r="Q56"/>
      <c r="R56"/>
      <c r="S56"/>
    </row>
    <row r="57" spans="1:19" ht="12.75">
      <c r="A57" s="3">
        <v>39052</v>
      </c>
      <c r="B57" s="28">
        <f>+'[15]Data Input'!$H64</f>
        <v>4253029.32</v>
      </c>
      <c r="C57" s="24">
        <f>'Purchased Power Model '!C59</f>
        <v>500.5</v>
      </c>
      <c r="D57" s="24">
        <f>'Purchased Power Model '!D59</f>
        <v>0</v>
      </c>
      <c r="E57" s="17">
        <v>0</v>
      </c>
      <c r="F57" s="17">
        <v>31</v>
      </c>
      <c r="G57" s="116">
        <v>667.7</v>
      </c>
      <c r="H57" s="17">
        <f>'Purchased Power Model '!G59</f>
        <v>64042.75533783397</v>
      </c>
      <c r="I57" s="17">
        <f t="shared" si="0"/>
        <v>39052</v>
      </c>
      <c r="J57" s="17">
        <f>+'[15]Data Input'!$J64</f>
        <v>5466</v>
      </c>
      <c r="K57" s="10">
        <v>304.296</v>
      </c>
      <c r="L57" s="36">
        <v>137.3254034779841</v>
      </c>
      <c r="M57" s="17">
        <f t="shared" si="1"/>
        <v>4261624.674358796</v>
      </c>
      <c r="N57" s="17"/>
      <c r="O57"/>
      <c r="P57"/>
      <c r="Q57"/>
      <c r="R57"/>
      <c r="S57"/>
    </row>
    <row r="58" spans="1:19" ht="12.75">
      <c r="A58" s="3">
        <v>39083</v>
      </c>
      <c r="B58" s="28">
        <f>+'[15]Data Input'!$H65</f>
        <v>4461680.57</v>
      </c>
      <c r="C58" s="24">
        <f>'Purchased Power Model '!C60</f>
        <v>647.1</v>
      </c>
      <c r="D58" s="24">
        <f>'Purchased Power Model '!D60</f>
        <v>0</v>
      </c>
      <c r="E58" s="17">
        <v>0</v>
      </c>
      <c r="F58" s="17">
        <v>31</v>
      </c>
      <c r="G58" s="116">
        <v>662.2</v>
      </c>
      <c r="H58" s="17">
        <f>'Purchased Power Model '!G60</f>
        <v>78567.68631241636</v>
      </c>
      <c r="I58" s="17">
        <f t="shared" si="0"/>
        <v>39083</v>
      </c>
      <c r="J58" s="17">
        <f>+'[15]Data Input'!$J65</f>
        <v>5472</v>
      </c>
      <c r="K58" s="10">
        <v>351.912</v>
      </c>
      <c r="L58" s="36">
        <v>137.5858759607308</v>
      </c>
      <c r="M58" s="17">
        <f t="shared" si="1"/>
        <v>4492172.726417094</v>
      </c>
      <c r="N58" s="17"/>
      <c r="O58"/>
      <c r="P58"/>
      <c r="Q58"/>
      <c r="R58"/>
      <c r="S58"/>
    </row>
    <row r="59" spans="1:19" ht="12.75">
      <c r="A59" s="3">
        <v>39114</v>
      </c>
      <c r="B59" s="28">
        <f>+'[15]Data Input'!$H66</f>
        <v>4107604.27</v>
      </c>
      <c r="C59" s="24">
        <f>'Purchased Power Model '!C61</f>
        <v>740.1</v>
      </c>
      <c r="D59" s="24">
        <f>'Purchased Power Model '!D61</f>
        <v>0</v>
      </c>
      <c r="E59" s="17">
        <v>0</v>
      </c>
      <c r="F59" s="17">
        <v>28</v>
      </c>
      <c r="G59" s="116">
        <v>656.8</v>
      </c>
      <c r="H59" s="17">
        <f>'Purchased Power Model '!G61</f>
        <v>93092.61728699875</v>
      </c>
      <c r="I59" s="17">
        <f t="shared" si="0"/>
        <v>39114</v>
      </c>
      <c r="J59" s="17">
        <f>+'[15]Data Input'!$J66</f>
        <v>5477</v>
      </c>
      <c r="K59" s="10">
        <v>319.872</v>
      </c>
      <c r="L59" s="36">
        <v>137.84684249565245</v>
      </c>
      <c r="M59" s="17">
        <f t="shared" si="1"/>
        <v>4281582.856705562</v>
      </c>
      <c r="N59" s="17"/>
      <c r="O59"/>
      <c r="P59"/>
      <c r="Q59"/>
      <c r="R59"/>
      <c r="S59"/>
    </row>
    <row r="60" spans="1:19" ht="12.75">
      <c r="A60" s="3">
        <v>39142</v>
      </c>
      <c r="B60" s="28">
        <f>+'[15]Data Input'!$H67</f>
        <v>3298119.67</v>
      </c>
      <c r="C60" s="24">
        <f>'Purchased Power Model '!C62</f>
        <v>546.7</v>
      </c>
      <c r="D60" s="24">
        <f>'Purchased Power Model '!D62</f>
        <v>0</v>
      </c>
      <c r="E60" s="17">
        <v>1</v>
      </c>
      <c r="F60" s="17">
        <v>31</v>
      </c>
      <c r="G60" s="116">
        <v>652.2</v>
      </c>
      <c r="H60" s="17">
        <f>'Purchased Power Model '!G62</f>
        <v>107617.54826158113</v>
      </c>
      <c r="I60" s="17">
        <f t="shared" si="0"/>
        <v>39142</v>
      </c>
      <c r="J60" s="17">
        <f>+'[15]Data Input'!$J67</f>
        <v>5472</v>
      </c>
      <c r="K60" s="10">
        <v>351.912</v>
      </c>
      <c r="L60" s="36">
        <v>138.10830401984444</v>
      </c>
      <c r="M60" s="17">
        <f t="shared" si="1"/>
        <v>4018690.7995246206</v>
      </c>
      <c r="N60" s="17"/>
      <c r="O60"/>
      <c r="P60"/>
      <c r="Q60"/>
      <c r="R60"/>
      <c r="S60"/>
    </row>
    <row r="61" spans="1:19" ht="12.75">
      <c r="A61" s="3">
        <v>39173</v>
      </c>
      <c r="B61" s="28">
        <f>+'[15]Data Input'!$H68</f>
        <v>3300103.27</v>
      </c>
      <c r="C61" s="24">
        <f>'Purchased Power Model '!C63</f>
        <v>356.4</v>
      </c>
      <c r="D61" s="24">
        <f>'Purchased Power Model '!D63</f>
        <v>0</v>
      </c>
      <c r="E61" s="17">
        <v>1</v>
      </c>
      <c r="F61" s="17">
        <v>30</v>
      </c>
      <c r="G61" s="116">
        <v>647.4</v>
      </c>
      <c r="H61" s="17">
        <f>'Purchased Power Model '!G63</f>
        <v>122142.47923616352</v>
      </c>
      <c r="I61" s="17">
        <f t="shared" si="0"/>
        <v>39173</v>
      </c>
      <c r="J61" s="17">
        <f>+'[15]Data Input'!$J68</f>
        <v>5477</v>
      </c>
      <c r="K61" s="10">
        <v>319.68</v>
      </c>
      <c r="L61" s="36">
        <v>138.37026147217955</v>
      </c>
      <c r="M61" s="17">
        <f t="shared" si="1"/>
        <v>3520543.720059053</v>
      </c>
      <c r="N61" s="17"/>
      <c r="O61"/>
      <c r="P61"/>
      <c r="Q61"/>
      <c r="R61"/>
      <c r="S61"/>
    </row>
    <row r="62" spans="1:19" ht="12.75">
      <c r="A62" s="3">
        <v>39203</v>
      </c>
      <c r="B62" s="28">
        <f>+'[15]Data Input'!$H69</f>
        <v>3160123.4</v>
      </c>
      <c r="C62" s="24">
        <f>'Purchased Power Model '!C64</f>
        <v>136.4</v>
      </c>
      <c r="D62" s="24">
        <f>'Purchased Power Model '!D64</f>
        <v>22.4</v>
      </c>
      <c r="E62" s="17">
        <v>1</v>
      </c>
      <c r="F62" s="17">
        <v>31</v>
      </c>
      <c r="G62" s="116">
        <v>646.9</v>
      </c>
      <c r="H62" s="17">
        <f>'Purchased Power Model '!G64</f>
        <v>136667.4102107459</v>
      </c>
      <c r="I62" s="17">
        <f t="shared" si="0"/>
        <v>39203</v>
      </c>
      <c r="J62" s="17">
        <f>+'[15]Data Input'!$J69</f>
        <v>5480</v>
      </c>
      <c r="K62" s="10">
        <v>351.912</v>
      </c>
      <c r="L62" s="36">
        <v>138.63271579331135</v>
      </c>
      <c r="M62" s="17">
        <f t="shared" si="1"/>
        <v>3308678.7490398353</v>
      </c>
      <c r="N62" s="17"/>
      <c r="O62"/>
      <c r="P62"/>
      <c r="Q62"/>
      <c r="R62"/>
      <c r="S62"/>
    </row>
    <row r="63" spans="1:19" ht="12.75">
      <c r="A63" s="3">
        <v>39234</v>
      </c>
      <c r="B63" s="28">
        <f>+'[15]Data Input'!$H70</f>
        <v>3284748.86</v>
      </c>
      <c r="C63" s="24">
        <f>'Purchased Power Model '!C65</f>
        <v>16.5</v>
      </c>
      <c r="D63" s="24">
        <f>'Purchased Power Model '!D65</f>
        <v>99.2</v>
      </c>
      <c r="E63" s="17">
        <v>0</v>
      </c>
      <c r="F63" s="17">
        <v>30</v>
      </c>
      <c r="G63" s="116">
        <v>652.3</v>
      </c>
      <c r="H63" s="17">
        <f>'Purchased Power Model '!G65</f>
        <v>151192.3411853283</v>
      </c>
      <c r="I63" s="17">
        <f t="shared" si="0"/>
        <v>39234</v>
      </c>
      <c r="J63" s="17">
        <f>+'[15]Data Input'!$J70</f>
        <v>5492</v>
      </c>
      <c r="K63" s="10">
        <v>336.24</v>
      </c>
      <c r="L63" s="36">
        <v>138.89566792567766</v>
      </c>
      <c r="M63" s="17">
        <f t="shared" si="1"/>
        <v>3519577.331426904</v>
      </c>
      <c r="N63" s="17"/>
      <c r="O63"/>
      <c r="P63"/>
      <c r="Q63"/>
      <c r="R63"/>
      <c r="S63"/>
    </row>
    <row r="64" spans="1:19" ht="12.75">
      <c r="A64" s="3">
        <v>39264</v>
      </c>
      <c r="B64" s="28">
        <f>+'[15]Data Input'!$H71</f>
        <v>3613206.49</v>
      </c>
      <c r="C64" s="24">
        <f>'Purchased Power Model '!C66</f>
        <v>3.2</v>
      </c>
      <c r="D64" s="24">
        <f>'Purchased Power Model '!D66</f>
        <v>106.1</v>
      </c>
      <c r="E64" s="17">
        <v>0</v>
      </c>
      <c r="F64" s="17">
        <v>31</v>
      </c>
      <c r="G64" s="116">
        <v>659.9</v>
      </c>
      <c r="H64" s="17">
        <f>'Purchased Power Model '!G66</f>
        <v>165717.27215991067</v>
      </c>
      <c r="I64" s="17">
        <f t="shared" si="0"/>
        <v>39264</v>
      </c>
      <c r="J64" s="17">
        <f>+'[15]Data Input'!$J71</f>
        <v>5495</v>
      </c>
      <c r="K64" s="10">
        <v>336.288</v>
      </c>
      <c r="L64" s="36">
        <v>139.1591188135038</v>
      </c>
      <c r="M64" s="17">
        <f t="shared" si="1"/>
        <v>3660773.130956417</v>
      </c>
      <c r="N64" s="17"/>
      <c r="O64"/>
      <c r="P64"/>
      <c r="Q64"/>
      <c r="R64"/>
      <c r="S64"/>
    </row>
    <row r="65" spans="1:19" ht="12.75">
      <c r="A65" s="3">
        <v>39295</v>
      </c>
      <c r="B65" s="28">
        <f>+'[15]Data Input'!$H72</f>
        <v>3612524.97</v>
      </c>
      <c r="C65" s="24">
        <f>'Purchased Power Model '!C67</f>
        <v>5.2</v>
      </c>
      <c r="D65" s="24">
        <f>'Purchased Power Model '!D67</f>
        <v>141</v>
      </c>
      <c r="E65" s="17">
        <v>0</v>
      </c>
      <c r="F65" s="17">
        <v>31</v>
      </c>
      <c r="G65" s="116">
        <v>662.1</v>
      </c>
      <c r="H65" s="17">
        <f>'Purchased Power Model '!G67</f>
        <v>180242.20313449306</v>
      </c>
      <c r="I65" s="17">
        <f t="shared" si="0"/>
        <v>39295</v>
      </c>
      <c r="J65" s="17">
        <f>+'[15]Data Input'!$J72</f>
        <v>5501</v>
      </c>
      <c r="K65" s="10">
        <v>351.912</v>
      </c>
      <c r="L65" s="36">
        <v>139.4230694028061</v>
      </c>
      <c r="M65" s="17">
        <f t="shared" si="1"/>
        <v>3805150.5661378563</v>
      </c>
      <c r="N65" s="17"/>
      <c r="O65"/>
      <c r="P65"/>
      <c r="Q65"/>
      <c r="R65"/>
      <c r="S65"/>
    </row>
    <row r="66" spans="1:19" ht="12.75">
      <c r="A66" s="3">
        <v>39326</v>
      </c>
      <c r="B66" s="28">
        <f>+'[15]Data Input'!$H73</f>
        <v>3205957.77</v>
      </c>
      <c r="C66" s="24">
        <f>'Purchased Power Model '!C68</f>
        <v>36.9</v>
      </c>
      <c r="D66" s="24">
        <f>'Purchased Power Model '!D68</f>
        <v>47.5</v>
      </c>
      <c r="E66" s="17">
        <v>1</v>
      </c>
      <c r="F66" s="17">
        <v>30</v>
      </c>
      <c r="G66" s="116">
        <v>660.7</v>
      </c>
      <c r="H66" s="17">
        <f>'Purchased Power Model '!G68</f>
        <v>194767.13410907544</v>
      </c>
      <c r="I66" s="17">
        <f t="shared" si="0"/>
        <v>39326</v>
      </c>
      <c r="J66" s="17">
        <f>+'[15]Data Input'!$J73</f>
        <v>5510</v>
      </c>
      <c r="K66" s="10">
        <v>303.84</v>
      </c>
      <c r="L66" s="36">
        <v>139.68752064139528</v>
      </c>
      <c r="M66" s="17">
        <f>$P$18+$P$19*C66+$P$20*D66+$P$21*E66+$P$22*F66+$P$23*G66+$P$24*H66</f>
        <v>3128790.437998816</v>
      </c>
      <c r="N66" s="17"/>
      <c r="O66"/>
      <c r="P66"/>
      <c r="Q66"/>
      <c r="R66"/>
      <c r="S66"/>
    </row>
    <row r="67" spans="1:19" ht="12.75">
      <c r="A67" s="3">
        <v>39356</v>
      </c>
      <c r="B67" s="28">
        <f>+'[15]Data Input'!$H74</f>
        <v>3342156.14</v>
      </c>
      <c r="C67" s="24">
        <f>'Purchased Power Model '!C69</f>
        <v>137.7</v>
      </c>
      <c r="D67" s="24">
        <f>'Purchased Power Model '!D69</f>
        <v>19.8</v>
      </c>
      <c r="E67" s="17">
        <v>1</v>
      </c>
      <c r="F67" s="17">
        <v>31</v>
      </c>
      <c r="G67" s="116">
        <v>662.5</v>
      </c>
      <c r="H67" s="17">
        <f>'Purchased Power Model '!G69</f>
        <v>209292.06508365783</v>
      </c>
      <c r="I67" s="17">
        <f t="shared" si="0"/>
        <v>39356</v>
      </c>
      <c r="J67" s="17">
        <f>+'[15]Data Input'!$J74</f>
        <v>5510</v>
      </c>
      <c r="K67" s="10">
        <v>351.912</v>
      </c>
      <c r="L67" s="36">
        <v>139.95247347887977</v>
      </c>
      <c r="M67" s="17">
        <f t="shared" si="1"/>
        <v>3310330.196021314</v>
      </c>
      <c r="N67" s="17"/>
      <c r="O67"/>
      <c r="P67"/>
      <c r="Q67"/>
      <c r="R67"/>
      <c r="S67"/>
    </row>
    <row r="68" spans="1:19" ht="12.75">
      <c r="A68" s="3">
        <v>39387</v>
      </c>
      <c r="B68" s="28">
        <f>+'[15]Data Input'!$H75</f>
        <v>3728702.87</v>
      </c>
      <c r="C68" s="24">
        <f>'Purchased Power Model '!C70</f>
        <v>462.5</v>
      </c>
      <c r="D68" s="24">
        <f>'Purchased Power Model '!D70</f>
        <v>0</v>
      </c>
      <c r="E68" s="17">
        <v>1</v>
      </c>
      <c r="F68" s="17">
        <v>30</v>
      </c>
      <c r="G68" s="116">
        <v>666.7</v>
      </c>
      <c r="H68" s="17">
        <f>'Purchased Power Model '!G70</f>
        <v>223816.9960582402</v>
      </c>
      <c r="I68" s="17">
        <f aca="true" t="shared" si="2" ref="I68:I131">A68</f>
        <v>39387</v>
      </c>
      <c r="J68" s="17">
        <f>+'[15]Data Input'!$J75</f>
        <v>5513</v>
      </c>
      <c r="K68" s="10">
        <v>352.08</v>
      </c>
      <c r="L68" s="36">
        <v>140.21792886666915</v>
      </c>
      <c r="M68" s="17">
        <f aca="true" t="shared" si="3" ref="M68:M131">$P$18+$P$19*C68+$P$20*D68+$P$21*E68+$P$22*F68+$P$23*G68+$P$24*H68</f>
        <v>3717078.0986779286</v>
      </c>
      <c r="N68" s="17"/>
      <c r="O68"/>
      <c r="P68"/>
      <c r="Q68"/>
      <c r="R68"/>
      <c r="S68"/>
    </row>
    <row r="69" spans="1:19" ht="12.75">
      <c r="A69" s="3">
        <v>39417</v>
      </c>
      <c r="B69" s="28">
        <f>+'[15]Data Input'!$H76</f>
        <v>4422402.16</v>
      </c>
      <c r="C69" s="24">
        <f>'Purchased Power Model '!C71</f>
        <v>630.7</v>
      </c>
      <c r="D69" s="24">
        <f>'Purchased Power Model '!D71</f>
        <v>0</v>
      </c>
      <c r="E69" s="17">
        <v>0</v>
      </c>
      <c r="F69" s="17">
        <v>31</v>
      </c>
      <c r="G69" s="116">
        <v>668.5</v>
      </c>
      <c r="H69" s="17">
        <f>'Purchased Power Model '!G71</f>
        <v>238341.9270328226</v>
      </c>
      <c r="I69" s="17">
        <f t="shared" si="2"/>
        <v>39417</v>
      </c>
      <c r="J69" s="17">
        <f>+'[15]Data Input'!$J76</f>
        <v>5510</v>
      </c>
      <c r="K69" s="10">
        <v>304.296</v>
      </c>
      <c r="L69" s="36">
        <v>140.48388775797773</v>
      </c>
      <c r="M69" s="17">
        <f t="shared" si="3"/>
        <v>4353470.450446861</v>
      </c>
      <c r="N69" s="17"/>
      <c r="O69"/>
      <c r="P69"/>
      <c r="Q69"/>
      <c r="R69"/>
      <c r="S69"/>
    </row>
    <row r="70" spans="1:19" ht="12.75">
      <c r="A70" s="3">
        <v>39448</v>
      </c>
      <c r="B70" s="28">
        <f>+'[15]Data Input'!$H77</f>
        <v>4418801.34</v>
      </c>
      <c r="C70" s="24">
        <f>'Purchased Power Model '!C72</f>
        <v>623.5</v>
      </c>
      <c r="D70" s="24">
        <f>'Purchased Power Model '!D72</f>
        <v>0</v>
      </c>
      <c r="E70" s="17">
        <v>0</v>
      </c>
      <c r="F70" s="17">
        <v>31</v>
      </c>
      <c r="G70" s="116">
        <v>661.4</v>
      </c>
      <c r="H70" s="17">
        <f>'Purchased Power Model '!G72</f>
        <v>229402.04229052924</v>
      </c>
      <c r="I70" s="17">
        <f t="shared" si="2"/>
        <v>39448</v>
      </c>
      <c r="J70" s="17">
        <f>+'[15]Data Input'!$J77</f>
        <v>5512</v>
      </c>
      <c r="K70" s="1">
        <v>352</v>
      </c>
      <c r="L70" s="34">
        <v>140.42521823206457</v>
      </c>
      <c r="M70" s="17">
        <f t="shared" si="3"/>
        <v>4314933.349591363</v>
      </c>
      <c r="N70" s="17"/>
      <c r="O70"/>
      <c r="P70"/>
      <c r="Q70"/>
      <c r="R70"/>
      <c r="S70"/>
    </row>
    <row r="71" spans="1:19" ht="12.75">
      <c r="A71" s="3">
        <v>39479</v>
      </c>
      <c r="B71" s="28">
        <f>+'[15]Data Input'!$H78</f>
        <v>4060650.67</v>
      </c>
      <c r="C71" s="24">
        <f>'Purchased Power Model '!C73</f>
        <v>674.7</v>
      </c>
      <c r="D71" s="24">
        <f>'Purchased Power Model '!D73</f>
        <v>0</v>
      </c>
      <c r="E71" s="17">
        <v>0</v>
      </c>
      <c r="F71" s="17">
        <v>29</v>
      </c>
      <c r="G71" s="116">
        <v>656.3</v>
      </c>
      <c r="H71" s="17">
        <f>'Purchased Power Model '!G73</f>
        <v>220462.15754823587</v>
      </c>
      <c r="I71" s="17">
        <f t="shared" si="2"/>
        <v>39479</v>
      </c>
      <c r="J71" s="17">
        <f>+'[15]Data Input'!$J78</f>
        <v>5522</v>
      </c>
      <c r="K71" s="1">
        <v>320</v>
      </c>
      <c r="L71" s="34">
        <v>140.36657320798807</v>
      </c>
      <c r="M71" s="17">
        <f t="shared" si="3"/>
        <v>4163842.8958018483</v>
      </c>
      <c r="N71" s="17"/>
      <c r="O71"/>
      <c r="P71"/>
      <c r="Q71"/>
      <c r="R71"/>
      <c r="S71"/>
    </row>
    <row r="72" spans="1:19" ht="12.75">
      <c r="A72" s="3">
        <v>39508</v>
      </c>
      <c r="B72" s="28">
        <f>+'[15]Data Input'!$H79</f>
        <v>3984822.59</v>
      </c>
      <c r="C72" s="24">
        <f>'Purchased Power Model '!C74</f>
        <v>610.2</v>
      </c>
      <c r="D72" s="24">
        <f>'Purchased Power Model '!D74</f>
        <v>0</v>
      </c>
      <c r="E72" s="17">
        <v>1</v>
      </c>
      <c r="F72" s="17">
        <v>31</v>
      </c>
      <c r="G72" s="116">
        <v>647</v>
      </c>
      <c r="H72" s="17">
        <f>'Purchased Power Model '!G74</f>
        <v>211522.2728059425</v>
      </c>
      <c r="I72" s="17">
        <f t="shared" si="2"/>
        <v>39508</v>
      </c>
      <c r="J72" s="17">
        <f>+'[15]Data Input'!$J79</f>
        <v>5523</v>
      </c>
      <c r="K72" s="1">
        <v>304</v>
      </c>
      <c r="L72" s="34">
        <v>140.30795267551565</v>
      </c>
      <c r="M72" s="17">
        <f t="shared" si="3"/>
        <v>4021135.6276045395</v>
      </c>
      <c r="N72" s="17"/>
      <c r="O72"/>
      <c r="P72"/>
      <c r="Q72"/>
      <c r="R72"/>
      <c r="S72"/>
    </row>
    <row r="73" spans="1:19" ht="12.75">
      <c r="A73" s="3">
        <v>39539</v>
      </c>
      <c r="B73" s="28">
        <f>+'[15]Data Input'!$H80</f>
        <v>3265381.5</v>
      </c>
      <c r="C73" s="24">
        <f>'Purchased Power Model '!C75</f>
        <v>253.9</v>
      </c>
      <c r="D73" s="24">
        <f>'Purchased Power Model '!D75</f>
        <v>0</v>
      </c>
      <c r="E73" s="17">
        <v>1</v>
      </c>
      <c r="F73" s="17">
        <v>30</v>
      </c>
      <c r="G73" s="116">
        <v>647.2</v>
      </c>
      <c r="H73" s="17">
        <f>'Purchased Power Model '!G75</f>
        <v>202582.38806364915</v>
      </c>
      <c r="I73" s="17">
        <f t="shared" si="2"/>
        <v>39539</v>
      </c>
      <c r="J73" s="17">
        <f>+'[15]Data Input'!$J80</f>
        <v>5524</v>
      </c>
      <c r="K73" s="1">
        <v>352</v>
      </c>
      <c r="L73" s="34">
        <v>140.24935662441902</v>
      </c>
      <c r="M73" s="17">
        <f t="shared" si="3"/>
        <v>3262274.524618617</v>
      </c>
      <c r="N73" s="17"/>
      <c r="O73"/>
      <c r="P73"/>
      <c r="Q73"/>
      <c r="R73"/>
      <c r="S73"/>
    </row>
    <row r="74" spans="1:19" ht="12.75">
      <c r="A74" s="3">
        <v>39569</v>
      </c>
      <c r="B74" s="28">
        <f>+'[15]Data Input'!$H81</f>
        <v>3136318.5</v>
      </c>
      <c r="C74" s="24">
        <f>'Purchased Power Model '!C76</f>
        <v>193.5</v>
      </c>
      <c r="D74" s="24">
        <f>'Purchased Power Model '!D76</f>
        <v>2.5</v>
      </c>
      <c r="E74" s="17">
        <v>1</v>
      </c>
      <c r="F74" s="17">
        <v>31</v>
      </c>
      <c r="G74" s="116">
        <v>648.8</v>
      </c>
      <c r="H74" s="17">
        <f>'Purchased Power Model '!G76</f>
        <v>193642.5033213558</v>
      </c>
      <c r="I74" s="17">
        <f t="shared" si="2"/>
        <v>39569</v>
      </c>
      <c r="J74" s="17">
        <f>+'[15]Data Input'!$J81</f>
        <v>5530</v>
      </c>
      <c r="K74" s="1">
        <v>336</v>
      </c>
      <c r="L74" s="34">
        <v>140.19078504447415</v>
      </c>
      <c r="M74" s="17">
        <f t="shared" si="3"/>
        <v>3291436.369755962</v>
      </c>
      <c r="N74" s="17"/>
      <c r="O74"/>
      <c r="P74"/>
      <c r="Q74"/>
      <c r="R74"/>
      <c r="S74"/>
    </row>
    <row r="75" spans="1:19" ht="12.75">
      <c r="A75" s="3">
        <v>39600</v>
      </c>
      <c r="B75" s="28">
        <f>+'[15]Data Input'!$H82</f>
        <v>3313927.88</v>
      </c>
      <c r="C75" s="24">
        <f>'Purchased Power Model '!C77</f>
        <v>22.7</v>
      </c>
      <c r="D75" s="24">
        <f>'Purchased Power Model '!D77</f>
        <v>71.5</v>
      </c>
      <c r="E75" s="17">
        <v>0</v>
      </c>
      <c r="F75" s="17">
        <v>30</v>
      </c>
      <c r="G75" s="116">
        <v>656.8</v>
      </c>
      <c r="H75" s="17">
        <f>'Purchased Power Model '!G77</f>
        <v>184702.61857906243</v>
      </c>
      <c r="I75" s="17">
        <f t="shared" si="2"/>
        <v>39600</v>
      </c>
      <c r="J75" s="17">
        <f>+'[15]Data Input'!$J82</f>
        <v>5530</v>
      </c>
      <c r="K75" s="1">
        <v>336</v>
      </c>
      <c r="L75" s="34">
        <v>140.1322379254613</v>
      </c>
      <c r="M75" s="17">
        <f t="shared" si="3"/>
        <v>3409448.9602948385</v>
      </c>
      <c r="N75" s="17"/>
      <c r="O75"/>
      <c r="P75"/>
      <c r="Q75"/>
      <c r="R75"/>
      <c r="S75"/>
    </row>
    <row r="76" spans="1:19" ht="12.75">
      <c r="A76" s="3">
        <v>39630</v>
      </c>
      <c r="B76" s="28">
        <f>+'[15]Data Input'!$H83</f>
        <v>3645282.12</v>
      </c>
      <c r="C76" s="24">
        <f>'Purchased Power Model '!C78</f>
        <v>1</v>
      </c>
      <c r="D76" s="24">
        <f>'Purchased Power Model '!D78</f>
        <v>111</v>
      </c>
      <c r="E76" s="17">
        <v>0</v>
      </c>
      <c r="F76" s="17">
        <v>31</v>
      </c>
      <c r="G76" s="116">
        <v>663.6</v>
      </c>
      <c r="H76" s="17">
        <f>'Purchased Power Model '!G78</f>
        <v>175762.73383676907</v>
      </c>
      <c r="I76" s="17">
        <f t="shared" si="2"/>
        <v>39630</v>
      </c>
      <c r="J76" s="17">
        <f>+'[15]Data Input'!$J83</f>
        <v>5537</v>
      </c>
      <c r="K76" s="1">
        <v>352</v>
      </c>
      <c r="L76" s="34">
        <v>140.073715257165</v>
      </c>
      <c r="M76" s="17">
        <f t="shared" si="3"/>
        <v>3685373.359653809</v>
      </c>
      <c r="N76" s="17"/>
      <c r="O76"/>
      <c r="P76"/>
      <c r="Q76"/>
      <c r="R76"/>
      <c r="S76"/>
    </row>
    <row r="77" spans="1:19" ht="12.75">
      <c r="A77" s="3">
        <v>39661</v>
      </c>
      <c r="B77" s="28">
        <f>+'[15]Data Input'!$H84</f>
        <v>3464222.41</v>
      </c>
      <c r="C77" s="24">
        <f>'Purchased Power Model '!C79</f>
        <v>12.7</v>
      </c>
      <c r="D77" s="24">
        <f>'Purchased Power Model '!D79</f>
        <v>64</v>
      </c>
      <c r="E77" s="17">
        <v>0</v>
      </c>
      <c r="F77" s="17">
        <v>31</v>
      </c>
      <c r="G77" s="116">
        <v>666.6</v>
      </c>
      <c r="H77" s="17">
        <f>'Purchased Power Model '!G79</f>
        <v>166822.8490944757</v>
      </c>
      <c r="I77" s="17">
        <f t="shared" si="2"/>
        <v>39661</v>
      </c>
      <c r="J77" s="17">
        <f>+'[15]Data Input'!$J84</f>
        <v>5545</v>
      </c>
      <c r="K77" s="1">
        <v>320</v>
      </c>
      <c r="L77" s="34">
        <v>140.01521702937399</v>
      </c>
      <c r="M77" s="17">
        <f t="shared" si="3"/>
        <v>3535914.1825517965</v>
      </c>
      <c r="N77" s="17"/>
      <c r="O77"/>
      <c r="P77"/>
      <c r="Q77"/>
      <c r="R77"/>
      <c r="S77"/>
    </row>
    <row r="78" spans="1:19" ht="12.75">
      <c r="A78" s="3">
        <v>39692</v>
      </c>
      <c r="B78" s="28">
        <f>+'[15]Data Input'!$H85</f>
        <v>3176083.79</v>
      </c>
      <c r="C78" s="24">
        <f>'Purchased Power Model '!C80</f>
        <v>59</v>
      </c>
      <c r="D78" s="24">
        <f>'Purchased Power Model '!D80</f>
        <v>26.7</v>
      </c>
      <c r="E78" s="17">
        <v>1</v>
      </c>
      <c r="F78" s="17">
        <v>30</v>
      </c>
      <c r="G78" s="116">
        <v>669.7</v>
      </c>
      <c r="H78" s="17">
        <f>'Purchased Power Model '!G80</f>
        <v>157882.96435218235</v>
      </c>
      <c r="I78" s="17">
        <f t="shared" si="2"/>
        <v>39692</v>
      </c>
      <c r="J78" s="17">
        <f>+'[15]Data Input'!$J85</f>
        <v>5546</v>
      </c>
      <c r="K78" s="1">
        <v>336</v>
      </c>
      <c r="L78" s="34">
        <v>139.95674323188132</v>
      </c>
      <c r="M78" s="17">
        <f t="shared" si="3"/>
        <v>3157824.787902657</v>
      </c>
      <c r="N78" s="17"/>
      <c r="O78"/>
      <c r="P78"/>
      <c r="Q78"/>
      <c r="R78"/>
      <c r="S78"/>
    </row>
    <row r="79" spans="1:19" ht="12.75">
      <c r="A79" s="3">
        <v>39722</v>
      </c>
      <c r="B79" s="28">
        <f>+'[15]Data Input'!$H86</f>
        <v>3393414.05</v>
      </c>
      <c r="C79" s="24">
        <f>'Purchased Power Model '!C81</f>
        <v>278.6</v>
      </c>
      <c r="D79" s="24">
        <f>'Purchased Power Model '!D81</f>
        <v>0</v>
      </c>
      <c r="E79" s="17">
        <v>1</v>
      </c>
      <c r="F79" s="17">
        <v>31</v>
      </c>
      <c r="G79" s="116">
        <v>673</v>
      </c>
      <c r="H79" s="17">
        <f>'Purchased Power Model '!G81</f>
        <v>148943.07960988898</v>
      </c>
      <c r="I79" s="17">
        <f t="shared" si="2"/>
        <v>39722</v>
      </c>
      <c r="J79" s="17">
        <f>+'[15]Data Input'!$J86</f>
        <v>5556</v>
      </c>
      <c r="K79" s="1">
        <v>352</v>
      </c>
      <c r="L79" s="34">
        <v>139.8982938544843</v>
      </c>
      <c r="M79" s="17">
        <f t="shared" si="3"/>
        <v>3588458.231774947</v>
      </c>
      <c r="N79" s="17"/>
      <c r="O79"/>
      <c r="P79"/>
      <c r="Q79"/>
      <c r="R79"/>
      <c r="S79"/>
    </row>
    <row r="80" spans="1:19" ht="12.75">
      <c r="A80" s="3">
        <v>39753</v>
      </c>
      <c r="B80" s="28">
        <f>+'[15]Data Input'!$H87</f>
        <v>3815770.92</v>
      </c>
      <c r="C80" s="24">
        <f>'Purchased Power Model '!C82</f>
        <v>451.6</v>
      </c>
      <c r="D80" s="24">
        <f>'Purchased Power Model '!D82</f>
        <v>0</v>
      </c>
      <c r="E80" s="17">
        <v>1</v>
      </c>
      <c r="F80" s="17">
        <v>30</v>
      </c>
      <c r="G80" s="116">
        <v>676.9</v>
      </c>
      <c r="H80" s="17">
        <f>'Purchased Power Model '!G82</f>
        <v>140003.19486759562</v>
      </c>
      <c r="I80" s="17">
        <f t="shared" si="2"/>
        <v>39753</v>
      </c>
      <c r="J80" s="17">
        <f>+'[15]Data Input'!$J87</f>
        <v>5559</v>
      </c>
      <c r="K80" s="1">
        <v>304</v>
      </c>
      <c r="L80" s="34">
        <v>139.83986888698453</v>
      </c>
      <c r="M80" s="17">
        <f t="shared" si="3"/>
        <v>3816975.298602021</v>
      </c>
      <c r="N80" s="17"/>
      <c r="O80"/>
      <c r="P80"/>
      <c r="Q80"/>
      <c r="R80"/>
      <c r="S80"/>
    </row>
    <row r="81" spans="1:19" ht="12.75">
      <c r="A81" s="3">
        <v>39783</v>
      </c>
      <c r="B81" s="28">
        <f>+'[15]Data Input'!$H88</f>
        <v>4592449.76</v>
      </c>
      <c r="C81" s="24">
        <f>'Purchased Power Model '!C83</f>
        <v>654.6</v>
      </c>
      <c r="D81" s="24">
        <f>'Purchased Power Model '!D83</f>
        <v>0</v>
      </c>
      <c r="E81" s="17">
        <v>0</v>
      </c>
      <c r="F81" s="17">
        <v>31</v>
      </c>
      <c r="G81" s="116">
        <v>673.6</v>
      </c>
      <c r="H81" s="17">
        <f>'Purchased Power Model '!G83</f>
        <v>131063.31012530225</v>
      </c>
      <c r="I81" s="17">
        <f t="shared" si="2"/>
        <v>39783</v>
      </c>
      <c r="J81" s="17">
        <f>+'[15]Data Input'!$J88</f>
        <v>5562</v>
      </c>
      <c r="K81" s="1">
        <v>336</v>
      </c>
      <c r="L81" s="34">
        <v>139.78146831918784</v>
      </c>
      <c r="M81" s="17">
        <f t="shared" si="3"/>
        <v>4513668.321342363</v>
      </c>
      <c r="N81" s="17"/>
      <c r="O81"/>
      <c r="P81"/>
      <c r="Q81"/>
      <c r="R81"/>
      <c r="S81"/>
    </row>
    <row r="82" spans="1:40" s="14" customFormat="1" ht="12.75">
      <c r="A82" s="3">
        <v>39814</v>
      </c>
      <c r="B82" s="28">
        <f>+'[15]Data Input'!$H89</f>
        <v>4659637.16</v>
      </c>
      <c r="C82" s="24">
        <f>'Purchased Power Model '!C84</f>
        <v>830.2</v>
      </c>
      <c r="D82" s="24">
        <f>'Purchased Power Model '!D84</f>
        <v>0</v>
      </c>
      <c r="E82" s="17">
        <v>0</v>
      </c>
      <c r="F82" s="17">
        <v>31</v>
      </c>
      <c r="G82" s="116">
        <v>662.3</v>
      </c>
      <c r="H82" s="17">
        <f>'Purchased Power Model '!G84</f>
        <v>143659.25372164507</v>
      </c>
      <c r="I82" s="17">
        <f t="shared" si="2"/>
        <v>39814</v>
      </c>
      <c r="J82" s="17">
        <f>+'[15]Data Input'!$J89</f>
        <v>5565</v>
      </c>
      <c r="K82" s="1">
        <v>336</v>
      </c>
      <c r="L82" s="34">
        <v>139.3791116068711</v>
      </c>
      <c r="M82" s="17">
        <f t="shared" si="3"/>
        <v>4772028.799668502</v>
      </c>
      <c r="N82" s="17"/>
      <c r="O82" s="17"/>
      <c r="P82" s="17"/>
      <c r="Q82" s="10"/>
      <c r="R82" s="50"/>
      <c r="S82" s="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 s="11"/>
      <c r="AJ82" s="11"/>
      <c r="AK82" s="11"/>
      <c r="AL82" s="11"/>
      <c r="AM82" s="11"/>
      <c r="AN82" s="11"/>
    </row>
    <row r="83" spans="1:18" ht="12.75">
      <c r="A83" s="3">
        <v>39845</v>
      </c>
      <c r="B83" s="28">
        <f>+'[15]Data Input'!$H90</f>
        <v>3956936.76</v>
      </c>
      <c r="C83" s="24">
        <f>'Purchased Power Model '!C85</f>
        <v>606.4</v>
      </c>
      <c r="D83" s="24">
        <f>'Purchased Power Model '!D85</f>
        <v>0</v>
      </c>
      <c r="E83" s="17">
        <v>0</v>
      </c>
      <c r="F83" s="17">
        <v>28</v>
      </c>
      <c r="G83" s="116">
        <v>649.3</v>
      </c>
      <c r="H83" s="17">
        <f>'Purchased Power Model '!G85</f>
        <v>156255.19731798788</v>
      </c>
      <c r="I83" s="17">
        <f t="shared" si="2"/>
        <v>39845</v>
      </c>
      <c r="J83" s="17">
        <f>+'[15]Data Input'!$J90</f>
        <v>5575</v>
      </c>
      <c r="K83" s="1">
        <v>304</v>
      </c>
      <c r="L83" s="34">
        <v>138.97791306613385</v>
      </c>
      <c r="M83" s="17">
        <f t="shared" si="3"/>
        <v>3947055.9585403358</v>
      </c>
      <c r="N83" s="17"/>
      <c r="O83" s="17"/>
      <c r="P83" s="17"/>
      <c r="Q83" s="10"/>
      <c r="R83" s="50"/>
    </row>
    <row r="84" spans="1:18" ht="12.75">
      <c r="A84" s="3">
        <v>39873</v>
      </c>
      <c r="B84" s="28">
        <f>+'[15]Data Input'!$H91</f>
        <v>3902427.11</v>
      </c>
      <c r="C84" s="24">
        <f>'Purchased Power Model '!C86</f>
        <v>533.8</v>
      </c>
      <c r="D84" s="24">
        <f>'Purchased Power Model '!D86</f>
        <v>0</v>
      </c>
      <c r="E84" s="17">
        <v>1</v>
      </c>
      <c r="F84" s="17">
        <v>31</v>
      </c>
      <c r="G84" s="116">
        <v>636.3</v>
      </c>
      <c r="H84" s="17">
        <f>'Purchased Power Model '!G86</f>
        <v>168851.1409143307</v>
      </c>
      <c r="I84" s="17">
        <f t="shared" si="2"/>
        <v>39873</v>
      </c>
      <c r="J84" s="17">
        <f>+'[15]Data Input'!$J91</f>
        <v>5569</v>
      </c>
      <c r="K84" s="1">
        <v>352</v>
      </c>
      <c r="L84" s="34">
        <v>138.57786936321438</v>
      </c>
      <c r="M84" s="17">
        <f t="shared" si="3"/>
        <v>3868129.0500426516</v>
      </c>
      <c r="N84" s="17"/>
      <c r="O84" s="17"/>
      <c r="P84" s="17"/>
      <c r="Q84" s="10"/>
      <c r="R84" s="50"/>
    </row>
    <row r="85" spans="1:18" ht="12.75">
      <c r="A85" s="3">
        <v>39904</v>
      </c>
      <c r="B85" s="28">
        <f>+'[15]Data Input'!$H92</f>
        <v>3337530.47</v>
      </c>
      <c r="C85" s="24">
        <f>'Purchased Power Model '!C87</f>
        <v>305.8</v>
      </c>
      <c r="D85" s="24">
        <f>'Purchased Power Model '!D87</f>
        <v>1.2</v>
      </c>
      <c r="E85" s="17">
        <v>1</v>
      </c>
      <c r="F85" s="17">
        <v>30</v>
      </c>
      <c r="G85" s="116">
        <v>632.2</v>
      </c>
      <c r="H85" s="17">
        <f>'Purchased Power Model '!G87</f>
        <v>181447.0845106735</v>
      </c>
      <c r="I85" s="17">
        <f t="shared" si="2"/>
        <v>39904</v>
      </c>
      <c r="J85" s="17">
        <f>+'[15]Data Input'!$J92</f>
        <v>5572</v>
      </c>
      <c r="K85" s="1">
        <v>320</v>
      </c>
      <c r="L85" s="34">
        <v>138.17897717394706</v>
      </c>
      <c r="M85" s="17">
        <f t="shared" si="3"/>
        <v>3310724.588289242</v>
      </c>
      <c r="N85" s="17"/>
      <c r="O85" s="17"/>
      <c r="P85" s="17"/>
      <c r="Q85" s="10"/>
      <c r="R85" s="50"/>
    </row>
    <row r="86" spans="1:18" ht="12.75">
      <c r="A86" s="3">
        <v>39934</v>
      </c>
      <c r="B86" s="28">
        <f>+'[15]Data Input'!$H93</f>
        <v>3100139.5</v>
      </c>
      <c r="C86" s="24">
        <f>'Purchased Power Model '!C88</f>
        <v>158.8</v>
      </c>
      <c r="D86" s="24">
        <f>'Purchased Power Model '!D88</f>
        <v>6.9</v>
      </c>
      <c r="E86" s="17">
        <v>1</v>
      </c>
      <c r="F86" s="17">
        <v>31</v>
      </c>
      <c r="G86" s="116">
        <v>631.7</v>
      </c>
      <c r="H86" s="17">
        <f>'Purchased Power Model '!G88</f>
        <v>194043.02810701632</v>
      </c>
      <c r="I86" s="17">
        <f t="shared" si="2"/>
        <v>39934</v>
      </c>
      <c r="J86" s="17">
        <f>+'[15]Data Input'!$J93</f>
        <v>5573</v>
      </c>
      <c r="K86" s="1">
        <v>320</v>
      </c>
      <c r="L86" s="34">
        <v>137.78123318373483</v>
      </c>
      <c r="M86" s="17">
        <f t="shared" si="3"/>
        <v>3165894.3285852997</v>
      </c>
      <c r="N86" s="17"/>
      <c r="O86" s="17"/>
      <c r="P86" s="17"/>
      <c r="Q86" s="10"/>
      <c r="R86" s="50"/>
    </row>
    <row r="87" spans="1:18" ht="12.75">
      <c r="A87" s="3">
        <v>39965</v>
      </c>
      <c r="B87" s="28">
        <f>+'[15]Data Input'!$H94</f>
        <v>3144420.6</v>
      </c>
      <c r="C87" s="24">
        <f>'Purchased Power Model '!C89</f>
        <v>49.3</v>
      </c>
      <c r="D87" s="24">
        <f>'Purchased Power Model '!D89</f>
        <v>34.2</v>
      </c>
      <c r="E87" s="17">
        <v>0</v>
      </c>
      <c r="F87" s="17">
        <v>30</v>
      </c>
      <c r="G87" s="116">
        <v>642.7</v>
      </c>
      <c r="H87" s="17">
        <f>'Purchased Power Model '!G89</f>
        <v>206638.97170335913</v>
      </c>
      <c r="I87" s="17">
        <f t="shared" si="2"/>
        <v>39965</v>
      </c>
      <c r="J87" s="17">
        <f>+'[15]Data Input'!$J94</f>
        <v>5576</v>
      </c>
      <c r="K87" s="1">
        <v>352</v>
      </c>
      <c r="L87" s="34">
        <v>137.38463408752156</v>
      </c>
      <c r="M87" s="17">
        <f t="shared" si="3"/>
        <v>3220758.8460575496</v>
      </c>
      <c r="N87" s="17"/>
      <c r="O87" s="17"/>
      <c r="P87" s="17"/>
      <c r="Q87" s="10"/>
      <c r="R87" s="50"/>
    </row>
    <row r="88" spans="1:18" ht="12.75">
      <c r="A88" s="3">
        <v>39995</v>
      </c>
      <c r="B88" s="28">
        <f>+'[15]Data Input'!$H95</f>
        <v>3308524.3</v>
      </c>
      <c r="C88" s="24">
        <f>'Purchased Power Model '!C90</f>
        <v>6.2</v>
      </c>
      <c r="D88" s="24">
        <f>'Purchased Power Model '!D90</f>
        <v>43.7</v>
      </c>
      <c r="E88" s="17">
        <v>0</v>
      </c>
      <c r="F88" s="17">
        <v>31</v>
      </c>
      <c r="G88" s="116">
        <v>650</v>
      </c>
      <c r="H88" s="17">
        <f>'Purchased Power Model '!G90</f>
        <v>219234.91529970194</v>
      </c>
      <c r="I88" s="17">
        <f t="shared" si="2"/>
        <v>39995</v>
      </c>
      <c r="J88" s="17">
        <f>+'[15]Data Input'!$J95</f>
        <v>5584</v>
      </c>
      <c r="K88" s="1">
        <v>352</v>
      </c>
      <c r="L88" s="34">
        <v>136.98917658976464</v>
      </c>
      <c r="M88" s="17">
        <f t="shared" si="3"/>
        <v>3318257.5112630446</v>
      </c>
      <c r="N88" s="17"/>
      <c r="O88" s="17"/>
      <c r="P88" s="17"/>
      <c r="Q88" s="10"/>
      <c r="R88" s="50"/>
    </row>
    <row r="89" spans="1:18" ht="12.75">
      <c r="A89" s="3">
        <v>40026</v>
      </c>
      <c r="B89" s="28">
        <f>+'[15]Data Input'!$H96</f>
        <v>3579621.75</v>
      </c>
      <c r="C89" s="24">
        <f>'Purchased Power Model '!C91</f>
        <v>9.8</v>
      </c>
      <c r="D89" s="24">
        <f>'Purchased Power Model '!D91</f>
        <v>91</v>
      </c>
      <c r="E89" s="17">
        <v>0</v>
      </c>
      <c r="F89" s="17">
        <v>31</v>
      </c>
      <c r="G89" s="116">
        <v>655.3</v>
      </c>
      <c r="H89" s="17">
        <f>'Purchased Power Model '!G91</f>
        <v>231830.85889604475</v>
      </c>
      <c r="I89" s="17">
        <f t="shared" si="2"/>
        <v>40026</v>
      </c>
      <c r="J89" s="17">
        <f>+'[15]Data Input'!$J96</f>
        <v>5587</v>
      </c>
      <c r="K89" s="1">
        <v>320</v>
      </c>
      <c r="L89" s="34">
        <v>136.59485740440758</v>
      </c>
      <c r="M89" s="17">
        <f t="shared" si="3"/>
        <v>3532480.262755532</v>
      </c>
      <c r="N89" s="17"/>
      <c r="O89" s="17"/>
      <c r="P89" s="17"/>
      <c r="Q89" s="10"/>
      <c r="R89" s="50"/>
    </row>
    <row r="90" spans="1:18" ht="12.75">
      <c r="A90" s="3">
        <v>40057</v>
      </c>
      <c r="B90" s="28">
        <f>+'[15]Data Input'!$H97</f>
        <v>3211319.99</v>
      </c>
      <c r="C90" s="24">
        <f>'Purchased Power Model '!C92</f>
        <v>55.2</v>
      </c>
      <c r="D90" s="24">
        <f>'Purchased Power Model '!D92</f>
        <v>20.9</v>
      </c>
      <c r="E90" s="17">
        <v>1</v>
      </c>
      <c r="F90" s="17">
        <v>30</v>
      </c>
      <c r="G90" s="116">
        <v>654.9</v>
      </c>
      <c r="H90" s="17">
        <f>'Purchased Power Model '!G92</f>
        <v>244426.80249238756</v>
      </c>
      <c r="I90" s="17">
        <f t="shared" si="2"/>
        <v>40057</v>
      </c>
      <c r="J90" s="17">
        <f>+'[15]Data Input'!$J97</f>
        <v>5593</v>
      </c>
      <c r="K90" s="1">
        <v>336</v>
      </c>
      <c r="L90" s="34">
        <v>136.20167325485272</v>
      </c>
      <c r="M90" s="17">
        <f t="shared" si="3"/>
        <v>2983440.045364202</v>
      </c>
      <c r="N90" s="17"/>
      <c r="O90" s="17"/>
      <c r="P90" s="17"/>
      <c r="Q90" s="10"/>
      <c r="R90" s="50"/>
    </row>
    <row r="91" spans="1:18" ht="12.75">
      <c r="A91" s="3">
        <v>40087</v>
      </c>
      <c r="B91" s="28">
        <f>+'[15]Data Input'!$H98</f>
        <v>3499501.84</v>
      </c>
      <c r="C91" s="24">
        <f>'Purchased Power Model '!C93</f>
        <v>287.8</v>
      </c>
      <c r="D91" s="24">
        <f>'Purchased Power Model '!D93</f>
        <v>0</v>
      </c>
      <c r="E91" s="17">
        <v>1</v>
      </c>
      <c r="F91" s="17">
        <v>31</v>
      </c>
      <c r="G91" s="116">
        <v>656.6</v>
      </c>
      <c r="H91" s="17">
        <f>'Purchased Power Model '!G93</f>
        <v>257022.74608873038</v>
      </c>
      <c r="I91" s="17">
        <f t="shared" si="2"/>
        <v>40087</v>
      </c>
      <c r="J91" s="17">
        <f>+'[15]Data Input'!$J98</f>
        <v>5599</v>
      </c>
      <c r="K91" s="1">
        <v>336</v>
      </c>
      <c r="L91" s="34">
        <v>135.80962087393394</v>
      </c>
      <c r="M91" s="17">
        <f t="shared" si="3"/>
        <v>3435619.6912835534</v>
      </c>
      <c r="N91" s="17"/>
      <c r="O91" s="17"/>
      <c r="P91" s="17"/>
      <c r="Q91" s="10"/>
      <c r="R91" s="50"/>
    </row>
    <row r="92" spans="1:18" ht="12.75">
      <c r="A92" s="3">
        <v>40118</v>
      </c>
      <c r="B92" s="28">
        <f>+'[15]Data Input'!$H99</f>
        <v>3626244.78</v>
      </c>
      <c r="C92" s="24">
        <f>'Purchased Power Model '!C94</f>
        <v>361.2</v>
      </c>
      <c r="D92" s="24">
        <f>'Purchased Power Model '!D94</f>
        <v>0</v>
      </c>
      <c r="E92" s="17">
        <v>1</v>
      </c>
      <c r="F92" s="17">
        <v>30</v>
      </c>
      <c r="G92" s="116">
        <v>654.8</v>
      </c>
      <c r="H92" s="17">
        <f>'Purchased Power Model '!G94</f>
        <v>269618.6896850732</v>
      </c>
      <c r="I92" s="17">
        <f t="shared" si="2"/>
        <v>40118</v>
      </c>
      <c r="J92" s="17">
        <f>+'[15]Data Input'!$J99</f>
        <v>5602</v>
      </c>
      <c r="K92" s="1">
        <v>320</v>
      </c>
      <c r="L92" s="34">
        <v>135.41869700388958</v>
      </c>
      <c r="M92" s="17">
        <f t="shared" si="3"/>
        <v>3436441.179408985</v>
      </c>
      <c r="N92" s="17"/>
      <c r="O92" s="17"/>
      <c r="P92" s="17"/>
      <c r="Q92" s="10"/>
      <c r="R92" s="50"/>
    </row>
    <row r="93" spans="1:40" s="33" customFormat="1" ht="12.75">
      <c r="A93" s="3">
        <v>40148</v>
      </c>
      <c r="B93" s="28">
        <f>+'[15]Data Input'!$H100</f>
        <v>4449449.15</v>
      </c>
      <c r="C93" s="24">
        <f>'Purchased Power Model '!C95</f>
        <v>631.3</v>
      </c>
      <c r="D93" s="24">
        <f>'Purchased Power Model '!D95</f>
        <v>0</v>
      </c>
      <c r="E93" s="17">
        <v>0</v>
      </c>
      <c r="F93" s="17">
        <v>31</v>
      </c>
      <c r="G93" s="116">
        <v>652.3</v>
      </c>
      <c r="H93" s="17">
        <f>'Purchased Power Model '!G95</f>
        <v>282214.633281416</v>
      </c>
      <c r="I93" s="17">
        <f t="shared" si="2"/>
        <v>40148</v>
      </c>
      <c r="J93" s="17">
        <f>+'[15]Data Input'!$J100</f>
        <v>5603</v>
      </c>
      <c r="K93" s="1">
        <v>352</v>
      </c>
      <c r="L93" s="34">
        <v>135.02889839633545</v>
      </c>
      <c r="M93" s="17">
        <f t="shared" si="3"/>
        <v>4241248.375005089</v>
      </c>
      <c r="N93" s="17"/>
      <c r="O93" s="17"/>
      <c r="P93" s="17"/>
      <c r="Q93" s="10"/>
      <c r="R93" s="50"/>
      <c r="S93" s="1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 s="28"/>
      <c r="AJ93" s="28"/>
      <c r="AK93" s="28"/>
      <c r="AL93" s="28"/>
      <c r="AM93" s="28"/>
      <c r="AN93" s="28"/>
    </row>
    <row r="94" spans="1:18" ht="12.75">
      <c r="A94" s="3">
        <v>40179</v>
      </c>
      <c r="B94" s="28">
        <f>+'[15]Data Input'!$H101</f>
        <v>4596118</v>
      </c>
      <c r="C94" s="24">
        <f>'Purchased Power Model '!C96</f>
        <v>720</v>
      </c>
      <c r="D94" s="24">
        <f>'Purchased Power Model '!D96</f>
        <v>0</v>
      </c>
      <c r="E94" s="17">
        <v>0</v>
      </c>
      <c r="F94" s="17">
        <v>31</v>
      </c>
      <c r="G94" s="116">
        <v>646</v>
      </c>
      <c r="H94" s="17">
        <f>'Purchased Power Model '!G96</f>
        <v>273285.7699998244</v>
      </c>
      <c r="I94" s="17">
        <f t="shared" si="2"/>
        <v>40179</v>
      </c>
      <c r="J94" s="17">
        <f>+'[15]Data Input'!$J101</f>
        <v>5602</v>
      </c>
      <c r="K94" s="1">
        <v>320</v>
      </c>
      <c r="L94" s="34">
        <v>135.32901731143812</v>
      </c>
      <c r="M94" s="17">
        <f t="shared" si="3"/>
        <v>4382201.177691171</v>
      </c>
      <c r="N94" s="17"/>
      <c r="O94" s="17"/>
      <c r="P94" s="17"/>
      <c r="Q94" s="10"/>
      <c r="R94" s="50"/>
    </row>
    <row r="95" spans="1:18" ht="12.75">
      <c r="A95" s="3">
        <v>40210</v>
      </c>
      <c r="B95" s="28">
        <f>+'[15]Data Input'!$H102</f>
        <v>3846203.74</v>
      </c>
      <c r="C95" s="24">
        <f>'Purchased Power Model '!C97</f>
        <v>598.3</v>
      </c>
      <c r="D95" s="24">
        <f>'Purchased Power Model '!D97</f>
        <v>0</v>
      </c>
      <c r="E95" s="17">
        <v>0</v>
      </c>
      <c r="F95" s="17">
        <v>28</v>
      </c>
      <c r="G95" s="116">
        <v>642.3</v>
      </c>
      <c r="H95" s="17">
        <f>'Purchased Power Model '!G97</f>
        <v>264356.9067182328</v>
      </c>
      <c r="I95" s="17">
        <f t="shared" si="2"/>
        <v>40210</v>
      </c>
      <c r="J95" s="17">
        <f>+'[15]Data Input'!$J102</f>
        <v>5611</v>
      </c>
      <c r="K95" s="1">
        <v>304</v>
      </c>
      <c r="L95" s="34">
        <v>135.62980327903304</v>
      </c>
      <c r="M95" s="17">
        <f t="shared" si="3"/>
        <v>3806259.7551816953</v>
      </c>
      <c r="N95" s="17"/>
      <c r="O95" s="17"/>
      <c r="P95" s="17"/>
      <c r="Q95" s="10"/>
      <c r="R95" s="50"/>
    </row>
    <row r="96" spans="1:18" ht="12.75">
      <c r="A96" s="3">
        <v>40238</v>
      </c>
      <c r="B96" s="28">
        <f>+'[15]Data Input'!$H103</f>
        <v>3628771.3</v>
      </c>
      <c r="C96" s="24">
        <f>'Purchased Power Model '!C98</f>
        <v>422.8</v>
      </c>
      <c r="D96" s="24">
        <f>'Purchased Power Model '!D98</f>
        <v>0</v>
      </c>
      <c r="E96" s="17">
        <v>1</v>
      </c>
      <c r="F96" s="17">
        <v>31</v>
      </c>
      <c r="G96" s="116">
        <v>639.5</v>
      </c>
      <c r="H96" s="17">
        <f>'Purchased Power Model '!G98</f>
        <v>255428.04343664116</v>
      </c>
      <c r="I96" s="17">
        <f t="shared" si="2"/>
        <v>40238</v>
      </c>
      <c r="J96" s="17">
        <f>+'[15]Data Input'!$J103</f>
        <v>5615</v>
      </c>
      <c r="K96" s="1">
        <v>368</v>
      </c>
      <c r="L96" s="34">
        <v>135.9312577817293</v>
      </c>
      <c r="M96" s="17">
        <f t="shared" si="3"/>
        <v>3604812.318472286</v>
      </c>
      <c r="N96" s="17"/>
      <c r="O96" s="17"/>
      <c r="P96" s="17"/>
      <c r="Q96" s="10"/>
      <c r="R96" s="50"/>
    </row>
    <row r="97" spans="1:18" ht="12.75">
      <c r="A97" s="3">
        <v>40269</v>
      </c>
      <c r="B97" s="28">
        <f>+'[15]Data Input'!$H104</f>
        <v>3154852.32</v>
      </c>
      <c r="C97" s="24">
        <f>'Purchased Power Model '!C99</f>
        <v>225.1</v>
      </c>
      <c r="D97" s="24">
        <f>'Purchased Power Model '!D99</f>
        <v>0</v>
      </c>
      <c r="E97" s="17">
        <v>1</v>
      </c>
      <c r="F97" s="17">
        <v>30</v>
      </c>
      <c r="G97" s="116">
        <v>643.8</v>
      </c>
      <c r="H97" s="17">
        <f>'Purchased Power Model '!G99</f>
        <v>246499.18015504954</v>
      </c>
      <c r="I97" s="17">
        <f t="shared" si="2"/>
        <v>40269</v>
      </c>
      <c r="J97" s="17">
        <f>+'[15]Data Input'!$J104</f>
        <v>5620</v>
      </c>
      <c r="K97" s="1">
        <v>320</v>
      </c>
      <c r="L97" s="34">
        <v>136.23338230543126</v>
      </c>
      <c r="M97" s="17">
        <f t="shared" si="3"/>
        <v>3155729.6094253194</v>
      </c>
      <c r="N97" s="17"/>
      <c r="O97" s="17"/>
      <c r="P97" s="17"/>
      <c r="Q97" s="10"/>
      <c r="R97" s="50"/>
    </row>
    <row r="98" spans="1:18" ht="12.75">
      <c r="A98" s="3">
        <v>40299</v>
      </c>
      <c r="B98" s="28">
        <f>+'[15]Data Input'!$H105</f>
        <v>3343667.34</v>
      </c>
      <c r="C98" s="24">
        <f>'Purchased Power Model '!C100</f>
        <v>107.9</v>
      </c>
      <c r="D98" s="24">
        <f>'Purchased Power Model '!D100</f>
        <v>45.7</v>
      </c>
      <c r="E98" s="17">
        <v>1</v>
      </c>
      <c r="F98" s="17">
        <v>31</v>
      </c>
      <c r="G98" s="116">
        <v>653.4</v>
      </c>
      <c r="H98" s="17">
        <f>'Purchased Power Model '!G100</f>
        <v>237570.31687345792</v>
      </c>
      <c r="I98" s="17">
        <f t="shared" si="2"/>
        <v>40299</v>
      </c>
      <c r="J98" s="17">
        <f>+'[15]Data Input'!$J105</f>
        <v>5626</v>
      </c>
      <c r="K98" s="1">
        <v>320</v>
      </c>
      <c r="L98" s="34">
        <v>136.5361783393459</v>
      </c>
      <c r="M98" s="17">
        <f t="shared" si="3"/>
        <v>3295047.3214507224</v>
      </c>
      <c r="N98" s="17"/>
      <c r="O98" s="17"/>
      <c r="P98" s="17"/>
      <c r="Q98" s="10"/>
      <c r="R98" s="50"/>
    </row>
    <row r="99" spans="1:18" ht="12.75">
      <c r="A99" s="3">
        <v>40330</v>
      </c>
      <c r="B99" s="28">
        <f>+'[15]Data Input'!$H106</f>
        <v>3527873.7</v>
      </c>
      <c r="C99" s="24">
        <f>'Purchased Power Model '!C101</f>
        <v>21.7</v>
      </c>
      <c r="D99" s="24">
        <f>'Purchased Power Model '!D101</f>
        <v>58.7</v>
      </c>
      <c r="E99" s="17">
        <v>0</v>
      </c>
      <c r="F99" s="17">
        <v>30</v>
      </c>
      <c r="G99" s="116">
        <v>668.5</v>
      </c>
      <c r="H99" s="17">
        <f>'Purchased Power Model '!G101</f>
        <v>228641.4535918663</v>
      </c>
      <c r="I99" s="17">
        <f t="shared" si="2"/>
        <v>40330</v>
      </c>
      <c r="J99" s="17">
        <f>+'[15]Data Input'!$J106</f>
        <v>5627</v>
      </c>
      <c r="K99" s="1">
        <v>352</v>
      </c>
      <c r="L99" s="34">
        <v>136.83964737599013</v>
      </c>
      <c r="M99" s="17">
        <f t="shared" si="3"/>
        <v>3371700.37751794</v>
      </c>
      <c r="N99" s="17"/>
      <c r="O99" s="17"/>
      <c r="P99" s="17"/>
      <c r="Q99" s="10"/>
      <c r="R99" s="50"/>
    </row>
    <row r="100" spans="1:18" ht="12.75">
      <c r="A100" s="3">
        <v>40360</v>
      </c>
      <c r="B100" s="28">
        <f>+'[15]Data Input'!$H107</f>
        <v>4107658.89</v>
      </c>
      <c r="C100" s="24">
        <f>'Purchased Power Model '!C102</f>
        <v>1.8</v>
      </c>
      <c r="D100" s="24">
        <f>'Purchased Power Model '!D102</f>
        <v>164.9</v>
      </c>
      <c r="E100" s="17">
        <v>0</v>
      </c>
      <c r="F100" s="17">
        <v>31</v>
      </c>
      <c r="G100" s="116">
        <v>680.1</v>
      </c>
      <c r="H100" s="17">
        <f>'Purchased Power Model '!G102</f>
        <v>219712.59031027468</v>
      </c>
      <c r="I100" s="17">
        <f t="shared" si="2"/>
        <v>40360</v>
      </c>
      <c r="J100" s="17">
        <f>+'[15]Data Input'!$J107</f>
        <v>5631</v>
      </c>
      <c r="K100" s="1">
        <v>336</v>
      </c>
      <c r="L100" s="34">
        <v>137.1437909111982</v>
      </c>
      <c r="M100" s="17">
        <f t="shared" si="3"/>
        <v>3946584.325039645</v>
      </c>
      <c r="N100" s="17"/>
      <c r="O100" s="17"/>
      <c r="P100" s="17"/>
      <c r="Q100" s="10"/>
      <c r="R100" s="50"/>
    </row>
    <row r="101" spans="1:18" ht="12.75">
      <c r="A101" s="3">
        <v>40391</v>
      </c>
      <c r="B101" s="28">
        <f>+'[15]Data Input'!$H108</f>
        <v>3873689.46</v>
      </c>
      <c r="C101" s="24">
        <f>'Purchased Power Model '!C103</f>
        <v>2.1</v>
      </c>
      <c r="D101" s="24">
        <f>'Purchased Power Model '!D103</f>
        <v>138.8</v>
      </c>
      <c r="E101" s="17">
        <v>0</v>
      </c>
      <c r="F101" s="17">
        <v>31</v>
      </c>
      <c r="G101" s="116">
        <v>683.1</v>
      </c>
      <c r="H101" s="17">
        <f>'Purchased Power Model '!G103</f>
        <v>210783.72702868306</v>
      </c>
      <c r="I101" s="17">
        <f t="shared" si="2"/>
        <v>40391</v>
      </c>
      <c r="J101" s="17">
        <f>+'[15]Data Input'!$J108</f>
        <v>5631</v>
      </c>
      <c r="K101" s="1">
        <v>336</v>
      </c>
      <c r="L101" s="34">
        <v>137.44861044412903</v>
      </c>
      <c r="M101" s="17">
        <f t="shared" si="3"/>
        <v>3861863.3606342487</v>
      </c>
      <c r="N101" s="17"/>
      <c r="O101" s="17"/>
      <c r="P101" s="17"/>
      <c r="Q101" s="10"/>
      <c r="R101" s="50"/>
    </row>
    <row r="102" spans="1:18" ht="12.75">
      <c r="A102" s="3">
        <v>40422</v>
      </c>
      <c r="B102" s="28">
        <f>+'[15]Data Input'!$H109</f>
        <v>3278202.85</v>
      </c>
      <c r="C102" s="24">
        <f>'Purchased Power Model '!C104</f>
        <v>78.1</v>
      </c>
      <c r="D102" s="24">
        <f>'Purchased Power Model '!D104</f>
        <v>31.5</v>
      </c>
      <c r="E102" s="17">
        <v>1</v>
      </c>
      <c r="F102" s="17">
        <v>30</v>
      </c>
      <c r="G102" s="116">
        <v>677.1</v>
      </c>
      <c r="H102" s="17">
        <f>'Purchased Power Model '!G104</f>
        <v>201854.86374709144</v>
      </c>
      <c r="I102" s="17">
        <f t="shared" si="2"/>
        <v>40422</v>
      </c>
      <c r="J102" s="17">
        <f>+'[15]Data Input'!$J109</f>
        <v>5632</v>
      </c>
      <c r="K102" s="1">
        <v>336</v>
      </c>
      <c r="L102" s="34">
        <v>137.7541074772736</v>
      </c>
      <c r="M102" s="17">
        <f t="shared" si="3"/>
        <v>3208986.302631776</v>
      </c>
      <c r="N102" s="17"/>
      <c r="O102" s="17"/>
      <c r="P102" s="17"/>
      <c r="Q102" s="10"/>
      <c r="R102" s="50"/>
    </row>
    <row r="103" spans="1:18" ht="12.75">
      <c r="A103" s="3">
        <v>40452</v>
      </c>
      <c r="B103" s="28">
        <f>+'[15]Data Input'!$H110</f>
        <v>3342942.3</v>
      </c>
      <c r="C103" s="24">
        <f>'Purchased Power Model '!C105</f>
        <v>241.6</v>
      </c>
      <c r="D103" s="24">
        <f>'Purchased Power Model '!D105</f>
        <v>0</v>
      </c>
      <c r="E103" s="17">
        <v>1</v>
      </c>
      <c r="F103" s="17">
        <v>31</v>
      </c>
      <c r="G103" s="116">
        <v>670.2</v>
      </c>
      <c r="H103" s="17">
        <f>'Purchased Power Model '!G105</f>
        <v>192926.00046549982</v>
      </c>
      <c r="I103" s="17">
        <f t="shared" si="2"/>
        <v>40452</v>
      </c>
      <c r="J103" s="17">
        <f>+'[15]Data Input'!$J110</f>
        <v>5690</v>
      </c>
      <c r="K103" s="1">
        <v>320</v>
      </c>
      <c r="L103" s="34">
        <v>138.0602835164624</v>
      </c>
      <c r="M103" s="17">
        <f t="shared" si="3"/>
        <v>3469620.354640513</v>
      </c>
      <c r="N103" s="17"/>
      <c r="O103" s="17"/>
      <c r="P103" s="17"/>
      <c r="Q103" s="10"/>
      <c r="R103" s="50"/>
    </row>
    <row r="104" spans="1:18" ht="12.75">
      <c r="A104" s="3">
        <v>40483</v>
      </c>
      <c r="B104" s="28">
        <f>+'[15]Data Input'!$H111</f>
        <v>3769609.06</v>
      </c>
      <c r="C104" s="24">
        <f>'Purchased Power Model '!C106</f>
        <v>405.3</v>
      </c>
      <c r="D104" s="24">
        <f>'Purchased Power Model '!D106</f>
        <v>0</v>
      </c>
      <c r="E104" s="17">
        <v>1</v>
      </c>
      <c r="F104" s="17">
        <v>30</v>
      </c>
      <c r="G104" s="116">
        <v>668.1</v>
      </c>
      <c r="H104" s="17">
        <f>'Purchased Power Model '!G106</f>
        <v>183997.1371839082</v>
      </c>
      <c r="I104" s="17">
        <f t="shared" si="2"/>
        <v>40483</v>
      </c>
      <c r="J104" s="17">
        <f>+'[15]Data Input'!$J111</f>
        <v>5691</v>
      </c>
      <c r="K104" s="1">
        <v>336</v>
      </c>
      <c r="L104" s="34">
        <v>138.36714007087275</v>
      </c>
      <c r="M104" s="17">
        <f t="shared" si="3"/>
        <v>3653143.4647553936</v>
      </c>
      <c r="N104" s="17"/>
      <c r="O104" s="17"/>
      <c r="P104" s="17"/>
      <c r="Q104" s="10"/>
      <c r="R104" s="50"/>
    </row>
    <row r="105" spans="1:18" ht="12.75">
      <c r="A105" s="3">
        <v>40513</v>
      </c>
      <c r="B105" s="28">
        <f>+'[15]Data Input'!$H112</f>
        <v>4623708.26</v>
      </c>
      <c r="C105" s="24">
        <f>'Purchased Power Model '!C107</f>
        <v>676.2</v>
      </c>
      <c r="D105" s="24">
        <f>'Purchased Power Model '!D107</f>
        <v>0</v>
      </c>
      <c r="E105" s="17">
        <v>0</v>
      </c>
      <c r="F105" s="17">
        <v>31</v>
      </c>
      <c r="G105" s="116">
        <v>666.9</v>
      </c>
      <c r="H105" s="17">
        <f>'Purchased Power Model '!G107</f>
        <v>175068.27390231658</v>
      </c>
      <c r="I105" s="17">
        <f t="shared" si="2"/>
        <v>40513</v>
      </c>
      <c r="J105" s="17">
        <f>+'[15]Data Input'!$J112</f>
        <v>5692</v>
      </c>
      <c r="K105" s="1">
        <v>368</v>
      </c>
      <c r="L105" s="34">
        <v>138.6746786530365</v>
      </c>
      <c r="M105" s="17">
        <f t="shared" si="3"/>
        <v>4484058.785208122</v>
      </c>
      <c r="N105" s="17"/>
      <c r="O105" s="17"/>
      <c r="P105" s="17"/>
      <c r="Q105" s="10"/>
      <c r="R105" s="50"/>
    </row>
    <row r="106" spans="1:18" ht="12.75">
      <c r="A106" s="3">
        <v>40544</v>
      </c>
      <c r="B106" s="28">
        <f>+'[15]Data Input'!$H113</f>
        <v>3304789.19</v>
      </c>
      <c r="C106" s="24">
        <f>'Purchased Power Model '!C108</f>
        <v>775.3</v>
      </c>
      <c r="D106" s="24">
        <f>'Purchased Power Model '!D108</f>
        <v>0</v>
      </c>
      <c r="E106" s="17">
        <v>0</v>
      </c>
      <c r="F106" s="78">
        <v>31</v>
      </c>
      <c r="G106" s="116">
        <v>663.9</v>
      </c>
      <c r="H106" s="17">
        <f>'Purchased Power Model '!G108</f>
        <v>193076.05790077086</v>
      </c>
      <c r="I106" s="17">
        <f t="shared" si="2"/>
        <v>40544</v>
      </c>
      <c r="J106" s="17">
        <f>+'[15]Data Input'!$J113</f>
        <v>5693</v>
      </c>
      <c r="K106" s="1">
        <v>336</v>
      </c>
      <c r="L106" s="34">
        <v>139.03916243618784</v>
      </c>
      <c r="M106" s="17">
        <f t="shared" si="3"/>
        <v>4636177.8266863385</v>
      </c>
      <c r="N106" s="17"/>
      <c r="O106" s="17"/>
      <c r="P106" s="17"/>
      <c r="Q106" s="10"/>
      <c r="R106" s="50"/>
    </row>
    <row r="107" spans="1:18" ht="12.75">
      <c r="A107" s="3">
        <v>40575</v>
      </c>
      <c r="B107" s="28">
        <f>+'[15]Data Input'!$H114</f>
        <v>3976280.14</v>
      </c>
      <c r="C107" s="24">
        <f>'Purchased Power Model '!C109</f>
        <v>654.2</v>
      </c>
      <c r="D107" s="24">
        <f>'Purchased Power Model '!D109</f>
        <v>0</v>
      </c>
      <c r="E107" s="17">
        <v>0</v>
      </c>
      <c r="F107" s="78">
        <v>28</v>
      </c>
      <c r="G107" s="116">
        <v>666.1</v>
      </c>
      <c r="H107" s="17">
        <f>'Purchased Power Model '!G109</f>
        <v>211083.84189922514</v>
      </c>
      <c r="I107" s="17">
        <f t="shared" si="2"/>
        <v>40575</v>
      </c>
      <c r="J107" s="17">
        <f>+'[15]Data Input'!$J114</f>
        <v>5695</v>
      </c>
      <c r="K107" s="1">
        <v>304</v>
      </c>
      <c r="L107" s="34">
        <v>139.4046042055373</v>
      </c>
      <c r="M107" s="17">
        <f t="shared" si="3"/>
        <v>4065547.0122316917</v>
      </c>
      <c r="N107" s="17"/>
      <c r="O107" s="17"/>
      <c r="P107" s="17"/>
      <c r="Q107" s="10"/>
      <c r="R107" s="50"/>
    </row>
    <row r="108" spans="1:18" ht="12.75">
      <c r="A108" s="3">
        <v>40603</v>
      </c>
      <c r="B108" s="28">
        <f>+'[15]Data Input'!$H115</f>
        <v>3985206.75</v>
      </c>
      <c r="C108" s="24">
        <f>'Purchased Power Model '!C110</f>
        <v>572.8</v>
      </c>
      <c r="D108" s="24">
        <f>'Purchased Power Model '!D110</f>
        <v>0</v>
      </c>
      <c r="E108" s="17">
        <v>1</v>
      </c>
      <c r="F108" s="78">
        <v>31</v>
      </c>
      <c r="G108" s="116">
        <v>671.2</v>
      </c>
      <c r="H108" s="17">
        <f>'Purchased Power Model '!G110</f>
        <v>229091.62589767942</v>
      </c>
      <c r="I108" s="17">
        <f t="shared" si="2"/>
        <v>40603</v>
      </c>
      <c r="J108" s="17">
        <f>+'[15]Data Input'!$J115</f>
        <v>5703</v>
      </c>
      <c r="K108" s="1">
        <v>368</v>
      </c>
      <c r="L108" s="34">
        <v>139.77100647899545</v>
      </c>
      <c r="M108" s="17">
        <f t="shared" si="3"/>
        <v>4050098.3756170794</v>
      </c>
      <c r="N108" s="17"/>
      <c r="O108" s="17"/>
      <c r="P108" s="17"/>
      <c r="Q108" s="10"/>
      <c r="R108" s="50"/>
    </row>
    <row r="109" spans="1:18" ht="12.75">
      <c r="A109" s="3">
        <v>40634</v>
      </c>
      <c r="B109" s="28">
        <f>+'[15]Data Input'!$H116</f>
        <v>3446412.59</v>
      </c>
      <c r="C109" s="24">
        <f>'Purchased Power Model '!C111</f>
        <v>332.3</v>
      </c>
      <c r="D109" s="24">
        <f>'Purchased Power Model '!D111</f>
        <v>0</v>
      </c>
      <c r="E109" s="17">
        <v>1</v>
      </c>
      <c r="F109" s="78">
        <v>30</v>
      </c>
      <c r="G109" s="116">
        <v>679.9</v>
      </c>
      <c r="H109" s="17">
        <f>'Purchased Power Model '!G111</f>
        <v>247099.4098961337</v>
      </c>
      <c r="I109" s="17">
        <f t="shared" si="2"/>
        <v>40634</v>
      </c>
      <c r="J109" s="17">
        <f>+'[15]Data Input'!$J116</f>
        <v>5707</v>
      </c>
      <c r="K109" s="1">
        <v>320</v>
      </c>
      <c r="L109" s="34">
        <v>140.1383717810907</v>
      </c>
      <c r="M109" s="17">
        <f t="shared" si="3"/>
        <v>3519794.1522424943</v>
      </c>
      <c r="N109" s="17"/>
      <c r="O109" s="17"/>
      <c r="P109" s="17"/>
      <c r="Q109" s="10"/>
      <c r="R109" s="50"/>
    </row>
    <row r="110" spans="1:18" ht="12.75">
      <c r="A110" s="3">
        <v>40664</v>
      </c>
      <c r="B110" s="28">
        <f>+'[15]Data Input'!$H117</f>
        <v>3265390.87</v>
      </c>
      <c r="C110" s="24">
        <f>'Purchased Power Model '!C112</f>
        <v>134.1</v>
      </c>
      <c r="D110" s="24">
        <f>'Purchased Power Model '!D112</f>
        <v>13</v>
      </c>
      <c r="E110" s="17">
        <v>1</v>
      </c>
      <c r="F110" s="78">
        <v>31</v>
      </c>
      <c r="G110" s="116">
        <v>685.8</v>
      </c>
      <c r="H110" s="17">
        <f>'Purchased Power Model '!G112</f>
        <v>265107.193894588</v>
      </c>
      <c r="I110" s="17">
        <f t="shared" si="2"/>
        <v>40664</v>
      </c>
      <c r="J110" s="17">
        <f>+'[15]Data Input'!$J117</f>
        <v>5708</v>
      </c>
      <c r="K110" s="1">
        <v>336</v>
      </c>
      <c r="L110" s="34">
        <v>140.50670264298682</v>
      </c>
      <c r="M110" s="17">
        <f t="shared" si="3"/>
        <v>3336160.8761451305</v>
      </c>
      <c r="N110" s="17"/>
      <c r="O110" s="17"/>
      <c r="P110" s="17"/>
      <c r="Q110" s="10"/>
      <c r="R110" s="50"/>
    </row>
    <row r="111" spans="1:18" ht="12.75">
      <c r="A111" s="3">
        <v>40695</v>
      </c>
      <c r="B111" s="28">
        <f>+'[15]Data Input'!$H118</f>
        <v>3305774.35</v>
      </c>
      <c r="C111" s="24">
        <f>'Purchased Power Model '!C113</f>
        <v>19</v>
      </c>
      <c r="D111" s="24">
        <f>'Purchased Power Model '!D113</f>
        <v>52.2</v>
      </c>
      <c r="E111" s="17">
        <v>0</v>
      </c>
      <c r="F111" s="78">
        <v>30</v>
      </c>
      <c r="G111" s="116">
        <v>697.1</v>
      </c>
      <c r="H111" s="17">
        <f>'Purchased Power Model '!G113</f>
        <v>283114.97789304226</v>
      </c>
      <c r="I111" s="17">
        <f t="shared" si="2"/>
        <v>40695</v>
      </c>
      <c r="J111" s="17">
        <f>+'[15]Data Input'!$J118</f>
        <v>5711</v>
      </c>
      <c r="K111" s="1">
        <v>352</v>
      </c>
      <c r="L111" s="34">
        <v>140.87600160250034</v>
      </c>
      <c r="M111" s="17">
        <f t="shared" si="3"/>
        <v>3426247.6194941327</v>
      </c>
      <c r="N111" s="17"/>
      <c r="O111" s="17"/>
      <c r="P111" s="17"/>
      <c r="Q111" s="10"/>
      <c r="R111" s="50"/>
    </row>
    <row r="112" spans="1:18" ht="12.75">
      <c r="A112" s="3">
        <v>40725</v>
      </c>
      <c r="B112" s="28">
        <f>+'[15]Data Input'!$H119</f>
        <v>4396831.2</v>
      </c>
      <c r="C112" s="24">
        <f>'Purchased Power Model '!C114</f>
        <v>0</v>
      </c>
      <c r="D112" s="24">
        <f>'Purchased Power Model '!D114</f>
        <v>198.5</v>
      </c>
      <c r="E112" s="17">
        <v>0</v>
      </c>
      <c r="F112" s="78">
        <v>31</v>
      </c>
      <c r="G112" s="116">
        <v>707.5</v>
      </c>
      <c r="H112" s="17">
        <f>'Purchased Power Model '!G114</f>
        <v>301122.76189149654</v>
      </c>
      <c r="I112" s="17">
        <f t="shared" si="2"/>
        <v>40725</v>
      </c>
      <c r="J112" s="17">
        <f>+'[15]Data Input'!$J119</f>
        <v>5710</v>
      </c>
      <c r="K112" s="1">
        <v>320</v>
      </c>
      <c r="L112" s="34">
        <v>141.246271204118</v>
      </c>
      <c r="M112" s="17">
        <f t="shared" si="3"/>
        <v>4138250.6583902924</v>
      </c>
      <c r="N112" s="17"/>
      <c r="O112" s="17"/>
      <c r="P112" s="17"/>
      <c r="Q112" s="10"/>
      <c r="R112" s="50"/>
    </row>
    <row r="113" spans="1:18" ht="12.75">
      <c r="A113" s="3">
        <v>40756</v>
      </c>
      <c r="B113" s="28">
        <f>+'[15]Data Input'!$H120</f>
        <v>3783202.83</v>
      </c>
      <c r="C113" s="24">
        <f>'Purchased Power Model '!C115</f>
        <v>0</v>
      </c>
      <c r="D113" s="24">
        <f>'Purchased Power Model '!D115</f>
        <v>122.2</v>
      </c>
      <c r="E113" s="17">
        <v>0</v>
      </c>
      <c r="F113" s="78">
        <v>31</v>
      </c>
      <c r="G113" s="116">
        <v>708.3</v>
      </c>
      <c r="H113" s="17">
        <f>'Purchased Power Model '!G115</f>
        <v>319130.5458899508</v>
      </c>
      <c r="I113" s="17">
        <f t="shared" si="2"/>
        <v>40756</v>
      </c>
      <c r="J113" s="17">
        <f>+'[15]Data Input'!$J120</f>
        <v>5716</v>
      </c>
      <c r="K113" s="1">
        <v>352</v>
      </c>
      <c r="L113" s="34">
        <v>141.61751399901428</v>
      </c>
      <c r="M113" s="17">
        <f t="shared" si="3"/>
        <v>3813767.28786404</v>
      </c>
      <c r="N113" s="17"/>
      <c r="O113" s="17"/>
      <c r="P113" s="17"/>
      <c r="Q113" s="10"/>
      <c r="R113" s="50"/>
    </row>
    <row r="114" spans="1:18" ht="12.75">
      <c r="A114" s="3">
        <v>40787</v>
      </c>
      <c r="B114" s="28">
        <f>+'[15]Data Input'!$H121</f>
        <v>3265013.1</v>
      </c>
      <c r="C114" s="24">
        <f>'Purchased Power Model '!C116</f>
        <v>48.2</v>
      </c>
      <c r="D114" s="24">
        <f>'Purchased Power Model '!D116</f>
        <v>39.7</v>
      </c>
      <c r="E114" s="17">
        <v>1</v>
      </c>
      <c r="F114" s="78">
        <v>30</v>
      </c>
      <c r="G114" s="116">
        <v>700.8</v>
      </c>
      <c r="H114" s="17">
        <f>'Purchased Power Model '!G116</f>
        <v>337138.3298884051</v>
      </c>
      <c r="I114" s="17">
        <f t="shared" si="2"/>
        <v>40787</v>
      </c>
      <c r="J114" s="17">
        <f>+'[15]Data Input'!$J121</f>
        <v>5718</v>
      </c>
      <c r="K114" s="1">
        <v>336</v>
      </c>
      <c r="L114" s="34">
        <v>141.98973254506907</v>
      </c>
      <c r="M114" s="17">
        <f t="shared" si="3"/>
        <v>3181313.043741675</v>
      </c>
      <c r="N114" s="17"/>
      <c r="O114" s="17"/>
      <c r="P114" s="17"/>
      <c r="Q114" s="10"/>
      <c r="R114" s="50"/>
    </row>
    <row r="115" spans="1:18" ht="12.75">
      <c r="A115" s="3">
        <v>40817</v>
      </c>
      <c r="B115" s="28">
        <f>+'[15]Data Input'!$H122</f>
        <v>3483584.13</v>
      </c>
      <c r="C115" s="24">
        <f>'Purchased Power Model '!C117</f>
        <v>235.5</v>
      </c>
      <c r="D115" s="24">
        <f>'Purchased Power Model '!D117</f>
        <v>2.4</v>
      </c>
      <c r="E115" s="17">
        <v>1</v>
      </c>
      <c r="F115" s="78">
        <v>31</v>
      </c>
      <c r="G115" s="116">
        <v>693.6</v>
      </c>
      <c r="H115" s="17">
        <f>'Purchased Power Model '!G117</f>
        <v>355146.1138868594</v>
      </c>
      <c r="I115" s="17">
        <f t="shared" si="2"/>
        <v>40817</v>
      </c>
      <c r="J115" s="17">
        <f>+'[15]Data Input'!$J122</f>
        <v>5720</v>
      </c>
      <c r="K115" s="1">
        <v>320</v>
      </c>
      <c r="L115" s="34">
        <v>142.3629294068852</v>
      </c>
      <c r="M115" s="17">
        <f t="shared" si="3"/>
        <v>3437144.077821713</v>
      </c>
      <c r="N115" s="17"/>
      <c r="O115" s="17"/>
      <c r="P115" s="17"/>
      <c r="Q115" s="10"/>
      <c r="R115" s="50"/>
    </row>
    <row r="116" spans="1:18" ht="12.75">
      <c r="A116" s="3">
        <v>40848</v>
      </c>
      <c r="B116" s="28">
        <f>+'[15]Data Input'!$H123</f>
        <v>3615837.32</v>
      </c>
      <c r="C116" s="24">
        <f>'Purchased Power Model '!C118</f>
        <v>342.1</v>
      </c>
      <c r="D116" s="24">
        <f>'Purchased Power Model '!D118</f>
        <v>0</v>
      </c>
      <c r="E116" s="17">
        <v>1</v>
      </c>
      <c r="F116" s="78">
        <v>30</v>
      </c>
      <c r="G116" s="116">
        <v>690.2</v>
      </c>
      <c r="H116" s="17">
        <f>'Purchased Power Model '!G118</f>
        <v>373153.89788531367</v>
      </c>
      <c r="I116" s="17">
        <f t="shared" si="2"/>
        <v>40848</v>
      </c>
      <c r="J116" s="17">
        <f>+'[15]Data Input'!$J123</f>
        <v>5722</v>
      </c>
      <c r="K116" s="1">
        <v>352</v>
      </c>
      <c r="L116" s="34">
        <v>142.73710715580614</v>
      </c>
      <c r="M116" s="17">
        <f t="shared" si="3"/>
        <v>3476859.1379674086</v>
      </c>
      <c r="N116" s="17"/>
      <c r="O116" s="17"/>
      <c r="P116" s="17"/>
      <c r="Q116" s="10"/>
      <c r="R116" s="50"/>
    </row>
    <row r="117" spans="1:18" ht="12.75">
      <c r="A117" s="3">
        <v>40878</v>
      </c>
      <c r="B117" s="28">
        <f>+'[15]Data Input'!$H124</f>
        <v>4423539.9</v>
      </c>
      <c r="C117" s="24">
        <f>'Purchased Power Model '!C119</f>
        <v>534</v>
      </c>
      <c r="D117" s="24">
        <f>'Purchased Power Model '!D119</f>
        <v>0</v>
      </c>
      <c r="E117" s="17">
        <v>0</v>
      </c>
      <c r="F117" s="78">
        <v>31</v>
      </c>
      <c r="G117" s="116">
        <v>690.4</v>
      </c>
      <c r="H117" s="17">
        <f>'Purchased Power Model '!G119</f>
        <v>391161.68188376795</v>
      </c>
      <c r="I117" s="17">
        <f t="shared" si="2"/>
        <v>40878</v>
      </c>
      <c r="J117" s="17">
        <f>+'[15]Data Input'!$J124</f>
        <v>5725</v>
      </c>
      <c r="K117" s="1">
        <v>336</v>
      </c>
      <c r="L117" s="34">
        <v>143.11226836993367</v>
      </c>
      <c r="M117" s="17">
        <f t="shared" si="3"/>
        <v>4146233.0022411905</v>
      </c>
      <c r="N117" s="17"/>
      <c r="O117" s="17"/>
      <c r="P117" s="17"/>
      <c r="Q117" s="10"/>
      <c r="R117" s="50"/>
    </row>
    <row r="118" spans="1:18" ht="12.75">
      <c r="A118" s="3">
        <v>40909</v>
      </c>
      <c r="C118" s="79">
        <f aca="true" t="shared" si="4" ref="C118:D122">(C10+C22+C34+C46+C58+C70+C82+C94+C106)/9</f>
        <v>731.2777777777778</v>
      </c>
      <c r="D118" s="79">
        <f t="shared" si="4"/>
        <v>0</v>
      </c>
      <c r="E118" s="17">
        <v>0</v>
      </c>
      <c r="F118" s="17">
        <v>31</v>
      </c>
      <c r="G118" s="116">
        <v>689.985995423341</v>
      </c>
      <c r="H118" s="17">
        <f>'Purchased Power Model '!G120</f>
        <v>380946.64371458685</v>
      </c>
      <c r="I118" s="17">
        <f t="shared" si="2"/>
        <v>40909</v>
      </c>
      <c r="J118" s="17">
        <f>+'[15]Data Input'!$J125</f>
        <v>0</v>
      </c>
      <c r="K118" s="19">
        <v>336</v>
      </c>
      <c r="L118" s="154">
        <v>143.49</v>
      </c>
      <c r="M118" s="17">
        <f t="shared" si="3"/>
        <v>4514715.490166092</v>
      </c>
      <c r="N118" s="17"/>
      <c r="O118" s="17"/>
      <c r="P118" s="17"/>
      <c r="Q118" s="10"/>
      <c r="R118" s="50"/>
    </row>
    <row r="119" spans="1:18" ht="12.75">
      <c r="A119" s="3">
        <v>40940</v>
      </c>
      <c r="C119" s="79">
        <f t="shared" si="4"/>
        <v>647.2333333333332</v>
      </c>
      <c r="D119" s="79">
        <f t="shared" si="4"/>
        <v>0</v>
      </c>
      <c r="E119" s="17">
        <v>0</v>
      </c>
      <c r="F119" s="17">
        <v>29</v>
      </c>
      <c r="G119" s="116">
        <v>690.778092795707</v>
      </c>
      <c r="H119" s="17">
        <f>'Purchased Power Model '!G121</f>
        <v>370731.60554540576</v>
      </c>
      <c r="I119" s="17">
        <f t="shared" si="2"/>
        <v>40940</v>
      </c>
      <c r="J119" s="17">
        <v>0</v>
      </c>
      <c r="K119" s="19">
        <v>320</v>
      </c>
      <c r="L119" s="154">
        <v>143.87</v>
      </c>
      <c r="M119" s="17">
        <f t="shared" si="3"/>
        <v>4144273.971978021</v>
      </c>
      <c r="N119" s="17"/>
      <c r="O119" s="17"/>
      <c r="P119" s="17"/>
      <c r="Q119" s="10"/>
      <c r="R119" s="50"/>
    </row>
    <row r="120" spans="1:18" ht="12.75">
      <c r="A120" s="3">
        <v>40969</v>
      </c>
      <c r="C120" s="79">
        <f t="shared" si="4"/>
        <v>542.2111111111112</v>
      </c>
      <c r="D120" s="79">
        <f t="shared" si="4"/>
        <v>0</v>
      </c>
      <c r="E120" s="17">
        <v>1</v>
      </c>
      <c r="F120" s="17">
        <v>31</v>
      </c>
      <c r="G120" s="116">
        <v>691.570190168074</v>
      </c>
      <c r="H120" s="17">
        <f>'Purchased Power Model '!G122</f>
        <v>360516.5673762247</v>
      </c>
      <c r="I120" s="17">
        <f t="shared" si="2"/>
        <v>40969</v>
      </c>
      <c r="J120" s="17">
        <f>'[15]Data Input'!H127</f>
        <v>0</v>
      </c>
      <c r="K120" s="19">
        <v>352</v>
      </c>
      <c r="L120" s="154">
        <v>144.24</v>
      </c>
      <c r="M120" s="17">
        <f t="shared" si="3"/>
        <v>3975388.1666452517</v>
      </c>
      <c r="N120" s="17"/>
      <c r="O120" s="17"/>
      <c r="P120" s="17"/>
      <c r="Q120" s="10"/>
      <c r="R120" s="50"/>
    </row>
    <row r="121" spans="1:18" ht="12.75">
      <c r="A121" s="3">
        <v>41000</v>
      </c>
      <c r="C121" s="79">
        <f t="shared" si="4"/>
        <v>308.62222222222226</v>
      </c>
      <c r="D121" s="79">
        <f t="shared" si="4"/>
        <v>0.39999999999999997</v>
      </c>
      <c r="E121" s="17">
        <v>1</v>
      </c>
      <c r="F121" s="17">
        <v>30</v>
      </c>
      <c r="G121" s="116">
        <v>692.36228754044</v>
      </c>
      <c r="H121" s="17">
        <f>'Purchased Power Model '!G123</f>
        <v>350301.5292070436</v>
      </c>
      <c r="I121" s="17">
        <f t="shared" si="2"/>
        <v>41000</v>
      </c>
      <c r="J121" s="17">
        <f>'[15]Data Input'!H128</f>
        <v>0</v>
      </c>
      <c r="K121" s="19">
        <v>320</v>
      </c>
      <c r="L121" s="154">
        <v>144.62</v>
      </c>
      <c r="M121" s="17">
        <f t="shared" si="3"/>
        <v>3446940.5516827474</v>
      </c>
      <c r="N121" s="17"/>
      <c r="O121" s="17"/>
      <c r="P121" s="17"/>
      <c r="Q121" s="10"/>
      <c r="R121" s="50"/>
    </row>
    <row r="122" spans="1:18" ht="12.75">
      <c r="A122" s="3">
        <v>41030</v>
      </c>
      <c r="C122" s="79">
        <f t="shared" si="4"/>
        <v>154.86666666666667</v>
      </c>
      <c r="D122" s="79">
        <f t="shared" si="4"/>
        <v>13.988888888888889</v>
      </c>
      <c r="E122" s="17">
        <v>1</v>
      </c>
      <c r="F122" s="17">
        <v>31</v>
      </c>
      <c r="G122" s="116">
        <v>693.154384912807</v>
      </c>
      <c r="H122" s="17">
        <f>'Purchased Power Model '!G124</f>
        <v>340086.4910378625</v>
      </c>
      <c r="I122" s="17">
        <f t="shared" si="2"/>
        <v>41030</v>
      </c>
      <c r="J122" s="17">
        <f>'[15]Data Input'!H129</f>
        <v>0</v>
      </c>
      <c r="K122" s="19">
        <v>352</v>
      </c>
      <c r="L122" s="154">
        <v>145</v>
      </c>
      <c r="M122" s="17">
        <f t="shared" si="3"/>
        <v>3347770.4129163628</v>
      </c>
      <c r="N122" s="17"/>
      <c r="O122" s="17"/>
      <c r="P122" s="17"/>
      <c r="Q122" s="10"/>
      <c r="R122" s="50"/>
    </row>
    <row r="123" spans="1:18" ht="12.75">
      <c r="A123" s="3">
        <v>41061</v>
      </c>
      <c r="C123" s="79">
        <f aca="true" t="shared" si="5" ref="C123:D129">(C3+C15+C27+C39+C51+C63+C75+C87+C99+C111)/10</f>
        <v>28.139999999999997</v>
      </c>
      <c r="D123" s="79">
        <f t="shared" si="5"/>
        <v>69.02000000000001</v>
      </c>
      <c r="E123" s="17">
        <v>0</v>
      </c>
      <c r="F123" s="17">
        <v>30</v>
      </c>
      <c r="G123" s="116">
        <v>693.946482285173</v>
      </c>
      <c r="H123" s="17">
        <f>'Purchased Power Model '!G125</f>
        <v>329871.4528686814</v>
      </c>
      <c r="I123" s="17">
        <f t="shared" si="2"/>
        <v>41061</v>
      </c>
      <c r="J123" s="17">
        <f>'[15]Data Input'!H130</f>
        <v>0</v>
      </c>
      <c r="K123" s="19">
        <v>336</v>
      </c>
      <c r="L123" s="154">
        <v>145.38</v>
      </c>
      <c r="M123" s="17">
        <f t="shared" si="3"/>
        <v>3456861.9540429674</v>
      </c>
      <c r="N123" s="17"/>
      <c r="O123" s="17"/>
      <c r="P123" s="17"/>
      <c r="Q123" s="10"/>
      <c r="R123" s="50"/>
    </row>
    <row r="124" spans="1:18" ht="12.75">
      <c r="A124" s="3">
        <v>41091</v>
      </c>
      <c r="C124" s="79">
        <f t="shared" si="5"/>
        <v>1.6</v>
      </c>
      <c r="D124" s="79">
        <f t="shared" si="5"/>
        <v>137.73</v>
      </c>
      <c r="E124" s="17">
        <v>0</v>
      </c>
      <c r="F124" s="17">
        <v>31</v>
      </c>
      <c r="G124" s="116">
        <v>694.73857965754</v>
      </c>
      <c r="H124" s="17">
        <f>'Purchased Power Model '!G126</f>
        <v>319656.4146995003</v>
      </c>
      <c r="I124" s="17">
        <f t="shared" si="2"/>
        <v>41091</v>
      </c>
      <c r="J124" s="17">
        <f>'[15]Data Input'!H131</f>
        <v>0</v>
      </c>
      <c r="K124" s="19">
        <v>336</v>
      </c>
      <c r="L124" s="154">
        <v>145.77</v>
      </c>
      <c r="M124" s="17">
        <f t="shared" si="3"/>
        <v>3816735.8952838723</v>
      </c>
      <c r="N124" s="17"/>
      <c r="O124" s="17"/>
      <c r="P124" s="17"/>
      <c r="Q124" s="10"/>
      <c r="R124" s="50"/>
    </row>
    <row r="125" spans="1:18" ht="12.75">
      <c r="A125" s="3">
        <v>41122</v>
      </c>
      <c r="C125" s="79">
        <f t="shared" si="5"/>
        <v>4.92</v>
      </c>
      <c r="D125" s="79">
        <f t="shared" si="5"/>
        <v>112.96000000000001</v>
      </c>
      <c r="E125" s="17">
        <v>0</v>
      </c>
      <c r="F125" s="17">
        <v>31</v>
      </c>
      <c r="G125" s="116">
        <v>695.530677029906</v>
      </c>
      <c r="H125" s="17">
        <f>'Purchased Power Model '!G127</f>
        <v>309441.3765303192</v>
      </c>
      <c r="I125" s="17">
        <f t="shared" si="2"/>
        <v>41122</v>
      </c>
      <c r="J125" s="17">
        <f>'[15]Data Input'!H132</f>
        <v>0</v>
      </c>
      <c r="K125" s="19">
        <v>352</v>
      </c>
      <c r="L125" s="154">
        <v>146.15</v>
      </c>
      <c r="M125" s="17">
        <f t="shared" si="3"/>
        <v>3733830.0385291334</v>
      </c>
      <c r="N125" s="17"/>
      <c r="O125" s="17"/>
      <c r="P125" s="17"/>
      <c r="Q125" s="10"/>
      <c r="R125" s="50"/>
    </row>
    <row r="126" spans="1:18" ht="12.75">
      <c r="A126" s="3">
        <v>41153</v>
      </c>
      <c r="C126" s="79">
        <f t="shared" si="5"/>
        <v>48.76</v>
      </c>
      <c r="D126" s="79">
        <f t="shared" si="5"/>
        <v>38.41</v>
      </c>
      <c r="E126" s="17">
        <v>1</v>
      </c>
      <c r="F126" s="17">
        <v>30</v>
      </c>
      <c r="G126" s="116">
        <v>696.322774402272</v>
      </c>
      <c r="H126" s="17">
        <f>'Purchased Power Model '!G128</f>
        <v>299226.3383611381</v>
      </c>
      <c r="I126" s="17">
        <f t="shared" si="2"/>
        <v>41153</v>
      </c>
      <c r="J126" s="17">
        <f>'[15]Data Input'!H133</f>
        <v>0</v>
      </c>
      <c r="K126" s="19">
        <v>304</v>
      </c>
      <c r="L126" s="154">
        <v>146.53</v>
      </c>
      <c r="M126" s="17">
        <f t="shared" si="3"/>
        <v>3188945.673520696</v>
      </c>
      <c r="N126" s="17"/>
      <c r="O126" s="17"/>
      <c r="P126" s="17"/>
      <c r="Q126" s="10"/>
      <c r="R126" s="50"/>
    </row>
    <row r="127" spans="1:18" ht="12.75">
      <c r="A127" s="3">
        <v>41183</v>
      </c>
      <c r="C127" s="79">
        <f t="shared" si="5"/>
        <v>248.42000000000002</v>
      </c>
      <c r="D127" s="79">
        <f t="shared" si="5"/>
        <v>4.24</v>
      </c>
      <c r="E127" s="17">
        <v>1</v>
      </c>
      <c r="F127" s="17">
        <v>31</v>
      </c>
      <c r="G127" s="116">
        <v>697.114871774639</v>
      </c>
      <c r="H127" s="17">
        <f>'Purchased Power Model '!G129</f>
        <v>289011.30019195704</v>
      </c>
      <c r="I127" s="17">
        <f t="shared" si="2"/>
        <v>41183</v>
      </c>
      <c r="J127" s="17">
        <f>'[15]Data Input'!H134</f>
        <v>0</v>
      </c>
      <c r="K127" s="19">
        <v>352</v>
      </c>
      <c r="L127" s="154">
        <v>146.92</v>
      </c>
      <c r="M127" s="17">
        <f t="shared" si="3"/>
        <v>3541844.5130580184</v>
      </c>
      <c r="N127" s="17"/>
      <c r="O127" s="17"/>
      <c r="P127" s="17"/>
      <c r="Q127" s="10"/>
      <c r="R127" s="50"/>
    </row>
    <row r="128" spans="1:18" ht="12.75">
      <c r="A128" s="3">
        <v>41214</v>
      </c>
      <c r="C128" s="79">
        <f t="shared" si="5"/>
        <v>401.59</v>
      </c>
      <c r="D128" s="79">
        <f t="shared" si="5"/>
        <v>0</v>
      </c>
      <c r="E128" s="17">
        <v>1</v>
      </c>
      <c r="F128" s="17">
        <v>30</v>
      </c>
      <c r="G128" s="116">
        <v>697.906969147005</v>
      </c>
      <c r="H128" s="17">
        <f>'Purchased Power Model '!G130</f>
        <v>278796.26202277595</v>
      </c>
      <c r="I128" s="17">
        <f t="shared" si="2"/>
        <v>41214</v>
      </c>
      <c r="J128" s="17">
        <f>'[15]Data Input'!H135</f>
        <v>0</v>
      </c>
      <c r="K128" s="19">
        <v>352</v>
      </c>
      <c r="L128" s="154">
        <v>147.3</v>
      </c>
      <c r="M128" s="17">
        <f t="shared" si="3"/>
        <v>3703270.4274799055</v>
      </c>
      <c r="N128" s="17"/>
      <c r="O128" s="17"/>
      <c r="P128" s="17"/>
      <c r="Q128" s="10"/>
      <c r="R128" s="50"/>
    </row>
    <row r="129" spans="1:18" ht="12.75">
      <c r="A129" s="3">
        <v>41244</v>
      </c>
      <c r="C129" s="79">
        <f t="shared" si="5"/>
        <v>611.69</v>
      </c>
      <c r="D129" s="79">
        <f t="shared" si="5"/>
        <v>0</v>
      </c>
      <c r="E129" s="17">
        <v>0</v>
      </c>
      <c r="F129" s="17">
        <v>31</v>
      </c>
      <c r="G129" s="116">
        <v>698.699066519372</v>
      </c>
      <c r="H129" s="17">
        <f>'Purchased Power Model '!G131</f>
        <v>268581.22385359486</v>
      </c>
      <c r="I129" s="17">
        <f t="shared" si="2"/>
        <v>41244</v>
      </c>
      <c r="J129" s="17">
        <f>'[15]Data Input'!H136</f>
        <v>0</v>
      </c>
      <c r="K129" s="19">
        <v>304</v>
      </c>
      <c r="L129" s="154">
        <v>147.69</v>
      </c>
      <c r="M129" s="17">
        <f t="shared" si="3"/>
        <v>4433132.723732666</v>
      </c>
      <c r="N129" s="17"/>
      <c r="O129" s="17"/>
      <c r="P129" s="17"/>
      <c r="Q129" s="10"/>
      <c r="R129" s="50"/>
    </row>
    <row r="130" spans="1:18" ht="12.75">
      <c r="A130" s="3">
        <v>41275</v>
      </c>
      <c r="C130" s="79">
        <f>C118</f>
        <v>731.2777777777778</v>
      </c>
      <c r="D130" s="79">
        <f>D118</f>
        <v>0</v>
      </c>
      <c r="E130" s="17">
        <v>0</v>
      </c>
      <c r="F130" s="17">
        <v>31</v>
      </c>
      <c r="G130" s="116">
        <v>699.491163891738</v>
      </c>
      <c r="H130" s="17">
        <f>'Purchased Power Model '!G132</f>
        <v>277069.45914351544</v>
      </c>
      <c r="I130" s="17">
        <f t="shared" si="2"/>
        <v>41275</v>
      </c>
      <c r="J130" s="17">
        <f>'[15]Data Input'!H137</f>
        <v>0</v>
      </c>
      <c r="K130" s="86">
        <f>22*16</f>
        <v>352</v>
      </c>
      <c r="L130" s="154">
        <v>147.88</v>
      </c>
      <c r="M130" s="17">
        <f t="shared" si="3"/>
        <v>4648682.173952092</v>
      </c>
      <c r="N130" s="17"/>
      <c r="O130" s="17"/>
      <c r="P130" s="17"/>
      <c r="Q130" s="10"/>
      <c r="R130" s="50"/>
    </row>
    <row r="131" spans="1:18" ht="12.75">
      <c r="A131" s="3">
        <v>41306</v>
      </c>
      <c r="C131" s="79">
        <f aca="true" t="shared" si="6" ref="C131:D141">C119</f>
        <v>647.2333333333332</v>
      </c>
      <c r="D131" s="79">
        <f t="shared" si="6"/>
        <v>0</v>
      </c>
      <c r="E131" s="17">
        <v>0</v>
      </c>
      <c r="F131" s="17">
        <v>28</v>
      </c>
      <c r="G131" s="116">
        <v>700.283261264104</v>
      </c>
      <c r="H131" s="17">
        <f>'Purchased Power Model '!G133</f>
        <v>285557.69443343603</v>
      </c>
      <c r="I131" s="17">
        <f t="shared" si="2"/>
        <v>41306</v>
      </c>
      <c r="J131" s="17">
        <f>'[15]Data Input'!H138</f>
        <v>0</v>
      </c>
      <c r="K131" s="86">
        <f>19*16</f>
        <v>304</v>
      </c>
      <c r="L131" s="154">
        <v>148.08</v>
      </c>
      <c r="M131" s="17">
        <f t="shared" si="3"/>
        <v>4147635.2957947063</v>
      </c>
      <c r="N131" s="17"/>
      <c r="O131" s="17"/>
      <c r="P131" s="17"/>
      <c r="Q131" s="10"/>
      <c r="R131" s="50"/>
    </row>
    <row r="132" spans="1:18" ht="12.75">
      <c r="A132" s="3">
        <v>41334</v>
      </c>
      <c r="C132" s="79">
        <f t="shared" si="6"/>
        <v>542.2111111111112</v>
      </c>
      <c r="D132" s="79">
        <f t="shared" si="6"/>
        <v>0</v>
      </c>
      <c r="E132" s="17">
        <v>1</v>
      </c>
      <c r="F132" s="17">
        <v>31</v>
      </c>
      <c r="G132" s="116">
        <v>701.075358636471</v>
      </c>
      <c r="H132" s="17">
        <f>'Purchased Power Model '!G134</f>
        <v>294045.9297233566</v>
      </c>
      <c r="I132" s="17">
        <f aca="true" t="shared" si="7" ref="I132:I141">A132</f>
        <v>41334</v>
      </c>
      <c r="J132" s="17">
        <f>'[15]Data Input'!H139</f>
        <v>0</v>
      </c>
      <c r="K132" s="86">
        <f>20*16</f>
        <v>320</v>
      </c>
      <c r="L132" s="154">
        <v>148.27</v>
      </c>
      <c r="M132" s="17">
        <f aca="true" t="shared" si="8" ref="M132:M141">$P$18+$P$19*C132+$P$20*D132+$P$21*E132+$P$22*F132+$P$23*G132+$P$24*H132</f>
        <v>4077051.188662932</v>
      </c>
      <c r="N132" s="17"/>
      <c r="O132" s="17"/>
      <c r="P132" s="17"/>
      <c r="Q132" s="10"/>
      <c r="R132" s="50"/>
    </row>
    <row r="133" spans="1:18" ht="12.75">
      <c r="A133" s="3">
        <v>41365</v>
      </c>
      <c r="C133" s="79">
        <f t="shared" si="6"/>
        <v>308.62222222222226</v>
      </c>
      <c r="D133" s="79">
        <f t="shared" si="6"/>
        <v>0.39999999999999997</v>
      </c>
      <c r="E133" s="17">
        <v>1</v>
      </c>
      <c r="F133" s="17">
        <v>30</v>
      </c>
      <c r="G133" s="116">
        <v>701.867456008837</v>
      </c>
      <c r="H133" s="17">
        <f>'Purchased Power Model '!G135</f>
        <v>302534.1650132772</v>
      </c>
      <c r="I133" s="17">
        <f t="shared" si="7"/>
        <v>41365</v>
      </c>
      <c r="J133" s="17">
        <f>'[15]Data Input'!H140</f>
        <v>0</v>
      </c>
      <c r="K133" s="86">
        <f>22*16</f>
        <v>352</v>
      </c>
      <c r="L133" s="154">
        <v>148.46</v>
      </c>
      <c r="M133" s="17">
        <f t="shared" si="8"/>
        <v>3532451.7428162675</v>
      </c>
      <c r="N133" s="17"/>
      <c r="O133" s="17"/>
      <c r="P133" s="17"/>
      <c r="Q133" s="10"/>
      <c r="R133" s="50"/>
    </row>
    <row r="134" spans="1:18" ht="12.75">
      <c r="A134" s="3">
        <v>41395</v>
      </c>
      <c r="C134" s="79">
        <f t="shared" si="6"/>
        <v>154.86666666666667</v>
      </c>
      <c r="D134" s="79">
        <f t="shared" si="6"/>
        <v>13.988888888888889</v>
      </c>
      <c r="E134" s="17">
        <v>1</v>
      </c>
      <c r="F134" s="17">
        <v>31</v>
      </c>
      <c r="G134" s="116">
        <v>702.659553381204</v>
      </c>
      <c r="H134" s="17">
        <f>'Purchased Power Model '!G136</f>
        <v>311022.4003031978</v>
      </c>
      <c r="I134" s="17">
        <f t="shared" si="7"/>
        <v>41395</v>
      </c>
      <c r="J134" s="17">
        <f>'[15]Data Input'!H141</f>
        <v>0</v>
      </c>
      <c r="K134" s="86">
        <f>22*16</f>
        <v>352</v>
      </c>
      <c r="L134" s="154">
        <v>148.65</v>
      </c>
      <c r="M134" s="17">
        <f t="shared" si="8"/>
        <v>3417129.773165723</v>
      </c>
      <c r="N134" s="17"/>
      <c r="O134" s="17"/>
      <c r="P134" s="17"/>
      <c r="Q134" s="10"/>
      <c r="R134" s="50"/>
    </row>
    <row r="135" spans="1:18" ht="12.75">
      <c r="A135" s="3">
        <v>41426</v>
      </c>
      <c r="C135" s="79">
        <f t="shared" si="6"/>
        <v>28.139999999999997</v>
      </c>
      <c r="D135" s="79">
        <f t="shared" si="6"/>
        <v>69.02000000000001</v>
      </c>
      <c r="E135" s="17">
        <v>0</v>
      </c>
      <c r="F135" s="17">
        <v>30</v>
      </c>
      <c r="G135" s="116">
        <v>703.45165075357</v>
      </c>
      <c r="H135" s="17">
        <f>'Purchased Power Model '!G137</f>
        <v>319510.6355931184</v>
      </c>
      <c r="I135" s="17">
        <f t="shared" si="7"/>
        <v>41426</v>
      </c>
      <c r="J135" s="17">
        <f>'[15]Data Input'!H142</f>
        <v>0</v>
      </c>
      <c r="K135" s="86">
        <f>20*16</f>
        <v>320</v>
      </c>
      <c r="L135" s="154">
        <v>148.85</v>
      </c>
      <c r="M135" s="17">
        <f t="shared" si="8"/>
        <v>3510069.483408167</v>
      </c>
      <c r="N135" s="17"/>
      <c r="O135" s="17"/>
      <c r="P135" s="17"/>
      <c r="Q135" s="10"/>
      <c r="R135" s="50"/>
    </row>
    <row r="136" spans="1:18" ht="12.75">
      <c r="A136" s="3">
        <v>41456</v>
      </c>
      <c r="C136" s="79">
        <f t="shared" si="6"/>
        <v>1.6</v>
      </c>
      <c r="D136" s="79">
        <f t="shared" si="6"/>
        <v>137.73</v>
      </c>
      <c r="E136" s="17">
        <v>0</v>
      </c>
      <c r="F136" s="17">
        <v>31</v>
      </c>
      <c r="G136" s="116">
        <v>704.243748125937</v>
      </c>
      <c r="H136" s="17">
        <f>'Purchased Power Model '!G138</f>
        <v>327998.87088303897</v>
      </c>
      <c r="I136" s="17">
        <f t="shared" si="7"/>
        <v>41456</v>
      </c>
      <c r="J136" s="17">
        <f>'[15]Data Input'!H143</f>
        <v>0</v>
      </c>
      <c r="K136" s="86">
        <f>22*16</f>
        <v>352</v>
      </c>
      <c r="L136" s="154">
        <v>149.04</v>
      </c>
      <c r="M136" s="17">
        <f t="shared" si="8"/>
        <v>3853791.593764913</v>
      </c>
      <c r="N136" s="17"/>
      <c r="O136" s="17"/>
      <c r="P136" s="17"/>
      <c r="Q136" s="10"/>
      <c r="R136" s="50"/>
    </row>
    <row r="137" spans="1:18" ht="12.75">
      <c r="A137" s="3">
        <v>41487</v>
      </c>
      <c r="C137" s="79">
        <f t="shared" si="6"/>
        <v>4.92</v>
      </c>
      <c r="D137" s="79">
        <f t="shared" si="6"/>
        <v>112.96000000000001</v>
      </c>
      <c r="E137" s="17">
        <v>0</v>
      </c>
      <c r="F137" s="17">
        <v>31</v>
      </c>
      <c r="G137" s="116">
        <v>705.035845498303</v>
      </c>
      <c r="H137" s="17">
        <f>'Purchased Power Model '!G139</f>
        <v>336487.10617295955</v>
      </c>
      <c r="I137" s="17">
        <f t="shared" si="7"/>
        <v>41487</v>
      </c>
      <c r="J137" s="17">
        <f>'[15]Data Input'!H144</f>
        <v>0</v>
      </c>
      <c r="K137" s="86">
        <f>21*16</f>
        <v>336</v>
      </c>
      <c r="L137" s="154">
        <v>149.23</v>
      </c>
      <c r="M137" s="17">
        <f t="shared" si="8"/>
        <v>3754733.906126014</v>
      </c>
      <c r="N137" s="17"/>
      <c r="O137" s="17"/>
      <c r="P137" s="17"/>
      <c r="Q137" s="10"/>
      <c r="R137" s="50"/>
    </row>
    <row r="138" spans="1:18" ht="12.75">
      <c r="A138" s="3">
        <v>41518</v>
      </c>
      <c r="C138" s="79">
        <f t="shared" si="6"/>
        <v>48.76</v>
      </c>
      <c r="D138" s="79">
        <f t="shared" si="6"/>
        <v>38.41</v>
      </c>
      <c r="E138" s="17">
        <v>1</v>
      </c>
      <c r="F138" s="17">
        <v>30</v>
      </c>
      <c r="G138" s="116">
        <v>705.827942870669</v>
      </c>
      <c r="H138" s="17">
        <f>'Purchased Power Model '!G140</f>
        <v>344975.34146288014</v>
      </c>
      <c r="I138" s="17">
        <f t="shared" si="7"/>
        <v>41518</v>
      </c>
      <c r="J138" s="17">
        <f>'[15]Data Input'!H145</f>
        <v>0</v>
      </c>
      <c r="K138" s="86">
        <f>20*16</f>
        <v>320</v>
      </c>
      <c r="L138" s="154">
        <v>149.42</v>
      </c>
      <c r="M138" s="17">
        <f t="shared" si="8"/>
        <v>3193697.7102334155</v>
      </c>
      <c r="N138" s="17"/>
      <c r="O138" s="17"/>
      <c r="P138" s="17"/>
      <c r="Q138" s="10"/>
      <c r="R138" s="50"/>
    </row>
    <row r="139" spans="1:18" ht="12.75">
      <c r="A139" s="3">
        <v>41548</v>
      </c>
      <c r="C139" s="79">
        <f t="shared" si="6"/>
        <v>248.42000000000002</v>
      </c>
      <c r="D139" s="79">
        <f t="shared" si="6"/>
        <v>4.24</v>
      </c>
      <c r="E139" s="17">
        <v>1</v>
      </c>
      <c r="F139" s="17">
        <v>31</v>
      </c>
      <c r="G139" s="116">
        <v>706.620040243036</v>
      </c>
      <c r="H139" s="17">
        <f>'Purchased Power Model '!G141</f>
        <v>353463.5767528007</v>
      </c>
      <c r="I139" s="17">
        <f t="shared" si="7"/>
        <v>41548</v>
      </c>
      <c r="J139" s="17">
        <f>'[15]Data Input'!H146</f>
        <v>0</v>
      </c>
      <c r="K139" s="86">
        <f>22*16</f>
        <v>352</v>
      </c>
      <c r="L139" s="154">
        <v>149.62</v>
      </c>
      <c r="M139" s="17">
        <f t="shared" si="8"/>
        <v>3530444.718886579</v>
      </c>
      <c r="N139" s="17"/>
      <c r="O139" s="17"/>
      <c r="P139" s="17"/>
      <c r="Q139" s="10"/>
      <c r="R139" s="50"/>
    </row>
    <row r="140" spans="1:18" ht="12.75">
      <c r="A140" s="3">
        <v>41579</v>
      </c>
      <c r="C140" s="79">
        <f t="shared" si="6"/>
        <v>401.59</v>
      </c>
      <c r="D140" s="79">
        <f t="shared" si="6"/>
        <v>0</v>
      </c>
      <c r="E140" s="17">
        <v>1</v>
      </c>
      <c r="F140" s="17">
        <v>30</v>
      </c>
      <c r="G140" s="116">
        <v>707.412137615402</v>
      </c>
      <c r="H140" s="17">
        <f>'Purchased Power Model '!G142</f>
        <v>361951.8120427213</v>
      </c>
      <c r="I140" s="17">
        <f t="shared" si="7"/>
        <v>41579</v>
      </c>
      <c r="J140" s="17">
        <f>'[15]Data Input'!H147</f>
        <v>0</v>
      </c>
      <c r="K140" s="86">
        <f>21*16</f>
        <v>336</v>
      </c>
      <c r="L140" s="154">
        <v>149.81</v>
      </c>
      <c r="M140" s="17">
        <f t="shared" si="8"/>
        <v>3675718.8024243056</v>
      </c>
      <c r="N140" s="17"/>
      <c r="O140" s="17"/>
      <c r="P140" s="17"/>
      <c r="Q140" s="10"/>
      <c r="R140" s="50"/>
    </row>
    <row r="141" spans="1:18" ht="12.75">
      <c r="A141" s="3">
        <v>41609</v>
      </c>
      <c r="C141" s="79">
        <f t="shared" si="6"/>
        <v>611.69</v>
      </c>
      <c r="D141" s="79">
        <f t="shared" si="6"/>
        <v>0</v>
      </c>
      <c r="E141" s="17">
        <v>0</v>
      </c>
      <c r="F141" s="17">
        <v>31</v>
      </c>
      <c r="G141" s="116">
        <v>708.204234987769</v>
      </c>
      <c r="H141" s="17">
        <f>'Purchased Power Model '!G143</f>
        <v>370440.0473326419</v>
      </c>
      <c r="I141" s="17">
        <f t="shared" si="7"/>
        <v>41609</v>
      </c>
      <c r="J141" s="17">
        <f>'[15]Data Input'!H148</f>
        <v>0</v>
      </c>
      <c r="K141" s="86">
        <f>20*16</f>
        <v>320</v>
      </c>
      <c r="L141" s="154">
        <v>150</v>
      </c>
      <c r="M141" s="17">
        <f t="shared" si="8"/>
        <v>4389429.267792908</v>
      </c>
      <c r="N141" s="17"/>
      <c r="O141" s="17"/>
      <c r="P141" s="17"/>
      <c r="Q141" s="10"/>
      <c r="R141" s="50"/>
    </row>
    <row r="142" spans="1:11" ht="12.75">
      <c r="A142" s="3"/>
      <c r="H142" s="17"/>
      <c r="I142" s="17"/>
      <c r="K142" s="17"/>
    </row>
    <row r="143" spans="1:17" ht="12.75">
      <c r="A143" s="3"/>
      <c r="D143" s="24" t="s">
        <v>12</v>
      </c>
      <c r="M143" s="78">
        <f>SUM(M3:M141)</f>
        <v>517514969.2160637</v>
      </c>
      <c r="Q143" s="50"/>
    </row>
    <row r="144" ht="12.75">
      <c r="A144" s="3"/>
    </row>
    <row r="145" spans="1:40" ht="12.75">
      <c r="A145">
        <v>2002</v>
      </c>
      <c r="B145" s="28">
        <f>SUM(B3:B9)</f>
        <v>25294397.269999996</v>
      </c>
      <c r="E145" s="1"/>
      <c r="G145" s="36"/>
      <c r="H145" s="36"/>
      <c r="I145" s="36"/>
      <c r="J145" s="1"/>
      <c r="L145" s="24"/>
      <c r="M145" s="28">
        <f>SUM(M3:M9)</f>
        <v>24755369.95093025</v>
      </c>
      <c r="N145" s="38">
        <f aca="true" t="shared" si="9" ref="N145:N154">M145-B145</f>
        <v>-539027.3190697469</v>
      </c>
      <c r="O145" s="147">
        <f>N145/B145</f>
        <v>-0.02131014680112783</v>
      </c>
      <c r="P145"/>
      <c r="Q145"/>
      <c r="R145"/>
      <c r="S145"/>
      <c r="AB145" s="6"/>
      <c r="AC145" s="6"/>
      <c r="AD145" s="6"/>
      <c r="AE145" s="6"/>
      <c r="AF145" s="28"/>
      <c r="AG145" s="28"/>
      <c r="AH145" s="6"/>
      <c r="AI145"/>
      <c r="AJ145"/>
      <c r="AK145"/>
      <c r="AL145"/>
      <c r="AM145"/>
      <c r="AN145"/>
    </row>
    <row r="146" spans="1:40" ht="12.75">
      <c r="A146" s="16">
        <v>2003</v>
      </c>
      <c r="B146" s="28">
        <f>SUM(B10:B21)</f>
        <v>42907157.25</v>
      </c>
      <c r="E146" s="1"/>
      <c r="G146" s="36"/>
      <c r="H146" s="36"/>
      <c r="I146" s="36"/>
      <c r="J146" s="1"/>
      <c r="L146" s="24"/>
      <c r="M146" s="28">
        <f>SUM(M10:M21)</f>
        <v>43529747.31981369</v>
      </c>
      <c r="N146" s="38">
        <f t="shared" si="9"/>
        <v>622590.0698136911</v>
      </c>
      <c r="O146" s="147">
        <f aca="true" t="shared" si="10" ref="O146:O154">N146/B146</f>
        <v>0.014510168226390507</v>
      </c>
      <c r="P146"/>
      <c r="Q146"/>
      <c r="R146"/>
      <c r="S146"/>
      <c r="AB146" s="6"/>
      <c r="AC146" s="6"/>
      <c r="AD146" s="6"/>
      <c r="AE146" s="6"/>
      <c r="AF146" s="28"/>
      <c r="AG146" s="28"/>
      <c r="AH146" s="6"/>
      <c r="AI146"/>
      <c r="AJ146"/>
      <c r="AK146"/>
      <c r="AL146"/>
      <c r="AM146"/>
      <c r="AN146"/>
    </row>
    <row r="147" spans="1:40" ht="12.75">
      <c r="A147">
        <v>2004</v>
      </c>
      <c r="B147" s="28">
        <f>SUM(B22:B33)</f>
        <v>44353538.1</v>
      </c>
      <c r="E147" s="1"/>
      <c r="G147" s="36"/>
      <c r="H147" s="36"/>
      <c r="I147" s="36"/>
      <c r="J147" s="1"/>
      <c r="L147" s="24"/>
      <c r="M147" s="28">
        <f>SUM(M22:M33)</f>
        <v>43724908.299713485</v>
      </c>
      <c r="N147" s="38">
        <f t="shared" si="9"/>
        <v>-628629.8002865165</v>
      </c>
      <c r="O147" s="147">
        <f t="shared" si="10"/>
        <v>-0.014173160185534703</v>
      </c>
      <c r="P147"/>
      <c r="Q147"/>
      <c r="R147"/>
      <c r="S147"/>
      <c r="AB147" s="6"/>
      <c r="AC147" s="6"/>
      <c r="AD147" s="6"/>
      <c r="AE147" s="6"/>
      <c r="AF147" s="28"/>
      <c r="AG147" s="28"/>
      <c r="AH147" s="6"/>
      <c r="AI147"/>
      <c r="AJ147"/>
      <c r="AK147"/>
      <c r="AL147"/>
      <c r="AM147"/>
      <c r="AN147"/>
    </row>
    <row r="148" spans="1:40" ht="12.75">
      <c r="A148" s="16">
        <v>2005</v>
      </c>
      <c r="B148" s="28">
        <f>SUM(B34:B45)</f>
        <v>47312612.39</v>
      </c>
      <c r="E148" s="1"/>
      <c r="G148" s="36"/>
      <c r="H148" s="36"/>
      <c r="I148" s="36"/>
      <c r="J148" s="1"/>
      <c r="L148" s="24"/>
      <c r="M148" s="28">
        <f>SUM(M34:M45)</f>
        <v>46414537.341696754</v>
      </c>
      <c r="N148" s="38">
        <f t="shared" si="9"/>
        <v>-898075.0483032465</v>
      </c>
      <c r="O148" s="147">
        <f t="shared" si="10"/>
        <v>-0.018981726075499136</v>
      </c>
      <c r="P148"/>
      <c r="Q148"/>
      <c r="R148"/>
      <c r="S148"/>
      <c r="AB148" s="6"/>
      <c r="AC148" s="6"/>
      <c r="AD148" s="6"/>
      <c r="AE148" s="6"/>
      <c r="AF148" s="28"/>
      <c r="AG148" s="28"/>
      <c r="AH148" s="6"/>
      <c r="AI148"/>
      <c r="AJ148"/>
      <c r="AK148"/>
      <c r="AL148"/>
      <c r="AM148"/>
      <c r="AN148"/>
    </row>
    <row r="149" spans="1:40" ht="12.75">
      <c r="A149">
        <v>2006</v>
      </c>
      <c r="B149" s="28">
        <f>SUM(B46:B57)</f>
        <v>45687349.76</v>
      </c>
      <c r="E149" s="1"/>
      <c r="G149" s="36"/>
      <c r="H149" s="36"/>
      <c r="I149" s="36"/>
      <c r="J149" s="1"/>
      <c r="L149" s="24"/>
      <c r="M149" s="28">
        <f>SUM(M46:M57)</f>
        <v>45478056.99558297</v>
      </c>
      <c r="N149" s="38">
        <f t="shared" si="9"/>
        <v>-209292.76441702992</v>
      </c>
      <c r="O149" s="147">
        <f t="shared" si="10"/>
        <v>-0.004580978444065255</v>
      </c>
      <c r="P149"/>
      <c r="Q149"/>
      <c r="R149"/>
      <c r="S149"/>
      <c r="AB149" s="6"/>
      <c r="AC149" s="6"/>
      <c r="AD149" s="6"/>
      <c r="AE149" s="6"/>
      <c r="AF149" s="28"/>
      <c r="AG149" s="28"/>
      <c r="AH149" s="6"/>
      <c r="AI149"/>
      <c r="AJ149"/>
      <c r="AK149"/>
      <c r="AL149"/>
      <c r="AM149"/>
      <c r="AN149"/>
    </row>
    <row r="150" spans="1:40" ht="12.75">
      <c r="A150" s="16">
        <v>2007</v>
      </c>
      <c r="B150" s="28">
        <f>SUM(B58:B69)</f>
        <v>43537330.44</v>
      </c>
      <c r="E150" s="1"/>
      <c r="G150" s="36"/>
      <c r="H150" s="36"/>
      <c r="I150" s="36"/>
      <c r="J150" s="1"/>
      <c r="L150" s="24"/>
      <c r="M150" s="28">
        <f>SUM(M58:M69)</f>
        <v>45116839.06341226</v>
      </c>
      <c r="N150" s="38">
        <f t="shared" si="9"/>
        <v>1579508.623412259</v>
      </c>
      <c r="O150" s="147">
        <f t="shared" si="10"/>
        <v>0.03627940912888592</v>
      </c>
      <c r="P150"/>
      <c r="Q150"/>
      <c r="R150"/>
      <c r="S150"/>
      <c r="AB150" s="6"/>
      <c r="AC150" s="6"/>
      <c r="AD150" s="6"/>
      <c r="AE150" s="6"/>
      <c r="AF150" s="28"/>
      <c r="AG150" s="28"/>
      <c r="AH150" s="6"/>
      <c r="AI150"/>
      <c r="AJ150"/>
      <c r="AK150"/>
      <c r="AL150"/>
      <c r="AM150"/>
      <c r="AN150"/>
    </row>
    <row r="151" spans="1:40" ht="12.75">
      <c r="A151">
        <v>2008</v>
      </c>
      <c r="B151" s="28">
        <f>SUM(B70:B81)</f>
        <v>44267125.53</v>
      </c>
      <c r="E151" s="1"/>
      <c r="G151" s="36"/>
      <c r="H151" s="36"/>
      <c r="I151" s="36"/>
      <c r="J151" s="1"/>
      <c r="L151" s="24"/>
      <c r="M151" s="28">
        <f>SUM(M70:M81)</f>
        <v>44761285.909494765</v>
      </c>
      <c r="N151" s="38">
        <f t="shared" si="9"/>
        <v>494160.3794947639</v>
      </c>
      <c r="O151" s="147">
        <f t="shared" si="10"/>
        <v>0.011163145869046083</v>
      </c>
      <c r="P151"/>
      <c r="Q151"/>
      <c r="R151"/>
      <c r="S151"/>
      <c r="AB151" s="6"/>
      <c r="AC151" s="6"/>
      <c r="AD151" s="6"/>
      <c r="AE151" s="6"/>
      <c r="AF151" s="28"/>
      <c r="AG151" s="28"/>
      <c r="AH151" s="6"/>
      <c r="AI151"/>
      <c r="AJ151"/>
      <c r="AK151"/>
      <c r="AL151"/>
      <c r="AM151"/>
      <c r="AN151"/>
    </row>
    <row r="152" spans="1:40" ht="12.75">
      <c r="A152" s="16">
        <v>2009</v>
      </c>
      <c r="B152" s="28">
        <f>SUM(B82:B93)</f>
        <v>43775753.410000004</v>
      </c>
      <c r="E152" s="1"/>
      <c r="G152" s="36"/>
      <c r="H152" s="36"/>
      <c r="I152" s="36"/>
      <c r="J152" s="1"/>
      <c r="L152" s="24"/>
      <c r="M152" s="28">
        <f>SUM(M82:M93)</f>
        <v>43232078.63626398</v>
      </c>
      <c r="N152" s="38">
        <f t="shared" si="9"/>
        <v>-543674.7737360224</v>
      </c>
      <c r="O152" s="147">
        <f t="shared" si="10"/>
        <v>-0.012419541215978866</v>
      </c>
      <c r="P152"/>
      <c r="Q152"/>
      <c r="R152"/>
      <c r="S152"/>
      <c r="AB152" s="6"/>
      <c r="AC152" s="6"/>
      <c r="AD152" s="6"/>
      <c r="AE152" s="6"/>
      <c r="AF152" s="28"/>
      <c r="AG152" s="28"/>
      <c r="AH152" s="6"/>
      <c r="AI152"/>
      <c r="AJ152"/>
      <c r="AK152"/>
      <c r="AL152"/>
      <c r="AM152"/>
      <c r="AN152"/>
    </row>
    <row r="153" spans="1:40" ht="12.75">
      <c r="A153">
        <v>2010</v>
      </c>
      <c r="B153" s="28">
        <f>SUM(B94:B105)</f>
        <v>45093297.22</v>
      </c>
      <c r="E153" s="1"/>
      <c r="G153" s="36"/>
      <c r="H153" s="36"/>
      <c r="I153" s="36"/>
      <c r="J153" s="1"/>
      <c r="L153" s="24"/>
      <c r="M153" s="28">
        <f>SUM(M94:M105)</f>
        <v>44240007.15264883</v>
      </c>
      <c r="N153" s="38">
        <f t="shared" si="9"/>
        <v>-853290.0673511699</v>
      </c>
      <c r="O153" s="147">
        <f t="shared" si="10"/>
        <v>-0.01892276945702508</v>
      </c>
      <c r="P153"/>
      <c r="Q153"/>
      <c r="R153"/>
      <c r="S153"/>
      <c r="AB153" s="6"/>
      <c r="AC153" s="6"/>
      <c r="AD153" s="6"/>
      <c r="AE153" s="6"/>
      <c r="AF153" s="28"/>
      <c r="AG153" s="28"/>
      <c r="AH153" s="6"/>
      <c r="AI153"/>
      <c r="AJ153"/>
      <c r="AK153"/>
      <c r="AL153"/>
      <c r="AM153"/>
      <c r="AN153"/>
    </row>
    <row r="154" spans="1:40" ht="12.75">
      <c r="A154">
        <v>2011</v>
      </c>
      <c r="B154" s="28">
        <f>SUM(B106:B117)</f>
        <v>44251862.370000005</v>
      </c>
      <c r="E154" s="1"/>
      <c r="G154" s="36"/>
      <c r="H154" s="36"/>
      <c r="I154" s="36"/>
      <c r="J154" s="1"/>
      <c r="L154" s="24"/>
      <c r="M154" s="28">
        <f>SUM(M106:M117)</f>
        <v>45227593.07044318</v>
      </c>
      <c r="N154" s="38">
        <f t="shared" si="9"/>
        <v>975730.7004431784</v>
      </c>
      <c r="O154" s="147">
        <f t="shared" si="10"/>
        <v>0.02204948330275615</v>
      </c>
      <c r="P154"/>
      <c r="Q154"/>
      <c r="R154"/>
      <c r="S154"/>
      <c r="AB154" s="6"/>
      <c r="AC154" s="6"/>
      <c r="AD154" s="6"/>
      <c r="AE154" s="6"/>
      <c r="AF154" s="28"/>
      <c r="AG154" s="28"/>
      <c r="AH154" s="6"/>
      <c r="AI154"/>
      <c r="AJ154"/>
      <c r="AK154"/>
      <c r="AL154"/>
      <c r="AM154"/>
      <c r="AN154"/>
    </row>
    <row r="155" spans="1:15" ht="12.75">
      <c r="A155" s="16">
        <v>2012</v>
      </c>
      <c r="M155" s="6">
        <f>SUM(M118:M129)</f>
        <v>45303709.819035746</v>
      </c>
      <c r="N155" s="1"/>
      <c r="O155" s="1"/>
    </row>
    <row r="156" spans="1:15" ht="12.75">
      <c r="A156" s="16">
        <v>2013</v>
      </c>
      <c r="M156" s="6">
        <f>SUM(M130:M141)</f>
        <v>45730835.65702802</v>
      </c>
      <c r="N156" s="1"/>
      <c r="O156" s="1"/>
    </row>
    <row r="157" spans="13:15" ht="12.75">
      <c r="M157" s="6"/>
      <c r="N157" s="1"/>
      <c r="O157" s="1"/>
    </row>
    <row r="158" spans="1:15" ht="12.75">
      <c r="A158" t="s">
        <v>75</v>
      </c>
      <c r="B158" s="28">
        <f>SUM(B145:B154)</f>
        <v>426480423.74</v>
      </c>
      <c r="M158" s="28">
        <f>SUM(M145:M154)</f>
        <v>426480423.7400001</v>
      </c>
      <c r="N158" s="6">
        <f>M158-B158</f>
        <v>0</v>
      </c>
      <c r="O158" s="1"/>
    </row>
    <row r="159" spans="13:15" ht="12.75">
      <c r="M159" s="1"/>
      <c r="N159" s="1"/>
      <c r="O159" s="1"/>
    </row>
    <row r="160" spans="13:15" ht="12.75">
      <c r="M160" s="6">
        <f>SUM(M145:M156)</f>
        <v>517514969.2160639</v>
      </c>
      <c r="N160" s="50">
        <f>M160-M143</f>
        <v>0</v>
      </c>
      <c r="O160" s="1"/>
    </row>
    <row r="161" spans="13:15" ht="12.75">
      <c r="M161" s="19"/>
      <c r="N161" s="19" t="s">
        <v>57</v>
      </c>
      <c r="O161" s="19"/>
    </row>
    <row r="164" ht="12.75">
      <c r="B164" s="28" t="s">
        <v>297</v>
      </c>
    </row>
    <row r="165" spans="1:18" ht="12.75">
      <c r="A165" s="3">
        <v>41275</v>
      </c>
      <c r="C165" s="79">
        <f>'Weather Analysis - Pearson'!V8</f>
        <v>715.3700000000001</v>
      </c>
      <c r="D165" s="79">
        <f>'Weather Analysis - Pearson'!V28</f>
        <v>0</v>
      </c>
      <c r="E165" s="17">
        <v>0</v>
      </c>
      <c r="F165" s="17">
        <v>31</v>
      </c>
      <c r="G165" s="116">
        <v>699.491163891738</v>
      </c>
      <c r="H165" s="17">
        <f>H130</f>
        <v>277069.45914351544</v>
      </c>
      <c r="I165" s="17">
        <f aca="true" t="shared" si="11" ref="I165:I176">A165</f>
        <v>41275</v>
      </c>
      <c r="J165" s="17">
        <f>'[15]Data Input'!H172</f>
        <v>0</v>
      </c>
      <c r="K165" s="86">
        <f>22*16</f>
        <v>352</v>
      </c>
      <c r="L165" s="154">
        <v>147.88</v>
      </c>
      <c r="M165" s="17">
        <f aca="true" t="shared" si="12" ref="M165:M176">$P$18+$P$19*C165+$P$20*D165+$P$21*E165+$P$22*F165+$P$23*G165+$P$24*H165</f>
        <v>4619524.94547573</v>
      </c>
      <c r="N165" s="17"/>
      <c r="O165" s="17"/>
      <c r="P165" s="17"/>
      <c r="Q165" s="10"/>
      <c r="R165" s="50"/>
    </row>
    <row r="166" spans="1:18" ht="12.75">
      <c r="A166" s="3">
        <v>41306</v>
      </c>
      <c r="C166" s="79">
        <f>'Weather Analysis - Pearson'!V9</f>
        <v>636.53</v>
      </c>
      <c r="D166" s="79">
        <f>'Weather Analysis - Pearson'!V29</f>
        <v>0</v>
      </c>
      <c r="E166" s="17">
        <v>0</v>
      </c>
      <c r="F166" s="17">
        <v>28</v>
      </c>
      <c r="G166" s="116">
        <v>700.283261264104</v>
      </c>
      <c r="H166" s="17">
        <f aca="true" t="shared" si="13" ref="H166:H176">H131</f>
        <v>285557.69443343603</v>
      </c>
      <c r="I166" s="17">
        <f t="shared" si="11"/>
        <v>41306</v>
      </c>
      <c r="J166" s="17">
        <f>'[15]Data Input'!H173</f>
        <v>0</v>
      </c>
      <c r="K166" s="86">
        <f>19*16</f>
        <v>304</v>
      </c>
      <c r="L166" s="154">
        <v>148.08</v>
      </c>
      <c r="M166" s="17">
        <f t="shared" si="12"/>
        <v>4128017.248584202</v>
      </c>
      <c r="N166" s="17"/>
      <c r="O166" s="17"/>
      <c r="P166" s="17"/>
      <c r="Q166" s="10"/>
      <c r="R166" s="50"/>
    </row>
    <row r="167" spans="1:18" ht="12.75">
      <c r="A167" s="3">
        <v>41334</v>
      </c>
      <c r="C167" s="79">
        <f>'Weather Analysis - Pearson'!V10</f>
        <v>542.55</v>
      </c>
      <c r="D167" s="79">
        <f>'Weather Analysis - Pearson'!V30</f>
        <v>0</v>
      </c>
      <c r="E167" s="17">
        <v>1</v>
      </c>
      <c r="F167" s="17">
        <v>31</v>
      </c>
      <c r="G167" s="116">
        <v>701.075358636471</v>
      </c>
      <c r="H167" s="17">
        <f t="shared" si="13"/>
        <v>294045.9297233566</v>
      </c>
      <c r="I167" s="17">
        <f t="shared" si="11"/>
        <v>41334</v>
      </c>
      <c r="J167" s="17">
        <f>'[15]Data Input'!H174</f>
        <v>0</v>
      </c>
      <c r="K167" s="86">
        <f>20*16</f>
        <v>320</v>
      </c>
      <c r="L167" s="154">
        <v>148.27</v>
      </c>
      <c r="M167" s="17">
        <f t="shared" si="12"/>
        <v>4077672.3351800297</v>
      </c>
      <c r="N167" s="17"/>
      <c r="O167" s="17"/>
      <c r="P167" s="17"/>
      <c r="Q167" s="10"/>
      <c r="R167" s="50"/>
    </row>
    <row r="168" spans="1:18" ht="12.75">
      <c r="A168" s="3">
        <v>41365</v>
      </c>
      <c r="C168" s="79">
        <f>'Weather Analysis - Pearson'!V11</f>
        <v>310.71000000000004</v>
      </c>
      <c r="D168" s="79">
        <f>'Weather Analysis - Pearson'!V31</f>
        <v>1.19</v>
      </c>
      <c r="E168" s="17">
        <v>1</v>
      </c>
      <c r="F168" s="17">
        <v>30</v>
      </c>
      <c r="G168" s="116">
        <v>701.867456008837</v>
      </c>
      <c r="H168" s="17">
        <f t="shared" si="13"/>
        <v>302534.1650132772</v>
      </c>
      <c r="I168" s="17">
        <f t="shared" si="11"/>
        <v>41365</v>
      </c>
      <c r="J168" s="17">
        <f>'[15]Data Input'!H175</f>
        <v>0</v>
      </c>
      <c r="K168" s="86">
        <f>22*16</f>
        <v>352</v>
      </c>
      <c r="L168" s="154">
        <v>148.46</v>
      </c>
      <c r="M168" s="17">
        <f t="shared" si="12"/>
        <v>3539515.6244800715</v>
      </c>
      <c r="N168" s="17"/>
      <c r="O168" s="17"/>
      <c r="P168" s="17"/>
      <c r="Q168" s="10"/>
      <c r="R168" s="50"/>
    </row>
    <row r="169" spans="1:18" ht="12.75">
      <c r="A169" s="3">
        <v>41395</v>
      </c>
      <c r="C169" s="79">
        <f>'Weather Analysis - Pearson'!V12</f>
        <v>162.13</v>
      </c>
      <c r="D169" s="79">
        <f>'Weather Analysis - Pearson'!V32</f>
        <v>13.37</v>
      </c>
      <c r="E169" s="17">
        <v>1</v>
      </c>
      <c r="F169" s="17">
        <v>31</v>
      </c>
      <c r="G169" s="116">
        <v>702.659553381204</v>
      </c>
      <c r="H169" s="17">
        <f t="shared" si="13"/>
        <v>311022.4003031978</v>
      </c>
      <c r="I169" s="17">
        <f t="shared" si="11"/>
        <v>41395</v>
      </c>
      <c r="J169" s="17">
        <f>'[15]Data Input'!H176</f>
        <v>0</v>
      </c>
      <c r="K169" s="86">
        <f>22*16</f>
        <v>352</v>
      </c>
      <c r="L169" s="154">
        <v>148.65</v>
      </c>
      <c r="M169" s="17">
        <f t="shared" si="12"/>
        <v>3427906.630521892</v>
      </c>
      <c r="N169" s="17"/>
      <c r="O169" s="17"/>
      <c r="P169" s="17"/>
      <c r="Q169" s="10"/>
      <c r="R169" s="50"/>
    </row>
    <row r="170" spans="1:18" ht="12.75">
      <c r="A170" s="3">
        <v>41426</v>
      </c>
      <c r="C170" s="79">
        <f>'Weather Analysis - Pearson'!V13</f>
        <v>28.139999999999997</v>
      </c>
      <c r="D170" s="79">
        <f>'Weather Analysis - Pearson'!V33</f>
        <v>69.02000000000001</v>
      </c>
      <c r="E170" s="17">
        <v>0</v>
      </c>
      <c r="F170" s="17">
        <v>30</v>
      </c>
      <c r="G170" s="116">
        <v>703.45165075357</v>
      </c>
      <c r="H170" s="17">
        <f t="shared" si="13"/>
        <v>319510.6355931184</v>
      </c>
      <c r="I170" s="17">
        <f t="shared" si="11"/>
        <v>41426</v>
      </c>
      <c r="J170" s="17">
        <f>'[15]Data Input'!H177</f>
        <v>0</v>
      </c>
      <c r="K170" s="86">
        <f>20*16</f>
        <v>320</v>
      </c>
      <c r="L170" s="154">
        <v>148.85</v>
      </c>
      <c r="M170" s="17">
        <f t="shared" si="12"/>
        <v>3510069.483408167</v>
      </c>
      <c r="N170" s="17"/>
      <c r="O170" s="17"/>
      <c r="P170" s="17"/>
      <c r="Q170" s="10"/>
      <c r="R170" s="50"/>
    </row>
    <row r="171" spans="1:18" ht="12.75">
      <c r="A171" s="3">
        <v>41456</v>
      </c>
      <c r="C171" s="79">
        <f>'Weather Analysis - Pearson'!V14</f>
        <v>1.6</v>
      </c>
      <c r="D171" s="79">
        <f>'Weather Analysis - Pearson'!V34</f>
        <v>137.73</v>
      </c>
      <c r="E171" s="17">
        <v>0</v>
      </c>
      <c r="F171" s="17">
        <v>31</v>
      </c>
      <c r="G171" s="116">
        <v>704.243748125937</v>
      </c>
      <c r="H171" s="17">
        <f t="shared" si="13"/>
        <v>327998.87088303897</v>
      </c>
      <c r="I171" s="17">
        <f t="shared" si="11"/>
        <v>41456</v>
      </c>
      <c r="J171" s="17">
        <f>'[15]Data Input'!H178</f>
        <v>0</v>
      </c>
      <c r="K171" s="86">
        <f>22*16</f>
        <v>352</v>
      </c>
      <c r="L171" s="154">
        <v>149.04</v>
      </c>
      <c r="M171" s="17">
        <f t="shared" si="12"/>
        <v>3853791.593764913</v>
      </c>
      <c r="N171" s="17"/>
      <c r="O171" s="17"/>
      <c r="P171" s="17"/>
      <c r="Q171" s="10"/>
      <c r="R171" s="50"/>
    </row>
    <row r="172" spans="1:18" ht="12.75">
      <c r="A172" s="3">
        <v>41487</v>
      </c>
      <c r="C172" s="79">
        <f>'Weather Analysis - Pearson'!V15</f>
        <v>4.92</v>
      </c>
      <c r="D172" s="79">
        <f>'Weather Analysis - Pearson'!V35</f>
        <v>112.96000000000001</v>
      </c>
      <c r="E172" s="17">
        <v>0</v>
      </c>
      <c r="F172" s="17">
        <v>31</v>
      </c>
      <c r="G172" s="116">
        <v>705.035845498303</v>
      </c>
      <c r="H172" s="17">
        <f t="shared" si="13"/>
        <v>336487.10617295955</v>
      </c>
      <c r="I172" s="17">
        <f t="shared" si="11"/>
        <v>41487</v>
      </c>
      <c r="J172" s="17">
        <f>'[15]Data Input'!H179</f>
        <v>0</v>
      </c>
      <c r="K172" s="86">
        <f>21*16</f>
        <v>336</v>
      </c>
      <c r="L172" s="154">
        <v>149.23</v>
      </c>
      <c r="M172" s="17">
        <f t="shared" si="12"/>
        <v>3754733.906126014</v>
      </c>
      <c r="N172" s="17"/>
      <c r="O172" s="17"/>
      <c r="P172" s="17"/>
      <c r="Q172" s="10"/>
      <c r="R172" s="50"/>
    </row>
    <row r="173" spans="1:18" ht="12.75">
      <c r="A173" s="3">
        <v>41518</v>
      </c>
      <c r="C173" s="79">
        <f>'Weather Analysis - Pearson'!V16</f>
        <v>48.76</v>
      </c>
      <c r="D173" s="79">
        <f>'Weather Analysis - Pearson'!V36</f>
        <v>38.41</v>
      </c>
      <c r="E173" s="17">
        <v>1</v>
      </c>
      <c r="F173" s="17">
        <v>30</v>
      </c>
      <c r="G173" s="116">
        <v>705.827942870669</v>
      </c>
      <c r="H173" s="17">
        <f t="shared" si="13"/>
        <v>344975.34146288014</v>
      </c>
      <c r="I173" s="17">
        <f t="shared" si="11"/>
        <v>41518</v>
      </c>
      <c r="J173" s="17">
        <f>'[15]Data Input'!H180</f>
        <v>0</v>
      </c>
      <c r="K173" s="86">
        <f>20*16</f>
        <v>320</v>
      </c>
      <c r="L173" s="154">
        <v>149.42</v>
      </c>
      <c r="M173" s="17">
        <f t="shared" si="12"/>
        <v>3193697.7102334155</v>
      </c>
      <c r="N173" s="17"/>
      <c r="O173" s="17"/>
      <c r="P173" s="17"/>
      <c r="Q173" s="10"/>
      <c r="R173" s="50"/>
    </row>
    <row r="174" spans="1:18" ht="12.75">
      <c r="A174" s="3">
        <v>41548</v>
      </c>
      <c r="C174" s="79">
        <f>'Weather Analysis - Pearson'!V17</f>
        <v>248.42000000000002</v>
      </c>
      <c r="D174" s="79">
        <f>'Weather Analysis - Pearson'!V37</f>
        <v>4.24</v>
      </c>
      <c r="E174" s="17">
        <v>1</v>
      </c>
      <c r="F174" s="17">
        <v>31</v>
      </c>
      <c r="G174" s="116">
        <v>706.620040243036</v>
      </c>
      <c r="H174" s="17">
        <f t="shared" si="13"/>
        <v>353463.5767528007</v>
      </c>
      <c r="I174" s="17">
        <f t="shared" si="11"/>
        <v>41548</v>
      </c>
      <c r="J174" s="17">
        <f>'[15]Data Input'!H181</f>
        <v>0</v>
      </c>
      <c r="K174" s="86">
        <f>22*16</f>
        <v>352</v>
      </c>
      <c r="L174" s="154">
        <v>149.62</v>
      </c>
      <c r="M174" s="17">
        <f t="shared" si="12"/>
        <v>3530444.718886579</v>
      </c>
      <c r="N174" s="17"/>
      <c r="O174" s="17"/>
      <c r="P174" s="17"/>
      <c r="Q174" s="10"/>
      <c r="R174" s="50"/>
    </row>
    <row r="175" spans="1:18" ht="12.75">
      <c r="A175" s="3">
        <v>41579</v>
      </c>
      <c r="C175" s="79">
        <f>'Weather Analysis - Pearson'!V18</f>
        <v>401.59</v>
      </c>
      <c r="D175" s="79">
        <f>'Weather Analysis - Pearson'!V38</f>
        <v>0</v>
      </c>
      <c r="E175" s="17">
        <v>1</v>
      </c>
      <c r="F175" s="17">
        <v>30</v>
      </c>
      <c r="G175" s="116">
        <v>707.412137615402</v>
      </c>
      <c r="H175" s="17">
        <f t="shared" si="13"/>
        <v>361951.8120427213</v>
      </c>
      <c r="I175" s="17">
        <f t="shared" si="11"/>
        <v>41579</v>
      </c>
      <c r="J175" s="17">
        <f>'[15]Data Input'!H182</f>
        <v>0</v>
      </c>
      <c r="K175" s="86">
        <f>21*16</f>
        <v>336</v>
      </c>
      <c r="L175" s="154">
        <v>149.81</v>
      </c>
      <c r="M175" s="17">
        <f t="shared" si="12"/>
        <v>3675718.8024243056</v>
      </c>
      <c r="N175" s="17"/>
      <c r="O175" s="17"/>
      <c r="P175" s="17"/>
      <c r="Q175" s="10"/>
      <c r="R175" s="50"/>
    </row>
    <row r="176" spans="1:18" ht="12.75">
      <c r="A176" s="3">
        <v>41609</v>
      </c>
      <c r="C176" s="79">
        <f>'Weather Analysis - Pearson'!V19</f>
        <v>611.69</v>
      </c>
      <c r="D176" s="79">
        <f>'Weather Analysis - Pearson'!V39</f>
        <v>0</v>
      </c>
      <c r="E176" s="17">
        <v>0</v>
      </c>
      <c r="F176" s="17">
        <v>31</v>
      </c>
      <c r="G176" s="116">
        <v>708.204234987769</v>
      </c>
      <c r="H176" s="17">
        <f t="shared" si="13"/>
        <v>370440.0473326419</v>
      </c>
      <c r="I176" s="17">
        <f t="shared" si="11"/>
        <v>41609</v>
      </c>
      <c r="J176" s="17">
        <f>'[15]Data Input'!H183</f>
        <v>0</v>
      </c>
      <c r="K176" s="86">
        <f>20*16</f>
        <v>320</v>
      </c>
      <c r="L176" s="154">
        <v>150</v>
      </c>
      <c r="M176" s="17">
        <f t="shared" si="12"/>
        <v>4389429.267792908</v>
      </c>
      <c r="N176" s="17">
        <f>SUM(M165:M176)</f>
        <v>45700522.266878225</v>
      </c>
      <c r="O176" s="17"/>
      <c r="P176" s="17"/>
      <c r="Q176" s="10"/>
      <c r="R176" s="50"/>
    </row>
    <row r="177" spans="5:6" ht="12.75">
      <c r="E177" s="28"/>
      <c r="F177" s="28"/>
    </row>
    <row r="178" ht="12.75">
      <c r="B178" s="28" t="s">
        <v>95</v>
      </c>
    </row>
    <row r="179" spans="1:18" ht="12.75">
      <c r="A179" s="3">
        <v>41275</v>
      </c>
      <c r="C179" s="79">
        <f>'Weather Analysis - Pearson'!W8</f>
        <v>715.55</v>
      </c>
      <c r="D179" s="79">
        <f>'Weather Analysis - Pearson'!W28</f>
        <v>0</v>
      </c>
      <c r="E179" s="17">
        <v>0</v>
      </c>
      <c r="F179" s="17">
        <v>31</v>
      </c>
      <c r="G179" s="116">
        <v>699.491163891738</v>
      </c>
      <c r="H179" s="17">
        <f>H165</f>
        <v>277069.45914351544</v>
      </c>
      <c r="I179" s="17">
        <f aca="true" t="shared" si="14" ref="I179:I190">A179</f>
        <v>41275</v>
      </c>
      <c r="J179" s="17">
        <f>'[15]Data Input'!H186</f>
        <v>0</v>
      </c>
      <c r="K179" s="86">
        <f>22*16</f>
        <v>352</v>
      </c>
      <c r="L179" s="154">
        <v>147.88</v>
      </c>
      <c r="M179" s="17">
        <f aca="true" t="shared" si="15" ref="M179:M190">$P$18+$P$19*C179+$P$20*D179+$P$21*E179+$P$22*F179+$P$23*G179+$P$24*H179</f>
        <v>4619854.865920877</v>
      </c>
      <c r="N179" s="17"/>
      <c r="O179" s="17"/>
      <c r="P179" s="17"/>
      <c r="Q179" s="10"/>
      <c r="R179" s="50"/>
    </row>
    <row r="180" spans="1:18" ht="12.75">
      <c r="A180" s="3">
        <v>41306</v>
      </c>
      <c r="C180" s="79">
        <f>'Weather Analysis - Pearson'!W9</f>
        <v>620.5945864661653</v>
      </c>
      <c r="D180" s="79">
        <f>'Weather Analysis - Pearson'!W29</f>
        <v>0</v>
      </c>
      <c r="E180" s="17">
        <v>0</v>
      </c>
      <c r="F180" s="17">
        <v>28</v>
      </c>
      <c r="G180" s="116">
        <v>700.283261264104</v>
      </c>
      <c r="H180" s="17">
        <f aca="true" t="shared" si="16" ref="H180:H190">H166</f>
        <v>285557.69443343603</v>
      </c>
      <c r="I180" s="17">
        <f t="shared" si="14"/>
        <v>41306</v>
      </c>
      <c r="J180" s="17">
        <f>'[15]Data Input'!H187</f>
        <v>0</v>
      </c>
      <c r="K180" s="86">
        <f>19*16</f>
        <v>304</v>
      </c>
      <c r="L180" s="154">
        <v>148.08</v>
      </c>
      <c r="M180" s="17">
        <f t="shared" si="15"/>
        <v>4098809.3667692826</v>
      </c>
      <c r="N180" s="17"/>
      <c r="O180" s="17"/>
      <c r="P180" s="17"/>
      <c r="Q180" s="10"/>
      <c r="R180" s="50"/>
    </row>
    <row r="181" spans="1:18" ht="12.75">
      <c r="A181" s="3">
        <v>41334</v>
      </c>
      <c r="C181" s="79">
        <f>'Weather Analysis - Pearson'!W10</f>
        <v>524.8575939849625</v>
      </c>
      <c r="D181" s="79">
        <f>'Weather Analysis - Pearson'!W30</f>
        <v>0</v>
      </c>
      <c r="E181" s="17">
        <v>1</v>
      </c>
      <c r="F181" s="17">
        <v>31</v>
      </c>
      <c r="G181" s="116">
        <v>701.075358636471</v>
      </c>
      <c r="H181" s="17">
        <f t="shared" si="16"/>
        <v>294045.9297233566</v>
      </c>
      <c r="I181" s="17">
        <f t="shared" si="14"/>
        <v>41334</v>
      </c>
      <c r="J181" s="17">
        <f>'[15]Data Input'!H188</f>
        <v>0</v>
      </c>
      <c r="K181" s="86">
        <f>20*16</f>
        <v>320</v>
      </c>
      <c r="L181" s="154">
        <v>148.27</v>
      </c>
      <c r="M181" s="17">
        <f t="shared" si="15"/>
        <v>4045244.077023341</v>
      </c>
      <c r="N181" s="17"/>
      <c r="O181" s="17"/>
      <c r="P181" s="17"/>
      <c r="Q181" s="10"/>
      <c r="R181" s="50"/>
    </row>
    <row r="182" spans="1:18" ht="12.75">
      <c r="A182" s="3">
        <v>41365</v>
      </c>
      <c r="C182" s="79">
        <f>'Weather Analysis - Pearson'!W11</f>
        <v>282.7303759398492</v>
      </c>
      <c r="D182" s="79">
        <f>'Weather Analysis - Pearson'!W31</f>
        <v>0.9027067669172908</v>
      </c>
      <c r="E182" s="17">
        <v>1</v>
      </c>
      <c r="F182" s="17">
        <v>30</v>
      </c>
      <c r="G182" s="116">
        <v>701.867456008837</v>
      </c>
      <c r="H182" s="17">
        <f t="shared" si="16"/>
        <v>302534.1650132772</v>
      </c>
      <c r="I182" s="17">
        <f t="shared" si="14"/>
        <v>41365</v>
      </c>
      <c r="J182" s="17">
        <f>'[15]Data Input'!H189</f>
        <v>0</v>
      </c>
      <c r="K182" s="86">
        <f>22*16</f>
        <v>352</v>
      </c>
      <c r="L182" s="154">
        <v>148.46</v>
      </c>
      <c r="M182" s="17">
        <f t="shared" si="15"/>
        <v>3487054.761272168</v>
      </c>
      <c r="N182" s="17"/>
      <c r="O182" s="17"/>
      <c r="P182" s="17"/>
      <c r="Q182" s="10"/>
      <c r="R182" s="50"/>
    </row>
    <row r="183" spans="1:18" ht="12.75">
      <c r="A183" s="3">
        <v>41395</v>
      </c>
      <c r="C183" s="79">
        <f>'Weather Analysis - Pearson'!W12</f>
        <v>137.9461654135339</v>
      </c>
      <c r="D183" s="79">
        <f>'Weather Analysis - Pearson'!W32</f>
        <v>20.2065413533835</v>
      </c>
      <c r="E183" s="17">
        <v>1</v>
      </c>
      <c r="F183" s="17">
        <v>31</v>
      </c>
      <c r="G183" s="116">
        <v>702.659553381204</v>
      </c>
      <c r="H183" s="17">
        <f t="shared" si="16"/>
        <v>311022.4003031978</v>
      </c>
      <c r="I183" s="17">
        <f t="shared" si="14"/>
        <v>41395</v>
      </c>
      <c r="J183" s="17">
        <f>'[15]Data Input'!H190</f>
        <v>0</v>
      </c>
      <c r="K183" s="86">
        <f>22*16</f>
        <v>352</v>
      </c>
      <c r="L183" s="154">
        <v>148.65</v>
      </c>
      <c r="M183" s="17">
        <f t="shared" si="15"/>
        <v>3411594.6338250795</v>
      </c>
      <c r="N183" s="17"/>
      <c r="O183" s="17"/>
      <c r="P183" s="17"/>
      <c r="Q183" s="10"/>
      <c r="R183" s="50"/>
    </row>
    <row r="184" spans="1:18" ht="12.75">
      <c r="A184" s="3">
        <v>41426</v>
      </c>
      <c r="C184" s="79">
        <f>'Weather Analysis - Pearson'!W13</f>
        <v>20.17789473684229</v>
      </c>
      <c r="D184" s="79">
        <f>'Weather Analysis - Pearson'!W33</f>
        <v>77.74353383458674</v>
      </c>
      <c r="E184" s="17">
        <v>0</v>
      </c>
      <c r="F184" s="17">
        <v>30</v>
      </c>
      <c r="G184" s="116">
        <v>703.45165075357</v>
      </c>
      <c r="H184" s="17">
        <f t="shared" si="16"/>
        <v>319510.6355931184</v>
      </c>
      <c r="I184" s="17">
        <f t="shared" si="14"/>
        <v>41426</v>
      </c>
      <c r="J184" s="17">
        <f>'[15]Data Input'!H191</f>
        <v>0</v>
      </c>
      <c r="K184" s="86">
        <f>20*16</f>
        <v>320</v>
      </c>
      <c r="L184" s="154">
        <v>148.85</v>
      </c>
      <c r="M184" s="17">
        <f t="shared" si="15"/>
        <v>3531222.552167623</v>
      </c>
      <c r="N184" s="17"/>
      <c r="O184" s="17"/>
      <c r="P184" s="17"/>
      <c r="Q184" s="10"/>
      <c r="R184" s="50"/>
    </row>
    <row r="185" spans="1:18" ht="12.75">
      <c r="A185" s="3">
        <v>41456</v>
      </c>
      <c r="C185" s="79">
        <f>'Weather Analysis - Pearson'!W14</f>
        <v>-1.4312781954886304</v>
      </c>
      <c r="D185" s="79">
        <f>'Weather Analysis - Pearson'!W34</f>
        <v>157.18135338345837</v>
      </c>
      <c r="E185" s="17">
        <v>0</v>
      </c>
      <c r="F185" s="17">
        <v>31</v>
      </c>
      <c r="G185" s="116">
        <v>704.243748125937</v>
      </c>
      <c r="H185" s="17">
        <f t="shared" si="16"/>
        <v>327998.87088303897</v>
      </c>
      <c r="I185" s="17">
        <f t="shared" si="14"/>
        <v>41456</v>
      </c>
      <c r="J185" s="17">
        <f>'[15]Data Input'!H192</f>
        <v>0</v>
      </c>
      <c r="K185" s="86">
        <f>22*16</f>
        <v>352</v>
      </c>
      <c r="L185" s="154">
        <v>149.04</v>
      </c>
      <c r="M185" s="17">
        <f t="shared" si="15"/>
        <v>3927942.1102455454</v>
      </c>
      <c r="N185" s="17"/>
      <c r="O185" s="17"/>
      <c r="P185" s="17"/>
      <c r="Q185" s="10"/>
      <c r="R185" s="50"/>
    </row>
    <row r="186" spans="1:18" ht="12.75">
      <c r="A186" s="3">
        <v>41487</v>
      </c>
      <c r="C186" s="79">
        <f>'Weather Analysis - Pearson'!W15</f>
        <v>-0.594962406014929</v>
      </c>
      <c r="D186" s="79">
        <f>'Weather Analysis - Pearson'!W35</f>
        <v>130.70556390977436</v>
      </c>
      <c r="E186" s="17">
        <v>0</v>
      </c>
      <c r="F186" s="17">
        <v>31</v>
      </c>
      <c r="G186" s="116">
        <v>705.035845498303</v>
      </c>
      <c r="H186" s="17">
        <f t="shared" si="16"/>
        <v>336487.10617295955</v>
      </c>
      <c r="I186" s="17">
        <f t="shared" si="14"/>
        <v>41487</v>
      </c>
      <c r="J186" s="17">
        <f>'[15]Data Input'!H193</f>
        <v>0</v>
      </c>
      <c r="K186" s="86">
        <f>21*16</f>
        <v>336</v>
      </c>
      <c r="L186" s="154">
        <v>149.23</v>
      </c>
      <c r="M186" s="17">
        <f t="shared" si="15"/>
        <v>3817342.2235393</v>
      </c>
      <c r="N186" s="17"/>
      <c r="O186" s="17"/>
      <c r="P186" s="17"/>
      <c r="Q186" s="10"/>
      <c r="R186" s="50"/>
    </row>
    <row r="187" spans="1:18" ht="12.75">
      <c r="A187" s="3">
        <v>41518</v>
      </c>
      <c r="C187" s="79">
        <f>'Weather Analysis - Pearson'!W16</f>
        <v>35.33406015037599</v>
      </c>
      <c r="D187" s="79">
        <f>'Weather Analysis - Pearson'!W36</f>
        <v>42.468045112781965</v>
      </c>
      <c r="E187" s="17">
        <v>1</v>
      </c>
      <c r="F187" s="17">
        <v>30</v>
      </c>
      <c r="G187" s="116">
        <v>705.827942870669</v>
      </c>
      <c r="H187" s="17">
        <f t="shared" si="16"/>
        <v>344975.34146288014</v>
      </c>
      <c r="I187" s="17">
        <f t="shared" si="14"/>
        <v>41518</v>
      </c>
      <c r="J187" s="17">
        <f>'[15]Data Input'!H194</f>
        <v>0</v>
      </c>
      <c r="K187" s="86">
        <f>20*16</f>
        <v>320</v>
      </c>
      <c r="L187" s="154">
        <v>149.42</v>
      </c>
      <c r="M187" s="17">
        <f t="shared" si="15"/>
        <v>3185718.2205024953</v>
      </c>
      <c r="N187" s="17"/>
      <c r="O187" s="17"/>
      <c r="P187" s="17"/>
      <c r="Q187" s="10"/>
      <c r="R187" s="50"/>
    </row>
    <row r="188" spans="1:18" ht="12.75">
      <c r="A188" s="3">
        <v>41548</v>
      </c>
      <c r="C188" s="79">
        <f>'Weather Analysis - Pearson'!W17</f>
        <v>239.25263157894756</v>
      </c>
      <c r="D188" s="79">
        <f>'Weather Analysis - Pearson'!W37</f>
        <v>4.685939849624049</v>
      </c>
      <c r="E188" s="17">
        <v>1</v>
      </c>
      <c r="F188" s="17">
        <v>31</v>
      </c>
      <c r="G188" s="116">
        <v>706.620040243036</v>
      </c>
      <c r="H188" s="17">
        <f t="shared" si="16"/>
        <v>353463.5767528007</v>
      </c>
      <c r="I188" s="17">
        <f t="shared" si="14"/>
        <v>41548</v>
      </c>
      <c r="J188" s="17">
        <f>'[15]Data Input'!H195</f>
        <v>0</v>
      </c>
      <c r="K188" s="86">
        <f>22*16</f>
        <v>352</v>
      </c>
      <c r="L188" s="154">
        <v>149.62</v>
      </c>
      <c r="M188" s="17">
        <f t="shared" si="15"/>
        <v>3515469.272480115</v>
      </c>
      <c r="N188" s="17"/>
      <c r="O188" s="17"/>
      <c r="P188" s="17"/>
      <c r="Q188" s="10"/>
      <c r="R188" s="50"/>
    </row>
    <row r="189" spans="1:18" ht="12.75">
      <c r="A189" s="3">
        <v>41579</v>
      </c>
      <c r="C189" s="79">
        <f>'Weather Analysis - Pearson'!W18</f>
        <v>383.57157894736883</v>
      </c>
      <c r="D189" s="79">
        <f>'Weather Analysis - Pearson'!W38</f>
        <v>0</v>
      </c>
      <c r="E189" s="17">
        <v>1</v>
      </c>
      <c r="F189" s="17">
        <v>30</v>
      </c>
      <c r="G189" s="116">
        <v>707.412137615402</v>
      </c>
      <c r="H189" s="17">
        <f t="shared" si="16"/>
        <v>361951.8120427213</v>
      </c>
      <c r="I189" s="17">
        <f t="shared" si="14"/>
        <v>41579</v>
      </c>
      <c r="J189" s="17">
        <f>'[15]Data Input'!H196</f>
        <v>0</v>
      </c>
      <c r="K189" s="86">
        <f>21*16</f>
        <v>336</v>
      </c>
      <c r="L189" s="154">
        <v>149.81</v>
      </c>
      <c r="M189" s="17">
        <f t="shared" si="15"/>
        <v>3642692.9941213536</v>
      </c>
      <c r="N189" s="17"/>
      <c r="O189" s="17"/>
      <c r="P189" s="17"/>
      <c r="Q189" s="10"/>
      <c r="R189" s="50"/>
    </row>
    <row r="190" spans="1:18" ht="12.75">
      <c r="A190" s="3">
        <v>41609</v>
      </c>
      <c r="C190" s="79">
        <f>'Weather Analysis - Pearson'!W19</f>
        <v>633.5680451127819</v>
      </c>
      <c r="D190" s="79">
        <f>'Weather Analysis - Pearson'!W39</f>
        <v>0</v>
      </c>
      <c r="E190" s="17">
        <v>0</v>
      </c>
      <c r="F190" s="17">
        <v>31</v>
      </c>
      <c r="G190" s="116">
        <v>708.204234987769</v>
      </c>
      <c r="H190" s="17">
        <f t="shared" si="16"/>
        <v>370440.0473326419</v>
      </c>
      <c r="I190" s="17">
        <f t="shared" si="14"/>
        <v>41609</v>
      </c>
      <c r="J190" s="17">
        <f>'[15]Data Input'!H197</f>
        <v>0</v>
      </c>
      <c r="K190" s="86">
        <f>20*16</f>
        <v>320</v>
      </c>
      <c r="L190" s="154">
        <v>150</v>
      </c>
      <c r="M190" s="17">
        <f t="shared" si="15"/>
        <v>4429529.347696</v>
      </c>
      <c r="N190" s="17">
        <f>SUM(M179:M190)</f>
        <v>45712474.42556317</v>
      </c>
      <c r="O190" s="17"/>
      <c r="P190" s="17"/>
      <c r="Q190" s="10"/>
      <c r="R190" s="50"/>
    </row>
  </sheetData>
  <sheetProtection/>
  <mergeCells count="1">
    <mergeCell ref="I1:L1"/>
  </mergeCells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9"/>
  <sheetViews>
    <sheetView zoomScalePageLayoutView="0" workbookViewId="0" topLeftCell="A1">
      <pane xSplit="1" ySplit="2" topLeftCell="B12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IV120"/>
    </sheetView>
  </sheetViews>
  <sheetFormatPr defaultColWidth="9.140625" defaultRowHeight="12.75"/>
  <cols>
    <col min="1" max="1" width="11.8515625" style="0" customWidth="1"/>
    <col min="2" max="2" width="18.00390625" style="28" customWidth="1"/>
    <col min="3" max="3" width="11.7109375" style="24" customWidth="1"/>
    <col min="4" max="4" width="13.421875" style="24" customWidth="1"/>
    <col min="5" max="5" width="12.421875" style="24" customWidth="1"/>
    <col min="6" max="6" width="10.140625" style="24" customWidth="1"/>
    <col min="7" max="8" width="12.421875" style="24" customWidth="1"/>
    <col min="9" max="11" width="12.421875" style="24" hidden="1" customWidth="1"/>
    <col min="12" max="12" width="14.421875" style="36" hidden="1" customWidth="1"/>
    <col min="13" max="13" width="12.421875" style="24" customWidth="1"/>
    <col min="14" max="14" width="29.00390625" style="24" bestFit="1" customWidth="1"/>
    <col min="15" max="15" width="26.421875" style="24" customWidth="1"/>
    <col min="16" max="16" width="22.7109375" style="24" customWidth="1"/>
    <col min="17" max="17" width="15.7109375" style="1" customWidth="1"/>
    <col min="18" max="18" width="17.00390625" style="1" customWidth="1"/>
    <col min="19" max="19" width="12.421875" style="1" customWidth="1"/>
    <col min="20" max="20" width="25.8515625" style="0" bestFit="1" customWidth="1"/>
    <col min="21" max="23" width="18.00390625" style="0" customWidth="1"/>
    <col min="24" max="24" width="17.140625" style="0" customWidth="1"/>
    <col min="25" max="26" width="15.7109375" style="0" customWidth="1"/>
    <col min="27" max="27" width="15.00390625" style="0" customWidth="1"/>
    <col min="28" max="29" width="14.140625" style="0" bestFit="1" customWidth="1"/>
    <col min="30" max="30" width="11.7109375" style="0" bestFit="1" customWidth="1"/>
    <col min="31" max="31" width="11.8515625" style="0" bestFit="1" customWidth="1"/>
    <col min="32" max="32" width="12.57421875" style="0" customWidth="1"/>
    <col min="33" max="33" width="11.28125" style="0" customWidth="1"/>
    <col min="34" max="34" width="11.57421875" style="0" customWidth="1"/>
    <col min="35" max="35" width="9.28125" style="0" customWidth="1"/>
    <col min="37" max="37" width="11.7109375" style="0" bestFit="1" customWidth="1"/>
    <col min="38" max="38" width="10.7109375" style="0" bestFit="1" customWidth="1"/>
    <col min="40" max="40" width="9.140625" style="6" customWidth="1"/>
  </cols>
  <sheetData>
    <row r="1" spans="7:12" ht="12.75">
      <c r="G1" s="146"/>
      <c r="H1" s="146"/>
      <c r="I1" s="443" t="s">
        <v>154</v>
      </c>
      <c r="J1" s="443"/>
      <c r="K1" s="443"/>
      <c r="L1" s="443"/>
    </row>
    <row r="2" spans="2:19" ht="42" customHeight="1">
      <c r="B2" s="76" t="s">
        <v>72</v>
      </c>
      <c r="C2" s="77" t="s">
        <v>2</v>
      </c>
      <c r="D2" s="77" t="s">
        <v>3</v>
      </c>
      <c r="E2" s="77" t="s">
        <v>18</v>
      </c>
      <c r="F2" s="77" t="s">
        <v>4</v>
      </c>
      <c r="G2" s="77" t="s">
        <v>152</v>
      </c>
      <c r="H2" s="77" t="s">
        <v>74</v>
      </c>
      <c r="I2" s="77" t="s">
        <v>164</v>
      </c>
      <c r="J2" s="12" t="s">
        <v>149</v>
      </c>
      <c r="K2" s="77" t="s">
        <v>59</v>
      </c>
      <c r="L2" s="80" t="s">
        <v>5</v>
      </c>
      <c r="M2" s="117" t="s">
        <v>153</v>
      </c>
      <c r="O2" t="s">
        <v>19</v>
      </c>
      <c r="P2"/>
      <c r="Q2"/>
      <c r="R2"/>
      <c r="S2"/>
    </row>
    <row r="3" spans="1:19" ht="13.5" thickBot="1">
      <c r="A3" s="3">
        <v>37408</v>
      </c>
      <c r="B3" s="28">
        <f>'[15]Data Input'!O10</f>
        <v>1779751.81</v>
      </c>
      <c r="C3" s="24">
        <f>'Purchased Power Model '!C5</f>
        <v>36.2</v>
      </c>
      <c r="D3" s="24">
        <f>'Purchased Power Model '!D5</f>
        <v>70</v>
      </c>
      <c r="E3" s="17">
        <f>'Purchased Power Model '!L5</f>
        <v>0</v>
      </c>
      <c r="F3" s="17">
        <f>'Purchased Power Model '!E5</f>
        <v>30</v>
      </c>
      <c r="G3" s="116">
        <f>Residential!G3</f>
        <v>581.8</v>
      </c>
      <c r="H3" s="17">
        <f>'Purchased Power Model '!G5</f>
        <v>0</v>
      </c>
      <c r="I3" s="17">
        <f>A3</f>
        <v>37408</v>
      </c>
      <c r="J3" s="10">
        <f>'Purchased Power Model '!F5</f>
        <v>319.68</v>
      </c>
      <c r="K3" s="17">
        <f>+'[15]Data Input'!$R10</f>
        <v>573</v>
      </c>
      <c r="L3" s="36">
        <f>'Purchased Power Model '!I5</f>
        <v>123.31120824213403</v>
      </c>
      <c r="M3" s="17">
        <f>$P$18+$P$19*C3+$P$20*D3+$P$21*E3+$P$22*F3+$P$23*G3+$P$24*H3</f>
        <v>1638867.5166689614</v>
      </c>
      <c r="O3"/>
      <c r="P3"/>
      <c r="Q3"/>
      <c r="R3"/>
      <c r="S3"/>
    </row>
    <row r="4" spans="1:19" ht="12.75">
      <c r="A4" s="3">
        <v>37438</v>
      </c>
      <c r="B4" s="28">
        <f>'[15]Data Input'!O11</f>
        <v>1930841.42</v>
      </c>
      <c r="C4" s="24">
        <f>'Purchased Power Model '!C6</f>
        <v>0</v>
      </c>
      <c r="D4" s="24">
        <f>'Purchased Power Model '!D6</f>
        <v>192.4</v>
      </c>
      <c r="E4" s="17">
        <f>'Purchased Power Model '!L6</f>
        <v>0</v>
      </c>
      <c r="F4" s="17">
        <f>'Purchased Power Model '!E6</f>
        <v>31</v>
      </c>
      <c r="G4" s="116">
        <f>Residential!G4</f>
        <v>584.7</v>
      </c>
      <c r="H4" s="17">
        <f>'Purchased Power Model '!G6</f>
        <v>0</v>
      </c>
      <c r="I4" s="17">
        <f aca="true" t="shared" si="0" ref="I4:I67">A4</f>
        <v>37438</v>
      </c>
      <c r="J4" s="10">
        <f>'Purchased Power Model '!F6</f>
        <v>351.912</v>
      </c>
      <c r="K4" s="17">
        <f>+'[15]Data Input'!$R11</f>
        <v>573</v>
      </c>
      <c r="L4" s="36">
        <f>'Purchased Power Model '!I6</f>
        <v>123.67575966778612</v>
      </c>
      <c r="M4" s="17">
        <f aca="true" t="shared" si="1" ref="M4:M67">$P$18+$P$19*C4+$P$20*D4+$P$21*E4+$P$22*F4+$P$23*G4+$P$24*H4</f>
        <v>1907857.1355317854</v>
      </c>
      <c r="O4" s="213" t="s">
        <v>20</v>
      </c>
      <c r="P4" s="213"/>
      <c r="Q4"/>
      <c r="R4"/>
      <c r="S4"/>
    </row>
    <row r="5" spans="1:19" ht="12.75">
      <c r="A5" s="3">
        <v>37469</v>
      </c>
      <c r="B5" s="28">
        <f>'[15]Data Input'!O12</f>
        <v>1913233.04</v>
      </c>
      <c r="C5" s="24">
        <f>'Purchased Power Model '!C7</f>
        <v>0.2</v>
      </c>
      <c r="D5" s="24">
        <f>'Purchased Power Model '!D7</f>
        <v>142.7</v>
      </c>
      <c r="E5" s="17">
        <f>'Purchased Power Model '!L7</f>
        <v>0</v>
      </c>
      <c r="F5" s="17">
        <f>'Purchased Power Model '!E7</f>
        <v>31</v>
      </c>
      <c r="G5" s="116">
        <f>Residential!G5</f>
        <v>586.6</v>
      </c>
      <c r="H5" s="17">
        <f>'Purchased Power Model '!G7</f>
        <v>0</v>
      </c>
      <c r="I5" s="17">
        <f t="shared" si="0"/>
        <v>37469</v>
      </c>
      <c r="J5" s="10">
        <f>'Purchased Power Model '!F7</f>
        <v>336.288</v>
      </c>
      <c r="K5" s="17">
        <f>+'[15]Data Input'!$R12</f>
        <v>573</v>
      </c>
      <c r="L5" s="36">
        <f>'Purchased Power Model '!I7</f>
        <v>124.04138883603632</v>
      </c>
      <c r="M5" s="17">
        <f t="shared" si="1"/>
        <v>1813611.641296395</v>
      </c>
      <c r="O5" s="37" t="s">
        <v>21</v>
      </c>
      <c r="P5" s="60">
        <v>0.8121636122813051</v>
      </c>
      <c r="Q5"/>
      <c r="R5"/>
      <c r="S5"/>
    </row>
    <row r="6" spans="1:19" ht="12.75">
      <c r="A6" s="3">
        <v>37500</v>
      </c>
      <c r="B6" s="28">
        <f>'[15]Data Input'!O13</f>
        <v>1742560.65</v>
      </c>
      <c r="C6" s="24">
        <f>'Purchased Power Model '!C8</f>
        <v>21.8</v>
      </c>
      <c r="D6" s="24">
        <f>'Purchased Power Model '!D8</f>
        <v>87.6</v>
      </c>
      <c r="E6" s="17">
        <f>'Purchased Power Model '!L8</f>
        <v>1</v>
      </c>
      <c r="F6" s="17">
        <f>'Purchased Power Model '!E8</f>
        <v>30</v>
      </c>
      <c r="G6" s="116">
        <f>Residential!G6</f>
        <v>583.2</v>
      </c>
      <c r="H6" s="17">
        <f>'Purchased Power Model '!G8</f>
        <v>0</v>
      </c>
      <c r="I6" s="17">
        <f t="shared" si="0"/>
        <v>37500</v>
      </c>
      <c r="J6" s="10">
        <f>'Purchased Power Model '!F8</f>
        <v>319.68</v>
      </c>
      <c r="K6" s="17">
        <f>+'[15]Data Input'!$R13</f>
        <v>573</v>
      </c>
      <c r="L6" s="36">
        <f>'Purchased Power Model '!I8</f>
        <v>124.40809893307186</v>
      </c>
      <c r="M6" s="17">
        <f t="shared" si="1"/>
        <v>1604743.8621833066</v>
      </c>
      <c r="O6" s="37" t="s">
        <v>22</v>
      </c>
      <c r="P6" s="60">
        <v>0.6596097331138181</v>
      </c>
      <c r="Q6"/>
      <c r="R6"/>
      <c r="S6"/>
    </row>
    <row r="7" spans="1:19" ht="12.75">
      <c r="A7" s="3">
        <v>37530</v>
      </c>
      <c r="B7" s="28">
        <f>'[15]Data Input'!O14</f>
        <v>1760677.16</v>
      </c>
      <c r="C7" s="24">
        <f>'Purchased Power Model '!C9</f>
        <v>292.2</v>
      </c>
      <c r="D7" s="24">
        <f>'Purchased Power Model '!D9</f>
        <v>10</v>
      </c>
      <c r="E7" s="17">
        <f>'Purchased Power Model '!L9</f>
        <v>1</v>
      </c>
      <c r="F7" s="17">
        <f>'Purchased Power Model '!E9</f>
        <v>31</v>
      </c>
      <c r="G7" s="116">
        <f>Residential!G7</f>
        <v>582.9</v>
      </c>
      <c r="H7" s="17">
        <f>'Purchased Power Model '!G9</f>
        <v>0</v>
      </c>
      <c r="I7" s="17">
        <f t="shared" si="0"/>
        <v>37530</v>
      </c>
      <c r="J7" s="10">
        <f>'Purchased Power Model '!F9</f>
        <v>351.912</v>
      </c>
      <c r="K7" s="17">
        <f>+'[15]Data Input'!$R14</f>
        <v>573</v>
      </c>
      <c r="L7" s="36">
        <f>'Purchased Power Model '!I9</f>
        <v>124.7758931544995</v>
      </c>
      <c r="M7" s="17">
        <f t="shared" si="1"/>
        <v>1626255.5110517354</v>
      </c>
      <c r="O7" s="37" t="s">
        <v>23</v>
      </c>
      <c r="P7" s="60">
        <v>0.6406991627312524</v>
      </c>
      <c r="Q7"/>
      <c r="R7"/>
      <c r="S7"/>
    </row>
    <row r="8" spans="1:19" ht="12.75">
      <c r="A8" s="3">
        <v>37561</v>
      </c>
      <c r="B8" s="28">
        <f>'[15]Data Input'!O15</f>
        <v>1535897.45</v>
      </c>
      <c r="C8" s="24">
        <f>'Purchased Power Model '!C10</f>
        <v>445</v>
      </c>
      <c r="D8" s="24">
        <f>'Purchased Power Model '!D10</f>
        <v>0</v>
      </c>
      <c r="E8" s="17">
        <f>'Purchased Power Model '!L10</f>
        <v>1</v>
      </c>
      <c r="F8" s="17">
        <f>'Purchased Power Model '!E10</f>
        <v>30</v>
      </c>
      <c r="G8" s="116">
        <f>Residential!G8</f>
        <v>583.5</v>
      </c>
      <c r="H8" s="17">
        <f>'Purchased Power Model '!G10</f>
        <v>0</v>
      </c>
      <c r="I8" s="17">
        <f t="shared" si="0"/>
        <v>37561</v>
      </c>
      <c r="J8" s="10">
        <f>'Purchased Power Model '!F10</f>
        <v>336.24</v>
      </c>
      <c r="K8" s="17">
        <f>+'[15]Data Input'!$R15</f>
        <v>573</v>
      </c>
      <c r="L8" s="36">
        <f>'Purchased Power Model '!I10</f>
        <v>125.14477470537335</v>
      </c>
      <c r="M8" s="17">
        <f t="shared" si="1"/>
        <v>1633510.5771907102</v>
      </c>
      <c r="O8" s="37" t="s">
        <v>24</v>
      </c>
      <c r="P8" s="37">
        <v>90993.56844771956</v>
      </c>
      <c r="Q8"/>
      <c r="R8"/>
      <c r="S8"/>
    </row>
    <row r="9" spans="1:19" ht="13.5" thickBot="1">
      <c r="A9" s="3">
        <v>37591</v>
      </c>
      <c r="B9" s="28">
        <f>'[15]Data Input'!O16</f>
        <v>1940659.16</v>
      </c>
      <c r="C9" s="24">
        <f>'Purchased Power Model '!C11</f>
        <v>619.4</v>
      </c>
      <c r="D9" s="24">
        <f>'Purchased Power Model '!D11</f>
        <v>0</v>
      </c>
      <c r="E9" s="17">
        <f>'Purchased Power Model '!L11</f>
        <v>0</v>
      </c>
      <c r="F9" s="17">
        <f>'Purchased Power Model '!E11</f>
        <v>31</v>
      </c>
      <c r="G9" s="116">
        <f>Residential!G9</f>
        <v>591.8</v>
      </c>
      <c r="H9" s="17">
        <f>'Purchased Power Model '!G11</f>
        <v>0</v>
      </c>
      <c r="I9" s="17">
        <f t="shared" si="0"/>
        <v>37591</v>
      </c>
      <c r="J9" s="10">
        <f>'Purchased Power Model '!F11</f>
        <v>319.92</v>
      </c>
      <c r="K9" s="17">
        <f>+'[15]Data Input'!$R16</f>
        <v>573</v>
      </c>
      <c r="L9" s="36">
        <f>'Purchased Power Model '!I11</f>
        <v>125.51474680022261</v>
      </c>
      <c r="M9" s="17">
        <f t="shared" si="1"/>
        <v>1832578.3516597273</v>
      </c>
      <c r="O9" s="54" t="s">
        <v>25</v>
      </c>
      <c r="P9" s="54">
        <v>115</v>
      </c>
      <c r="Q9"/>
      <c r="R9"/>
      <c r="S9"/>
    </row>
    <row r="10" spans="1:19" ht="12.75">
      <c r="A10" s="3">
        <v>37622</v>
      </c>
      <c r="B10" s="28">
        <f>'[15]Data Input'!O17</f>
        <v>1990876.8599999999</v>
      </c>
      <c r="C10" s="24">
        <f>'Purchased Power Model '!C12</f>
        <v>814.5</v>
      </c>
      <c r="D10" s="24">
        <f>'Purchased Power Model '!D12</f>
        <v>0</v>
      </c>
      <c r="E10" s="17">
        <f>'Purchased Power Model '!L12</f>
        <v>0</v>
      </c>
      <c r="F10" s="17">
        <v>31</v>
      </c>
      <c r="G10" s="116">
        <f>Residential!G10</f>
        <v>591.3</v>
      </c>
      <c r="H10" s="17">
        <f>'Purchased Power Model '!G12</f>
        <v>0</v>
      </c>
      <c r="I10" s="17">
        <f t="shared" si="0"/>
        <v>37622</v>
      </c>
      <c r="J10" s="10">
        <v>351.912</v>
      </c>
      <c r="K10" s="17">
        <f>+'[15]Data Input'!$R17</f>
        <v>576</v>
      </c>
      <c r="L10" s="36">
        <f>'Purchased Power Model '!I12</f>
        <v>125.66024937363977</v>
      </c>
      <c r="M10" s="17">
        <f t="shared" si="1"/>
        <v>1923456.523780935</v>
      </c>
      <c r="O10"/>
      <c r="P10"/>
      <c r="Q10"/>
      <c r="R10"/>
      <c r="S10"/>
    </row>
    <row r="11" spans="1:19" ht="13.5" thickBot="1">
      <c r="A11" s="3">
        <v>37653</v>
      </c>
      <c r="B11" s="28">
        <f>'[15]Data Input'!O18</f>
        <v>1864213.91</v>
      </c>
      <c r="C11" s="24">
        <f>'Purchased Power Model '!C13</f>
        <v>699</v>
      </c>
      <c r="D11" s="24">
        <f>'Purchased Power Model '!D13</f>
        <v>0</v>
      </c>
      <c r="E11" s="17">
        <v>0</v>
      </c>
      <c r="F11" s="17">
        <v>28</v>
      </c>
      <c r="G11" s="116">
        <f>Residential!G11</f>
        <v>588.4</v>
      </c>
      <c r="H11" s="17">
        <f>'Purchased Power Model '!G13</f>
        <v>0</v>
      </c>
      <c r="I11" s="17">
        <f t="shared" si="0"/>
        <v>37653</v>
      </c>
      <c r="J11" s="10">
        <v>319.872</v>
      </c>
      <c r="K11" s="17">
        <f>+'[15]Data Input'!$R18</f>
        <v>579</v>
      </c>
      <c r="L11" s="36">
        <v>125.80592062045517</v>
      </c>
      <c r="M11" s="17">
        <f t="shared" si="1"/>
        <v>1729519.785282938</v>
      </c>
      <c r="O11" t="s">
        <v>26</v>
      </c>
      <c r="P11"/>
      <c r="Q11"/>
      <c r="R11"/>
      <c r="S11"/>
    </row>
    <row r="12" spans="1:20" ht="12.75">
      <c r="A12" s="3">
        <v>37681</v>
      </c>
      <c r="B12" s="28">
        <f>'[15]Data Input'!O19</f>
        <v>1911079.1199999999</v>
      </c>
      <c r="C12" s="24">
        <f>'Purchased Power Model '!C14</f>
        <v>581.1</v>
      </c>
      <c r="D12" s="24">
        <f>'Purchased Power Model '!D14</f>
        <v>0</v>
      </c>
      <c r="E12" s="17">
        <v>1</v>
      </c>
      <c r="F12" s="17">
        <v>31</v>
      </c>
      <c r="G12" s="116">
        <f>Residential!G12</f>
        <v>584.5</v>
      </c>
      <c r="H12" s="17">
        <f>'Purchased Power Model '!G14</f>
        <v>0</v>
      </c>
      <c r="I12" s="17">
        <f t="shared" si="0"/>
        <v>37681</v>
      </c>
      <c r="J12" s="10">
        <v>336.288</v>
      </c>
      <c r="K12" s="17">
        <f>+'[15]Data Input'!$R19</f>
        <v>582</v>
      </c>
      <c r="L12" s="36">
        <v>125.9517607362029</v>
      </c>
      <c r="M12" s="17">
        <f t="shared" si="1"/>
        <v>1743918.8569403207</v>
      </c>
      <c r="O12" s="212"/>
      <c r="P12" s="212" t="s">
        <v>30</v>
      </c>
      <c r="Q12" s="212" t="s">
        <v>31</v>
      </c>
      <c r="R12" s="212" t="s">
        <v>32</v>
      </c>
      <c r="S12" s="212" t="s">
        <v>33</v>
      </c>
      <c r="T12" s="212" t="s">
        <v>34</v>
      </c>
    </row>
    <row r="13" spans="1:20" ht="12.75">
      <c r="A13" s="3">
        <v>37712</v>
      </c>
      <c r="B13" s="28">
        <f>'[15]Data Input'!O20</f>
        <v>1676912.68</v>
      </c>
      <c r="C13" s="24">
        <f>'Purchased Power Model '!C15</f>
        <v>372.5</v>
      </c>
      <c r="D13" s="24">
        <f>'Purchased Power Model '!D15</f>
        <v>2.4</v>
      </c>
      <c r="E13" s="17">
        <v>1</v>
      </c>
      <c r="F13" s="17">
        <v>30</v>
      </c>
      <c r="G13" s="116">
        <f>Residential!G13</f>
        <v>587.8</v>
      </c>
      <c r="H13" s="17">
        <f>'Purchased Power Model '!G15</f>
        <v>0</v>
      </c>
      <c r="I13" s="17">
        <f t="shared" si="0"/>
        <v>37712</v>
      </c>
      <c r="J13" s="10">
        <v>336.24</v>
      </c>
      <c r="K13" s="17">
        <f>+'[15]Data Input'!$R20</f>
        <v>585</v>
      </c>
      <c r="L13" s="36">
        <v>126.09776991664374</v>
      </c>
      <c r="M13" s="17">
        <f t="shared" si="1"/>
        <v>1608751.62428639</v>
      </c>
      <c r="O13" s="37" t="s">
        <v>27</v>
      </c>
      <c r="P13" s="37">
        <v>6</v>
      </c>
      <c r="Q13" s="37">
        <v>1732826461225.9497</v>
      </c>
      <c r="R13" s="37">
        <v>288804410204.32495</v>
      </c>
      <c r="S13" s="37">
        <v>34.880477942745514</v>
      </c>
      <c r="T13" s="37">
        <v>3.6392167601221754E-23</v>
      </c>
    </row>
    <row r="14" spans="1:20" ht="12.75">
      <c r="A14" s="3">
        <v>37742</v>
      </c>
      <c r="B14" s="28">
        <f>'[15]Data Input'!O21</f>
        <v>1604098.6199999999</v>
      </c>
      <c r="C14" s="24">
        <f>'Purchased Power Model '!C16</f>
        <v>177.9</v>
      </c>
      <c r="D14" s="24">
        <f>'Purchased Power Model '!D16</f>
        <v>0</v>
      </c>
      <c r="E14" s="17">
        <v>1</v>
      </c>
      <c r="F14" s="17">
        <v>31</v>
      </c>
      <c r="G14" s="116">
        <f>Residential!G14</f>
        <v>596.4</v>
      </c>
      <c r="H14" s="17">
        <f>'Purchased Power Model '!G16</f>
        <v>0</v>
      </c>
      <c r="I14" s="17">
        <f t="shared" si="0"/>
        <v>37742</v>
      </c>
      <c r="J14" s="10">
        <v>336.288</v>
      </c>
      <c r="K14" s="17">
        <f>+'[15]Data Input'!$R21</f>
        <v>588</v>
      </c>
      <c r="L14" s="36">
        <v>126.2439483577654</v>
      </c>
      <c r="M14" s="17">
        <f t="shared" si="1"/>
        <v>1567620.1946266769</v>
      </c>
      <c r="O14" s="37" t="s">
        <v>28</v>
      </c>
      <c r="P14" s="37">
        <v>108</v>
      </c>
      <c r="Q14" s="37">
        <v>894221585875.7811</v>
      </c>
      <c r="R14" s="37">
        <v>8279829498.849825</v>
      </c>
      <c r="S14" s="37"/>
      <c r="T14" s="37"/>
    </row>
    <row r="15" spans="1:20" ht="13.5" thickBot="1">
      <c r="A15" s="3">
        <v>37773</v>
      </c>
      <c r="B15" s="28">
        <f>'[15]Data Input'!O22</f>
        <v>1640940.1099999999</v>
      </c>
      <c r="C15" s="24">
        <f>'Purchased Power Model '!C17</f>
        <v>43.4</v>
      </c>
      <c r="D15" s="24">
        <f>'Purchased Power Model '!D17</f>
        <v>52.9</v>
      </c>
      <c r="E15" s="17">
        <v>0</v>
      </c>
      <c r="F15" s="17">
        <v>30</v>
      </c>
      <c r="G15" s="116">
        <f>Residential!G15</f>
        <v>601.7</v>
      </c>
      <c r="H15" s="17">
        <f>'Purchased Power Model '!G17</f>
        <v>0</v>
      </c>
      <c r="I15" s="17">
        <f t="shared" si="0"/>
        <v>37773</v>
      </c>
      <c r="J15" s="10">
        <v>336.24</v>
      </c>
      <c r="K15" s="17">
        <f>+'[15]Data Input'!$R22</f>
        <v>591</v>
      </c>
      <c r="L15" s="36">
        <v>126.3902962557828</v>
      </c>
      <c r="M15" s="17">
        <f t="shared" si="1"/>
        <v>1630173.2908948357</v>
      </c>
      <c r="O15" s="54" t="s">
        <v>9</v>
      </c>
      <c r="P15" s="54">
        <v>114</v>
      </c>
      <c r="Q15" s="54">
        <v>2627048047101.731</v>
      </c>
      <c r="R15" s="54"/>
      <c r="S15" s="54"/>
      <c r="T15" s="54"/>
    </row>
    <row r="16" spans="1:19" ht="13.5" thickBot="1">
      <c r="A16" s="3">
        <v>37803</v>
      </c>
      <c r="B16" s="28">
        <f>'[15]Data Input'!O23</f>
        <v>1744231.49</v>
      </c>
      <c r="C16" s="24">
        <f>'Purchased Power Model '!C18</f>
        <v>0.2</v>
      </c>
      <c r="D16" s="24">
        <f>'Purchased Power Model '!D18</f>
        <v>118.3</v>
      </c>
      <c r="E16" s="17">
        <v>0</v>
      </c>
      <c r="F16" s="17">
        <v>31</v>
      </c>
      <c r="G16" s="116">
        <f>Residential!G16</f>
        <v>605.7</v>
      </c>
      <c r="H16" s="17">
        <f>'Purchased Power Model '!G18</f>
        <v>0</v>
      </c>
      <c r="I16" s="17">
        <f t="shared" si="0"/>
        <v>37803</v>
      </c>
      <c r="J16" s="10">
        <v>351.912</v>
      </c>
      <c r="K16" s="17">
        <f>+'[15]Data Input'!$R23</f>
        <v>594</v>
      </c>
      <c r="L16" s="36">
        <v>126.5368138071383</v>
      </c>
      <c r="M16" s="17">
        <f t="shared" si="1"/>
        <v>1786544.1545857308</v>
      </c>
      <c r="O16"/>
      <c r="P16"/>
      <c r="Q16"/>
      <c r="R16"/>
      <c r="S16"/>
    </row>
    <row r="17" spans="1:23" ht="12.75">
      <c r="A17" s="3">
        <v>37834</v>
      </c>
      <c r="B17" s="28">
        <f>'[15]Data Input'!O24</f>
        <v>1668783.65</v>
      </c>
      <c r="C17" s="24">
        <f>'Purchased Power Model '!C19</f>
        <v>2</v>
      </c>
      <c r="D17" s="24">
        <f>'Purchased Power Model '!D19</f>
        <v>128</v>
      </c>
      <c r="E17" s="17">
        <v>0</v>
      </c>
      <c r="F17" s="17">
        <v>31</v>
      </c>
      <c r="G17" s="116">
        <f>Residential!G17</f>
        <v>607.6</v>
      </c>
      <c r="H17" s="17">
        <f>'Purchased Power Model '!G19</f>
        <v>0</v>
      </c>
      <c r="I17" s="17">
        <f t="shared" si="0"/>
        <v>37834</v>
      </c>
      <c r="J17" s="10">
        <v>319.92</v>
      </c>
      <c r="K17" s="17">
        <f>+'[15]Data Input'!$R24</f>
        <v>597</v>
      </c>
      <c r="L17" s="36">
        <v>126.683501208502</v>
      </c>
      <c r="M17" s="17">
        <f t="shared" si="1"/>
        <v>1808205.677403372</v>
      </c>
      <c r="O17" s="212"/>
      <c r="P17" s="212" t="s">
        <v>35</v>
      </c>
      <c r="Q17" s="212" t="s">
        <v>24</v>
      </c>
      <c r="R17" s="212" t="s">
        <v>36</v>
      </c>
      <c r="S17" s="212" t="s">
        <v>37</v>
      </c>
      <c r="T17" s="212" t="s">
        <v>38</v>
      </c>
      <c r="U17" s="212" t="s">
        <v>39</v>
      </c>
      <c r="V17" s="212" t="s">
        <v>150</v>
      </c>
      <c r="W17" s="212" t="s">
        <v>151</v>
      </c>
    </row>
    <row r="18" spans="1:23" ht="12.75">
      <c r="A18" s="3">
        <v>37865</v>
      </c>
      <c r="B18" s="28">
        <f>'[15]Data Input'!O25</f>
        <v>1537831.96</v>
      </c>
      <c r="C18" s="24">
        <f>'Purchased Power Model '!C20</f>
        <v>54.9</v>
      </c>
      <c r="D18" s="24">
        <f>'Purchased Power Model '!D20</f>
        <v>24</v>
      </c>
      <c r="E18" s="17">
        <v>1</v>
      </c>
      <c r="F18" s="17">
        <v>30</v>
      </c>
      <c r="G18" s="116">
        <f>Residential!G18</f>
        <v>607.6</v>
      </c>
      <c r="H18" s="17">
        <f>'Purchased Power Model '!G20</f>
        <v>0</v>
      </c>
      <c r="I18" s="17">
        <f t="shared" si="0"/>
        <v>37865</v>
      </c>
      <c r="J18" s="10">
        <v>336.24</v>
      </c>
      <c r="K18" s="17">
        <f>+'[15]Data Input'!$R25</f>
        <v>600</v>
      </c>
      <c r="L18" s="36">
        <v>126.83035865677196</v>
      </c>
      <c r="M18" s="17">
        <f t="shared" si="1"/>
        <v>1522803.4958145577</v>
      </c>
      <c r="O18" s="37" t="s">
        <v>29</v>
      </c>
      <c r="P18" s="59">
        <v>-497713.96180331754</v>
      </c>
      <c r="Q18" s="37">
        <v>411789.35046503437</v>
      </c>
      <c r="R18" s="59">
        <v>-1.2086615674767898</v>
      </c>
      <c r="S18" s="37">
        <v>0.22943251522085062</v>
      </c>
      <c r="T18" s="37">
        <v>-1313951.868676188</v>
      </c>
      <c r="U18" s="37">
        <v>318523.94506955275</v>
      </c>
      <c r="V18" s="37">
        <v>-1313951.868676188</v>
      </c>
      <c r="W18" s="37">
        <v>318523.94506955275</v>
      </c>
    </row>
    <row r="19" spans="1:23" ht="12.75">
      <c r="A19" s="3">
        <v>37895</v>
      </c>
      <c r="B19" s="28">
        <f>'[15]Data Input'!O26</f>
        <v>1592175.57</v>
      </c>
      <c r="C19" s="24">
        <f>'Purchased Power Model '!C21</f>
        <v>276</v>
      </c>
      <c r="D19" s="24">
        <f>'Purchased Power Model '!D21</f>
        <v>0</v>
      </c>
      <c r="E19" s="17">
        <v>1</v>
      </c>
      <c r="F19" s="17">
        <v>31</v>
      </c>
      <c r="G19" s="116">
        <f>Residential!G19</f>
        <v>609.5</v>
      </c>
      <c r="H19" s="17">
        <f>'Purchased Power Model '!G21</f>
        <v>0</v>
      </c>
      <c r="I19" s="17">
        <f t="shared" si="0"/>
        <v>37895</v>
      </c>
      <c r="J19" s="10">
        <v>351.912</v>
      </c>
      <c r="K19" s="17">
        <f>+'[15]Data Input'!$R26</f>
        <v>603</v>
      </c>
      <c r="L19" s="36">
        <v>126.97738634907456</v>
      </c>
      <c r="M19" s="17">
        <f t="shared" si="1"/>
        <v>1627461.1309683933</v>
      </c>
      <c r="O19" s="37" t="s">
        <v>2</v>
      </c>
      <c r="P19" s="59">
        <v>468.5182785096634</v>
      </c>
      <c r="Q19" s="37">
        <v>55.25884931268458</v>
      </c>
      <c r="R19" s="59">
        <v>8.478610834954823</v>
      </c>
      <c r="S19" s="37">
        <v>1.295890020306479E-13</v>
      </c>
      <c r="T19" s="37">
        <v>358.98565594851027</v>
      </c>
      <c r="U19" s="37">
        <v>578.0509010708165</v>
      </c>
      <c r="V19" s="37">
        <v>358.98565594851027</v>
      </c>
      <c r="W19" s="37">
        <v>578.0509010708165</v>
      </c>
    </row>
    <row r="20" spans="1:23" ht="12.75">
      <c r="A20" s="3">
        <v>37926</v>
      </c>
      <c r="B20" s="28">
        <f>'[15]Data Input'!O27</f>
        <v>1566052.66</v>
      </c>
      <c r="C20" s="24">
        <f>'Purchased Power Model '!C22</f>
        <v>398.5</v>
      </c>
      <c r="D20" s="24">
        <f>'Purchased Power Model '!D22</f>
        <v>0</v>
      </c>
      <c r="E20" s="17">
        <v>1</v>
      </c>
      <c r="F20" s="17">
        <v>30</v>
      </c>
      <c r="G20" s="116">
        <f>Residential!G20</f>
        <v>609</v>
      </c>
      <c r="H20" s="17">
        <f>'Purchased Power Model '!G22</f>
        <v>0</v>
      </c>
      <c r="I20" s="17">
        <f t="shared" si="0"/>
        <v>37926</v>
      </c>
      <c r="J20" s="10">
        <v>319.68</v>
      </c>
      <c r="K20" s="17">
        <f>+'[15]Data Input'!$R27</f>
        <v>606</v>
      </c>
      <c r="L20" s="36">
        <v>127.12458448276465</v>
      </c>
      <c r="M20" s="17">
        <f t="shared" si="1"/>
        <v>1638741.4220574088</v>
      </c>
      <c r="O20" s="37" t="s">
        <v>3</v>
      </c>
      <c r="P20" s="59">
        <v>1938.676562414413</v>
      </c>
      <c r="Q20" s="37">
        <v>317.21406338000907</v>
      </c>
      <c r="R20" s="59">
        <v>6.111571920101033</v>
      </c>
      <c r="S20" s="37">
        <v>1.595066463422972E-08</v>
      </c>
      <c r="T20" s="37">
        <v>1309.903276190436</v>
      </c>
      <c r="U20" s="37">
        <v>2567.44984863839</v>
      </c>
      <c r="V20" s="37">
        <v>1309.903276190436</v>
      </c>
      <c r="W20" s="37">
        <v>2567.44984863839</v>
      </c>
    </row>
    <row r="21" spans="1:23" ht="12.75">
      <c r="A21" s="3">
        <v>37956</v>
      </c>
      <c r="B21" s="28">
        <f>'[15]Data Input'!O28</f>
        <v>1718743.86</v>
      </c>
      <c r="C21" s="24">
        <f>'Purchased Power Model '!C23</f>
        <v>561.5</v>
      </c>
      <c r="D21" s="24">
        <f>'Purchased Power Model '!D23</f>
        <v>0</v>
      </c>
      <c r="E21" s="17">
        <v>0</v>
      </c>
      <c r="F21" s="17">
        <v>31</v>
      </c>
      <c r="G21" s="116">
        <f>Residential!G21</f>
        <v>609.2</v>
      </c>
      <c r="H21" s="17">
        <f>'Purchased Power Model '!G23</f>
        <v>0</v>
      </c>
      <c r="I21" s="17">
        <f t="shared" si="0"/>
        <v>37956</v>
      </c>
      <c r="J21" s="10">
        <v>336.288</v>
      </c>
      <c r="K21" s="17">
        <f>+'[15]Data Input'!$R28</f>
        <v>609</v>
      </c>
      <c r="L21" s="36">
        <v>127.27195325542573</v>
      </c>
      <c r="M21" s="17">
        <f t="shared" si="1"/>
        <v>1823886.2350917715</v>
      </c>
      <c r="O21" s="37" t="s">
        <v>18</v>
      </c>
      <c r="P21" s="59">
        <v>-62980.98201848584</v>
      </c>
      <c r="Q21" s="37">
        <v>23736.999826832758</v>
      </c>
      <c r="R21" s="59">
        <v>-2.6532831645931485</v>
      </c>
      <c r="S21" s="37">
        <v>0.00917398429841588</v>
      </c>
      <c r="T21" s="37">
        <v>-110031.83224619424</v>
      </c>
      <c r="U21" s="37">
        <v>-15930.131790777443</v>
      </c>
      <c r="V21" s="37">
        <v>-110031.83224619424</v>
      </c>
      <c r="W21" s="37">
        <v>-15930.131790777443</v>
      </c>
    </row>
    <row r="22" spans="1:23" ht="12.75">
      <c r="A22" s="3">
        <v>37987</v>
      </c>
      <c r="B22" s="28">
        <f>'[15]Data Input'!O29</f>
        <v>1875622.49</v>
      </c>
      <c r="C22" s="24">
        <f>'Purchased Power Model '!C24</f>
        <v>849.1</v>
      </c>
      <c r="D22" s="24">
        <f>'Purchased Power Model '!D24</f>
        <v>0</v>
      </c>
      <c r="E22" s="17">
        <v>0</v>
      </c>
      <c r="F22" s="17">
        <v>31</v>
      </c>
      <c r="G22" s="116">
        <f>Residential!G22</f>
        <v>605</v>
      </c>
      <c r="H22" s="17">
        <f>'Purchased Power Model '!G24</f>
        <v>0</v>
      </c>
      <c r="I22" s="17">
        <f t="shared" si="0"/>
        <v>37987</v>
      </c>
      <c r="J22" s="10">
        <v>336.288</v>
      </c>
      <c r="K22" s="17">
        <f>+'[15]Data Input'!$R29</f>
        <v>613</v>
      </c>
      <c r="L22" s="36">
        <v>127.53411264087498</v>
      </c>
      <c r="M22" s="17">
        <f t="shared" si="1"/>
        <v>1954182.2422565205</v>
      </c>
      <c r="O22" s="37" t="s">
        <v>4</v>
      </c>
      <c r="P22" s="59">
        <v>45583.454012390655</v>
      </c>
      <c r="Q22" s="37">
        <v>10992.506327753834</v>
      </c>
      <c r="R22" s="59">
        <v>4.146775326142114</v>
      </c>
      <c r="S22" s="37">
        <v>6.734884410550321E-05</v>
      </c>
      <c r="T22" s="37">
        <v>23794.40010383301</v>
      </c>
      <c r="U22" s="37">
        <v>67372.5079209483</v>
      </c>
      <c r="V22" s="37">
        <v>23794.40010383301</v>
      </c>
      <c r="W22" s="37">
        <v>67372.5079209483</v>
      </c>
    </row>
    <row r="23" spans="1:23" ht="12.75">
      <c r="A23" s="3">
        <v>38018</v>
      </c>
      <c r="B23" s="28">
        <f>'[15]Data Input'!O30</f>
        <v>1618937.9300000002</v>
      </c>
      <c r="C23" s="24">
        <f>'Purchased Power Model '!C25</f>
        <v>631.7</v>
      </c>
      <c r="D23" s="24">
        <f>'Purchased Power Model '!D25</f>
        <v>0</v>
      </c>
      <c r="E23" s="17">
        <v>0</v>
      </c>
      <c r="F23" s="17">
        <v>29</v>
      </c>
      <c r="G23" s="116">
        <f>Residential!G23</f>
        <v>599.4</v>
      </c>
      <c r="H23" s="17">
        <f>'Purchased Power Model '!G25</f>
        <v>0</v>
      </c>
      <c r="I23" s="17">
        <f t="shared" si="0"/>
        <v>38018</v>
      </c>
      <c r="J23" s="10">
        <v>320.16</v>
      </c>
      <c r="K23" s="17">
        <f>+'[15]Data Input'!$R30</f>
        <v>611</v>
      </c>
      <c r="L23" s="36">
        <v>127.79681203173486</v>
      </c>
      <c r="M23" s="17">
        <f t="shared" si="1"/>
        <v>1755226.3275042314</v>
      </c>
      <c r="O23" s="37" t="s">
        <v>152</v>
      </c>
      <c r="P23" s="59">
        <v>1059.4880320548307</v>
      </c>
      <c r="Q23" s="37">
        <v>411.25784890402826</v>
      </c>
      <c r="R23" s="59">
        <v>2.576213523652589</v>
      </c>
      <c r="S23" s="37">
        <v>0.011339409475074978</v>
      </c>
      <c r="T23" s="37">
        <v>244.30365345112364</v>
      </c>
      <c r="U23" s="37">
        <v>1874.6724106585377</v>
      </c>
      <c r="V23" s="37">
        <v>244.30365345112364</v>
      </c>
      <c r="W23" s="37">
        <v>1874.6724106585377</v>
      </c>
    </row>
    <row r="24" spans="1:23" ht="13.5" thickBot="1">
      <c r="A24" s="3">
        <v>38047</v>
      </c>
      <c r="B24" s="28">
        <f>'[15]Data Input'!O31</f>
        <v>1476215.74</v>
      </c>
      <c r="C24" s="24">
        <f>'Purchased Power Model '!C26</f>
        <v>487.3</v>
      </c>
      <c r="D24" s="24">
        <f>'Purchased Power Model '!D26</f>
        <v>0</v>
      </c>
      <c r="E24" s="17">
        <v>1</v>
      </c>
      <c r="F24" s="17">
        <v>31</v>
      </c>
      <c r="G24" s="116">
        <f>Residential!G24</f>
        <v>595.4</v>
      </c>
      <c r="H24" s="17">
        <f>'Purchased Power Model '!G26</f>
        <v>0</v>
      </c>
      <c r="I24" s="17">
        <f t="shared" si="0"/>
        <v>38047</v>
      </c>
      <c r="J24" s="10">
        <v>368.28</v>
      </c>
      <c r="K24" s="17">
        <f>+'[15]Data Input'!$R31</f>
        <v>612</v>
      </c>
      <c r="L24" s="36">
        <v>128.06005254032812</v>
      </c>
      <c r="M24" s="17">
        <f t="shared" si="1"/>
        <v>1711520.2619655123</v>
      </c>
      <c r="O24" s="54" t="s">
        <v>74</v>
      </c>
      <c r="P24" s="208">
        <v>-0.3399934407876815</v>
      </c>
      <c r="Q24" s="54">
        <v>0.11008763100073192</v>
      </c>
      <c r="R24" s="208">
        <v>-3.0883891105388677</v>
      </c>
      <c r="S24" s="54">
        <v>0.002558463669360766</v>
      </c>
      <c r="T24" s="54">
        <v>-0.5582062172938099</v>
      </c>
      <c r="U24" s="54">
        <v>-0.1217806642815531</v>
      </c>
      <c r="V24" s="54">
        <v>-0.5582062172938099</v>
      </c>
      <c r="W24" s="54">
        <v>-0.1217806642815531</v>
      </c>
    </row>
    <row r="25" spans="1:19" ht="12.75">
      <c r="A25" s="3">
        <v>38078</v>
      </c>
      <c r="B25" s="28">
        <f>'[15]Data Input'!O32</f>
        <v>1185651.91</v>
      </c>
      <c r="C25" s="24">
        <f>'Purchased Power Model '!C27</f>
        <v>331.5</v>
      </c>
      <c r="D25" s="24">
        <f>'Purchased Power Model '!D27</f>
        <v>0</v>
      </c>
      <c r="E25" s="17">
        <v>1</v>
      </c>
      <c r="F25" s="17">
        <v>30</v>
      </c>
      <c r="G25" s="116">
        <f>Residential!G25</f>
        <v>597.7</v>
      </c>
      <c r="H25" s="17">
        <f>'Purchased Power Model '!G27</f>
        <v>0</v>
      </c>
      <c r="I25" s="17">
        <f t="shared" si="0"/>
        <v>38078</v>
      </c>
      <c r="J25" s="10">
        <v>336.24</v>
      </c>
      <c r="K25" s="17">
        <f>+'[15]Data Input'!$R32</f>
        <v>612</v>
      </c>
      <c r="L25" s="36">
        <v>128.32383528126866</v>
      </c>
      <c r="M25" s="17">
        <f t="shared" si="1"/>
        <v>1595378.482635042</v>
      </c>
      <c r="O25"/>
      <c r="P25"/>
      <c r="Q25"/>
      <c r="R25"/>
      <c r="S25"/>
    </row>
    <row r="26" spans="1:19" ht="12.75">
      <c r="A26" s="3">
        <v>38108</v>
      </c>
      <c r="B26" s="28">
        <f>'[15]Data Input'!O33</f>
        <v>1568853.06</v>
      </c>
      <c r="C26" s="24">
        <f>'Purchased Power Model '!C28</f>
        <v>158.9</v>
      </c>
      <c r="D26" s="24">
        <f>'Purchased Power Model '!D28</f>
        <v>8.6</v>
      </c>
      <c r="E26" s="17">
        <v>1</v>
      </c>
      <c r="F26" s="17">
        <v>31</v>
      </c>
      <c r="G26" s="116">
        <f>Residential!G26</f>
        <v>605.6</v>
      </c>
      <c r="H26" s="17">
        <f>'Purchased Power Model '!G28</f>
        <v>0</v>
      </c>
      <c r="I26" s="17">
        <f t="shared" si="0"/>
        <v>38108</v>
      </c>
      <c r="J26" s="10">
        <v>319.92</v>
      </c>
      <c r="K26" s="17">
        <f>+'[15]Data Input'!$R33</f>
        <v>614</v>
      </c>
      <c r="L26" s="36">
        <v>128.58816137146633</v>
      </c>
      <c r="M26" s="17">
        <f t="shared" si="1"/>
        <v>1585138.255666662</v>
      </c>
      <c r="N26"/>
      <c r="O26"/>
      <c r="P26"/>
      <c r="Q26"/>
      <c r="R26"/>
      <c r="S26"/>
    </row>
    <row r="27" spans="1:19" ht="12.75">
      <c r="A27" s="3">
        <v>38139</v>
      </c>
      <c r="B27" s="28">
        <f>'[15]Data Input'!O34</f>
        <v>1616969.56</v>
      </c>
      <c r="C27" s="24">
        <f>'Purchased Power Model '!C29</f>
        <v>44.2</v>
      </c>
      <c r="D27" s="24">
        <f>'Purchased Power Model '!D29</f>
        <v>31.6</v>
      </c>
      <c r="E27" s="17">
        <v>0</v>
      </c>
      <c r="F27" s="17">
        <v>30</v>
      </c>
      <c r="G27" s="116">
        <f>Residential!G27</f>
        <v>615.4</v>
      </c>
      <c r="H27" s="17">
        <f>'Purchased Power Model '!G29</f>
        <v>0</v>
      </c>
      <c r="I27" s="17">
        <f t="shared" si="0"/>
        <v>38139</v>
      </c>
      <c r="J27" s="10">
        <v>352.08</v>
      </c>
      <c r="K27" s="17">
        <f>+'[15]Data Input'!$R34</f>
        <v>615</v>
      </c>
      <c r="L27" s="36">
        <v>128.85303193013166</v>
      </c>
      <c r="M27" s="17">
        <f t="shared" si="1"/>
        <v>1603769.2807773673</v>
      </c>
      <c r="N27"/>
      <c r="O27"/>
      <c r="P27"/>
      <c r="Q27"/>
      <c r="R27"/>
      <c r="S27"/>
    </row>
    <row r="28" spans="1:19" ht="12.75">
      <c r="A28" s="3">
        <v>38169</v>
      </c>
      <c r="B28" s="28">
        <f>'[15]Data Input'!O35</f>
        <v>1756777.24</v>
      </c>
      <c r="C28" s="24">
        <f>'Purchased Power Model '!C30</f>
        <v>3.6</v>
      </c>
      <c r="D28" s="24">
        <f>'Purchased Power Model '!D30</f>
        <v>86.4</v>
      </c>
      <c r="E28" s="17">
        <v>0</v>
      </c>
      <c r="F28" s="17">
        <v>31</v>
      </c>
      <c r="G28" s="116">
        <f>Residential!G28</f>
        <v>623.8</v>
      </c>
      <c r="H28" s="17">
        <f>'Purchased Power Model '!G30</f>
        <v>0</v>
      </c>
      <c r="I28" s="17">
        <f t="shared" si="0"/>
        <v>38169</v>
      </c>
      <c r="J28" s="10">
        <v>336.288</v>
      </c>
      <c r="K28" s="17">
        <f>+'[15]Data Input'!$R35</f>
        <v>622</v>
      </c>
      <c r="L28" s="36">
        <v>129.11844807878055</v>
      </c>
      <c r="M28" s="17">
        <f t="shared" si="1"/>
        <v>1745470.0677718362</v>
      </c>
      <c r="N28"/>
      <c r="O28"/>
      <c r="P28"/>
      <c r="Q28"/>
      <c r="R28"/>
      <c r="S28"/>
    </row>
    <row r="29" spans="1:19" ht="12.75">
      <c r="A29" s="3">
        <v>38200</v>
      </c>
      <c r="B29" s="28">
        <f>'[15]Data Input'!O36</f>
        <v>1784761.03</v>
      </c>
      <c r="C29" s="24">
        <f>'Purchased Power Model '!C31</f>
        <v>12.8</v>
      </c>
      <c r="D29" s="24">
        <f>'Purchased Power Model '!D31</f>
        <v>59.6</v>
      </c>
      <c r="E29" s="17">
        <v>0</v>
      </c>
      <c r="F29" s="17">
        <v>31</v>
      </c>
      <c r="G29" s="116">
        <f>Residential!G29</f>
        <v>625.7</v>
      </c>
      <c r="H29" s="17">
        <f>'Purchased Power Model '!G31</f>
        <v>0</v>
      </c>
      <c r="I29" s="17">
        <f t="shared" si="0"/>
        <v>38200</v>
      </c>
      <c r="J29" s="10">
        <v>336.288</v>
      </c>
      <c r="K29" s="17">
        <f>+'[15]Data Input'!$R36</f>
        <v>621</v>
      </c>
      <c r="L29" s="36">
        <v>129.38441094123903</v>
      </c>
      <c r="M29" s="17">
        <f t="shared" si="1"/>
        <v>1699836.9313223232</v>
      </c>
      <c r="N29"/>
      <c r="O29"/>
      <c r="P29"/>
      <c r="Q29"/>
      <c r="R29"/>
      <c r="S29"/>
    </row>
    <row r="30" spans="1:19" ht="12.75">
      <c r="A30" s="3">
        <v>38231</v>
      </c>
      <c r="B30" s="28">
        <f>'[15]Data Input'!O37</f>
        <v>1679364.7799999998</v>
      </c>
      <c r="C30" s="24">
        <f>'Purchased Power Model '!C32</f>
        <v>30</v>
      </c>
      <c r="D30" s="24">
        <f>'Purchased Power Model '!D32</f>
        <v>41.2</v>
      </c>
      <c r="E30" s="17">
        <v>1</v>
      </c>
      <c r="F30" s="17">
        <v>30</v>
      </c>
      <c r="G30" s="116">
        <f>Residential!G30</f>
        <v>626.7</v>
      </c>
      <c r="H30" s="17">
        <f>'Purchased Power Model '!G32</f>
        <v>0</v>
      </c>
      <c r="I30" s="17">
        <f t="shared" si="0"/>
        <v>38231</v>
      </c>
      <c r="J30" s="10">
        <v>336.24</v>
      </c>
      <c r="K30" s="17">
        <f>+'[15]Data Input'!$R37</f>
        <v>620</v>
      </c>
      <c r="L30" s="36">
        <v>129.65092164364802</v>
      </c>
      <c r="M30" s="17">
        <f t="shared" si="1"/>
        <v>1564718.8489654423</v>
      </c>
      <c r="N30"/>
      <c r="O30"/>
      <c r="P30"/>
      <c r="Q30"/>
      <c r="R30"/>
      <c r="S30"/>
    </row>
    <row r="31" spans="1:19" ht="12.75">
      <c r="A31" s="3">
        <v>38261</v>
      </c>
      <c r="B31" s="28">
        <f>'[15]Data Input'!O38</f>
        <v>1475113.5699999998</v>
      </c>
      <c r="C31" s="24">
        <f>'Purchased Power Model '!C33</f>
        <v>226.3</v>
      </c>
      <c r="D31" s="24">
        <f>'Purchased Power Model '!D33</f>
        <v>1.5</v>
      </c>
      <c r="E31" s="17">
        <v>1</v>
      </c>
      <c r="F31" s="17">
        <v>31</v>
      </c>
      <c r="G31" s="116">
        <f>Residential!G31</f>
        <v>625.1</v>
      </c>
      <c r="H31" s="17">
        <f>'Purchased Power Model '!G33</f>
        <v>0</v>
      </c>
      <c r="I31" s="17">
        <f t="shared" si="0"/>
        <v>38261</v>
      </c>
      <c r="J31" s="10">
        <v>319.92</v>
      </c>
      <c r="K31" s="17">
        <f>+'[15]Data Input'!$R38</f>
        <v>620</v>
      </c>
      <c r="L31" s="36">
        <v>129.91798131446814</v>
      </c>
      <c r="M31" s="17">
        <f t="shared" si="1"/>
        <v>1623611.80067014</v>
      </c>
      <c r="N31" s="17"/>
      <c r="O31"/>
      <c r="P31"/>
      <c r="Q31"/>
      <c r="R31"/>
      <c r="S31"/>
    </row>
    <row r="32" spans="1:19" ht="12.75">
      <c r="A32" s="3">
        <v>38292</v>
      </c>
      <c r="B32" s="28">
        <f>'[15]Data Input'!O39</f>
        <v>1673105.1300000001</v>
      </c>
      <c r="C32" s="24">
        <f>'Purchased Power Model '!C34</f>
        <v>379.1</v>
      </c>
      <c r="D32" s="24">
        <f>'Purchased Power Model '!D34</f>
        <v>0</v>
      </c>
      <c r="E32" s="17">
        <v>1</v>
      </c>
      <c r="F32" s="17">
        <v>30</v>
      </c>
      <c r="G32" s="116">
        <f>Residential!G32</f>
        <v>625.2</v>
      </c>
      <c r="H32" s="17">
        <f>'Purchased Power Model '!G34</f>
        <v>0</v>
      </c>
      <c r="I32" s="17">
        <f t="shared" si="0"/>
        <v>38292</v>
      </c>
      <c r="J32" s="10">
        <v>352.08</v>
      </c>
      <c r="K32" s="17">
        <f>+'[15]Data Input'!$R39</f>
        <v>622</v>
      </c>
      <c r="L32" s="36">
        <v>130.18559108448443</v>
      </c>
      <c r="M32" s="17">
        <f t="shared" si="1"/>
        <v>1646815.8735736099</v>
      </c>
      <c r="N32" s="17"/>
      <c r="O32"/>
      <c r="P32"/>
      <c r="Q32"/>
      <c r="R32"/>
      <c r="S32"/>
    </row>
    <row r="33" spans="1:19" ht="12.75">
      <c r="A33" s="3">
        <v>38322</v>
      </c>
      <c r="B33" s="28">
        <f>'[15]Data Input'!O40</f>
        <v>1853871.19</v>
      </c>
      <c r="C33" s="24">
        <f>'Purchased Power Model '!C35</f>
        <v>643.4</v>
      </c>
      <c r="D33" s="24">
        <f>'Purchased Power Model '!D35</f>
        <v>0</v>
      </c>
      <c r="E33" s="17">
        <v>0</v>
      </c>
      <c r="F33" s="17">
        <v>31</v>
      </c>
      <c r="G33" s="116">
        <f>Residential!G33</f>
        <v>628.4</v>
      </c>
      <c r="H33" s="17">
        <f>'Purchased Power Model '!G35</f>
        <v>0</v>
      </c>
      <c r="I33" s="17">
        <f t="shared" si="0"/>
        <v>38322</v>
      </c>
      <c r="J33" s="10">
        <v>336.288</v>
      </c>
      <c r="K33" s="17">
        <f>+'[15]Data Input'!$R40</f>
        <v>627</v>
      </c>
      <c r="L33" s="36">
        <v>130.45375208681136</v>
      </c>
      <c r="M33" s="17">
        <f t="shared" si="1"/>
        <v>1882600.0523171658</v>
      </c>
      <c r="N33" s="17"/>
      <c r="O33"/>
      <c r="P33"/>
      <c r="Q33"/>
      <c r="R33"/>
      <c r="S33"/>
    </row>
    <row r="34" spans="1:19" ht="12.75">
      <c r="A34" s="3">
        <v>38353</v>
      </c>
      <c r="B34" s="28">
        <f>'[15]Data Input'!O41</f>
        <v>1885886.8</v>
      </c>
      <c r="C34" s="24">
        <f>'Purchased Power Model '!C36</f>
        <v>770</v>
      </c>
      <c r="D34" s="24">
        <f>'Purchased Power Model '!D36</f>
        <v>0</v>
      </c>
      <c r="E34" s="17">
        <v>0</v>
      </c>
      <c r="F34" s="17">
        <v>31</v>
      </c>
      <c r="G34" s="116">
        <f>Residential!G34</f>
        <v>629.5</v>
      </c>
      <c r="H34" s="17">
        <f>'Purchased Power Model '!G36</f>
        <v>0</v>
      </c>
      <c r="I34" s="17">
        <f t="shared" si="0"/>
        <v>38353</v>
      </c>
      <c r="J34" s="10">
        <v>319.92</v>
      </c>
      <c r="K34" s="17">
        <f>+'[15]Data Input'!$R41</f>
        <v>627</v>
      </c>
      <c r="L34" s="36">
        <v>130.7437021568508</v>
      </c>
      <c r="M34" s="17">
        <f t="shared" si="1"/>
        <v>1943079.9032117496</v>
      </c>
      <c r="N34" s="17"/>
      <c r="O34"/>
      <c r="P34"/>
      <c r="Q34"/>
      <c r="R34"/>
      <c r="S34"/>
    </row>
    <row r="35" spans="1:19" ht="12.75">
      <c r="A35" s="3">
        <v>38384</v>
      </c>
      <c r="B35" s="28">
        <f>'[15]Data Input'!O42</f>
        <v>1639012.75</v>
      </c>
      <c r="C35" s="24">
        <f>'Purchased Power Model '!C37</f>
        <v>616.4</v>
      </c>
      <c r="D35" s="24">
        <f>'Purchased Power Model '!D37</f>
        <v>0</v>
      </c>
      <c r="E35" s="17">
        <v>0</v>
      </c>
      <c r="F35" s="17">
        <v>28</v>
      </c>
      <c r="G35" s="116">
        <f>Residential!G35</f>
        <v>630.9</v>
      </c>
      <c r="H35" s="17">
        <f>'Purchased Power Model '!G37</f>
        <v>0</v>
      </c>
      <c r="I35" s="17">
        <f t="shared" si="0"/>
        <v>38384</v>
      </c>
      <c r="J35" s="10">
        <v>319.872</v>
      </c>
      <c r="K35" s="17">
        <f>+'[15]Data Input'!$R42</f>
        <v>626</v>
      </c>
      <c r="L35" s="36">
        <v>131.0342966778299</v>
      </c>
      <c r="M35" s="17">
        <f t="shared" si="1"/>
        <v>1735848.4168403703</v>
      </c>
      <c r="N35" s="17"/>
      <c r="O35"/>
      <c r="P35"/>
      <c r="Q35"/>
      <c r="R35"/>
      <c r="S35"/>
    </row>
    <row r="36" spans="1:19" ht="12.75">
      <c r="A36" s="3">
        <v>38412</v>
      </c>
      <c r="B36" s="28">
        <f>'[15]Data Input'!O43</f>
        <v>1736021.14</v>
      </c>
      <c r="C36" s="24">
        <f>'Purchased Power Model '!C38</f>
        <v>608.6</v>
      </c>
      <c r="D36" s="24">
        <f>'Purchased Power Model '!D38</f>
        <v>0</v>
      </c>
      <c r="E36" s="17">
        <v>1</v>
      </c>
      <c r="F36" s="17">
        <v>31</v>
      </c>
      <c r="G36" s="116">
        <f>Residential!G36</f>
        <v>628.1</v>
      </c>
      <c r="H36" s="17">
        <f>'Purchased Power Model '!G38</f>
        <v>0</v>
      </c>
      <c r="I36" s="17">
        <f t="shared" si="0"/>
        <v>38412</v>
      </c>
      <c r="J36" s="10">
        <v>351.912</v>
      </c>
      <c r="K36" s="17">
        <f>+'[15]Data Input'!$R43</f>
        <v>621</v>
      </c>
      <c r="L36" s="36">
        <v>131.32553708212293</v>
      </c>
      <c r="M36" s="17">
        <f t="shared" si="1"/>
        <v>1802996.7877969272</v>
      </c>
      <c r="N36" s="17"/>
      <c r="O36"/>
      <c r="P36"/>
      <c r="Q36"/>
      <c r="R36"/>
      <c r="S36"/>
    </row>
    <row r="37" spans="1:19" ht="12.75">
      <c r="A37" s="3">
        <v>38443</v>
      </c>
      <c r="B37" s="28">
        <f>'[15]Data Input'!O44</f>
        <v>1531227.59</v>
      </c>
      <c r="C37" s="24">
        <f>'Purchased Power Model '!C39</f>
        <v>306.8</v>
      </c>
      <c r="D37" s="24">
        <f>'Purchased Power Model '!D39</f>
        <v>0</v>
      </c>
      <c r="E37" s="17">
        <v>1</v>
      </c>
      <c r="F37" s="17">
        <v>30</v>
      </c>
      <c r="G37" s="116">
        <f>Residential!G37</f>
        <v>631.3</v>
      </c>
      <c r="H37" s="17">
        <f>'Purchased Power Model '!G39</f>
        <v>0</v>
      </c>
      <c r="I37" s="17">
        <f t="shared" si="0"/>
        <v>38443</v>
      </c>
      <c r="J37" s="10">
        <v>336.24</v>
      </c>
      <c r="K37" s="17">
        <f>+'[15]Data Input'!$R44</f>
        <v>621</v>
      </c>
      <c r="L37" s="36">
        <v>131.61742480528775</v>
      </c>
      <c r="M37" s="17">
        <f t="shared" si="1"/>
        <v>1619404.8790328954</v>
      </c>
      <c r="N37" s="17"/>
      <c r="O37"/>
      <c r="P37"/>
      <c r="Q37"/>
      <c r="R37"/>
      <c r="S37"/>
    </row>
    <row r="38" spans="1:19" ht="12.75">
      <c r="A38" s="3">
        <v>38473</v>
      </c>
      <c r="B38" s="28">
        <f>'[15]Data Input'!O45</f>
        <v>1656440.15</v>
      </c>
      <c r="C38" s="24">
        <f>'Purchased Power Model '!C40</f>
        <v>189.4</v>
      </c>
      <c r="D38" s="24">
        <f>'Purchased Power Model '!D40</f>
        <v>0.8</v>
      </c>
      <c r="E38" s="17">
        <v>1</v>
      </c>
      <c r="F38" s="17">
        <v>31</v>
      </c>
      <c r="G38" s="116">
        <f>Residential!G38</f>
        <v>638.6</v>
      </c>
      <c r="H38" s="17">
        <f>'Purchased Power Model '!G40</f>
        <v>0</v>
      </c>
      <c r="I38" s="17">
        <f t="shared" si="0"/>
        <v>38473</v>
      </c>
      <c r="J38" s="10">
        <v>336.288</v>
      </c>
      <c r="K38" s="17">
        <f>+'[15]Data Input'!$R45</f>
        <v>622</v>
      </c>
      <c r="L38" s="36">
        <v>131.90996128607298</v>
      </c>
      <c r="M38" s="17">
        <f t="shared" si="1"/>
        <v>1619269.4910321836</v>
      </c>
      <c r="N38" s="17"/>
      <c r="O38"/>
      <c r="P38"/>
      <c r="Q38"/>
      <c r="R38"/>
      <c r="S38"/>
    </row>
    <row r="39" spans="1:19" ht="12.75">
      <c r="A39" s="3">
        <v>38504</v>
      </c>
      <c r="B39" s="28">
        <f>'[15]Data Input'!O46</f>
        <v>1851819.33</v>
      </c>
      <c r="C39" s="24">
        <f>'Purchased Power Model '!C41</f>
        <v>8.9</v>
      </c>
      <c r="D39" s="24">
        <f>'Purchased Power Model '!D41</f>
        <v>146.3</v>
      </c>
      <c r="E39" s="17">
        <v>0</v>
      </c>
      <c r="F39" s="17">
        <v>30</v>
      </c>
      <c r="G39" s="116">
        <f>Residential!G39</f>
        <v>648.1</v>
      </c>
      <c r="H39" s="17">
        <f>'Purchased Power Model '!G41</f>
        <v>0</v>
      </c>
      <c r="I39" s="17">
        <f t="shared" si="0"/>
        <v>38504</v>
      </c>
      <c r="J39" s="10">
        <v>352.08</v>
      </c>
      <c r="K39" s="17">
        <f>+'[15]Data Input'!$R46</f>
        <v>622</v>
      </c>
      <c r="L39" s="36">
        <v>132.203147966425</v>
      </c>
      <c r="M39" s="17">
        <f t="shared" si="1"/>
        <v>1844242.0459031025</v>
      </c>
      <c r="N39" s="17"/>
      <c r="O39"/>
      <c r="P39"/>
      <c r="Q39"/>
      <c r="R39"/>
      <c r="S39"/>
    </row>
    <row r="40" spans="1:19" ht="12.75">
      <c r="A40" s="3">
        <v>38534</v>
      </c>
      <c r="B40" s="28">
        <f>'[15]Data Input'!O47</f>
        <v>2048585.58</v>
      </c>
      <c r="C40" s="24">
        <f>'Purchased Power Model '!C42</f>
        <v>0</v>
      </c>
      <c r="D40" s="24">
        <f>'Purchased Power Model '!D42</f>
        <v>188.7</v>
      </c>
      <c r="E40" s="17">
        <v>0</v>
      </c>
      <c r="F40" s="17">
        <v>31</v>
      </c>
      <c r="G40" s="116">
        <f>Residential!G40</f>
        <v>653.1</v>
      </c>
      <c r="H40" s="17">
        <f>'Purchased Power Model '!G42</f>
        <v>0</v>
      </c>
      <c r="I40" s="17">
        <f t="shared" si="0"/>
        <v>38534</v>
      </c>
      <c r="J40" s="10">
        <v>319.92</v>
      </c>
      <c r="K40" s="17">
        <f>+'[15]Data Input'!$R47</f>
        <v>622</v>
      </c>
      <c r="L40" s="36">
        <v>132.49698629149512</v>
      </c>
      <c r="M40" s="17">
        <f t="shared" si="1"/>
        <v>1973153.0136434024</v>
      </c>
      <c r="N40" s="17"/>
      <c r="O40"/>
      <c r="P40"/>
      <c r="Q40"/>
      <c r="R40"/>
      <c r="S40"/>
    </row>
    <row r="41" spans="1:19" ht="12.75">
      <c r="A41" s="3">
        <v>38565</v>
      </c>
      <c r="B41" s="28">
        <f>'[15]Data Input'!O48</f>
        <v>1923297.77</v>
      </c>
      <c r="C41" s="24">
        <f>'Purchased Power Model '!C43</f>
        <v>0.2</v>
      </c>
      <c r="D41" s="24">
        <f>'Purchased Power Model '!D43</f>
        <v>140.7</v>
      </c>
      <c r="E41" s="17">
        <v>0</v>
      </c>
      <c r="F41" s="17">
        <v>31</v>
      </c>
      <c r="G41" s="116">
        <f>Residential!G41</f>
        <v>655.6</v>
      </c>
      <c r="H41" s="17">
        <f>'Purchased Power Model '!G43</f>
        <v>0</v>
      </c>
      <c r="I41" s="17">
        <f t="shared" si="0"/>
        <v>38565</v>
      </c>
      <c r="J41" s="10">
        <v>351.912</v>
      </c>
      <c r="K41" s="17">
        <f>+'[15]Data Input'!$R48</f>
        <v>623</v>
      </c>
      <c r="L41" s="36">
        <v>132.79147770964664</v>
      </c>
      <c r="M41" s="17">
        <f t="shared" si="1"/>
        <v>1882838.96238335</v>
      </c>
      <c r="N41" s="17"/>
      <c r="O41"/>
      <c r="P41"/>
      <c r="Q41"/>
      <c r="R41"/>
      <c r="S41"/>
    </row>
    <row r="42" spans="1:19" ht="12.75">
      <c r="A42" s="3">
        <v>38596</v>
      </c>
      <c r="B42" s="28">
        <f>'[15]Data Input'!O49</f>
        <v>1714842.07</v>
      </c>
      <c r="C42" s="24">
        <f>'Purchased Power Model '!C44</f>
        <v>22.6</v>
      </c>
      <c r="D42" s="24">
        <f>'Purchased Power Model '!D44</f>
        <v>52.1</v>
      </c>
      <c r="E42" s="17">
        <v>1</v>
      </c>
      <c r="F42" s="17">
        <v>30</v>
      </c>
      <c r="G42" s="116">
        <f>Residential!G42</f>
        <v>652.2</v>
      </c>
      <c r="H42" s="17">
        <f>'Purchased Power Model '!G44</f>
        <v>0</v>
      </c>
      <c r="I42" s="17">
        <f t="shared" si="0"/>
        <v>38596</v>
      </c>
      <c r="J42" s="10">
        <v>336.24</v>
      </c>
      <c r="K42" s="17">
        <f>+'[15]Data Input'!$R49</f>
        <v>621</v>
      </c>
      <c r="L42" s="36">
        <v>133.0866236724621</v>
      </c>
      <c r="M42" s="17">
        <f t="shared" si="1"/>
        <v>1609400.333052186</v>
      </c>
      <c r="N42" s="17"/>
      <c r="O42"/>
      <c r="P42"/>
      <c r="Q42"/>
      <c r="R42"/>
      <c r="S42"/>
    </row>
    <row r="43" spans="1:19" ht="12.75">
      <c r="A43" s="3">
        <v>38626</v>
      </c>
      <c r="B43" s="28">
        <f>'[15]Data Input'!O50</f>
        <v>1694853.3299999998</v>
      </c>
      <c r="C43" s="24">
        <f>'Purchased Power Model '!C45</f>
        <v>220.2</v>
      </c>
      <c r="D43" s="24">
        <f>'Purchased Power Model '!D45</f>
        <v>7.6</v>
      </c>
      <c r="E43" s="17">
        <v>1</v>
      </c>
      <c r="F43" s="17">
        <v>31</v>
      </c>
      <c r="G43" s="116">
        <f>Residential!G43</f>
        <v>649.8</v>
      </c>
      <c r="H43" s="17">
        <f>'Purchased Power Model '!G45</f>
        <v>0</v>
      </c>
      <c r="I43" s="17">
        <f t="shared" si="0"/>
        <v>38626</v>
      </c>
      <c r="J43" s="10">
        <v>319.92</v>
      </c>
      <c r="K43" s="17">
        <f>+'[15]Data Input'!$R50</f>
        <v>621</v>
      </c>
      <c r="L43" s="36">
        <v>133.38242563475035</v>
      </c>
      <c r="M43" s="17">
        <f t="shared" si="1"/>
        <v>1658749.1205937131</v>
      </c>
      <c r="N43" s="17"/>
      <c r="O43"/>
      <c r="P43"/>
      <c r="Q43"/>
      <c r="R43"/>
      <c r="S43"/>
    </row>
    <row r="44" spans="1:19" ht="12.75">
      <c r="A44" s="3">
        <v>38657</v>
      </c>
      <c r="B44" s="28">
        <f>'[15]Data Input'!O51</f>
        <v>1753112.04</v>
      </c>
      <c r="C44" s="24">
        <f>'Purchased Power Model '!C46</f>
        <v>388.4</v>
      </c>
      <c r="D44" s="24">
        <f>'Purchased Power Model '!D46</f>
        <v>0</v>
      </c>
      <c r="E44" s="17">
        <v>1</v>
      </c>
      <c r="F44" s="17">
        <v>30</v>
      </c>
      <c r="G44" s="116">
        <f>Residential!G44</f>
        <v>643.8</v>
      </c>
      <c r="H44" s="17">
        <f>'Purchased Power Model '!G46</f>
        <v>0</v>
      </c>
      <c r="I44" s="17">
        <f t="shared" si="0"/>
        <v>38657</v>
      </c>
      <c r="J44" s="10">
        <v>352.08</v>
      </c>
      <c r="K44" s="17">
        <f>+'[15]Data Input'!$R51</f>
        <v>622</v>
      </c>
      <c r="L44" s="36">
        <v>133.6788850545537</v>
      </c>
      <c r="M44" s="17">
        <f t="shared" si="1"/>
        <v>1670879.5709599694</v>
      </c>
      <c r="N44" s="17"/>
      <c r="O44"/>
      <c r="P44"/>
      <c r="Q44"/>
      <c r="R44"/>
      <c r="S44"/>
    </row>
    <row r="45" spans="1:19" ht="12.75">
      <c r="A45" s="3">
        <v>38687</v>
      </c>
      <c r="B45" s="28">
        <f>'[15]Data Input'!O52</f>
        <v>1861094.56</v>
      </c>
      <c r="C45" s="24">
        <f>'Purchased Power Model '!C47</f>
        <v>665.3</v>
      </c>
      <c r="D45" s="24">
        <f>'Purchased Power Model '!D47</f>
        <v>0</v>
      </c>
      <c r="E45" s="17">
        <v>0</v>
      </c>
      <c r="F45" s="17">
        <v>31</v>
      </c>
      <c r="G45" s="116">
        <f>Residential!G45</f>
        <v>644.6</v>
      </c>
      <c r="H45" s="17">
        <f>'Purchased Power Model '!G47</f>
        <v>0</v>
      </c>
      <c r="I45" s="17">
        <f t="shared" si="0"/>
        <v>38687</v>
      </c>
      <c r="J45" s="10">
        <v>319.92</v>
      </c>
      <c r="K45" s="17">
        <f>+'[15]Data Input'!$R52</f>
        <v>624</v>
      </c>
      <c r="L45" s="36">
        <v>133.97600339315525</v>
      </c>
      <c r="M45" s="17">
        <f t="shared" si="1"/>
        <v>1910024.3087358158</v>
      </c>
      <c r="N45" s="17"/>
      <c r="O45"/>
      <c r="P45"/>
      <c r="Q45"/>
      <c r="R45"/>
      <c r="S45"/>
    </row>
    <row r="46" spans="1:19" ht="12.75">
      <c r="A46" s="3">
        <v>38718</v>
      </c>
      <c r="B46" s="28">
        <f>'[15]Data Input'!O53</f>
        <v>1912063.41</v>
      </c>
      <c r="C46" s="24">
        <f>'Purchased Power Model '!C48</f>
        <v>551.8</v>
      </c>
      <c r="D46" s="24">
        <f>'Purchased Power Model '!D48</f>
        <v>0</v>
      </c>
      <c r="E46" s="17">
        <v>0</v>
      </c>
      <c r="F46" s="17">
        <v>31</v>
      </c>
      <c r="G46" s="116">
        <f>Residential!G46</f>
        <v>643.6</v>
      </c>
      <c r="H46" s="17">
        <f>'Purchased Power Model '!G48</f>
        <v>5336.896278152831</v>
      </c>
      <c r="I46" s="17">
        <f t="shared" si="0"/>
        <v>38718</v>
      </c>
      <c r="J46" s="10">
        <v>336.288</v>
      </c>
      <c r="K46" s="17">
        <f>+'[15]Data Input'!$R53</f>
        <v>623</v>
      </c>
      <c r="L46" s="36">
        <v>134.25197202423305</v>
      </c>
      <c r="M46" s="17">
        <f t="shared" si="1"/>
        <v>1853973.486364178</v>
      </c>
      <c r="N46" s="17"/>
      <c r="O46"/>
      <c r="P46"/>
      <c r="Q46"/>
      <c r="R46"/>
      <c r="S46"/>
    </row>
    <row r="47" spans="1:19" ht="12.75">
      <c r="A47" s="3">
        <v>38749</v>
      </c>
      <c r="B47" s="28">
        <f>'[15]Data Input'!O54</f>
        <v>1658764.3399999999</v>
      </c>
      <c r="C47" s="24">
        <f>'Purchased Power Model '!C49</f>
        <v>604.3</v>
      </c>
      <c r="D47" s="24">
        <f>'Purchased Power Model '!D49</f>
        <v>0</v>
      </c>
      <c r="E47" s="17">
        <v>0</v>
      </c>
      <c r="F47" s="17">
        <v>28</v>
      </c>
      <c r="G47" s="116">
        <f>Residential!G47</f>
        <v>642.9</v>
      </c>
      <c r="H47" s="17">
        <f>'Purchased Power Model '!G49</f>
        <v>10673.792556305661</v>
      </c>
      <c r="I47" s="17">
        <f t="shared" si="0"/>
        <v>38749</v>
      </c>
      <c r="J47" s="10">
        <v>319.872</v>
      </c>
      <c r="K47" s="17">
        <f>+'[15]Data Input'!$R54</f>
        <v>623</v>
      </c>
      <c r="L47" s="36">
        <v>134.5285091055065</v>
      </c>
      <c r="M47" s="17">
        <f t="shared" si="1"/>
        <v>1739264.1825975887</v>
      </c>
      <c r="N47" s="17"/>
      <c r="O47"/>
      <c r="P47"/>
      <c r="Q47"/>
      <c r="R47"/>
      <c r="S47"/>
    </row>
    <row r="48" spans="1:19" ht="12.75">
      <c r="A48" s="3">
        <v>38777</v>
      </c>
      <c r="B48" s="28">
        <f>'[15]Data Input'!O55</f>
        <v>1712881.8599999999</v>
      </c>
      <c r="C48" s="24">
        <f>'Purchased Power Model '!C50</f>
        <v>516.6</v>
      </c>
      <c r="D48" s="24">
        <f>'Purchased Power Model '!D50</f>
        <v>0</v>
      </c>
      <c r="E48" s="17">
        <v>1</v>
      </c>
      <c r="F48" s="17">
        <v>31</v>
      </c>
      <c r="G48" s="116">
        <f>Residential!G48</f>
        <v>641</v>
      </c>
      <c r="H48" s="17">
        <f>'Purchased Power Model '!G50</f>
        <v>16010.688834458491</v>
      </c>
      <c r="I48" s="17">
        <f t="shared" si="0"/>
        <v>38777</v>
      </c>
      <c r="J48" s="10">
        <v>368.28</v>
      </c>
      <c r="K48" s="17">
        <f>+'[15]Data Input'!$R55</f>
        <v>622</v>
      </c>
      <c r="L48" s="36">
        <v>134.80561580788986</v>
      </c>
      <c r="M48" s="17">
        <f t="shared" si="1"/>
        <v>1768116.9726013371</v>
      </c>
      <c r="N48" s="17"/>
      <c r="O48"/>
      <c r="P48"/>
      <c r="Q48"/>
      <c r="R48"/>
      <c r="S48"/>
    </row>
    <row r="49" spans="1:19" ht="12.75">
      <c r="A49" s="3">
        <v>38808</v>
      </c>
      <c r="B49" s="28">
        <f>'[15]Data Input'!O56</f>
        <v>1548572.4000000001</v>
      </c>
      <c r="C49" s="24">
        <f>'Purchased Power Model '!C51</f>
        <v>293.3</v>
      </c>
      <c r="D49" s="24">
        <f>'Purchased Power Model '!D51</f>
        <v>0</v>
      </c>
      <c r="E49" s="17">
        <v>1</v>
      </c>
      <c r="F49" s="17">
        <v>30</v>
      </c>
      <c r="G49" s="116">
        <f>Residential!G49</f>
        <v>643.6</v>
      </c>
      <c r="H49" s="17">
        <f>'Purchased Power Model '!G51</f>
        <v>21347.585112611323</v>
      </c>
      <c r="I49" s="17">
        <f t="shared" si="0"/>
        <v>38808</v>
      </c>
      <c r="J49" s="10">
        <v>303.84</v>
      </c>
      <c r="K49" s="17">
        <f>+'[15]Data Input'!$R56</f>
        <v>628</v>
      </c>
      <c r="L49" s="36">
        <v>135.08329330470943</v>
      </c>
      <c r="M49" s="17">
        <f t="shared" si="1"/>
        <v>1618853.546152345</v>
      </c>
      <c r="N49" s="17"/>
      <c r="O49"/>
      <c r="P49"/>
      <c r="Q49"/>
      <c r="R49"/>
      <c r="S49"/>
    </row>
    <row r="50" spans="1:19" ht="12.75">
      <c r="A50" s="3">
        <v>38838</v>
      </c>
      <c r="B50" s="28">
        <f>'[15]Data Input'!O57</f>
        <v>1690495.4000000001</v>
      </c>
      <c r="C50" s="24">
        <f>'Purchased Power Model '!C52</f>
        <v>136.9</v>
      </c>
      <c r="D50" s="24">
        <f>'Purchased Power Model '!D52</f>
        <v>26</v>
      </c>
      <c r="E50" s="17">
        <v>1</v>
      </c>
      <c r="F50" s="17">
        <v>31</v>
      </c>
      <c r="G50" s="116">
        <f>Residential!G50</f>
        <v>652.3</v>
      </c>
      <c r="H50" s="17">
        <f>'Purchased Power Model '!G52</f>
        <v>26684.481390764155</v>
      </c>
      <c r="I50" s="17">
        <f t="shared" si="0"/>
        <v>38838</v>
      </c>
      <c r="J50" s="10">
        <v>351.912</v>
      </c>
      <c r="K50" s="17">
        <f>+'[15]Data Input'!$R57</f>
        <v>626</v>
      </c>
      <c r="L50" s="36">
        <v>135.3615427717083</v>
      </c>
      <c r="M50" s="17">
        <f t="shared" si="1"/>
        <v>1648969.3681787397</v>
      </c>
      <c r="N50" s="17"/>
      <c r="O50"/>
      <c r="P50"/>
      <c r="Q50"/>
      <c r="R50"/>
      <c r="S50"/>
    </row>
    <row r="51" spans="1:19" ht="12.75">
      <c r="A51" s="3">
        <v>38869</v>
      </c>
      <c r="B51" s="28">
        <f>'[15]Data Input'!O58</f>
        <v>1788387.71</v>
      </c>
      <c r="C51" s="24">
        <f>'Purchased Power Model '!C53</f>
        <v>19.5</v>
      </c>
      <c r="D51" s="24">
        <f>'Purchased Power Model '!D53</f>
        <v>73.6</v>
      </c>
      <c r="E51" s="17">
        <v>0</v>
      </c>
      <c r="F51" s="17">
        <v>30</v>
      </c>
      <c r="G51" s="116">
        <f>Residential!G51</f>
        <v>660</v>
      </c>
      <c r="H51" s="17">
        <f>'Purchased Power Model '!G53</f>
        <v>32021.377668916986</v>
      </c>
      <c r="I51" s="17">
        <f t="shared" si="0"/>
        <v>38869</v>
      </c>
      <c r="J51" s="10">
        <v>352.08</v>
      </c>
      <c r="K51" s="17">
        <f>+'[15]Data Input'!$R58</f>
        <v>637</v>
      </c>
      <c r="L51" s="36">
        <v>135.64036538705133</v>
      </c>
      <c r="M51" s="17">
        <f t="shared" si="1"/>
        <v>1709987.4027768127</v>
      </c>
      <c r="N51" s="17"/>
      <c r="O51"/>
      <c r="P51"/>
      <c r="Q51"/>
      <c r="R51"/>
      <c r="S51"/>
    </row>
    <row r="52" spans="1:19" ht="12.75">
      <c r="A52" s="3">
        <v>38899</v>
      </c>
      <c r="B52" s="28">
        <f>'[15]Data Input'!O59</f>
        <v>1958848.58</v>
      </c>
      <c r="C52" s="24">
        <f>'Purchased Power Model '!C54</f>
        <v>0</v>
      </c>
      <c r="D52" s="24">
        <f>'Purchased Power Model '!D54</f>
        <v>167.3</v>
      </c>
      <c r="E52" s="17">
        <v>0</v>
      </c>
      <c r="F52" s="17">
        <v>31</v>
      </c>
      <c r="G52" s="116">
        <f>Residential!G52</f>
        <v>665.1</v>
      </c>
      <c r="H52" s="17">
        <f>'Purchased Power Model '!G54</f>
        <v>37358.273947069814</v>
      </c>
      <c r="I52" s="17">
        <f t="shared" si="0"/>
        <v>38899</v>
      </c>
      <c r="J52" s="10">
        <v>319.92</v>
      </c>
      <c r="K52" s="17">
        <f>+'[15]Data Input'!$R59</f>
        <v>638</v>
      </c>
      <c r="L52" s="36">
        <v>135.9197623313303</v>
      </c>
      <c r="M52" s="17">
        <f t="shared" si="1"/>
        <v>1931677.623491239</v>
      </c>
      <c r="N52" s="17"/>
      <c r="O52"/>
      <c r="P52"/>
      <c r="Q52"/>
      <c r="R52"/>
      <c r="S52"/>
    </row>
    <row r="53" spans="1:19" ht="12.75">
      <c r="A53" s="3">
        <v>38930</v>
      </c>
      <c r="B53" s="28">
        <f>'[15]Data Input'!O60</f>
        <v>1907401.3399999999</v>
      </c>
      <c r="C53" s="24">
        <f>'Purchased Power Model '!C55</f>
        <v>4.2</v>
      </c>
      <c r="D53" s="24">
        <f>'Purchased Power Model '!D55</f>
        <v>101.6</v>
      </c>
      <c r="E53" s="17">
        <v>0</v>
      </c>
      <c r="F53" s="17">
        <v>31</v>
      </c>
      <c r="G53" s="116">
        <f>Residential!G53</f>
        <v>667.3</v>
      </c>
      <c r="H53" s="17">
        <f>'Purchased Power Model '!G55</f>
        <v>42695.170225222646</v>
      </c>
      <c r="I53" s="17">
        <f t="shared" si="0"/>
        <v>38930</v>
      </c>
      <c r="J53" s="10">
        <v>351.912</v>
      </c>
      <c r="K53" s="17">
        <f>+'[15]Data Input'!$R60</f>
        <v>638</v>
      </c>
      <c r="L53" s="36">
        <v>136.1997347875688</v>
      </c>
      <c r="M53" s="17">
        <f t="shared" si="1"/>
        <v>1806790.7140521368</v>
      </c>
      <c r="N53" s="17"/>
      <c r="O53"/>
      <c r="P53"/>
      <c r="Q53"/>
      <c r="R53"/>
      <c r="S53"/>
    </row>
    <row r="54" spans="1:19" ht="12.75">
      <c r="A54" s="3">
        <v>38961</v>
      </c>
      <c r="B54" s="28">
        <f>'[15]Data Input'!O61</f>
        <v>1717069.78</v>
      </c>
      <c r="C54" s="24">
        <f>'Purchased Power Model '!C56</f>
        <v>80.9</v>
      </c>
      <c r="D54" s="24">
        <f>'Purchased Power Model '!D56</f>
        <v>12.9</v>
      </c>
      <c r="E54" s="17">
        <v>1</v>
      </c>
      <c r="F54" s="17">
        <v>30</v>
      </c>
      <c r="G54" s="116">
        <f>Residential!G54</f>
        <v>664.9</v>
      </c>
      <c r="H54" s="17">
        <f>'Purchased Power Model '!G56</f>
        <v>48032.06650337548</v>
      </c>
      <c r="I54" s="17">
        <f t="shared" si="0"/>
        <v>38961</v>
      </c>
      <c r="J54" s="10">
        <v>319.68</v>
      </c>
      <c r="K54" s="17">
        <f>+'[15]Data Input'!$R61</f>
        <v>638</v>
      </c>
      <c r="L54" s="36">
        <v>136.48028394122719</v>
      </c>
      <c r="M54" s="17">
        <f t="shared" si="1"/>
        <v>1557843.7378911255</v>
      </c>
      <c r="N54" s="17"/>
      <c r="O54"/>
      <c r="P54"/>
      <c r="Q54"/>
      <c r="R54"/>
      <c r="S54"/>
    </row>
    <row r="55" spans="1:19" ht="12.75">
      <c r="A55" s="3">
        <v>38991</v>
      </c>
      <c r="B55" s="28">
        <f>'[15]Data Input'!O62</f>
        <v>1749967.8800000001</v>
      </c>
      <c r="C55" s="24">
        <f>'Purchased Power Model '!C57</f>
        <v>288.3</v>
      </c>
      <c r="D55" s="24">
        <f>'Purchased Power Model '!D57</f>
        <v>1.1</v>
      </c>
      <c r="E55" s="17">
        <v>1</v>
      </c>
      <c r="F55" s="17">
        <v>31</v>
      </c>
      <c r="G55" s="116">
        <f>Residential!G55</f>
        <v>667</v>
      </c>
      <c r="H55" s="17">
        <f>'Purchased Power Model '!G57</f>
        <v>53368.96278152831</v>
      </c>
      <c r="I55" s="17">
        <f t="shared" si="0"/>
        <v>38991</v>
      </c>
      <c r="J55" s="10">
        <v>336.288</v>
      </c>
      <c r="K55" s="17">
        <f>+'[15]Data Input'!$R62</f>
        <v>639</v>
      </c>
      <c r="L55" s="36">
        <v>136.76141098020776</v>
      </c>
      <c r="M55" s="17">
        <f t="shared" si="1"/>
        <v>1678131.9145685092</v>
      </c>
      <c r="N55" s="17"/>
      <c r="O55"/>
      <c r="P55"/>
      <c r="Q55"/>
      <c r="R55"/>
      <c r="S55"/>
    </row>
    <row r="56" spans="1:19" ht="12.75">
      <c r="A56" s="3">
        <v>39022</v>
      </c>
      <c r="B56" s="28">
        <f>'[15]Data Input'!O63</f>
        <v>1708690</v>
      </c>
      <c r="C56" s="24">
        <f>'Purchased Power Model '!C58</f>
        <v>382.2</v>
      </c>
      <c r="D56" s="24">
        <f>'Purchased Power Model '!D58</f>
        <v>0</v>
      </c>
      <c r="E56" s="17">
        <v>1</v>
      </c>
      <c r="F56" s="17">
        <v>30</v>
      </c>
      <c r="G56" s="116">
        <f>Residential!G56</f>
        <v>666.2</v>
      </c>
      <c r="H56" s="17">
        <f>'Purchased Power Model '!G58</f>
        <v>58705.85905968114</v>
      </c>
      <c r="I56" s="17">
        <f t="shared" si="0"/>
        <v>39022</v>
      </c>
      <c r="J56" s="10">
        <v>352.08</v>
      </c>
      <c r="K56" s="17">
        <f>+'[15]Data Input'!$R63</f>
        <v>639</v>
      </c>
      <c r="L56" s="36">
        <v>137.04311709485967</v>
      </c>
      <c r="M56" s="17">
        <f t="shared" si="1"/>
        <v>1671747.6825351398</v>
      </c>
      <c r="N56" s="17"/>
      <c r="O56"/>
      <c r="P56"/>
      <c r="Q56"/>
      <c r="R56"/>
      <c r="S56"/>
    </row>
    <row r="57" spans="1:19" ht="12.75">
      <c r="A57" s="3">
        <v>39052</v>
      </c>
      <c r="B57" s="28">
        <f>'[15]Data Input'!O64</f>
        <v>1826841.46</v>
      </c>
      <c r="C57" s="24">
        <f>'Purchased Power Model '!C59</f>
        <v>500.5</v>
      </c>
      <c r="D57" s="24">
        <f>'Purchased Power Model '!D59</f>
        <v>0</v>
      </c>
      <c r="E57" s="17">
        <v>0</v>
      </c>
      <c r="F57" s="17">
        <v>31</v>
      </c>
      <c r="G57" s="116">
        <f>Residential!G57</f>
        <v>667.7</v>
      </c>
      <c r="H57" s="17">
        <f>'Purchased Power Model '!G59</f>
        <v>64042.75533783397</v>
      </c>
      <c r="I57" s="17">
        <f t="shared" si="0"/>
        <v>39052</v>
      </c>
      <c r="J57" s="10">
        <v>304.296</v>
      </c>
      <c r="K57" s="17">
        <f>+'[15]Data Input'!$R64</f>
        <v>639</v>
      </c>
      <c r="L57" s="36">
        <v>137.3254034779841</v>
      </c>
      <c r="M57" s="17">
        <f t="shared" si="1"/>
        <v>1835512.553233056</v>
      </c>
      <c r="N57" s="17"/>
      <c r="O57"/>
      <c r="P57"/>
      <c r="Q57"/>
      <c r="R57"/>
      <c r="S57"/>
    </row>
    <row r="58" spans="1:19" ht="12.75">
      <c r="A58" s="3">
        <v>39083</v>
      </c>
      <c r="B58" s="28">
        <f>'[15]Data Input'!O65</f>
        <v>1939836.74</v>
      </c>
      <c r="C58" s="24">
        <f>'Purchased Power Model '!C60</f>
        <v>647.1</v>
      </c>
      <c r="D58" s="24">
        <f>'Purchased Power Model '!D60</f>
        <v>0</v>
      </c>
      <c r="E58" s="17">
        <v>0</v>
      </c>
      <c r="F58" s="17">
        <v>31</v>
      </c>
      <c r="G58" s="116">
        <f>Residential!G58</f>
        <v>662.2</v>
      </c>
      <c r="H58" s="17">
        <f>'Purchased Power Model '!G60</f>
        <v>78567.68631241636</v>
      </c>
      <c r="I58" s="17">
        <f t="shared" si="0"/>
        <v>39083</v>
      </c>
      <c r="J58" s="10">
        <v>351.912</v>
      </c>
      <c r="K58" s="17">
        <f>+'[15]Data Input'!$R65</f>
        <v>640</v>
      </c>
      <c r="L58" s="36">
        <v>137.5858759607308</v>
      </c>
      <c r="M58" s="17">
        <f t="shared" si="1"/>
        <v>1893431.767427019</v>
      </c>
      <c r="N58" s="17"/>
      <c r="O58"/>
      <c r="P58"/>
      <c r="Q58"/>
      <c r="R58"/>
      <c r="S58"/>
    </row>
    <row r="59" spans="1:19" ht="12.75">
      <c r="A59" s="3">
        <v>39114</v>
      </c>
      <c r="B59" s="28">
        <f>'[15]Data Input'!O66</f>
        <v>1734242.1400000001</v>
      </c>
      <c r="C59" s="24">
        <f>'Purchased Power Model '!C61</f>
        <v>740.1</v>
      </c>
      <c r="D59" s="24">
        <f>'Purchased Power Model '!D61</f>
        <v>0</v>
      </c>
      <c r="E59" s="17">
        <v>0</v>
      </c>
      <c r="F59" s="17">
        <v>28</v>
      </c>
      <c r="G59" s="116">
        <f>Residential!G59</f>
        <v>656.8</v>
      </c>
      <c r="H59" s="17">
        <f>'Purchased Power Model '!G61</f>
        <v>93092.61728699875</v>
      </c>
      <c r="I59" s="17">
        <f t="shared" si="0"/>
        <v>39114</v>
      </c>
      <c r="J59" s="10">
        <v>319.872</v>
      </c>
      <c r="K59" s="17">
        <f>+'[15]Data Input'!$R66</f>
        <v>642</v>
      </c>
      <c r="L59" s="36">
        <v>137.84684249565245</v>
      </c>
      <c r="M59" s="17">
        <f t="shared" si="1"/>
        <v>1789593.9886588983</v>
      </c>
      <c r="N59" s="17"/>
      <c r="O59"/>
      <c r="P59"/>
      <c r="Q59"/>
      <c r="R59"/>
      <c r="S59"/>
    </row>
    <row r="60" spans="1:19" ht="12.75">
      <c r="A60" s="3">
        <v>39142</v>
      </c>
      <c r="B60" s="28">
        <f>'[15]Data Input'!O67</f>
        <v>1803602.28</v>
      </c>
      <c r="C60" s="24">
        <f>'Purchased Power Model '!C62</f>
        <v>546.7</v>
      </c>
      <c r="D60" s="24">
        <f>'Purchased Power Model '!D62</f>
        <v>0</v>
      </c>
      <c r="E60" s="17">
        <v>1</v>
      </c>
      <c r="F60" s="17">
        <v>31</v>
      </c>
      <c r="G60" s="116">
        <f>Residential!G60</f>
        <v>652.2</v>
      </c>
      <c r="H60" s="17">
        <f>'Purchased Power Model '!G62</f>
        <v>107617.54826158113</v>
      </c>
      <c r="I60" s="17">
        <f t="shared" si="0"/>
        <v>39142</v>
      </c>
      <c r="J60" s="10">
        <v>351.912</v>
      </c>
      <c r="K60" s="17">
        <f>+'[15]Data Input'!$R67</f>
        <v>665</v>
      </c>
      <c r="L60" s="36">
        <v>138.10830401984444</v>
      </c>
      <c r="M60" s="17">
        <f t="shared" si="1"/>
        <v>1762939.907407111</v>
      </c>
      <c r="N60" s="17"/>
      <c r="O60"/>
      <c r="P60"/>
      <c r="Q60"/>
      <c r="R60"/>
      <c r="S60"/>
    </row>
    <row r="61" spans="1:19" ht="12.75">
      <c r="A61" s="3">
        <v>39173</v>
      </c>
      <c r="B61" s="28">
        <f>'[15]Data Input'!O68</f>
        <v>1535399</v>
      </c>
      <c r="C61" s="24">
        <f>'Purchased Power Model '!C63</f>
        <v>356.4</v>
      </c>
      <c r="D61" s="24">
        <f>'Purchased Power Model '!D63</f>
        <v>0</v>
      </c>
      <c r="E61" s="17">
        <v>1</v>
      </c>
      <c r="F61" s="17">
        <v>30</v>
      </c>
      <c r="G61" s="116">
        <f>Residential!G61</f>
        <v>647.4</v>
      </c>
      <c r="H61" s="17">
        <f>'Purchased Power Model '!G63</f>
        <v>122142.47923616352</v>
      </c>
      <c r="I61" s="17">
        <f t="shared" si="0"/>
        <v>39173</v>
      </c>
      <c r="J61" s="10">
        <v>319.68</v>
      </c>
      <c r="K61" s="17">
        <f>+'[15]Data Input'!$R68</f>
        <v>662</v>
      </c>
      <c r="L61" s="36">
        <v>138.37026147217955</v>
      </c>
      <c r="M61" s="17">
        <f t="shared" si="1"/>
        <v>1618173.5011812164</v>
      </c>
      <c r="N61" s="17"/>
      <c r="O61"/>
      <c r="P61"/>
      <c r="Q61"/>
      <c r="R61"/>
      <c r="S61"/>
    </row>
    <row r="62" spans="1:19" ht="12.75">
      <c r="A62" s="3">
        <v>39203</v>
      </c>
      <c r="B62" s="28">
        <f>'[15]Data Input'!O69</f>
        <v>1562315.1199999999</v>
      </c>
      <c r="C62" s="24">
        <f>'Purchased Power Model '!C64</f>
        <v>136.4</v>
      </c>
      <c r="D62" s="24">
        <f>'Purchased Power Model '!D64</f>
        <v>22.4</v>
      </c>
      <c r="E62" s="17">
        <v>1</v>
      </c>
      <c r="F62" s="17">
        <v>31</v>
      </c>
      <c r="G62" s="116">
        <f>Residential!G62</f>
        <v>646.9</v>
      </c>
      <c r="H62" s="17">
        <f>'Purchased Power Model '!G64</f>
        <v>136667.4102107459</v>
      </c>
      <c r="I62" s="17">
        <f t="shared" si="0"/>
        <v>39203</v>
      </c>
      <c r="J62" s="10">
        <v>351.912</v>
      </c>
      <c r="K62" s="17">
        <f>+'[15]Data Input'!$R69</f>
        <v>663</v>
      </c>
      <c r="L62" s="36">
        <v>138.63271579331135</v>
      </c>
      <c r="M62" s="17">
        <f t="shared" si="1"/>
        <v>1598641.1636442847</v>
      </c>
      <c r="N62" s="17"/>
      <c r="O62"/>
      <c r="P62"/>
      <c r="Q62"/>
      <c r="R62"/>
      <c r="S62"/>
    </row>
    <row r="63" spans="1:19" ht="12.75">
      <c r="A63" s="3">
        <v>39234</v>
      </c>
      <c r="B63" s="28">
        <f>'[15]Data Input'!O70</f>
        <v>1635696.97</v>
      </c>
      <c r="C63" s="24">
        <f>'Purchased Power Model '!C65</f>
        <v>16.5</v>
      </c>
      <c r="D63" s="24">
        <f>'Purchased Power Model '!D65</f>
        <v>99.2</v>
      </c>
      <c r="E63" s="17">
        <v>0</v>
      </c>
      <c r="F63" s="17">
        <v>30</v>
      </c>
      <c r="G63" s="116">
        <f>Residential!G63</f>
        <v>652.3</v>
      </c>
      <c r="H63" s="17">
        <f>'Purchased Power Model '!G65</f>
        <v>151192.3411853283</v>
      </c>
      <c r="I63" s="17">
        <f t="shared" si="0"/>
        <v>39234</v>
      </c>
      <c r="J63" s="10">
        <v>336.24</v>
      </c>
      <c r="K63" s="17">
        <f>+'[15]Data Input'!$R70</f>
        <v>667</v>
      </c>
      <c r="L63" s="36">
        <v>138.89566792567766</v>
      </c>
      <c r="M63" s="17">
        <f t="shared" si="1"/>
        <v>1709536.5641643421</v>
      </c>
      <c r="N63" s="17"/>
      <c r="O63"/>
      <c r="P63"/>
      <c r="Q63"/>
      <c r="R63"/>
      <c r="S63"/>
    </row>
    <row r="64" spans="1:19" ht="12.75">
      <c r="A64" s="3">
        <v>39264</v>
      </c>
      <c r="B64" s="28">
        <f>'[15]Data Input'!O71</f>
        <v>1806293.88</v>
      </c>
      <c r="C64" s="24">
        <f>'Purchased Power Model '!C66</f>
        <v>3.2</v>
      </c>
      <c r="D64" s="24">
        <f>'Purchased Power Model '!D66</f>
        <v>106.1</v>
      </c>
      <c r="E64" s="17">
        <v>0</v>
      </c>
      <c r="F64" s="17">
        <v>31</v>
      </c>
      <c r="G64" s="116">
        <f>Residential!G64</f>
        <v>659.9</v>
      </c>
      <c r="H64" s="17">
        <f>'Purchased Power Model '!G66</f>
        <v>165717.27215991067</v>
      </c>
      <c r="I64" s="17">
        <f t="shared" si="0"/>
        <v>39264</v>
      </c>
      <c r="J64" s="10">
        <v>336.288</v>
      </c>
      <c r="K64" s="17">
        <f>+'[15]Data Input'!$R71</f>
        <v>667</v>
      </c>
      <c r="L64" s="36">
        <v>139.1591188135038</v>
      </c>
      <c r="M64" s="17">
        <f t="shared" si="1"/>
        <v>1765379.321137579</v>
      </c>
      <c r="N64" s="17"/>
      <c r="O64"/>
      <c r="P64"/>
      <c r="Q64"/>
      <c r="R64"/>
      <c r="S64"/>
    </row>
    <row r="65" spans="1:19" ht="12.75">
      <c r="A65" s="3">
        <v>39295</v>
      </c>
      <c r="B65" s="28">
        <f>'[15]Data Input'!O72</f>
        <v>1725750.95</v>
      </c>
      <c r="C65" s="24">
        <f>'Purchased Power Model '!C67</f>
        <v>5.2</v>
      </c>
      <c r="D65" s="24">
        <f>'Purchased Power Model '!D67</f>
        <v>141</v>
      </c>
      <c r="E65" s="17">
        <v>0</v>
      </c>
      <c r="F65" s="17">
        <v>31</v>
      </c>
      <c r="G65" s="116">
        <f>Residential!G65</f>
        <v>662.1</v>
      </c>
      <c r="H65" s="17">
        <f>'Purchased Power Model '!G67</f>
        <v>180242.20313449306</v>
      </c>
      <c r="I65" s="17">
        <f t="shared" si="0"/>
        <v>39295</v>
      </c>
      <c r="J65" s="10">
        <v>351.912</v>
      </c>
      <c r="K65" s="17">
        <f>+'[15]Data Input'!$R72</f>
        <v>667</v>
      </c>
      <c r="L65" s="36">
        <v>139.4230694028061</v>
      </c>
      <c r="M65" s="17">
        <f t="shared" si="1"/>
        <v>1831368.66213413</v>
      </c>
      <c r="N65" s="17"/>
      <c r="O65"/>
      <c r="P65"/>
      <c r="Q65"/>
      <c r="R65"/>
      <c r="S65"/>
    </row>
    <row r="66" spans="1:19" ht="12.75">
      <c r="A66" s="3">
        <v>39326</v>
      </c>
      <c r="B66" s="28">
        <f>'[15]Data Input'!O73</f>
        <v>1631593.96</v>
      </c>
      <c r="C66" s="24">
        <f>'Purchased Power Model '!C68</f>
        <v>36.9</v>
      </c>
      <c r="D66" s="24">
        <f>'Purchased Power Model '!D68</f>
        <v>47.5</v>
      </c>
      <c r="E66" s="17">
        <v>1</v>
      </c>
      <c r="F66" s="17">
        <v>30</v>
      </c>
      <c r="G66" s="116">
        <f>Residential!G66</f>
        <v>660.7</v>
      </c>
      <c r="H66" s="17">
        <f>'Purchased Power Model '!G68</f>
        <v>194767.13410907544</v>
      </c>
      <c r="I66" s="17">
        <f t="shared" si="0"/>
        <v>39326</v>
      </c>
      <c r="J66" s="10">
        <v>303.84</v>
      </c>
      <c r="K66" s="17">
        <f>+'[15]Data Input'!$R73</f>
        <v>669</v>
      </c>
      <c r="L66" s="36">
        <v>139.68752064139528</v>
      </c>
      <c r="M66" s="17">
        <f t="shared" si="1"/>
        <v>1549968.3324421337</v>
      </c>
      <c r="N66" s="17"/>
      <c r="O66"/>
      <c r="P66"/>
      <c r="Q66"/>
      <c r="R66"/>
      <c r="S66"/>
    </row>
    <row r="67" spans="1:19" ht="12.75">
      <c r="A67" s="3">
        <v>39356</v>
      </c>
      <c r="B67" s="28">
        <f>'[15]Data Input'!O74</f>
        <v>1639277.48</v>
      </c>
      <c r="C67" s="24">
        <f>'Purchased Power Model '!C69</f>
        <v>137.7</v>
      </c>
      <c r="D67" s="24">
        <f>'Purchased Power Model '!D69</f>
        <v>19.8</v>
      </c>
      <c r="E67" s="17">
        <v>1</v>
      </c>
      <c r="F67" s="17">
        <v>31</v>
      </c>
      <c r="G67" s="116">
        <f>Residential!G67</f>
        <v>662.5</v>
      </c>
      <c r="H67" s="17">
        <f>'Purchased Power Model '!G69</f>
        <v>209292.06508365783</v>
      </c>
      <c r="I67" s="17">
        <f t="shared" si="0"/>
        <v>39356</v>
      </c>
      <c r="J67" s="10">
        <v>351.912</v>
      </c>
      <c r="K67" s="17">
        <f>+'[15]Data Input'!$R74</f>
        <v>667</v>
      </c>
      <c r="L67" s="36">
        <v>139.95247347887977</v>
      </c>
      <c r="M67" s="17">
        <f t="shared" si="1"/>
        <v>1586045.7853478661</v>
      </c>
      <c r="N67" s="17"/>
      <c r="O67"/>
      <c r="P67"/>
      <c r="Q67"/>
      <c r="R67"/>
      <c r="S67"/>
    </row>
    <row r="68" spans="1:19" ht="12.75">
      <c r="A68" s="3">
        <v>39387</v>
      </c>
      <c r="B68" s="28">
        <f>'[15]Data Input'!O75</f>
        <v>1653262.08</v>
      </c>
      <c r="C68" s="24">
        <f>'Purchased Power Model '!C70</f>
        <v>462.5</v>
      </c>
      <c r="D68" s="24">
        <f>'Purchased Power Model '!D70</f>
        <v>0</v>
      </c>
      <c r="E68" s="17">
        <v>1</v>
      </c>
      <c r="F68" s="17">
        <v>30</v>
      </c>
      <c r="G68" s="116">
        <f>Residential!G68</f>
        <v>666.7</v>
      </c>
      <c r="H68" s="17">
        <f>'Purchased Power Model '!G70</f>
        <v>223816.9960582402</v>
      </c>
      <c r="I68" s="17">
        <f aca="true" t="shared" si="2" ref="I68:I131">A68</f>
        <v>39387</v>
      </c>
      <c r="J68" s="10">
        <v>352.08</v>
      </c>
      <c r="K68" s="17">
        <f>+'[15]Data Input'!$R75</f>
        <v>668</v>
      </c>
      <c r="L68" s="36">
        <v>140.21792886666915</v>
      </c>
      <c r="M68" s="17">
        <f aca="true" t="shared" si="3" ref="M68:M131">$P$18+$P$19*C68+$P$20*D68+$P$21*E68+$P$22*F68+$P$23*G68+$P$24*H68</f>
        <v>1653762.740734987</v>
      </c>
      <c r="N68" s="17"/>
      <c r="O68"/>
      <c r="P68"/>
      <c r="Q68"/>
      <c r="R68"/>
      <c r="S68"/>
    </row>
    <row r="69" spans="1:19" ht="12.75">
      <c r="A69" s="3">
        <v>39417</v>
      </c>
      <c r="B69" s="28">
        <f>'[15]Data Input'!O76</f>
        <v>1795382.25</v>
      </c>
      <c r="C69" s="24">
        <f>'Purchased Power Model '!C71</f>
        <v>630.7</v>
      </c>
      <c r="D69" s="24">
        <f>'Purchased Power Model '!D71</f>
        <v>0</v>
      </c>
      <c r="E69" s="17">
        <v>0</v>
      </c>
      <c r="F69" s="17">
        <v>31</v>
      </c>
      <c r="G69" s="116">
        <f>Residential!G69</f>
        <v>668.5</v>
      </c>
      <c r="H69" s="17">
        <f>'Purchased Power Model '!G71</f>
        <v>238341.9270328226</v>
      </c>
      <c r="I69" s="17">
        <f t="shared" si="2"/>
        <v>39417</v>
      </c>
      <c r="J69" s="10">
        <v>304.296</v>
      </c>
      <c r="K69" s="17">
        <f>+'[15]Data Input'!$R76</f>
        <v>671</v>
      </c>
      <c r="L69" s="36">
        <v>140.48388775797773</v>
      </c>
      <c r="M69" s="17">
        <f t="shared" si="3"/>
        <v>1838100.6484096358</v>
      </c>
      <c r="N69" s="17"/>
      <c r="O69"/>
      <c r="P69"/>
      <c r="Q69"/>
      <c r="R69"/>
      <c r="S69"/>
    </row>
    <row r="70" spans="1:19" ht="12.75">
      <c r="A70" s="3">
        <v>39448</v>
      </c>
      <c r="B70" s="28">
        <f>'[15]Data Input'!O77</f>
        <v>1782904.35</v>
      </c>
      <c r="C70" s="24">
        <f>'Purchased Power Model '!C72</f>
        <v>623.5</v>
      </c>
      <c r="D70" s="24">
        <f>'Purchased Power Model '!D72</f>
        <v>0</v>
      </c>
      <c r="E70" s="17">
        <v>0</v>
      </c>
      <c r="F70" s="17">
        <v>31</v>
      </c>
      <c r="G70" s="116">
        <f>Residential!G70</f>
        <v>661.4</v>
      </c>
      <c r="H70" s="17">
        <f>'Purchased Power Model '!G72</f>
        <v>229402.04229052924</v>
      </c>
      <c r="I70" s="17">
        <f t="shared" si="2"/>
        <v>39448</v>
      </c>
      <c r="J70" s="1">
        <v>352</v>
      </c>
      <c r="K70" s="17">
        <f>+'[15]Data Input'!$R77</f>
        <v>672</v>
      </c>
      <c r="L70" s="34">
        <v>140.42521823206457</v>
      </c>
      <c r="M70" s="17">
        <f t="shared" si="3"/>
        <v>1830244.4539505544</v>
      </c>
      <c r="N70" s="17"/>
      <c r="O70"/>
      <c r="P70"/>
      <c r="Q70"/>
      <c r="R70"/>
      <c r="S70"/>
    </row>
    <row r="71" spans="1:19" ht="12.75">
      <c r="A71" s="3">
        <v>39479</v>
      </c>
      <c r="B71" s="28">
        <f>'[15]Data Input'!O78</f>
        <v>1698774.01</v>
      </c>
      <c r="C71" s="24">
        <f>'Purchased Power Model '!C73</f>
        <v>674.7</v>
      </c>
      <c r="D71" s="24">
        <f>'Purchased Power Model '!D73</f>
        <v>0</v>
      </c>
      <c r="E71" s="17">
        <v>0</v>
      </c>
      <c r="F71" s="17">
        <v>29</v>
      </c>
      <c r="G71" s="116">
        <f>Residential!G71</f>
        <v>656.3</v>
      </c>
      <c r="H71" s="17">
        <f>'Purchased Power Model '!G73</f>
        <v>220462.15754823587</v>
      </c>
      <c r="I71" s="17">
        <f t="shared" si="2"/>
        <v>39479</v>
      </c>
      <c r="J71" s="1">
        <v>320</v>
      </c>
      <c r="K71" s="17">
        <f>+'[15]Data Input'!$R78</f>
        <v>673</v>
      </c>
      <c r="L71" s="34">
        <v>140.36657320798807</v>
      </c>
      <c r="M71" s="17">
        <f t="shared" si="3"/>
        <v>1760701.794995766</v>
      </c>
      <c r="N71" s="17"/>
      <c r="O71"/>
      <c r="P71"/>
      <c r="Q71"/>
      <c r="R71"/>
      <c r="S71"/>
    </row>
    <row r="72" spans="1:19" ht="12.75">
      <c r="A72" s="3">
        <v>39508</v>
      </c>
      <c r="B72" s="28">
        <f>'[15]Data Input'!O79</f>
        <v>1590703.78</v>
      </c>
      <c r="C72" s="24">
        <f>'Purchased Power Model '!C74</f>
        <v>610.2</v>
      </c>
      <c r="D72" s="24">
        <f>'Purchased Power Model '!D74</f>
        <v>0</v>
      </c>
      <c r="E72" s="17">
        <v>1</v>
      </c>
      <c r="F72" s="17">
        <v>31</v>
      </c>
      <c r="G72" s="116">
        <f>Residential!G72</f>
        <v>647</v>
      </c>
      <c r="H72" s="17">
        <f>'Purchased Power Model '!G74</f>
        <v>211522.2728059425</v>
      </c>
      <c r="I72" s="17">
        <f t="shared" si="2"/>
        <v>39508</v>
      </c>
      <c r="J72" s="1">
        <v>304</v>
      </c>
      <c r="K72" s="17">
        <f>+'[15]Data Input'!$R79</f>
        <v>676</v>
      </c>
      <c r="L72" s="34">
        <v>140.30795267551565</v>
      </c>
      <c r="M72" s="17">
        <f t="shared" si="3"/>
        <v>1751854.5555138558</v>
      </c>
      <c r="N72" s="17"/>
      <c r="O72"/>
      <c r="P72"/>
      <c r="Q72"/>
      <c r="R72"/>
      <c r="S72"/>
    </row>
    <row r="73" spans="1:19" ht="12.75">
      <c r="A73" s="3">
        <v>39539</v>
      </c>
      <c r="B73" s="28">
        <f>'[15]Data Input'!O80</f>
        <v>1416910.24</v>
      </c>
      <c r="C73" s="24">
        <f>'Purchased Power Model '!C75</f>
        <v>253.9</v>
      </c>
      <c r="D73" s="24">
        <f>'Purchased Power Model '!D75</f>
        <v>0</v>
      </c>
      <c r="E73" s="17">
        <v>1</v>
      </c>
      <c r="F73" s="17">
        <v>30</v>
      </c>
      <c r="G73" s="116">
        <f>Residential!G73</f>
        <v>647.2</v>
      </c>
      <c r="H73" s="17">
        <f>'Purchased Power Model '!G75</f>
        <v>202582.38806364915</v>
      </c>
      <c r="I73" s="17">
        <f t="shared" si="2"/>
        <v>39539</v>
      </c>
      <c r="J73" s="1">
        <v>352</v>
      </c>
      <c r="K73" s="17">
        <f>+'[15]Data Input'!$R80</f>
        <v>672</v>
      </c>
      <c r="L73" s="34">
        <v>140.24935662441902</v>
      </c>
      <c r="M73" s="17">
        <f t="shared" si="3"/>
        <v>1542589.4386486607</v>
      </c>
      <c r="N73" s="17"/>
      <c r="O73"/>
      <c r="P73"/>
      <c r="Q73"/>
      <c r="R73"/>
      <c r="S73"/>
    </row>
    <row r="74" spans="1:19" ht="12.75">
      <c r="A74" s="3">
        <v>39569</v>
      </c>
      <c r="B74" s="28">
        <f>'[15]Data Input'!O81</f>
        <v>1495645</v>
      </c>
      <c r="C74" s="24">
        <f>'Purchased Power Model '!C76</f>
        <v>193.5</v>
      </c>
      <c r="D74" s="24">
        <f>'Purchased Power Model '!D76</f>
        <v>2.5</v>
      </c>
      <c r="E74" s="17">
        <v>1</v>
      </c>
      <c r="F74" s="17">
        <v>31</v>
      </c>
      <c r="G74" s="116">
        <f>Residential!G74</f>
        <v>648.8</v>
      </c>
      <c r="H74" s="17">
        <f>'Purchased Power Model '!G76</f>
        <v>193642.5033213558</v>
      </c>
      <c r="I74" s="17">
        <f t="shared" si="2"/>
        <v>39569</v>
      </c>
      <c r="J74" s="1">
        <v>336</v>
      </c>
      <c r="K74" s="17">
        <f>+'[15]Data Input'!$R81</f>
        <v>672</v>
      </c>
      <c r="L74" s="34">
        <v>140.19078504447415</v>
      </c>
      <c r="M74" s="17">
        <f t="shared" si="3"/>
        <v>1569455.763070169</v>
      </c>
      <c r="N74" s="17"/>
      <c r="O74"/>
      <c r="P74"/>
      <c r="Q74"/>
      <c r="R74"/>
      <c r="S74"/>
    </row>
    <row r="75" spans="1:19" ht="12.75">
      <c r="A75" s="3">
        <v>39600</v>
      </c>
      <c r="B75" s="28">
        <f>'[15]Data Input'!O82</f>
        <v>1471144.49</v>
      </c>
      <c r="C75" s="24">
        <f>'Purchased Power Model '!C77</f>
        <v>22.7</v>
      </c>
      <c r="D75" s="24">
        <f>'Purchased Power Model '!D77</f>
        <v>71.5</v>
      </c>
      <c r="E75" s="17">
        <v>0</v>
      </c>
      <c r="F75" s="17">
        <v>30</v>
      </c>
      <c r="G75" s="116">
        <f>Residential!G75</f>
        <v>656.8</v>
      </c>
      <c r="H75" s="17">
        <f>'Purchased Power Model '!G77</f>
        <v>184702.61857906243</v>
      </c>
      <c r="I75" s="17">
        <f t="shared" si="2"/>
        <v>39600</v>
      </c>
      <c r="J75" s="1">
        <v>336</v>
      </c>
      <c r="K75" s="17">
        <f>+'[15]Data Input'!$R82</f>
        <v>674</v>
      </c>
      <c r="L75" s="34">
        <v>140.1322379254613</v>
      </c>
      <c r="M75" s="17">
        <f t="shared" si="3"/>
        <v>1652114.4583436246</v>
      </c>
      <c r="N75" s="17"/>
      <c r="O75"/>
      <c r="P75"/>
      <c r="Q75"/>
      <c r="R75"/>
      <c r="S75"/>
    </row>
    <row r="76" spans="1:19" ht="12.75">
      <c r="A76" s="3">
        <v>39630</v>
      </c>
      <c r="B76" s="28">
        <f>'[15]Data Input'!O83</f>
        <v>1663441.54</v>
      </c>
      <c r="C76" s="24">
        <f>'Purchased Power Model '!C78</f>
        <v>1</v>
      </c>
      <c r="D76" s="24">
        <f>'Purchased Power Model '!D78</f>
        <v>111</v>
      </c>
      <c r="E76" s="17">
        <v>0</v>
      </c>
      <c r="F76" s="17">
        <v>31</v>
      </c>
      <c r="G76" s="116">
        <f>Residential!G76</f>
        <v>663.6</v>
      </c>
      <c r="H76" s="17">
        <f>'Purchased Power Model '!G78</f>
        <v>175762.73383676907</v>
      </c>
      <c r="I76" s="17">
        <f t="shared" si="2"/>
        <v>39630</v>
      </c>
      <c r="J76" s="1">
        <v>352</v>
      </c>
      <c r="K76" s="17">
        <f>+'[15]Data Input'!$R83</f>
        <v>675</v>
      </c>
      <c r="L76" s="34">
        <v>140.073715257165</v>
      </c>
      <c r="M76" s="17">
        <f t="shared" si="3"/>
        <v>1774352.8107194752</v>
      </c>
      <c r="N76" s="17"/>
      <c r="O76"/>
      <c r="P76"/>
      <c r="Q76"/>
      <c r="R76"/>
      <c r="S76"/>
    </row>
    <row r="77" spans="1:19" ht="12.75">
      <c r="A77" s="3">
        <v>39661</v>
      </c>
      <c r="B77" s="28">
        <f>'[15]Data Input'!O84</f>
        <v>1675967.26</v>
      </c>
      <c r="C77" s="24">
        <f>'Purchased Power Model '!C79</f>
        <v>12.7</v>
      </c>
      <c r="D77" s="24">
        <f>'Purchased Power Model '!D79</f>
        <v>64</v>
      </c>
      <c r="E77" s="17">
        <v>0</v>
      </c>
      <c r="F77" s="17">
        <v>31</v>
      </c>
      <c r="G77" s="116">
        <f>Residential!G77</f>
        <v>666.6</v>
      </c>
      <c r="H77" s="17">
        <f>'Purchased Power Model '!G79</f>
        <v>166822.8490944757</v>
      </c>
      <c r="I77" s="17">
        <f t="shared" si="2"/>
        <v>39661</v>
      </c>
      <c r="J77" s="1">
        <v>320</v>
      </c>
      <c r="K77" s="17">
        <f>+'[15]Data Input'!$R84</f>
        <v>676</v>
      </c>
      <c r="L77" s="34">
        <v>140.01521702937399</v>
      </c>
      <c r="M77" s="17">
        <f t="shared" si="3"/>
        <v>1694934.6424145033</v>
      </c>
      <c r="N77" s="17"/>
      <c r="O77"/>
      <c r="P77"/>
      <c r="Q77"/>
      <c r="R77"/>
      <c r="S77"/>
    </row>
    <row r="78" spans="1:19" ht="12.75">
      <c r="A78" s="3">
        <v>39692</v>
      </c>
      <c r="B78" s="28">
        <f>'[15]Data Input'!O85</f>
        <v>1529479.42</v>
      </c>
      <c r="C78" s="24">
        <f>'Purchased Power Model '!C80</f>
        <v>59</v>
      </c>
      <c r="D78" s="24">
        <f>'Purchased Power Model '!D80</f>
        <v>26.7</v>
      </c>
      <c r="E78" s="17">
        <v>1</v>
      </c>
      <c r="F78" s="17">
        <v>30</v>
      </c>
      <c r="G78" s="116">
        <f>Residential!G78</f>
        <v>669.7</v>
      </c>
      <c r="H78" s="17">
        <f>'Purchased Power Model '!G80</f>
        <v>157882.96435218235</v>
      </c>
      <c r="I78" s="17">
        <f t="shared" si="2"/>
        <v>39692</v>
      </c>
      <c r="J78" s="1">
        <v>336</v>
      </c>
      <c r="K78" s="17">
        <f>+'[15]Data Input'!$R85</f>
        <v>676</v>
      </c>
      <c r="L78" s="34">
        <v>139.95674323188132</v>
      </c>
      <c r="M78" s="17">
        <f t="shared" si="3"/>
        <v>1542073.8819737139</v>
      </c>
      <c r="N78" s="17"/>
      <c r="O78"/>
      <c r="P78"/>
      <c r="Q78"/>
      <c r="R78"/>
      <c r="S78"/>
    </row>
    <row r="79" spans="1:19" ht="12.75">
      <c r="A79" s="3">
        <v>39722</v>
      </c>
      <c r="B79" s="28">
        <f>'[15]Data Input'!O86</f>
        <v>1590667.19</v>
      </c>
      <c r="C79" s="24">
        <f>'Purchased Power Model '!C81</f>
        <v>278.6</v>
      </c>
      <c r="D79" s="24">
        <f>'Purchased Power Model '!D81</f>
        <v>0</v>
      </c>
      <c r="E79" s="17">
        <v>1</v>
      </c>
      <c r="F79" s="17">
        <v>31</v>
      </c>
      <c r="G79" s="116">
        <f>Residential!G79</f>
        <v>673</v>
      </c>
      <c r="H79" s="17">
        <f>'Purchased Power Model '!G81</f>
        <v>148943.07960988898</v>
      </c>
      <c r="I79" s="17">
        <f t="shared" si="2"/>
        <v>39722</v>
      </c>
      <c r="J79" s="1">
        <v>352</v>
      </c>
      <c r="K79" s="17">
        <f>+'[15]Data Input'!$R86</f>
        <v>680</v>
      </c>
      <c r="L79" s="34">
        <v>139.8982938544843</v>
      </c>
      <c r="M79" s="17">
        <f t="shared" si="3"/>
        <v>1645317.0984099205</v>
      </c>
      <c r="N79" s="17"/>
      <c r="O79"/>
      <c r="P79"/>
      <c r="Q79"/>
      <c r="R79"/>
      <c r="S79"/>
    </row>
    <row r="80" spans="1:19" ht="12.75">
      <c r="A80" s="3">
        <v>39753</v>
      </c>
      <c r="B80" s="28">
        <f>'[15]Data Input'!O87</f>
        <v>1717799.77</v>
      </c>
      <c r="C80" s="24">
        <f>'Purchased Power Model '!C82</f>
        <v>451.6</v>
      </c>
      <c r="D80" s="24">
        <f>'Purchased Power Model '!D82</f>
        <v>0</v>
      </c>
      <c r="E80" s="17">
        <v>1</v>
      </c>
      <c r="F80" s="17">
        <v>30</v>
      </c>
      <c r="G80" s="116">
        <f>Residential!G80</f>
        <v>676.9</v>
      </c>
      <c r="H80" s="17">
        <f>'Purchased Power Model '!G82</f>
        <v>140003.19486759562</v>
      </c>
      <c r="I80" s="17">
        <f t="shared" si="2"/>
        <v>39753</v>
      </c>
      <c r="J80" s="1">
        <v>304</v>
      </c>
      <c r="K80" s="17">
        <f>+'[15]Data Input'!$R87</f>
        <v>682</v>
      </c>
      <c r="L80" s="34">
        <v>139.83986888698453</v>
      </c>
      <c r="M80" s="17">
        <f t="shared" si="3"/>
        <v>1687958.812078493</v>
      </c>
      <c r="N80" s="17"/>
      <c r="O80"/>
      <c r="P80"/>
      <c r="Q80"/>
      <c r="R80"/>
      <c r="S80"/>
    </row>
    <row r="81" spans="1:19" ht="12.75">
      <c r="A81" s="3">
        <v>39783</v>
      </c>
      <c r="B81" s="28">
        <f>'[15]Data Input'!O88</f>
        <v>1965644.99</v>
      </c>
      <c r="C81" s="24">
        <f>'Purchased Power Model '!C83</f>
        <v>654.6</v>
      </c>
      <c r="D81" s="24">
        <f>'Purchased Power Model '!D83</f>
        <v>0</v>
      </c>
      <c r="E81" s="17">
        <v>0</v>
      </c>
      <c r="F81" s="17">
        <v>31</v>
      </c>
      <c r="G81" s="116">
        <f>Residential!G81</f>
        <v>673.6</v>
      </c>
      <c r="H81" s="17">
        <f>'Purchased Power Model '!G83</f>
        <v>131063.31012530225</v>
      </c>
      <c r="I81" s="17">
        <f t="shared" si="2"/>
        <v>39783</v>
      </c>
      <c r="J81" s="1">
        <v>336</v>
      </c>
      <c r="K81" s="17">
        <f>+'[15]Data Input'!$R88</f>
        <v>685</v>
      </c>
      <c r="L81" s="34">
        <v>139.78146831918784</v>
      </c>
      <c r="M81" s="17">
        <f t="shared" si="3"/>
        <v>1891175.6503148281</v>
      </c>
      <c r="N81" s="17"/>
      <c r="O81"/>
      <c r="P81"/>
      <c r="Q81"/>
      <c r="R81"/>
      <c r="S81"/>
    </row>
    <row r="82" spans="1:40" s="14" customFormat="1" ht="12.75">
      <c r="A82" s="3">
        <v>39814</v>
      </c>
      <c r="B82" s="28">
        <f>'[15]Data Input'!O89</f>
        <v>2003216.56</v>
      </c>
      <c r="C82" s="24">
        <f>'Purchased Power Model '!C84</f>
        <v>830.2</v>
      </c>
      <c r="D82" s="24">
        <f>'Purchased Power Model '!D84</f>
        <v>0</v>
      </c>
      <c r="E82" s="17">
        <v>0</v>
      </c>
      <c r="F82" s="17">
        <v>31</v>
      </c>
      <c r="G82" s="116">
        <f>Residential!G82</f>
        <v>662.3</v>
      </c>
      <c r="H82" s="17">
        <f>'Purchased Power Model '!G84</f>
        <v>143659.25372164507</v>
      </c>
      <c r="I82" s="17">
        <f t="shared" si="2"/>
        <v>39814</v>
      </c>
      <c r="J82" s="1">
        <v>336</v>
      </c>
      <c r="K82" s="17">
        <f>+'[15]Data Input'!$R89</f>
        <v>686</v>
      </c>
      <c r="L82" s="34">
        <v>139.3791116068711</v>
      </c>
      <c r="M82" s="17">
        <f t="shared" si="3"/>
        <v>1957192.707055617</v>
      </c>
      <c r="N82" s="17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 s="11"/>
    </row>
    <row r="83" spans="1:19" ht="12.75">
      <c r="A83" s="3">
        <v>39845</v>
      </c>
      <c r="B83" s="28">
        <f>'[15]Data Input'!O90</f>
        <v>1767918.83</v>
      </c>
      <c r="C83" s="24">
        <f>'Purchased Power Model '!C85</f>
        <v>606.4</v>
      </c>
      <c r="D83" s="24">
        <f>'Purchased Power Model '!D85</f>
        <v>0</v>
      </c>
      <c r="E83" s="17">
        <v>0</v>
      </c>
      <c r="F83" s="17">
        <v>28</v>
      </c>
      <c r="G83" s="116">
        <f>Residential!G83</f>
        <v>649.3</v>
      </c>
      <c r="H83" s="17">
        <f>'Purchased Power Model '!G85</f>
        <v>156255.19731798788</v>
      </c>
      <c r="I83" s="17">
        <f t="shared" si="2"/>
        <v>39845</v>
      </c>
      <c r="J83" s="1">
        <v>304</v>
      </c>
      <c r="K83" s="17">
        <f>+'[15]Data Input'!$R90</f>
        <v>682</v>
      </c>
      <c r="L83" s="34">
        <v>138.97791306613385</v>
      </c>
      <c r="M83" s="17">
        <f t="shared" si="3"/>
        <v>1697532.0716679813</v>
      </c>
      <c r="N83" s="17"/>
      <c r="O83"/>
      <c r="P83"/>
      <c r="Q83"/>
      <c r="R83"/>
      <c r="S83"/>
    </row>
    <row r="84" spans="1:19" ht="12.75">
      <c r="A84" s="3">
        <v>39873</v>
      </c>
      <c r="B84" s="28">
        <f>'[15]Data Input'!O91</f>
        <v>1808272.82</v>
      </c>
      <c r="C84" s="24">
        <f>'Purchased Power Model '!C86</f>
        <v>533.8</v>
      </c>
      <c r="D84" s="24">
        <f>'Purchased Power Model '!D86</f>
        <v>0</v>
      </c>
      <c r="E84" s="17">
        <v>1</v>
      </c>
      <c r="F84" s="17">
        <v>31</v>
      </c>
      <c r="G84" s="116">
        <f>Residential!G84</f>
        <v>636.3</v>
      </c>
      <c r="H84" s="17">
        <f>'Purchased Power Model '!G86</f>
        <v>168851.1409143307</v>
      </c>
      <c r="I84" s="17">
        <f t="shared" si="2"/>
        <v>39873</v>
      </c>
      <c r="J84" s="1">
        <v>352</v>
      </c>
      <c r="K84" s="17">
        <f>+'[15]Data Input'!$R91</f>
        <v>689</v>
      </c>
      <c r="L84" s="34">
        <v>138.57786936321438</v>
      </c>
      <c r="M84" s="17">
        <f t="shared" si="3"/>
        <v>1719231.1420468648</v>
      </c>
      <c r="N84" s="17"/>
      <c r="O84"/>
      <c r="P84"/>
      <c r="Q84"/>
      <c r="R84"/>
      <c r="S84"/>
    </row>
    <row r="85" spans="1:19" ht="12.75">
      <c r="A85" s="3">
        <v>39904</v>
      </c>
      <c r="B85" s="28">
        <f>'[15]Data Input'!O92</f>
        <v>1606433.9100000001</v>
      </c>
      <c r="C85" s="24">
        <f>'Purchased Power Model '!C87</f>
        <v>305.8</v>
      </c>
      <c r="D85" s="24">
        <f>'Purchased Power Model '!D87</f>
        <v>1.2</v>
      </c>
      <c r="E85" s="17">
        <v>1</v>
      </c>
      <c r="F85" s="17">
        <v>30</v>
      </c>
      <c r="G85" s="116">
        <f>Residential!G85</f>
        <v>632.2</v>
      </c>
      <c r="H85" s="17">
        <f>'Purchased Power Model '!G87</f>
        <v>181447.0845106735</v>
      </c>
      <c r="I85" s="17">
        <f t="shared" si="2"/>
        <v>39904</v>
      </c>
      <c r="J85" s="1">
        <v>320</v>
      </c>
      <c r="K85" s="17">
        <f>+'[15]Data Input'!$R92</f>
        <v>688</v>
      </c>
      <c r="L85" s="34">
        <v>138.17897717394706</v>
      </c>
      <c r="M85" s="17">
        <f t="shared" si="3"/>
        <v>1560525.4932744554</v>
      </c>
      <c r="N85" s="17"/>
      <c r="O85"/>
      <c r="P85"/>
      <c r="Q85"/>
      <c r="R85"/>
      <c r="S85"/>
    </row>
    <row r="86" spans="1:19" ht="12.75">
      <c r="A86" s="3">
        <v>39934</v>
      </c>
      <c r="B86" s="28">
        <f>'[15]Data Input'!O93</f>
        <v>1540599.02</v>
      </c>
      <c r="C86" s="24">
        <f>'Purchased Power Model '!C88</f>
        <v>158.8</v>
      </c>
      <c r="D86" s="24">
        <f>'Purchased Power Model '!D88</f>
        <v>6.9</v>
      </c>
      <c r="E86" s="17">
        <v>1</v>
      </c>
      <c r="F86" s="17">
        <v>31</v>
      </c>
      <c r="G86" s="116">
        <f>Residential!G86</f>
        <v>631.7</v>
      </c>
      <c r="H86" s="17">
        <f>'Purchased Power Model '!G88</f>
        <v>194043.02810701632</v>
      </c>
      <c r="I86" s="17">
        <f t="shared" si="2"/>
        <v>39934</v>
      </c>
      <c r="J86" s="1">
        <v>320</v>
      </c>
      <c r="K86" s="17">
        <f>+'[15]Data Input'!$R93</f>
        <v>689</v>
      </c>
      <c r="L86" s="34">
        <v>137.78123318373483</v>
      </c>
      <c r="M86" s="17">
        <f t="shared" si="3"/>
        <v>1543474.9345323723</v>
      </c>
      <c r="N86" s="17"/>
      <c r="O86"/>
      <c r="P86"/>
      <c r="Q86"/>
      <c r="R86"/>
      <c r="S86"/>
    </row>
    <row r="87" spans="1:19" ht="12.75">
      <c r="A87" s="3">
        <v>39965</v>
      </c>
      <c r="B87" s="28">
        <f>'[15]Data Input'!O94</f>
        <v>1563837.02</v>
      </c>
      <c r="C87" s="24">
        <f>'Purchased Power Model '!C89</f>
        <v>49.3</v>
      </c>
      <c r="D87" s="24">
        <f>'Purchased Power Model '!D89</f>
        <v>34.2</v>
      </c>
      <c r="E87" s="17">
        <v>0</v>
      </c>
      <c r="F87" s="17">
        <v>30</v>
      </c>
      <c r="G87" s="116">
        <f>Residential!G87</f>
        <v>642.7</v>
      </c>
      <c r="H87" s="17">
        <f>'Purchased Power Model '!G89</f>
        <v>206638.97170335913</v>
      </c>
      <c r="I87" s="17">
        <f t="shared" si="2"/>
        <v>39965</v>
      </c>
      <c r="J87" s="1">
        <v>352</v>
      </c>
      <c r="K87" s="17">
        <f>+'[15]Data Input'!$R94</f>
        <v>691</v>
      </c>
      <c r="L87" s="34">
        <v>137.38463408752156</v>
      </c>
      <c r="M87" s="17">
        <f t="shared" si="3"/>
        <v>1569867.4113448875</v>
      </c>
      <c r="N87" s="17"/>
      <c r="O87"/>
      <c r="P87"/>
      <c r="Q87"/>
      <c r="R87"/>
      <c r="S87"/>
    </row>
    <row r="88" spans="1:19" ht="12.75">
      <c r="A88" s="3">
        <v>39995</v>
      </c>
      <c r="B88" s="28">
        <f>'[15]Data Input'!O95</f>
        <v>1601643.81</v>
      </c>
      <c r="C88" s="24">
        <f>'Purchased Power Model '!C90</f>
        <v>6.2</v>
      </c>
      <c r="D88" s="24">
        <f>'Purchased Power Model '!D90</f>
        <v>43.7</v>
      </c>
      <c r="E88" s="17">
        <v>0</v>
      </c>
      <c r="F88" s="17">
        <v>31</v>
      </c>
      <c r="G88" s="116">
        <f>Residential!G88</f>
        <v>650</v>
      </c>
      <c r="H88" s="17">
        <f>'Purchased Power Model '!G90</f>
        <v>219234.91529970194</v>
      </c>
      <c r="I88" s="17">
        <f t="shared" si="2"/>
        <v>39995</v>
      </c>
      <c r="J88" s="1">
        <v>352</v>
      </c>
      <c r="K88" s="17">
        <f>+'[15]Data Input'!$R95</f>
        <v>694</v>
      </c>
      <c r="L88" s="34">
        <v>136.98917658976464</v>
      </c>
      <c r="M88" s="17">
        <f t="shared" si="3"/>
        <v>1617126.8793271608</v>
      </c>
      <c r="N88" s="17"/>
      <c r="O88"/>
      <c r="P88"/>
      <c r="Q88"/>
      <c r="R88"/>
      <c r="S88"/>
    </row>
    <row r="89" spans="1:19" ht="12.75">
      <c r="A89" s="3">
        <v>40026</v>
      </c>
      <c r="B89" s="28">
        <f>'[15]Data Input'!O96</f>
        <v>1657575.28</v>
      </c>
      <c r="C89" s="24">
        <f>'Purchased Power Model '!C91</f>
        <v>9.8</v>
      </c>
      <c r="D89" s="24">
        <f>'Purchased Power Model '!D91</f>
        <v>91</v>
      </c>
      <c r="E89" s="17">
        <v>0</v>
      </c>
      <c r="F89" s="17">
        <v>31</v>
      </c>
      <c r="G89" s="116">
        <f>Residential!G89</f>
        <v>655.3</v>
      </c>
      <c r="H89" s="17">
        <f>'Purchased Power Model '!G91</f>
        <v>231830.85889604475</v>
      </c>
      <c r="I89" s="17">
        <f t="shared" si="2"/>
        <v>40026</v>
      </c>
      <c r="J89" s="1">
        <v>320</v>
      </c>
      <c r="K89" s="17">
        <f>+'[15]Data Input'!$R96</f>
        <v>693</v>
      </c>
      <c r="L89" s="34">
        <v>136.59485740440758</v>
      </c>
      <c r="M89" s="17">
        <f t="shared" si="3"/>
        <v>1711845.6948986</v>
      </c>
      <c r="N89" s="17"/>
      <c r="O89"/>
      <c r="P89"/>
      <c r="Q89"/>
      <c r="R89"/>
      <c r="S89"/>
    </row>
    <row r="90" spans="1:19" ht="12.75">
      <c r="A90" s="3">
        <v>40057</v>
      </c>
      <c r="B90" s="28">
        <f>'[15]Data Input'!O97</f>
        <v>1525910.13</v>
      </c>
      <c r="C90" s="24">
        <f>'Purchased Power Model '!C92</f>
        <v>55.2</v>
      </c>
      <c r="D90" s="24">
        <f>'Purchased Power Model '!D92</f>
        <v>20.9</v>
      </c>
      <c r="E90" s="17">
        <v>1</v>
      </c>
      <c r="F90" s="17">
        <v>30</v>
      </c>
      <c r="G90" s="116">
        <f>Residential!G90</f>
        <v>654.9</v>
      </c>
      <c r="H90" s="17">
        <f>'Purchased Power Model '!G92</f>
        <v>244426.80249238756</v>
      </c>
      <c r="I90" s="17">
        <f t="shared" si="2"/>
        <v>40057</v>
      </c>
      <c r="J90" s="1">
        <v>336</v>
      </c>
      <c r="K90" s="17">
        <f>+'[15]Data Input'!$R97</f>
        <v>696</v>
      </c>
      <c r="L90" s="34">
        <v>136.20167325485272</v>
      </c>
      <c r="M90" s="17">
        <f t="shared" si="3"/>
        <v>1483944.4282707018</v>
      </c>
      <c r="N90" s="17"/>
      <c r="O90"/>
      <c r="P90"/>
      <c r="Q90"/>
      <c r="R90"/>
      <c r="S90"/>
    </row>
    <row r="91" spans="1:19" ht="12.75">
      <c r="A91" s="3">
        <v>40087</v>
      </c>
      <c r="B91" s="28">
        <f>'[15]Data Input'!O98</f>
        <v>1611159.77</v>
      </c>
      <c r="C91" s="24">
        <f>'Purchased Power Model '!C93</f>
        <v>287.8</v>
      </c>
      <c r="D91" s="24">
        <f>'Purchased Power Model '!D93</f>
        <v>0</v>
      </c>
      <c r="E91" s="17">
        <v>1</v>
      </c>
      <c r="F91" s="17">
        <v>31</v>
      </c>
      <c r="G91" s="116">
        <f>Residential!G91</f>
        <v>656.6</v>
      </c>
      <c r="H91" s="17">
        <f>'Purchased Power Model '!G93</f>
        <v>257022.74608873038</v>
      </c>
      <c r="I91" s="17">
        <f t="shared" si="2"/>
        <v>40087</v>
      </c>
      <c r="J91" s="1">
        <v>336</v>
      </c>
      <c r="K91" s="17">
        <f>+'[15]Data Input'!$R98</f>
        <v>699</v>
      </c>
      <c r="L91" s="34">
        <v>135.80962087393394</v>
      </c>
      <c r="M91" s="17">
        <f t="shared" si="3"/>
        <v>1595505.4851611836</v>
      </c>
      <c r="N91" s="17"/>
      <c r="O91"/>
      <c r="P91"/>
      <c r="Q91"/>
      <c r="R91"/>
      <c r="S91"/>
    </row>
    <row r="92" spans="1:19" ht="12.75">
      <c r="A92" s="3">
        <v>40118</v>
      </c>
      <c r="B92" s="28">
        <f>'[15]Data Input'!O99</f>
        <v>1635683.75</v>
      </c>
      <c r="C92" s="24">
        <f>'Purchased Power Model '!C94</f>
        <v>361.2</v>
      </c>
      <c r="D92" s="24">
        <f>'Purchased Power Model '!D94</f>
        <v>0</v>
      </c>
      <c r="E92" s="17">
        <v>1</v>
      </c>
      <c r="F92" s="17">
        <v>30</v>
      </c>
      <c r="G92" s="116">
        <f>Residential!G92</f>
        <v>654.8</v>
      </c>
      <c r="H92" s="17">
        <f>'Purchased Power Model '!G94</f>
        <v>269618.6896850732</v>
      </c>
      <c r="I92" s="17">
        <f t="shared" si="2"/>
        <v>40118</v>
      </c>
      <c r="J92" s="1">
        <v>320</v>
      </c>
      <c r="K92" s="17">
        <f>+'[15]Data Input'!$R99</f>
        <v>700</v>
      </c>
      <c r="L92" s="34">
        <v>135.41869700388958</v>
      </c>
      <c r="M92" s="17">
        <f t="shared" si="3"/>
        <v>1578121.6561304156</v>
      </c>
      <c r="N92" s="17"/>
      <c r="O92"/>
      <c r="P92"/>
      <c r="Q92"/>
      <c r="R92"/>
      <c r="S92"/>
    </row>
    <row r="93" spans="1:40" s="33" customFormat="1" ht="12.75">
      <c r="A93" s="3">
        <v>40148</v>
      </c>
      <c r="B93" s="28">
        <f>'[15]Data Input'!O100</f>
        <v>1827360.93</v>
      </c>
      <c r="C93" s="24">
        <f>'Purchased Power Model '!C95</f>
        <v>631.3</v>
      </c>
      <c r="D93" s="24">
        <f>'Purchased Power Model '!D95</f>
        <v>0</v>
      </c>
      <c r="E93" s="17">
        <v>0</v>
      </c>
      <c r="F93" s="17">
        <v>31</v>
      </c>
      <c r="G93" s="116">
        <f>Residential!G93</f>
        <v>652.3</v>
      </c>
      <c r="H93" s="17">
        <f>'Purchased Power Model '!G95</f>
        <v>282214.633281416</v>
      </c>
      <c r="I93" s="17">
        <f t="shared" si="2"/>
        <v>40148</v>
      </c>
      <c r="J93" s="1">
        <v>352</v>
      </c>
      <c r="K93" s="17">
        <f>+'[15]Data Input'!$R100</f>
        <v>701</v>
      </c>
      <c r="L93" s="34">
        <v>135.02889839633545</v>
      </c>
      <c r="M93" s="17">
        <f t="shared" si="3"/>
        <v>1806301.6209033267</v>
      </c>
      <c r="N93" s="17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 s="28"/>
    </row>
    <row r="94" spans="1:19" ht="12.75">
      <c r="A94" s="3">
        <v>40179</v>
      </c>
      <c r="B94" s="28">
        <f>'[15]Data Input'!O101</f>
        <v>1953265.68</v>
      </c>
      <c r="C94" s="24">
        <f>'Purchased Power Model '!C96</f>
        <v>720</v>
      </c>
      <c r="D94" s="24">
        <f>'Purchased Power Model '!D96</f>
        <v>0</v>
      </c>
      <c r="E94" s="17">
        <v>0</v>
      </c>
      <c r="F94" s="17">
        <v>31</v>
      </c>
      <c r="G94" s="116">
        <f>Residential!G94</f>
        <v>646</v>
      </c>
      <c r="H94" s="17">
        <f>'Purchased Power Model '!G96</f>
        <v>273285.7699998244</v>
      </c>
      <c r="I94" s="17">
        <f t="shared" si="2"/>
        <v>40179</v>
      </c>
      <c r="J94" s="1">
        <v>320</v>
      </c>
      <c r="K94" s="17">
        <f>+'[15]Data Input'!$R101</f>
        <v>702</v>
      </c>
      <c r="L94" s="34">
        <v>135.32901731143812</v>
      </c>
      <c r="M94" s="17">
        <f t="shared" si="3"/>
        <v>1844220.1725546198</v>
      </c>
      <c r="N94" s="17"/>
      <c r="O94"/>
      <c r="P94"/>
      <c r="Q94"/>
      <c r="R94"/>
      <c r="S94"/>
    </row>
    <row r="95" spans="1:19" ht="12.75">
      <c r="A95" s="3">
        <v>40210</v>
      </c>
      <c r="B95" s="28">
        <f>'[15]Data Input'!O102</f>
        <v>1714289.67</v>
      </c>
      <c r="C95" s="24">
        <f>'Purchased Power Model '!C97</f>
        <v>598.3</v>
      </c>
      <c r="D95" s="24">
        <f>'Purchased Power Model '!D97</f>
        <v>0</v>
      </c>
      <c r="E95" s="17">
        <v>0</v>
      </c>
      <c r="F95" s="17">
        <v>28</v>
      </c>
      <c r="G95" s="116">
        <f>Residential!G95</f>
        <v>642.3</v>
      </c>
      <c r="H95" s="17">
        <f>'Purchased Power Model '!G97</f>
        <v>264356.9067182328</v>
      </c>
      <c r="I95" s="17">
        <f t="shared" si="2"/>
        <v>40210</v>
      </c>
      <c r="J95" s="1">
        <v>304</v>
      </c>
      <c r="K95" s="17">
        <f>+'[15]Data Input'!$R102</f>
        <v>704</v>
      </c>
      <c r="L95" s="34">
        <v>135.62980327903304</v>
      </c>
      <c r="M95" s="17">
        <f t="shared" si="3"/>
        <v>1649566.78525365</v>
      </c>
      <c r="N95" s="17"/>
      <c r="O95"/>
      <c r="P95"/>
      <c r="Q95"/>
      <c r="R95"/>
      <c r="S95"/>
    </row>
    <row r="96" spans="1:19" ht="12.75">
      <c r="A96" s="3">
        <v>40238</v>
      </c>
      <c r="B96" s="28">
        <f>'[15]Data Input'!O103</f>
        <v>1697015.12</v>
      </c>
      <c r="C96" s="24">
        <f>'Purchased Power Model '!C98</f>
        <v>422.8</v>
      </c>
      <c r="D96" s="24">
        <f>'Purchased Power Model '!D98</f>
        <v>0</v>
      </c>
      <c r="E96" s="17">
        <v>1</v>
      </c>
      <c r="F96" s="17">
        <v>31</v>
      </c>
      <c r="G96" s="116">
        <f>Residential!G96</f>
        <v>639.5</v>
      </c>
      <c r="H96" s="17">
        <f>'Purchased Power Model '!G98</f>
        <v>255428.04343664116</v>
      </c>
      <c r="I96" s="17">
        <f t="shared" si="2"/>
        <v>40238</v>
      </c>
      <c r="J96" s="1">
        <v>368</v>
      </c>
      <c r="K96" s="17">
        <f>+'[15]Data Input'!$R103</f>
        <v>707</v>
      </c>
      <c r="L96" s="34">
        <v>135.9312577817293</v>
      </c>
      <c r="M96" s="17">
        <f t="shared" si="3"/>
        <v>1641180.3958535676</v>
      </c>
      <c r="N96" s="17"/>
      <c r="O96"/>
      <c r="P96"/>
      <c r="Q96"/>
      <c r="R96"/>
      <c r="S96"/>
    </row>
    <row r="97" spans="1:19" ht="12.75">
      <c r="A97" s="3">
        <v>40269</v>
      </c>
      <c r="B97" s="28">
        <f>'[15]Data Input'!O104</f>
        <v>1536674.94</v>
      </c>
      <c r="C97" s="24">
        <f>'Purchased Power Model '!C99</f>
        <v>225.1</v>
      </c>
      <c r="D97" s="24">
        <f>'Purchased Power Model '!D99</f>
        <v>0</v>
      </c>
      <c r="E97" s="17">
        <v>1</v>
      </c>
      <c r="F97" s="17">
        <v>30</v>
      </c>
      <c r="G97" s="116">
        <f>Residential!G97</f>
        <v>643.8</v>
      </c>
      <c r="H97" s="17">
        <f>'Purchased Power Model '!G99</f>
        <v>246499.18015504954</v>
      </c>
      <c r="I97" s="17">
        <f t="shared" si="2"/>
        <v>40269</v>
      </c>
      <c r="J97" s="1">
        <v>320</v>
      </c>
      <c r="K97" s="17">
        <f>+'[15]Data Input'!$R104</f>
        <v>706</v>
      </c>
      <c r="L97" s="34">
        <v>136.23338230543126</v>
      </c>
      <c r="M97" s="17">
        <f t="shared" si="3"/>
        <v>1510562.4316670834</v>
      </c>
      <c r="N97" s="17"/>
      <c r="O97"/>
      <c r="P97"/>
      <c r="Q97"/>
      <c r="R97"/>
      <c r="S97"/>
    </row>
    <row r="98" spans="1:19" ht="12.75">
      <c r="A98" s="3">
        <v>40299</v>
      </c>
      <c r="B98" s="28">
        <f>'[15]Data Input'!O105</f>
        <v>1613744.11</v>
      </c>
      <c r="C98" s="24">
        <f>'Purchased Power Model '!C100</f>
        <v>107.9</v>
      </c>
      <c r="D98" s="24">
        <f>'Purchased Power Model '!D100</f>
        <v>45.7</v>
      </c>
      <c r="E98" s="17">
        <v>1</v>
      </c>
      <c r="F98" s="17">
        <v>31</v>
      </c>
      <c r="G98" s="116">
        <f>Residential!G98</f>
        <v>653.4</v>
      </c>
      <c r="H98" s="17">
        <f>'Purchased Power Model '!G100</f>
        <v>237570.31687345792</v>
      </c>
      <c r="I98" s="17">
        <f t="shared" si="2"/>
        <v>40299</v>
      </c>
      <c r="J98" s="1">
        <v>320</v>
      </c>
      <c r="K98" s="17">
        <f>+'[15]Data Input'!$R105</f>
        <v>705</v>
      </c>
      <c r="L98" s="34">
        <v>136.5361783393459</v>
      </c>
      <c r="M98" s="17">
        <f t="shared" si="3"/>
        <v>1603039.9023976377</v>
      </c>
      <c r="N98" s="17"/>
      <c r="O98"/>
      <c r="P98"/>
      <c r="Q98"/>
      <c r="R98"/>
      <c r="S98"/>
    </row>
    <row r="99" spans="1:19" ht="12.75">
      <c r="A99" s="3">
        <v>40330</v>
      </c>
      <c r="B99" s="28">
        <f>'[15]Data Input'!O106</f>
        <v>1710930.11</v>
      </c>
      <c r="C99" s="24">
        <f>'Purchased Power Model '!C101</f>
        <v>21.7</v>
      </c>
      <c r="D99" s="24">
        <f>'Purchased Power Model '!D101</f>
        <v>58.7</v>
      </c>
      <c r="E99" s="17">
        <v>0</v>
      </c>
      <c r="F99" s="17">
        <v>30</v>
      </c>
      <c r="G99" s="116">
        <f>Residential!G99</f>
        <v>668.5</v>
      </c>
      <c r="H99" s="17">
        <f>'Purchased Power Model '!G101</f>
        <v>228641.4535918663</v>
      </c>
      <c r="I99" s="17">
        <f t="shared" si="2"/>
        <v>40330</v>
      </c>
      <c r="J99" s="1">
        <v>352</v>
      </c>
      <c r="K99" s="17">
        <f>+'[15]Data Input'!$R106</f>
        <v>705</v>
      </c>
      <c r="L99" s="34">
        <v>136.83964737599013</v>
      </c>
      <c r="M99" s="17">
        <f t="shared" si="3"/>
        <v>1624287.9743410465</v>
      </c>
      <c r="N99" s="17"/>
      <c r="O99"/>
      <c r="P99"/>
      <c r="Q99"/>
      <c r="R99"/>
      <c r="S99"/>
    </row>
    <row r="100" spans="1:19" ht="12.75">
      <c r="A100" s="3">
        <v>40360</v>
      </c>
      <c r="B100" s="28">
        <f>'[15]Data Input'!O107</f>
        <v>1785940.38</v>
      </c>
      <c r="C100" s="24">
        <f>'Purchased Power Model '!C102</f>
        <v>1.8</v>
      </c>
      <c r="D100" s="24">
        <f>'Purchased Power Model '!D102</f>
        <v>164.9</v>
      </c>
      <c r="E100" s="17">
        <v>0</v>
      </c>
      <c r="F100" s="17">
        <v>31</v>
      </c>
      <c r="G100" s="116">
        <f>Residential!G100</f>
        <v>680.1</v>
      </c>
      <c r="H100" s="17">
        <f>'Purchased Power Model '!G102</f>
        <v>219712.59031027468</v>
      </c>
      <c r="I100" s="17">
        <f t="shared" si="2"/>
        <v>40360</v>
      </c>
      <c r="J100" s="1">
        <v>336</v>
      </c>
      <c r="K100" s="17">
        <f>+'[15]Data Input'!$R107</f>
        <v>706</v>
      </c>
      <c r="L100" s="34">
        <v>137.1437909111982</v>
      </c>
      <c r="M100" s="17">
        <f t="shared" si="3"/>
        <v>1881761.1816607728</v>
      </c>
      <c r="N100" s="17"/>
      <c r="O100"/>
      <c r="P100"/>
      <c r="Q100"/>
      <c r="R100"/>
      <c r="S100"/>
    </row>
    <row r="101" spans="1:19" ht="12.75">
      <c r="A101" s="3">
        <v>40391</v>
      </c>
      <c r="B101" s="28">
        <f>'[15]Data Input'!O108</f>
        <v>1719151</v>
      </c>
      <c r="C101" s="24">
        <f>'Purchased Power Model '!C103</f>
        <v>2.1</v>
      </c>
      <c r="D101" s="24">
        <f>'Purchased Power Model '!D103</f>
        <v>138.8</v>
      </c>
      <c r="E101" s="17">
        <v>0</v>
      </c>
      <c r="F101" s="17">
        <v>31</v>
      </c>
      <c r="G101" s="116">
        <f>Residential!G101</f>
        <v>683.1</v>
      </c>
      <c r="H101" s="17">
        <f>'Purchased Power Model '!G103</f>
        <v>210783.72702868306</v>
      </c>
      <c r="I101" s="17">
        <f t="shared" si="2"/>
        <v>40391</v>
      </c>
      <c r="J101" s="1">
        <v>336</v>
      </c>
      <c r="K101" s="17">
        <f>+'[15]Data Input'!$R108</f>
        <v>708</v>
      </c>
      <c r="L101" s="34">
        <v>137.44861044412903</v>
      </c>
      <c r="M101" s="17">
        <f t="shared" si="3"/>
        <v>1837516.497910905</v>
      </c>
      <c r="N101" s="17"/>
      <c r="O101"/>
      <c r="P101"/>
      <c r="Q101"/>
      <c r="R101"/>
      <c r="S101"/>
    </row>
    <row r="102" spans="1:19" ht="12.75">
      <c r="A102" s="3">
        <v>40422</v>
      </c>
      <c r="B102" s="28">
        <f>'[15]Data Input'!O109</f>
        <v>1514101.09</v>
      </c>
      <c r="C102" s="24">
        <f>'Purchased Power Model '!C104</f>
        <v>78.1</v>
      </c>
      <c r="D102" s="24">
        <f>'Purchased Power Model '!D104</f>
        <v>31.5</v>
      </c>
      <c r="E102" s="17">
        <v>1</v>
      </c>
      <c r="F102" s="17">
        <v>30</v>
      </c>
      <c r="G102" s="116">
        <f>Residential!G102</f>
        <v>677.1</v>
      </c>
      <c r="H102" s="17">
        <f>'Purchased Power Model '!G104</f>
        <v>201854.86374709144</v>
      </c>
      <c r="I102" s="17">
        <f t="shared" si="2"/>
        <v>40422</v>
      </c>
      <c r="J102" s="1">
        <v>336</v>
      </c>
      <c r="K102" s="17">
        <f>+'[15]Data Input'!$R109</f>
        <v>707</v>
      </c>
      <c r="L102" s="34">
        <v>137.7541074772736</v>
      </c>
      <c r="M102" s="17">
        <f t="shared" si="3"/>
        <v>1553218.2826567984</v>
      </c>
      <c r="N102" s="17"/>
      <c r="O102"/>
      <c r="P102"/>
      <c r="Q102"/>
      <c r="R102"/>
      <c r="S102"/>
    </row>
    <row r="103" spans="1:19" ht="12.75">
      <c r="A103" s="3">
        <v>40452</v>
      </c>
      <c r="B103" s="28">
        <f>'[15]Data Input'!O110</f>
        <v>1500516.02</v>
      </c>
      <c r="C103" s="24">
        <f>'Purchased Power Model '!C105</f>
        <v>241.6</v>
      </c>
      <c r="D103" s="24">
        <f>'Purchased Power Model '!D105</f>
        <v>0</v>
      </c>
      <c r="E103" s="17">
        <v>1</v>
      </c>
      <c r="F103" s="17">
        <v>31</v>
      </c>
      <c r="G103" s="116">
        <f>Residential!G103</f>
        <v>670.2</v>
      </c>
      <c r="H103" s="17">
        <f>'Purchased Power Model '!G105</f>
        <v>192926.00046549982</v>
      </c>
      <c r="I103" s="17">
        <f t="shared" si="2"/>
        <v>40452</v>
      </c>
      <c r="J103" s="1">
        <v>320</v>
      </c>
      <c r="K103" s="17">
        <f>+'[15]Data Input'!$R110</f>
        <v>708</v>
      </c>
      <c r="L103" s="34">
        <v>138.0602835164624</v>
      </c>
      <c r="M103" s="17">
        <f t="shared" si="3"/>
        <v>1610061.451017718</v>
      </c>
      <c r="N103" s="17"/>
      <c r="O103"/>
      <c r="P103"/>
      <c r="Q103"/>
      <c r="R103"/>
      <c r="S103"/>
    </row>
    <row r="104" spans="1:19" ht="12.75">
      <c r="A104" s="3">
        <v>40483</v>
      </c>
      <c r="B104" s="28">
        <f>'[15]Data Input'!O111</f>
        <v>1713796.99</v>
      </c>
      <c r="C104" s="24">
        <f>'Purchased Power Model '!C106</f>
        <v>405.3</v>
      </c>
      <c r="D104" s="24">
        <f>'Purchased Power Model '!D106</f>
        <v>0</v>
      </c>
      <c r="E104" s="17">
        <v>1</v>
      </c>
      <c r="F104" s="17">
        <v>30</v>
      </c>
      <c r="G104" s="116">
        <f>Residential!G104</f>
        <v>668.1</v>
      </c>
      <c r="H104" s="17">
        <f>'Purchased Power Model '!G106</f>
        <v>183997.1371839082</v>
      </c>
      <c r="I104" s="17">
        <f t="shared" si="2"/>
        <v>40483</v>
      </c>
      <c r="J104" s="1">
        <v>336</v>
      </c>
      <c r="K104" s="17">
        <f>+'[15]Data Input'!$R111</f>
        <v>706</v>
      </c>
      <c r="L104" s="34">
        <v>138.36714007087275</v>
      </c>
      <c r="M104" s="17">
        <f t="shared" si="3"/>
        <v>1641985.269279475</v>
      </c>
      <c r="N104" s="17"/>
      <c r="O104"/>
      <c r="P104"/>
      <c r="Q104"/>
      <c r="R104"/>
      <c r="S104"/>
    </row>
    <row r="105" spans="1:19" ht="12.75">
      <c r="A105" s="3">
        <v>40513</v>
      </c>
      <c r="B105" s="28">
        <f>'[15]Data Input'!O112</f>
        <v>1949943.3699999999</v>
      </c>
      <c r="C105" s="24">
        <f>'Purchased Power Model '!C107</f>
        <v>676.2</v>
      </c>
      <c r="D105" s="24">
        <f>'Purchased Power Model '!D107</f>
        <v>0</v>
      </c>
      <c r="E105" s="17">
        <v>0</v>
      </c>
      <c r="F105" s="17">
        <v>31</v>
      </c>
      <c r="G105" s="116">
        <f>Residential!G105</f>
        <v>666.9</v>
      </c>
      <c r="H105" s="17">
        <f>'Purchased Power Model '!G107</f>
        <v>175068.27390231658</v>
      </c>
      <c r="I105" s="17">
        <f t="shared" si="2"/>
        <v>40513</v>
      </c>
      <c r="J105" s="1">
        <v>368</v>
      </c>
      <c r="K105" s="17">
        <f>+'[15]Data Input'!$R112</f>
        <v>705</v>
      </c>
      <c r="L105" s="34">
        <v>138.6746786530365</v>
      </c>
      <c r="M105" s="17">
        <f t="shared" si="3"/>
        <v>1879235.6762695848</v>
      </c>
      <c r="N105" s="17"/>
      <c r="O105"/>
      <c r="P105"/>
      <c r="Q105"/>
      <c r="R105"/>
      <c r="S105"/>
    </row>
    <row r="106" spans="1:19" ht="12.75">
      <c r="A106" s="3">
        <v>40544</v>
      </c>
      <c r="B106" s="28">
        <f>'[15]Data Input'!O113</f>
        <v>2002270.85</v>
      </c>
      <c r="C106" s="24">
        <f>'Purchased Power Model '!C108</f>
        <v>775.3</v>
      </c>
      <c r="D106" s="24">
        <f>'Purchased Power Model '!D108</f>
        <v>0</v>
      </c>
      <c r="E106" s="17">
        <v>0</v>
      </c>
      <c r="F106" s="78">
        <v>31</v>
      </c>
      <c r="G106" s="116">
        <f>Residential!G106</f>
        <v>663.9</v>
      </c>
      <c r="H106" s="17">
        <f>'Purchased Power Model '!G108</f>
        <v>193076.05790077086</v>
      </c>
      <c r="I106" s="17">
        <f t="shared" si="2"/>
        <v>40544</v>
      </c>
      <c r="J106" s="1">
        <v>336</v>
      </c>
      <c r="K106" s="17">
        <f>+'[15]Data Input'!$R113</f>
        <v>707</v>
      </c>
      <c r="L106" s="34">
        <v>139.03916243618784</v>
      </c>
      <c r="M106" s="17">
        <f t="shared" si="3"/>
        <v>1916364.845131132</v>
      </c>
      <c r="N106" s="17"/>
      <c r="O106"/>
      <c r="P106"/>
      <c r="Q106"/>
      <c r="R106"/>
      <c r="S106"/>
    </row>
    <row r="107" spans="1:19" ht="12.75">
      <c r="A107" s="3">
        <v>40575</v>
      </c>
      <c r="B107" s="28">
        <f>'[15]Data Input'!O114</f>
        <v>1756663.9000000001</v>
      </c>
      <c r="C107" s="24">
        <f>'Purchased Power Model '!C109</f>
        <v>654.2</v>
      </c>
      <c r="D107" s="24">
        <f>'Purchased Power Model '!D109</f>
        <v>0</v>
      </c>
      <c r="E107" s="17">
        <v>0</v>
      </c>
      <c r="F107" s="78">
        <v>28</v>
      </c>
      <c r="G107" s="116">
        <f>Residential!G107</f>
        <v>666.1</v>
      </c>
      <c r="H107" s="17">
        <f>'Purchased Power Model '!G109</f>
        <v>211083.84189922514</v>
      </c>
      <c r="I107" s="17">
        <f t="shared" si="2"/>
        <v>40575</v>
      </c>
      <c r="J107" s="1">
        <v>304</v>
      </c>
      <c r="K107" s="17">
        <f>+'[15]Data Input'!$R114</f>
        <v>707</v>
      </c>
      <c r="L107" s="34">
        <v>139.4046042055373</v>
      </c>
      <c r="M107" s="17">
        <f t="shared" si="3"/>
        <v>1719085.264794365</v>
      </c>
      <c r="N107" s="17"/>
      <c r="O107"/>
      <c r="P107"/>
      <c r="Q107"/>
      <c r="R107"/>
      <c r="S107"/>
    </row>
    <row r="108" spans="1:19" ht="12.75">
      <c r="A108" s="3">
        <v>40603</v>
      </c>
      <c r="B108" s="28">
        <f>'[15]Data Input'!O115</f>
        <v>1882432.61</v>
      </c>
      <c r="C108" s="24">
        <f>'Purchased Power Model '!C110</f>
        <v>572.8</v>
      </c>
      <c r="D108" s="24">
        <f>'Purchased Power Model '!D110</f>
        <v>0</v>
      </c>
      <c r="E108" s="17">
        <v>1</v>
      </c>
      <c r="F108" s="78">
        <v>31</v>
      </c>
      <c r="G108" s="116">
        <f>Residential!G108</f>
        <v>671.2</v>
      </c>
      <c r="H108" s="17">
        <f>'Purchased Power Model '!G110</f>
        <v>229091.62589767942</v>
      </c>
      <c r="I108" s="17">
        <f t="shared" si="2"/>
        <v>40603</v>
      </c>
      <c r="J108" s="1">
        <v>368</v>
      </c>
      <c r="K108" s="17">
        <f>+'[15]Data Input'!$R115</f>
        <v>708</v>
      </c>
      <c r="L108" s="34">
        <v>139.77100647899545</v>
      </c>
      <c r="M108" s="17">
        <f t="shared" si="3"/>
        <v>1753998.117463248</v>
      </c>
      <c r="N108" s="17"/>
      <c r="O108"/>
      <c r="P108"/>
      <c r="Q108"/>
      <c r="R108"/>
      <c r="S108"/>
    </row>
    <row r="109" spans="1:19" ht="12.75">
      <c r="A109" s="3">
        <v>40634</v>
      </c>
      <c r="B109" s="28">
        <f>'[15]Data Input'!O116</f>
        <v>1568916.01</v>
      </c>
      <c r="C109" s="24">
        <f>'Purchased Power Model '!C111</f>
        <v>332.3</v>
      </c>
      <c r="D109" s="24">
        <f>'Purchased Power Model '!D111</f>
        <v>0</v>
      </c>
      <c r="E109" s="17">
        <v>1</v>
      </c>
      <c r="F109" s="78">
        <v>30</v>
      </c>
      <c r="G109" s="116">
        <f>Residential!G109</f>
        <v>679.9</v>
      </c>
      <c r="H109" s="17">
        <f>'Purchased Power Model '!G111</f>
        <v>247099.4098961337</v>
      </c>
      <c r="I109" s="17">
        <f t="shared" si="2"/>
        <v>40634</v>
      </c>
      <c r="J109" s="1">
        <v>320</v>
      </c>
      <c r="K109" s="17">
        <f>+'[15]Data Input'!$R116</f>
        <v>708</v>
      </c>
      <c r="L109" s="34">
        <v>140.1383717810907</v>
      </c>
      <c r="M109" s="17">
        <f t="shared" si="3"/>
        <v>1598831.0349055645</v>
      </c>
      <c r="N109" s="17"/>
      <c r="O109"/>
      <c r="P109"/>
      <c r="Q109"/>
      <c r="R109"/>
      <c r="S109"/>
    </row>
    <row r="110" spans="1:19" ht="12.75">
      <c r="A110" s="3">
        <v>40664</v>
      </c>
      <c r="B110" s="28">
        <f>'[15]Data Input'!O117</f>
        <v>1539748.74</v>
      </c>
      <c r="C110" s="24">
        <f>'Purchased Power Model '!C112</f>
        <v>134.1</v>
      </c>
      <c r="D110" s="24">
        <f>'Purchased Power Model '!D112</f>
        <v>13</v>
      </c>
      <c r="E110" s="17">
        <v>1</v>
      </c>
      <c r="F110" s="78">
        <v>31</v>
      </c>
      <c r="G110" s="116">
        <f>Residential!G110</f>
        <v>685.8</v>
      </c>
      <c r="H110" s="17">
        <f>'Purchased Power Model '!G112</f>
        <v>265107.193894588</v>
      </c>
      <c r="I110" s="17">
        <f t="shared" si="2"/>
        <v>40664</v>
      </c>
      <c r="J110" s="1">
        <v>336</v>
      </c>
      <c r="K110" s="17">
        <f>+'[15]Data Input'!$R117</f>
        <v>709</v>
      </c>
      <c r="L110" s="34">
        <v>140.50670264298682</v>
      </c>
      <c r="M110" s="17">
        <f t="shared" si="3"/>
        <v>1576885.4123752548</v>
      </c>
      <c r="N110" s="17"/>
      <c r="O110"/>
      <c r="P110"/>
      <c r="Q110"/>
      <c r="R110"/>
      <c r="S110"/>
    </row>
    <row r="111" spans="1:18" ht="12.75">
      <c r="A111" s="3">
        <v>40695</v>
      </c>
      <c r="B111" s="28">
        <f>'[15]Data Input'!O118</f>
        <v>1578637.0499999998</v>
      </c>
      <c r="C111" s="24">
        <f>'Purchased Power Model '!C113</f>
        <v>19</v>
      </c>
      <c r="D111" s="24">
        <f>'Purchased Power Model '!D113</f>
        <v>52.2</v>
      </c>
      <c r="E111" s="17">
        <v>0</v>
      </c>
      <c r="F111" s="78">
        <v>30</v>
      </c>
      <c r="G111" s="116">
        <f>Residential!G111</f>
        <v>697.1</v>
      </c>
      <c r="H111" s="17">
        <f>'Purchased Power Model '!G113</f>
        <v>283114.97789304226</v>
      </c>
      <c r="I111" s="17">
        <f t="shared" si="2"/>
        <v>40695</v>
      </c>
      <c r="J111" s="1">
        <v>352</v>
      </c>
      <c r="K111" s="17">
        <f>+'[15]Data Input'!$R118</f>
        <v>709</v>
      </c>
      <c r="L111" s="34">
        <v>140.87600160250034</v>
      </c>
      <c r="M111" s="17">
        <f t="shared" si="3"/>
        <v>1622202.2940911567</v>
      </c>
      <c r="N111" s="17"/>
      <c r="O111" s="17"/>
      <c r="P111" s="17"/>
      <c r="Q111" s="10"/>
      <c r="R111" s="50"/>
    </row>
    <row r="112" spans="1:18" ht="12.75">
      <c r="A112" s="3">
        <v>40725</v>
      </c>
      <c r="B112" s="28">
        <f>'[15]Data Input'!O119</f>
        <v>1949364.71</v>
      </c>
      <c r="C112" s="24">
        <f>'Purchased Power Model '!C114</f>
        <v>0</v>
      </c>
      <c r="D112" s="24">
        <f>'Purchased Power Model '!D114</f>
        <v>198.5</v>
      </c>
      <c r="E112" s="17">
        <v>0</v>
      </c>
      <c r="F112" s="78">
        <v>31</v>
      </c>
      <c r="G112" s="116">
        <f>Residential!G112</f>
        <v>707.5</v>
      </c>
      <c r="H112" s="17">
        <f>'Purchased Power Model '!G114</f>
        <v>301122.76189149654</v>
      </c>
      <c r="I112" s="17">
        <f t="shared" si="2"/>
        <v>40725</v>
      </c>
      <c r="J112" s="1">
        <v>320</v>
      </c>
      <c r="K112" s="17">
        <f>+'[15]Data Input'!$R119</f>
        <v>709</v>
      </c>
      <c r="L112" s="34">
        <v>141.246271204118</v>
      </c>
      <c r="M112" s="17">
        <f t="shared" si="3"/>
        <v>1947408.4289838667</v>
      </c>
      <c r="N112" s="17"/>
      <c r="O112" s="17"/>
      <c r="P112" s="17"/>
      <c r="Q112" s="10"/>
      <c r="R112" s="50"/>
    </row>
    <row r="113" spans="1:18" ht="12.75">
      <c r="A113" s="3">
        <v>40756</v>
      </c>
      <c r="B113" s="28">
        <f>'[15]Data Input'!O120</f>
        <v>1741457.6199999999</v>
      </c>
      <c r="C113" s="24">
        <f>'Purchased Power Model '!C115</f>
        <v>0</v>
      </c>
      <c r="D113" s="24">
        <f>'Purchased Power Model '!D115</f>
        <v>122.2</v>
      </c>
      <c r="E113" s="17">
        <v>0</v>
      </c>
      <c r="F113" s="78">
        <v>31</v>
      </c>
      <c r="G113" s="116">
        <f>Residential!G113</f>
        <v>708.3</v>
      </c>
      <c r="H113" s="17">
        <f>'Purchased Power Model '!G115</f>
        <v>319130.5458899508</v>
      </c>
      <c r="I113" s="17">
        <f t="shared" si="2"/>
        <v>40756</v>
      </c>
      <c r="J113" s="1">
        <v>352</v>
      </c>
      <c r="K113" s="17">
        <f>+'[15]Data Input'!$R120</f>
        <v>711</v>
      </c>
      <c r="L113" s="34">
        <v>141.61751399901428</v>
      </c>
      <c r="M113" s="17">
        <f t="shared" si="3"/>
        <v>1794212.469254695</v>
      </c>
      <c r="N113" s="17"/>
      <c r="O113" s="17"/>
      <c r="P113" s="17"/>
      <c r="Q113" s="10"/>
      <c r="R113" s="50"/>
    </row>
    <row r="114" spans="1:18" ht="12.75">
      <c r="A114" s="3">
        <v>40787</v>
      </c>
      <c r="B114" s="28">
        <f>'[15]Data Input'!O121</f>
        <v>1555752.74</v>
      </c>
      <c r="C114" s="24">
        <f>'Purchased Power Model '!C116</f>
        <v>48.2</v>
      </c>
      <c r="D114" s="24">
        <f>'Purchased Power Model '!D116</f>
        <v>39.7</v>
      </c>
      <c r="E114" s="17">
        <v>1</v>
      </c>
      <c r="F114" s="78">
        <v>30</v>
      </c>
      <c r="G114" s="116">
        <f>Residential!G114</f>
        <v>700.8</v>
      </c>
      <c r="H114" s="17">
        <f>'Purchased Power Model '!G116</f>
        <v>337138.3298884051</v>
      </c>
      <c r="I114" s="17">
        <f t="shared" si="2"/>
        <v>40787</v>
      </c>
      <c r="J114" s="1">
        <v>336</v>
      </c>
      <c r="K114" s="17">
        <f>+'[15]Data Input'!$R121</f>
        <v>713</v>
      </c>
      <c r="L114" s="34">
        <v>141.98973254506907</v>
      </c>
      <c r="M114" s="17">
        <f t="shared" si="3"/>
        <v>1534221.1091657882</v>
      </c>
      <c r="N114" s="17"/>
      <c r="O114" s="17"/>
      <c r="P114" s="17"/>
      <c r="Q114" s="10"/>
      <c r="R114" s="50"/>
    </row>
    <row r="115" spans="1:18" ht="12.75">
      <c r="A115" s="3">
        <v>40817</v>
      </c>
      <c r="B115" s="28">
        <f>'[15]Data Input'!O122</f>
        <v>1557032.37</v>
      </c>
      <c r="C115" s="24">
        <f>'Purchased Power Model '!C117</f>
        <v>235.5</v>
      </c>
      <c r="D115" s="24">
        <f>'Purchased Power Model '!D117</f>
        <v>2.4</v>
      </c>
      <c r="E115" s="17">
        <v>1</v>
      </c>
      <c r="F115" s="78">
        <v>31</v>
      </c>
      <c r="G115" s="116">
        <f>Residential!G115</f>
        <v>693.6</v>
      </c>
      <c r="H115" s="17">
        <f>'Purchased Power Model '!G117</f>
        <v>355146.1138868594</v>
      </c>
      <c r="I115" s="17">
        <f t="shared" si="2"/>
        <v>40817</v>
      </c>
      <c r="J115" s="1">
        <v>320</v>
      </c>
      <c r="K115" s="17">
        <f>+'[15]Data Input'!$R122</f>
        <v>713</v>
      </c>
      <c r="L115" s="34">
        <v>142.3629294068852</v>
      </c>
      <c r="M115" s="17">
        <f t="shared" si="3"/>
        <v>1581494.5586915908</v>
      </c>
      <c r="N115" s="17"/>
      <c r="O115" s="17"/>
      <c r="P115" s="17"/>
      <c r="Q115" s="10"/>
      <c r="R115" s="50"/>
    </row>
    <row r="116" spans="1:18" ht="12.75">
      <c r="A116" s="3">
        <v>40848</v>
      </c>
      <c r="B116" s="28">
        <f>'[15]Data Input'!O123</f>
        <v>1617684.07</v>
      </c>
      <c r="C116" s="24">
        <f>'Purchased Power Model '!C118</f>
        <v>342.1</v>
      </c>
      <c r="D116" s="24">
        <f>'Purchased Power Model '!D118</f>
        <v>0</v>
      </c>
      <c r="E116" s="17">
        <v>1</v>
      </c>
      <c r="F116" s="78">
        <v>30</v>
      </c>
      <c r="G116" s="116">
        <f>Residential!G116</f>
        <v>690.2</v>
      </c>
      <c r="H116" s="17">
        <f>'Purchased Power Model '!G118</f>
        <v>373153.89788531367</v>
      </c>
      <c r="I116" s="17">
        <f t="shared" si="2"/>
        <v>40848</v>
      </c>
      <c r="J116" s="1">
        <v>352</v>
      </c>
      <c r="K116" s="17">
        <f>+'[15]Data Input'!$R123</f>
        <v>710</v>
      </c>
      <c r="L116" s="34">
        <v>142.73710715580614</v>
      </c>
      <c r="M116" s="17">
        <f t="shared" si="3"/>
        <v>1571477.5416669534</v>
      </c>
      <c r="N116" s="17"/>
      <c r="O116" s="17"/>
      <c r="P116" s="17"/>
      <c r="Q116" s="10"/>
      <c r="R116" s="50"/>
    </row>
    <row r="117" spans="1:18" ht="12.75">
      <c r="A117" s="3">
        <v>40878</v>
      </c>
      <c r="B117" s="28">
        <f>'[15]Data Input'!O124</f>
        <v>1833115.85</v>
      </c>
      <c r="C117" s="24">
        <f>'Purchased Power Model '!C119</f>
        <v>534</v>
      </c>
      <c r="D117" s="24">
        <f>'Purchased Power Model '!D119</f>
        <v>0</v>
      </c>
      <c r="E117" s="17">
        <v>0</v>
      </c>
      <c r="F117" s="78">
        <v>31</v>
      </c>
      <c r="G117" s="116">
        <f>Residential!G117</f>
        <v>690.4</v>
      </c>
      <c r="H117" s="17">
        <f>'Purchased Power Model '!G119</f>
        <v>391161.68188376795</v>
      </c>
      <c r="I117" s="17">
        <f t="shared" si="2"/>
        <v>40878</v>
      </c>
      <c r="J117" s="1">
        <v>336</v>
      </c>
      <c r="K117" s="17">
        <f>+'[15]Data Input'!$R124</f>
        <v>710</v>
      </c>
      <c r="L117" s="34">
        <v>143.11226836993367</v>
      </c>
      <c r="M117" s="17">
        <f t="shared" si="3"/>
        <v>1764040.004507649</v>
      </c>
      <c r="N117" s="17"/>
      <c r="O117" s="17"/>
      <c r="P117" s="17"/>
      <c r="Q117" s="10"/>
      <c r="R117" s="50"/>
    </row>
    <row r="118" spans="1:18" ht="12.75">
      <c r="A118" s="3">
        <v>40909</v>
      </c>
      <c r="C118" s="79">
        <f>Residential!C118</f>
        <v>731.2777777777778</v>
      </c>
      <c r="D118" s="79">
        <f>Residential!D118</f>
        <v>0</v>
      </c>
      <c r="E118" s="17">
        <v>0</v>
      </c>
      <c r="F118" s="17">
        <v>31</v>
      </c>
      <c r="G118" s="116">
        <f>Residential!G118</f>
        <v>689.985995423341</v>
      </c>
      <c r="H118" s="17">
        <f>'Purchased Power Model '!G120</f>
        <v>380946.64371458685</v>
      </c>
      <c r="I118" s="17">
        <f t="shared" si="2"/>
        <v>40909</v>
      </c>
      <c r="J118" s="19">
        <v>336</v>
      </c>
      <c r="K118" s="17">
        <v>0</v>
      </c>
      <c r="L118" s="154">
        <v>143.49</v>
      </c>
      <c r="M118" s="17">
        <f t="shared" si="3"/>
        <v>1859502.662421037</v>
      </c>
      <c r="N118" s="17"/>
      <c r="O118" s="17"/>
      <c r="P118" s="17"/>
      <c r="Q118" s="10"/>
      <c r="R118" s="50"/>
    </row>
    <row r="119" spans="1:18" ht="12.75">
      <c r="A119" s="3">
        <v>40940</v>
      </c>
      <c r="C119" s="79">
        <f>Residential!C119</f>
        <v>647.2333333333332</v>
      </c>
      <c r="D119" s="79">
        <f>Residential!D119</f>
        <v>0</v>
      </c>
      <c r="E119" s="17">
        <v>0</v>
      </c>
      <c r="F119" s="17">
        <v>29</v>
      </c>
      <c r="G119" s="116">
        <f>Residential!G119</f>
        <v>690.778092795707</v>
      </c>
      <c r="H119" s="17">
        <f>'Purchased Power Model '!G121</f>
        <v>370731.60554540576</v>
      </c>
      <c r="I119" s="17">
        <f t="shared" si="2"/>
        <v>40940</v>
      </c>
      <c r="J119" s="19">
        <v>320</v>
      </c>
      <c r="K119" s="17">
        <v>0</v>
      </c>
      <c r="L119" s="154">
        <v>143.87</v>
      </c>
      <c r="M119" s="17">
        <f t="shared" si="3"/>
        <v>1733271.6596280045</v>
      </c>
      <c r="N119" s="17"/>
      <c r="O119" s="17"/>
      <c r="P119" s="17"/>
      <c r="Q119" s="10"/>
      <c r="R119" s="50"/>
    </row>
    <row r="120" spans="1:18" ht="12.75">
      <c r="A120" s="3">
        <v>40969</v>
      </c>
      <c r="C120" s="79">
        <f>Residential!C120</f>
        <v>542.2111111111112</v>
      </c>
      <c r="D120" s="79">
        <f>Residential!D120</f>
        <v>0</v>
      </c>
      <c r="E120" s="17">
        <v>1</v>
      </c>
      <c r="F120" s="17">
        <v>31</v>
      </c>
      <c r="G120" s="116">
        <f>Residential!G120</f>
        <v>691.570190168074</v>
      </c>
      <c r="H120" s="17">
        <f>'Purchased Power Model '!G122</f>
        <v>360516.5673762247</v>
      </c>
      <c r="I120" s="17">
        <f t="shared" si="2"/>
        <v>40969</v>
      </c>
      <c r="J120" s="19">
        <v>352</v>
      </c>
      <c r="K120" s="17">
        <f>'[15]Data Input'!N127</f>
        <v>0</v>
      </c>
      <c r="L120" s="154">
        <v>144.24</v>
      </c>
      <c r="M120" s="17">
        <f t="shared" si="3"/>
        <v>1716565.0185346475</v>
      </c>
      <c r="N120" s="17"/>
      <c r="O120" s="17"/>
      <c r="P120" s="17"/>
      <c r="Q120" s="10"/>
      <c r="R120" s="50"/>
    </row>
    <row r="121" spans="1:18" ht="12.75">
      <c r="A121" s="3">
        <v>41000</v>
      </c>
      <c r="C121" s="79">
        <f>Residential!C121</f>
        <v>308.62222222222226</v>
      </c>
      <c r="D121" s="79">
        <f>Residential!D121</f>
        <v>0.39999999999999997</v>
      </c>
      <c r="E121" s="17">
        <v>1</v>
      </c>
      <c r="F121" s="17">
        <v>30</v>
      </c>
      <c r="G121" s="116">
        <f>Residential!G121</f>
        <v>692.36228754044</v>
      </c>
      <c r="H121" s="17">
        <f>'Purchased Power Model '!G123</f>
        <v>350301.5292070436</v>
      </c>
      <c r="I121" s="17">
        <f t="shared" si="2"/>
        <v>41000</v>
      </c>
      <c r="J121" s="19">
        <v>320</v>
      </c>
      <c r="K121" s="17">
        <f>'[15]Data Input'!N128</f>
        <v>0</v>
      </c>
      <c r="L121" s="154">
        <v>144.62</v>
      </c>
      <c r="M121" s="17">
        <f t="shared" si="3"/>
        <v>1566628.6347071766</v>
      </c>
      <c r="N121" s="17"/>
      <c r="O121" s="17"/>
      <c r="P121" s="17"/>
      <c r="Q121" s="10"/>
      <c r="R121" s="50"/>
    </row>
    <row r="122" spans="1:18" ht="12.75">
      <c r="A122" s="3">
        <v>41030</v>
      </c>
      <c r="C122" s="79">
        <f>Residential!C122</f>
        <v>154.86666666666667</v>
      </c>
      <c r="D122" s="79">
        <f>Residential!D122</f>
        <v>13.988888888888889</v>
      </c>
      <c r="E122" s="17">
        <v>1</v>
      </c>
      <c r="F122" s="17">
        <v>31</v>
      </c>
      <c r="G122" s="116">
        <f>Residential!G122</f>
        <v>693.154384912807</v>
      </c>
      <c r="H122" s="17">
        <f>'Purchased Power Model '!G124</f>
        <v>340086.4910378625</v>
      </c>
      <c r="I122" s="17">
        <f t="shared" si="2"/>
        <v>41030</v>
      </c>
      <c r="J122" s="19">
        <v>352</v>
      </c>
      <c r="K122" s="17">
        <f>'[15]Data Input'!N129</f>
        <v>0</v>
      </c>
      <c r="L122" s="154">
        <v>145</v>
      </c>
      <c r="M122" s="17">
        <f t="shared" si="3"/>
        <v>1570831.5245786863</v>
      </c>
      <c r="N122" s="17"/>
      <c r="O122" s="17"/>
      <c r="P122" s="17"/>
      <c r="Q122" s="10"/>
      <c r="R122" s="50"/>
    </row>
    <row r="123" spans="1:18" ht="12.75">
      <c r="A123" s="3">
        <v>41061</v>
      </c>
      <c r="C123" s="79">
        <f>Residential!C123</f>
        <v>28.139999999999997</v>
      </c>
      <c r="D123" s="79">
        <f>Residential!D123</f>
        <v>69.02000000000001</v>
      </c>
      <c r="E123" s="17">
        <v>0</v>
      </c>
      <c r="F123" s="17">
        <v>30</v>
      </c>
      <c r="G123" s="116">
        <f>Residential!G123</f>
        <v>693.946482285173</v>
      </c>
      <c r="H123" s="17">
        <f>'Purchased Power Model '!G125</f>
        <v>329871.4528686814</v>
      </c>
      <c r="I123" s="17">
        <f t="shared" si="2"/>
        <v>41061</v>
      </c>
      <c r="J123" s="19">
        <v>336</v>
      </c>
      <c r="K123" s="17">
        <f>'[15]Data Input'!N130</f>
        <v>0</v>
      </c>
      <c r="L123" s="154">
        <v>145.38</v>
      </c>
      <c r="M123" s="17">
        <f t="shared" si="3"/>
        <v>1639855.0818527427</v>
      </c>
      <c r="N123" s="17"/>
      <c r="O123" s="17"/>
      <c r="P123" s="17"/>
      <c r="Q123" s="10"/>
      <c r="R123" s="50"/>
    </row>
    <row r="124" spans="1:18" ht="12.75">
      <c r="A124" s="3">
        <v>41091</v>
      </c>
      <c r="C124" s="79">
        <f>Residential!C124</f>
        <v>1.6</v>
      </c>
      <c r="D124" s="79">
        <f>Residential!D124</f>
        <v>137.73</v>
      </c>
      <c r="E124" s="17">
        <v>0</v>
      </c>
      <c r="F124" s="17">
        <v>31</v>
      </c>
      <c r="G124" s="116">
        <f>Residential!G124</f>
        <v>694.73857965754</v>
      </c>
      <c r="H124" s="17">
        <f>'Purchased Power Model '!G126</f>
        <v>319656.4146995003</v>
      </c>
      <c r="I124" s="17">
        <f t="shared" si="2"/>
        <v>41091</v>
      </c>
      <c r="J124" s="19">
        <v>336</v>
      </c>
      <c r="K124" s="17">
        <f>'[15]Data Input'!N131</f>
        <v>0</v>
      </c>
      <c r="L124" s="154">
        <v>145.77</v>
      </c>
      <c r="M124" s="17">
        <f t="shared" si="3"/>
        <v>1810522.7910181433</v>
      </c>
      <c r="N124" s="17"/>
      <c r="O124" s="17"/>
      <c r="P124" s="17"/>
      <c r="Q124" s="10"/>
      <c r="R124" s="50"/>
    </row>
    <row r="125" spans="1:18" ht="12.75">
      <c r="A125" s="3">
        <v>41122</v>
      </c>
      <c r="C125" s="79">
        <f>Residential!C125</f>
        <v>4.92</v>
      </c>
      <c r="D125" s="79">
        <f>Residential!D125</f>
        <v>112.96000000000001</v>
      </c>
      <c r="E125" s="17">
        <v>0</v>
      </c>
      <c r="F125" s="17">
        <v>31</v>
      </c>
      <c r="G125" s="116">
        <f>Residential!G125</f>
        <v>695.530677029906</v>
      </c>
      <c r="H125" s="17">
        <f>'Purchased Power Model '!G127</f>
        <v>309441.3765303192</v>
      </c>
      <c r="I125" s="17">
        <f t="shared" si="2"/>
        <v>41122</v>
      </c>
      <c r="J125" s="19">
        <v>352</v>
      </c>
      <c r="K125" s="17">
        <f>'[15]Data Input'!N132</f>
        <v>0</v>
      </c>
      <c r="L125" s="154">
        <v>146.15</v>
      </c>
      <c r="M125" s="17">
        <f t="shared" si="3"/>
        <v>1768369.5169129518</v>
      </c>
      <c r="N125" s="17"/>
      <c r="O125" s="17"/>
      <c r="P125" s="17"/>
      <c r="Q125" s="10"/>
      <c r="R125" s="50"/>
    </row>
    <row r="126" spans="1:18" ht="12.75">
      <c r="A126" s="3">
        <v>41153</v>
      </c>
      <c r="C126" s="79">
        <f>Residential!C126</f>
        <v>48.76</v>
      </c>
      <c r="D126" s="79">
        <f>Residential!D126</f>
        <v>38.41</v>
      </c>
      <c r="E126" s="17">
        <v>1</v>
      </c>
      <c r="F126" s="17">
        <v>30</v>
      </c>
      <c r="G126" s="116">
        <f>Residential!G126</f>
        <v>696.322774402272</v>
      </c>
      <c r="H126" s="17">
        <f>'Purchased Power Model '!G128</f>
        <v>299226.3383611381</v>
      </c>
      <c r="I126" s="17">
        <f t="shared" si="2"/>
        <v>41153</v>
      </c>
      <c r="J126" s="19">
        <v>304</v>
      </c>
      <c r="K126" s="17">
        <f>'[15]Data Input'!N133</f>
        <v>0</v>
      </c>
      <c r="L126" s="154">
        <v>146.53</v>
      </c>
      <c r="M126" s="17">
        <f t="shared" si="3"/>
        <v>1540128.8481451054</v>
      </c>
      <c r="N126" s="17"/>
      <c r="O126" s="17"/>
      <c r="P126" s="17"/>
      <c r="Q126" s="10"/>
      <c r="R126" s="50"/>
    </row>
    <row r="127" spans="1:18" ht="12.75">
      <c r="A127" s="3">
        <v>41183</v>
      </c>
      <c r="C127" s="79">
        <f>Residential!C127</f>
        <v>248.42000000000002</v>
      </c>
      <c r="D127" s="79">
        <f>Residential!D127</f>
        <v>4.24</v>
      </c>
      <c r="E127" s="17">
        <v>1</v>
      </c>
      <c r="F127" s="17">
        <v>31</v>
      </c>
      <c r="G127" s="116">
        <f>Residential!G127</f>
        <v>697.114871774639</v>
      </c>
      <c r="H127" s="17">
        <f>'Purchased Power Model '!G129</f>
        <v>289011.30019195704</v>
      </c>
      <c r="I127" s="17">
        <f t="shared" si="2"/>
        <v>41183</v>
      </c>
      <c r="J127" s="19">
        <v>352</v>
      </c>
      <c r="K127" s="17">
        <f>'[15]Data Input'!N134</f>
        <v>0</v>
      </c>
      <c r="L127" s="154">
        <v>146.92</v>
      </c>
      <c r="M127" s="17">
        <f t="shared" si="3"/>
        <v>1617324.3471681976</v>
      </c>
      <c r="N127" s="17"/>
      <c r="O127" s="17"/>
      <c r="P127" s="17"/>
      <c r="Q127" s="10"/>
      <c r="R127" s="50"/>
    </row>
    <row r="128" spans="1:18" ht="12.75">
      <c r="A128" s="3">
        <v>41214</v>
      </c>
      <c r="C128" s="79">
        <f>Residential!C128</f>
        <v>401.59</v>
      </c>
      <c r="D128" s="79">
        <f>Residential!D128</f>
        <v>0</v>
      </c>
      <c r="E128" s="17">
        <v>1</v>
      </c>
      <c r="F128" s="17">
        <v>30</v>
      </c>
      <c r="G128" s="116">
        <f>Residential!G128</f>
        <v>697.906969147005</v>
      </c>
      <c r="H128" s="17">
        <f>'Purchased Power Model '!G130</f>
        <v>278796.26202277595</v>
      </c>
      <c r="I128" s="17">
        <f t="shared" si="2"/>
        <v>41214</v>
      </c>
      <c r="J128" s="19">
        <v>352</v>
      </c>
      <c r="K128" s="17">
        <f>'[15]Data Input'!N135</f>
        <v>0</v>
      </c>
      <c r="L128" s="154">
        <v>147.3</v>
      </c>
      <c r="M128" s="17">
        <f t="shared" si="3"/>
        <v>1639596.112911656</v>
      </c>
      <c r="N128" s="17"/>
      <c r="O128" s="17"/>
      <c r="P128" s="17"/>
      <c r="Q128" s="10"/>
      <c r="R128" s="50"/>
    </row>
    <row r="129" spans="1:18" ht="12.75">
      <c r="A129" s="3">
        <v>41244</v>
      </c>
      <c r="C129" s="79">
        <f>Residential!C129</f>
        <v>611.69</v>
      </c>
      <c r="D129" s="79">
        <f>Residential!D129</f>
        <v>0</v>
      </c>
      <c r="E129" s="17">
        <v>0</v>
      </c>
      <c r="F129" s="17">
        <v>31</v>
      </c>
      <c r="G129" s="116">
        <f>Residential!G129</f>
        <v>698.699066519372</v>
      </c>
      <c r="H129" s="17">
        <f>'Purchased Power Model '!G131</f>
        <v>268581.22385359486</v>
      </c>
      <c r="I129" s="17">
        <f t="shared" si="2"/>
        <v>41244</v>
      </c>
      <c r="J129" s="19">
        <v>304</v>
      </c>
      <c r="K129" s="17">
        <f>'[15]Data Input'!N136</f>
        <v>0</v>
      </c>
      <c r="L129" s="154">
        <v>147.69</v>
      </c>
      <c r="M129" s="17">
        <f t="shared" si="3"/>
        <v>1850908.5029185752</v>
      </c>
      <c r="N129" s="17"/>
      <c r="O129" s="17"/>
      <c r="P129" s="17"/>
      <c r="Q129" s="10"/>
      <c r="R129" s="50"/>
    </row>
    <row r="130" spans="1:18" ht="12.75">
      <c r="A130" s="3">
        <v>41275</v>
      </c>
      <c r="C130" s="79">
        <f aca="true" t="shared" si="4" ref="C130:D141">C118</f>
        <v>731.2777777777778</v>
      </c>
      <c r="D130" s="79">
        <f t="shared" si="4"/>
        <v>0</v>
      </c>
      <c r="E130" s="17">
        <v>0</v>
      </c>
      <c r="F130" s="17">
        <v>31</v>
      </c>
      <c r="G130" s="116">
        <f>Residential!G130</f>
        <v>699.491163891738</v>
      </c>
      <c r="H130" s="17">
        <f>'Purchased Power Model '!G132</f>
        <v>277069.45914351544</v>
      </c>
      <c r="I130" s="17">
        <f t="shared" si="2"/>
        <v>41275</v>
      </c>
      <c r="J130" s="86">
        <f>22*16</f>
        <v>352</v>
      </c>
      <c r="K130" s="17">
        <f>'[15]Data Input'!N137</f>
        <v>0</v>
      </c>
      <c r="L130" s="154">
        <v>147.88</v>
      </c>
      <c r="M130" s="17">
        <f t="shared" si="3"/>
        <v>1904890.8360576243</v>
      </c>
      <c r="N130" s="17"/>
      <c r="O130" s="17"/>
      <c r="P130" s="17"/>
      <c r="Q130" s="10"/>
      <c r="R130" s="50"/>
    </row>
    <row r="131" spans="1:18" ht="12.75">
      <c r="A131" s="3">
        <v>41306</v>
      </c>
      <c r="C131" s="79">
        <f t="shared" si="4"/>
        <v>647.2333333333332</v>
      </c>
      <c r="D131" s="79">
        <f t="shared" si="4"/>
        <v>0</v>
      </c>
      <c r="E131" s="17">
        <v>0</v>
      </c>
      <c r="F131" s="17">
        <v>28</v>
      </c>
      <c r="G131" s="116">
        <f>Residential!G131</f>
        <v>700.283261264104</v>
      </c>
      <c r="H131" s="17">
        <f>'Purchased Power Model '!G133</f>
        <v>285557.69443343603</v>
      </c>
      <c r="I131" s="17">
        <f t="shared" si="2"/>
        <v>41306</v>
      </c>
      <c r="J131" s="86">
        <f>19*16</f>
        <v>304</v>
      </c>
      <c r="K131" s="17">
        <f>'[15]Data Input'!N138</f>
        <v>0</v>
      </c>
      <c r="L131" s="154">
        <v>148.08</v>
      </c>
      <c r="M131" s="17">
        <f t="shared" si="3"/>
        <v>1726717.3889548483</v>
      </c>
      <c r="N131" s="17"/>
      <c r="O131" s="17"/>
      <c r="P131" s="17"/>
      <c r="Q131" s="10"/>
      <c r="R131" s="50"/>
    </row>
    <row r="132" spans="1:18" ht="12.75">
      <c r="A132" s="3">
        <v>41334</v>
      </c>
      <c r="C132" s="79">
        <f t="shared" si="4"/>
        <v>542.2111111111112</v>
      </c>
      <c r="D132" s="79">
        <f t="shared" si="4"/>
        <v>0</v>
      </c>
      <c r="E132" s="17">
        <v>1</v>
      </c>
      <c r="F132" s="17">
        <v>31</v>
      </c>
      <c r="G132" s="116">
        <f>Residential!G132</f>
        <v>701.075358636471</v>
      </c>
      <c r="H132" s="17">
        <f>'Purchased Power Model '!G134</f>
        <v>294045.9297233566</v>
      </c>
      <c r="I132" s="17">
        <f aca="true" t="shared" si="5" ref="I132:I141">A132</f>
        <v>41334</v>
      </c>
      <c r="J132" s="86">
        <f>20*16</f>
        <v>320</v>
      </c>
      <c r="K132" s="17">
        <f>'[15]Data Input'!N139</f>
        <v>0</v>
      </c>
      <c r="L132" s="154">
        <v>148.27</v>
      </c>
      <c r="M132" s="17">
        <f aca="true" t="shared" si="6" ref="M132:M141">$P$18+$P$19*C132+$P$20*D132+$P$21*E132+$P$22*F132+$P$23*G132+$P$24*H132</f>
        <v>1749235.211576529</v>
      </c>
      <c r="N132" s="17"/>
      <c r="O132" s="17"/>
      <c r="P132" s="17"/>
      <c r="Q132" s="10"/>
      <c r="R132" s="50"/>
    </row>
    <row r="133" spans="1:18" ht="12.75">
      <c r="A133" s="3">
        <v>41365</v>
      </c>
      <c r="C133" s="79">
        <f t="shared" si="4"/>
        <v>308.62222222222226</v>
      </c>
      <c r="D133" s="79">
        <f t="shared" si="4"/>
        <v>0.39999999999999997</v>
      </c>
      <c r="E133" s="17">
        <v>1</v>
      </c>
      <c r="F133" s="17">
        <v>30</v>
      </c>
      <c r="G133" s="116">
        <f>Residential!G133</f>
        <v>701.867456008837</v>
      </c>
      <c r="H133" s="17">
        <f>'Purchased Power Model '!G135</f>
        <v>302534.1650132772</v>
      </c>
      <c r="I133" s="17">
        <f t="shared" si="5"/>
        <v>41365</v>
      </c>
      <c r="J133" s="86">
        <f>22*16</f>
        <v>352</v>
      </c>
      <c r="K133" s="17">
        <f>'[15]Data Input'!N140</f>
        <v>0</v>
      </c>
      <c r="L133" s="154">
        <v>148.46</v>
      </c>
      <c r="M133" s="17">
        <f t="shared" si="6"/>
        <v>1592939.8374517052</v>
      </c>
      <c r="N133" s="17"/>
      <c r="O133" s="17"/>
      <c r="P133" s="17"/>
      <c r="Q133" s="10"/>
      <c r="R133" s="50"/>
    </row>
    <row r="134" spans="1:18" ht="12.75">
      <c r="A134" s="3">
        <v>41395</v>
      </c>
      <c r="C134" s="79">
        <f t="shared" si="4"/>
        <v>154.86666666666667</v>
      </c>
      <c r="D134" s="79">
        <f t="shared" si="4"/>
        <v>13.988888888888889</v>
      </c>
      <c r="E134" s="17">
        <v>1</v>
      </c>
      <c r="F134" s="17">
        <v>31</v>
      </c>
      <c r="G134" s="116">
        <f>Residential!G134</f>
        <v>702.659553381204</v>
      </c>
      <c r="H134" s="17">
        <f>'Purchased Power Model '!G136</f>
        <v>311022.4003031978</v>
      </c>
      <c r="I134" s="17">
        <f t="shared" si="5"/>
        <v>41395</v>
      </c>
      <c r="J134" s="86">
        <f>22*16</f>
        <v>352</v>
      </c>
      <c r="K134" s="17">
        <f>'[15]Data Input'!N141</f>
        <v>0</v>
      </c>
      <c r="L134" s="154">
        <v>148.65</v>
      </c>
      <c r="M134" s="17">
        <f t="shared" si="6"/>
        <v>1590783.7370258619</v>
      </c>
      <c r="N134" s="17"/>
      <c r="O134" s="17"/>
      <c r="P134" s="17"/>
      <c r="Q134" s="10"/>
      <c r="R134" s="50"/>
    </row>
    <row r="135" spans="1:18" ht="12.75">
      <c r="A135" s="3">
        <v>41426</v>
      </c>
      <c r="C135" s="79">
        <f t="shared" si="4"/>
        <v>28.139999999999997</v>
      </c>
      <c r="D135" s="79">
        <f t="shared" si="4"/>
        <v>69.02000000000001</v>
      </c>
      <c r="E135" s="17">
        <v>0</v>
      </c>
      <c r="F135" s="17">
        <v>30</v>
      </c>
      <c r="G135" s="116">
        <f>Residential!G135</f>
        <v>703.45165075357</v>
      </c>
      <c r="H135" s="17">
        <f>'Purchased Power Model '!G137</f>
        <v>319510.6355931184</v>
      </c>
      <c r="I135" s="17">
        <f t="shared" si="5"/>
        <v>41426</v>
      </c>
      <c r="J135" s="86">
        <f>20*16</f>
        <v>320</v>
      </c>
      <c r="K135" s="17">
        <f>'[15]Data Input'!N142</f>
        <v>0</v>
      </c>
      <c r="L135" s="154">
        <v>148.85</v>
      </c>
      <c r="M135" s="17">
        <f t="shared" si="6"/>
        <v>1653448.3040025653</v>
      </c>
      <c r="N135" s="17"/>
      <c r="O135" s="17"/>
      <c r="P135" s="17"/>
      <c r="Q135" s="10"/>
      <c r="R135" s="50"/>
    </row>
    <row r="136" spans="1:18" ht="12.75">
      <c r="A136" s="3">
        <v>41456</v>
      </c>
      <c r="C136" s="79">
        <f t="shared" si="4"/>
        <v>1.6</v>
      </c>
      <c r="D136" s="79">
        <f t="shared" si="4"/>
        <v>137.73</v>
      </c>
      <c r="E136" s="17">
        <v>0</v>
      </c>
      <c r="F136" s="17">
        <v>31</v>
      </c>
      <c r="G136" s="116">
        <f>Residential!G136</f>
        <v>704.243748125937</v>
      </c>
      <c r="H136" s="17">
        <f>'Purchased Power Model '!G138</f>
        <v>327998.87088303897</v>
      </c>
      <c r="I136" s="17">
        <f t="shared" si="5"/>
        <v>41456</v>
      </c>
      <c r="J136" s="86">
        <f>22*16</f>
        <v>352</v>
      </c>
      <c r="K136" s="17">
        <f>'[15]Data Input'!N143</f>
        <v>0</v>
      </c>
      <c r="L136" s="154">
        <v>149.04</v>
      </c>
      <c r="M136" s="17">
        <f t="shared" si="6"/>
        <v>1817757.0228706133</v>
      </c>
      <c r="N136" s="17"/>
      <c r="O136" s="17"/>
      <c r="P136" s="17"/>
      <c r="Q136" s="10"/>
      <c r="R136" s="50"/>
    </row>
    <row r="137" spans="1:18" ht="12.75">
      <c r="A137" s="3">
        <v>41487</v>
      </c>
      <c r="C137" s="79">
        <f t="shared" si="4"/>
        <v>4.92</v>
      </c>
      <c r="D137" s="79">
        <f t="shared" si="4"/>
        <v>112.96000000000001</v>
      </c>
      <c r="E137" s="17">
        <v>0</v>
      </c>
      <c r="F137" s="17">
        <v>31</v>
      </c>
      <c r="G137" s="116">
        <f>Residential!G137</f>
        <v>705.035845498303</v>
      </c>
      <c r="H137" s="17">
        <f>'Purchased Power Model '!G139</f>
        <v>336487.10617295955</v>
      </c>
      <c r="I137" s="17">
        <f t="shared" si="5"/>
        <v>41487</v>
      </c>
      <c r="J137" s="86">
        <f>21*16</f>
        <v>336</v>
      </c>
      <c r="K137" s="17">
        <f>'[15]Data Input'!N144</f>
        <v>0</v>
      </c>
      <c r="L137" s="154">
        <v>149.23</v>
      </c>
      <c r="M137" s="17">
        <f t="shared" si="6"/>
        <v>1769244.7584680687</v>
      </c>
      <c r="N137" s="17"/>
      <c r="O137" s="17"/>
      <c r="P137" s="17"/>
      <c r="Q137" s="10"/>
      <c r="R137" s="50"/>
    </row>
    <row r="138" spans="1:18" ht="12.75">
      <c r="A138" s="3">
        <v>41518</v>
      </c>
      <c r="C138" s="79">
        <f t="shared" si="4"/>
        <v>48.76</v>
      </c>
      <c r="D138" s="79">
        <f t="shared" si="4"/>
        <v>38.41</v>
      </c>
      <c r="E138" s="17">
        <v>1</v>
      </c>
      <c r="F138" s="17">
        <v>30</v>
      </c>
      <c r="G138" s="116">
        <f>Residential!G138</f>
        <v>705.827942870669</v>
      </c>
      <c r="H138" s="17">
        <f>'Purchased Power Model '!G140</f>
        <v>344975.34146288014</v>
      </c>
      <c r="I138" s="17">
        <f t="shared" si="5"/>
        <v>41518</v>
      </c>
      <c r="J138" s="86">
        <f>20*16</f>
        <v>320</v>
      </c>
      <c r="K138" s="17">
        <f>'[15]Data Input'!N145</f>
        <v>0</v>
      </c>
      <c r="L138" s="154">
        <v>149.42</v>
      </c>
      <c r="M138" s="17">
        <f t="shared" si="6"/>
        <v>1534645.0994028694</v>
      </c>
      <c r="N138" s="17"/>
      <c r="O138" s="17"/>
      <c r="P138" s="17"/>
      <c r="Q138" s="10"/>
      <c r="R138" s="50"/>
    </row>
    <row r="139" spans="1:18" ht="12.75">
      <c r="A139" s="3">
        <v>41548</v>
      </c>
      <c r="C139" s="79">
        <f t="shared" si="4"/>
        <v>248.42000000000002</v>
      </c>
      <c r="D139" s="79">
        <f t="shared" si="4"/>
        <v>4.24</v>
      </c>
      <c r="E139" s="17">
        <v>1</v>
      </c>
      <c r="F139" s="17">
        <v>31</v>
      </c>
      <c r="G139" s="116">
        <f>Residential!G139</f>
        <v>706.620040243036</v>
      </c>
      <c r="H139" s="17">
        <f>'Purchased Power Model '!G141</f>
        <v>353463.5767528007</v>
      </c>
      <c r="I139" s="17">
        <f t="shared" si="5"/>
        <v>41548</v>
      </c>
      <c r="J139" s="86">
        <f>22*16</f>
        <v>352</v>
      </c>
      <c r="K139" s="17">
        <f>'[15]Data Input'!N146</f>
        <v>0</v>
      </c>
      <c r="L139" s="154">
        <v>149.62</v>
      </c>
      <c r="M139" s="17">
        <f t="shared" si="6"/>
        <v>1605481.6081286084</v>
      </c>
      <c r="N139" s="17"/>
      <c r="O139" s="17"/>
      <c r="P139" s="17"/>
      <c r="Q139" s="10"/>
      <c r="R139" s="50"/>
    </row>
    <row r="140" spans="1:18" ht="12.75">
      <c r="A140" s="3">
        <v>41579</v>
      </c>
      <c r="C140" s="79">
        <f t="shared" si="4"/>
        <v>401.59</v>
      </c>
      <c r="D140" s="79">
        <f t="shared" si="4"/>
        <v>0</v>
      </c>
      <c r="E140" s="17">
        <v>1</v>
      </c>
      <c r="F140" s="17">
        <v>30</v>
      </c>
      <c r="G140" s="116">
        <f>Residential!G140</f>
        <v>707.412137615402</v>
      </c>
      <c r="H140" s="17">
        <f>'Purchased Power Model '!G142</f>
        <v>361951.8120427213</v>
      </c>
      <c r="I140" s="17">
        <f t="shared" si="5"/>
        <v>41579</v>
      </c>
      <c r="J140" s="86">
        <f>21*16</f>
        <v>336</v>
      </c>
      <c r="K140" s="17">
        <f>'[15]Data Input'!N147</f>
        <v>0</v>
      </c>
      <c r="L140" s="154">
        <v>149.81</v>
      </c>
      <c r="M140" s="17">
        <f t="shared" si="6"/>
        <v>1621394.3835747144</v>
      </c>
      <c r="N140" s="17"/>
      <c r="O140" s="17"/>
      <c r="P140" s="17"/>
      <c r="Q140" s="10"/>
      <c r="R140" s="50"/>
    </row>
    <row r="141" spans="1:18" ht="12.75">
      <c r="A141" s="3">
        <v>41609</v>
      </c>
      <c r="C141" s="79">
        <f t="shared" si="4"/>
        <v>611.69</v>
      </c>
      <c r="D141" s="79">
        <f t="shared" si="4"/>
        <v>0</v>
      </c>
      <c r="E141" s="17">
        <v>0</v>
      </c>
      <c r="F141" s="17">
        <v>31</v>
      </c>
      <c r="G141" s="116">
        <f>Residential!G141</f>
        <v>708.204234987769</v>
      </c>
      <c r="H141" s="17">
        <f>'Purchased Power Model '!G143</f>
        <v>370440.0473326419</v>
      </c>
      <c r="I141" s="17">
        <f t="shared" si="5"/>
        <v>41609</v>
      </c>
      <c r="J141" s="86">
        <f>20*16</f>
        <v>320</v>
      </c>
      <c r="K141" s="17">
        <f>'[15]Data Input'!N148</f>
        <v>0</v>
      </c>
      <c r="L141" s="154">
        <v>150</v>
      </c>
      <c r="M141" s="17">
        <f t="shared" si="6"/>
        <v>1826347.7832842807</v>
      </c>
      <c r="N141" s="17"/>
      <c r="O141" s="17"/>
      <c r="P141" s="17"/>
      <c r="Q141" s="10"/>
      <c r="R141" s="50"/>
    </row>
    <row r="142" spans="1:10" ht="12.75">
      <c r="A142" s="3"/>
      <c r="H142" s="17"/>
      <c r="I142" s="17"/>
      <c r="J142" s="17"/>
    </row>
    <row r="143" spans="1:17" ht="12.75">
      <c r="A143" s="3"/>
      <c r="D143" s="24" t="s">
        <v>12</v>
      </c>
      <c r="M143" s="78">
        <f>SUM(M3:M141)</f>
        <v>237071164.4715953</v>
      </c>
      <c r="Q143" s="50"/>
    </row>
    <row r="144" ht="12.75">
      <c r="A144" s="3"/>
    </row>
    <row r="145" spans="1:15" ht="12.75">
      <c r="A145">
        <v>2002</v>
      </c>
      <c r="B145" s="28">
        <f>SUM(B3:B9)</f>
        <v>12603620.69</v>
      </c>
      <c r="I145" s="36"/>
      <c r="M145" s="28">
        <f>SUM(M3:M9)</f>
        <v>12057424.59558262</v>
      </c>
      <c r="N145" s="38">
        <f aca="true" t="shared" si="7" ref="N145:N154">M145-B145</f>
        <v>-546196.0944173802</v>
      </c>
      <c r="O145" s="147">
        <f>N145/B145</f>
        <v>-0.04333644338017445</v>
      </c>
    </row>
    <row r="146" spans="1:15" ht="12.75">
      <c r="A146" s="16">
        <v>2003</v>
      </c>
      <c r="B146" s="28">
        <f>SUM(B10:B21)</f>
        <v>20515940.49</v>
      </c>
      <c r="I146" s="36"/>
      <c r="M146" s="28">
        <f>SUM(M10:M21)</f>
        <v>20411082.39173333</v>
      </c>
      <c r="N146" s="38">
        <f t="shared" si="7"/>
        <v>-104858.09826666862</v>
      </c>
      <c r="O146" s="147">
        <f aca="true" t="shared" si="8" ref="O146:O154">N146/B146</f>
        <v>-0.0051110549047351335</v>
      </c>
    </row>
    <row r="147" spans="1:15" ht="12.75">
      <c r="A147">
        <v>2004</v>
      </c>
      <c r="B147" s="28">
        <f>SUM(B22:B33)</f>
        <v>19565243.630000003</v>
      </c>
      <c r="I147" s="36"/>
      <c r="M147" s="28">
        <f>SUM(M22:M33)</f>
        <v>20368268.42542585</v>
      </c>
      <c r="N147" s="38">
        <f t="shared" si="7"/>
        <v>803024.7954258472</v>
      </c>
      <c r="O147" s="147">
        <f t="shared" si="8"/>
        <v>0.04104343450109377</v>
      </c>
    </row>
    <row r="148" spans="1:15" ht="12.75">
      <c r="A148" s="16">
        <v>2005</v>
      </c>
      <c r="B148" s="28">
        <f>SUM(B34:B45)</f>
        <v>21296193.109999996</v>
      </c>
      <c r="I148" s="36"/>
      <c r="M148" s="28">
        <f>SUM(M34:M45)</f>
        <v>21269886.833185665</v>
      </c>
      <c r="N148" s="38">
        <f t="shared" si="7"/>
        <v>-26306.27681433037</v>
      </c>
      <c r="O148" s="147">
        <f t="shared" si="8"/>
        <v>-0.001235257244262018</v>
      </c>
    </row>
    <row r="149" spans="1:15" ht="12.75">
      <c r="A149">
        <v>2006</v>
      </c>
      <c r="B149" s="28">
        <f>SUM(B46:B57)</f>
        <v>21179984.16</v>
      </c>
      <c r="I149" s="36"/>
      <c r="M149" s="28">
        <f>SUM(M46:M57)</f>
        <v>20820869.184442207</v>
      </c>
      <c r="N149" s="38">
        <f t="shared" si="7"/>
        <v>-359114.97555779293</v>
      </c>
      <c r="O149" s="147">
        <f t="shared" si="8"/>
        <v>-0.01695539396275889</v>
      </c>
    </row>
    <row r="150" spans="1:15" ht="12.75">
      <c r="A150" s="16">
        <v>2007</v>
      </c>
      <c r="B150" s="28">
        <f>SUM(B58:B69)</f>
        <v>20462652.85</v>
      </c>
      <c r="I150" s="36"/>
      <c r="M150" s="28">
        <f>SUM(M58:M69)</f>
        <v>20596942.382689204</v>
      </c>
      <c r="N150" s="38">
        <f t="shared" si="7"/>
        <v>134289.53268920258</v>
      </c>
      <c r="O150" s="147">
        <f t="shared" si="8"/>
        <v>0.006562664854532904</v>
      </c>
    </row>
    <row r="151" spans="1:15" ht="12.75">
      <c r="A151">
        <v>2008</v>
      </c>
      <c r="B151" s="28">
        <f>SUM(B70:B81)</f>
        <v>19599082.04</v>
      </c>
      <c r="I151" s="36"/>
      <c r="M151" s="28">
        <f>SUM(M70:M81)</f>
        <v>20342773.360433564</v>
      </c>
      <c r="N151" s="38">
        <f t="shared" si="7"/>
        <v>743691.3204335645</v>
      </c>
      <c r="O151" s="147">
        <f t="shared" si="8"/>
        <v>0.037945211868380166</v>
      </c>
    </row>
    <row r="152" spans="1:15" ht="12.75">
      <c r="A152" s="16">
        <v>2009</v>
      </c>
      <c r="B152" s="28">
        <f>SUM(B82:B93)</f>
        <v>20149611.83</v>
      </c>
      <c r="I152" s="36"/>
      <c r="M152" s="28">
        <f>SUM(M82:M93)</f>
        <v>19840669.524613567</v>
      </c>
      <c r="N152" s="38">
        <f t="shared" si="7"/>
        <v>-308942.3053864315</v>
      </c>
      <c r="O152" s="147">
        <f t="shared" si="8"/>
        <v>-0.015332419700833093</v>
      </c>
    </row>
    <row r="153" spans="1:15" ht="12.75">
      <c r="A153">
        <v>2010</v>
      </c>
      <c r="B153" s="28">
        <f>SUM(B94:B105)</f>
        <v>20409368.479999997</v>
      </c>
      <c r="I153" s="36"/>
      <c r="M153" s="28">
        <f>SUM(M94:M105)</f>
        <v>20276636.02086286</v>
      </c>
      <c r="N153" s="38">
        <f t="shared" si="7"/>
        <v>-132732.45913713798</v>
      </c>
      <c r="O153" s="147">
        <f t="shared" si="8"/>
        <v>-0.006503506429765729</v>
      </c>
    </row>
    <row r="154" spans="1:15" ht="12.75">
      <c r="A154">
        <v>2011</v>
      </c>
      <c r="B154" s="28">
        <f>SUM(B106:B117)</f>
        <v>20583076.520000003</v>
      </c>
      <c r="I154" s="36"/>
      <c r="M154" s="28">
        <f>SUM(M106:M117)</f>
        <v>20380221.081031267</v>
      </c>
      <c r="N154" s="38">
        <f t="shared" si="7"/>
        <v>-202855.43896873668</v>
      </c>
      <c r="O154" s="147">
        <f t="shared" si="8"/>
        <v>-0.009855447934210792</v>
      </c>
    </row>
    <row r="155" spans="1:15" ht="12.75">
      <c r="A155" s="16">
        <v>2012</v>
      </c>
      <c r="M155" s="6">
        <f>SUM(M118:M129)</f>
        <v>20313504.700796925</v>
      </c>
      <c r="N155" s="1"/>
      <c r="O155" s="1"/>
    </row>
    <row r="156" spans="1:15" ht="12.75">
      <c r="A156" s="16">
        <v>2013</v>
      </c>
      <c r="M156" s="6">
        <f>SUM(M130:M141)</f>
        <v>20392885.970798288</v>
      </c>
      <c r="N156" s="1"/>
      <c r="O156" s="1"/>
    </row>
    <row r="157" spans="13:15" ht="12.75">
      <c r="M157" s="6"/>
      <c r="N157" s="1"/>
      <c r="O157" s="1"/>
    </row>
    <row r="158" spans="1:15" ht="12.75">
      <c r="A158" t="s">
        <v>75</v>
      </c>
      <c r="B158" s="28">
        <f>SUM(B145:B154)</f>
        <v>196364773.8</v>
      </c>
      <c r="M158" s="28">
        <f>SUM(M145:M154)</f>
        <v>196364773.8000001</v>
      </c>
      <c r="N158" s="6">
        <f>M158-B158</f>
        <v>0</v>
      </c>
      <c r="O158" s="1"/>
    </row>
    <row r="159" spans="13:15" ht="12.75">
      <c r="M159" s="1"/>
      <c r="N159" s="1"/>
      <c r="O159" s="1"/>
    </row>
    <row r="160" spans="13:15" ht="12.75">
      <c r="M160" s="6">
        <f>SUM(M145:M156)</f>
        <v>237071164.47159532</v>
      </c>
      <c r="N160" s="50">
        <f>M160-M143</f>
        <v>0</v>
      </c>
      <c r="O160" s="1"/>
    </row>
    <row r="161" spans="13:15" ht="12.75">
      <c r="M161" s="19"/>
      <c r="N161" s="19" t="s">
        <v>57</v>
      </c>
      <c r="O161" s="19"/>
    </row>
    <row r="163" ht="12.75">
      <c r="B163" s="28" t="s">
        <v>297</v>
      </c>
    </row>
    <row r="164" spans="1:13" ht="12.75">
      <c r="A164" s="3">
        <v>41275</v>
      </c>
      <c r="C164" s="79">
        <f>Residential!C165</f>
        <v>715.3700000000001</v>
      </c>
      <c r="D164" s="79">
        <f>Residential!D165</f>
        <v>0</v>
      </c>
      <c r="E164" s="17">
        <v>0</v>
      </c>
      <c r="F164" s="17">
        <v>31</v>
      </c>
      <c r="G164" s="116">
        <f>G130</f>
        <v>699.491163891738</v>
      </c>
      <c r="H164" s="17">
        <f>H130</f>
        <v>277069.45914351544</v>
      </c>
      <c r="I164" s="17">
        <f aca="true" t="shared" si="9" ref="I164:I175">A164</f>
        <v>41275</v>
      </c>
      <c r="J164" s="86">
        <f>22*16</f>
        <v>352</v>
      </c>
      <c r="K164" s="17">
        <f>'[15]Data Input'!N171</f>
        <v>0</v>
      </c>
      <c r="L164" s="154">
        <v>147.88</v>
      </c>
      <c r="M164" s="17">
        <f aca="true" t="shared" si="10" ref="M164:M175">$P$18+$P$19*C164+$P$20*D164+$P$21*E164+$P$22*F164+$P$23*G164+$P$24*H164</f>
        <v>1897437.7513982654</v>
      </c>
    </row>
    <row r="165" spans="1:13" ht="12.75">
      <c r="A165" s="3">
        <v>41306</v>
      </c>
      <c r="C165" s="79">
        <f>Residential!C166</f>
        <v>636.53</v>
      </c>
      <c r="D165" s="79">
        <f>Residential!D166</f>
        <v>0</v>
      </c>
      <c r="E165" s="17">
        <v>0</v>
      </c>
      <c r="F165" s="17">
        <v>28</v>
      </c>
      <c r="G165" s="116">
        <f aca="true" t="shared" si="11" ref="G165:H175">G131</f>
        <v>700.283261264104</v>
      </c>
      <c r="H165" s="17">
        <f t="shared" si="11"/>
        <v>285557.69443343603</v>
      </c>
      <c r="I165" s="17">
        <f t="shared" si="9"/>
        <v>41306</v>
      </c>
      <c r="J165" s="86">
        <f>19*16</f>
        <v>304</v>
      </c>
      <c r="K165" s="17">
        <f>'[15]Data Input'!N172</f>
        <v>0</v>
      </c>
      <c r="L165" s="154">
        <v>148.08</v>
      </c>
      <c r="M165" s="17">
        <f t="shared" si="10"/>
        <v>1721702.6816472</v>
      </c>
    </row>
    <row r="166" spans="1:13" ht="12.75">
      <c r="A166" s="3">
        <v>41334</v>
      </c>
      <c r="C166" s="79">
        <f>Residential!C167</f>
        <v>542.55</v>
      </c>
      <c r="D166" s="79">
        <f>Residential!D167</f>
        <v>0</v>
      </c>
      <c r="E166" s="17">
        <v>1</v>
      </c>
      <c r="F166" s="17">
        <v>31</v>
      </c>
      <c r="G166" s="116">
        <f t="shared" si="11"/>
        <v>701.075358636471</v>
      </c>
      <c r="H166" s="17">
        <f t="shared" si="11"/>
        <v>294045.9297233566</v>
      </c>
      <c r="I166" s="17">
        <f t="shared" si="9"/>
        <v>41334</v>
      </c>
      <c r="J166" s="86">
        <f>20*16</f>
        <v>320</v>
      </c>
      <c r="K166" s="17">
        <f>'[15]Data Input'!N173</f>
        <v>0</v>
      </c>
      <c r="L166" s="154">
        <v>148.27</v>
      </c>
      <c r="M166" s="17">
        <f t="shared" si="10"/>
        <v>1749393.9872153574</v>
      </c>
    </row>
    <row r="167" spans="1:13" ht="12.75">
      <c r="A167" s="3">
        <v>41365</v>
      </c>
      <c r="C167" s="79">
        <f>Residential!C168</f>
        <v>310.71000000000004</v>
      </c>
      <c r="D167" s="79">
        <f>Residential!D168</f>
        <v>1.19</v>
      </c>
      <c r="E167" s="17">
        <v>1</v>
      </c>
      <c r="F167" s="17">
        <v>30</v>
      </c>
      <c r="G167" s="116">
        <f t="shared" si="11"/>
        <v>701.867456008837</v>
      </c>
      <c r="H167" s="17">
        <f t="shared" si="11"/>
        <v>302534.1650132772</v>
      </c>
      <c r="I167" s="17">
        <f t="shared" si="9"/>
        <v>41365</v>
      </c>
      <c r="J167" s="86">
        <f>22*16</f>
        <v>352</v>
      </c>
      <c r="K167" s="17">
        <f>'[15]Data Input'!N174</f>
        <v>0</v>
      </c>
      <c r="L167" s="154">
        <v>148.46</v>
      </c>
      <c r="M167" s="17">
        <f t="shared" si="10"/>
        <v>1595449.5539863678</v>
      </c>
    </row>
    <row r="168" spans="1:13" ht="12.75">
      <c r="A168" s="3">
        <v>41395</v>
      </c>
      <c r="C168" s="79">
        <f>Residential!C169</f>
        <v>162.13</v>
      </c>
      <c r="D168" s="79">
        <f>Residential!D169</f>
        <v>13.37</v>
      </c>
      <c r="E168" s="17">
        <v>1</v>
      </c>
      <c r="F168" s="17">
        <v>31</v>
      </c>
      <c r="G168" s="116">
        <f t="shared" si="11"/>
        <v>702.659553381204</v>
      </c>
      <c r="H168" s="17">
        <f t="shared" si="11"/>
        <v>311022.4003031978</v>
      </c>
      <c r="I168" s="17">
        <f t="shared" si="9"/>
        <v>41395</v>
      </c>
      <c r="J168" s="86">
        <f>22*16</f>
        <v>352</v>
      </c>
      <c r="K168" s="17">
        <f>'[15]Data Input'!N175</f>
        <v>0</v>
      </c>
      <c r="L168" s="154">
        <v>148.65</v>
      </c>
      <c r="M168" s="17">
        <f t="shared" si="10"/>
        <v>1592986.9160718096</v>
      </c>
    </row>
    <row r="169" spans="1:13" ht="12.75">
      <c r="A169" s="3">
        <v>41426</v>
      </c>
      <c r="C169" s="79">
        <f>Residential!C170</f>
        <v>28.139999999999997</v>
      </c>
      <c r="D169" s="79">
        <f>Residential!D170</f>
        <v>69.02000000000001</v>
      </c>
      <c r="E169" s="17">
        <v>0</v>
      </c>
      <c r="F169" s="17">
        <v>30</v>
      </c>
      <c r="G169" s="116">
        <f t="shared" si="11"/>
        <v>703.45165075357</v>
      </c>
      <c r="H169" s="17">
        <f t="shared" si="11"/>
        <v>319510.6355931184</v>
      </c>
      <c r="I169" s="17">
        <f t="shared" si="9"/>
        <v>41426</v>
      </c>
      <c r="J169" s="86">
        <f>20*16</f>
        <v>320</v>
      </c>
      <c r="K169" s="17">
        <f>'[15]Data Input'!N176</f>
        <v>0</v>
      </c>
      <c r="L169" s="154">
        <v>148.85</v>
      </c>
      <c r="M169" s="17">
        <f t="shared" si="10"/>
        <v>1653448.3040025653</v>
      </c>
    </row>
    <row r="170" spans="1:13" ht="12.75">
      <c r="A170" s="3">
        <v>41456</v>
      </c>
      <c r="C170" s="79">
        <f>Residential!C171</f>
        <v>1.6</v>
      </c>
      <c r="D170" s="79">
        <f>Residential!D171</f>
        <v>137.73</v>
      </c>
      <c r="E170" s="17">
        <v>0</v>
      </c>
      <c r="F170" s="17">
        <v>31</v>
      </c>
      <c r="G170" s="116">
        <f t="shared" si="11"/>
        <v>704.243748125937</v>
      </c>
      <c r="H170" s="17">
        <f t="shared" si="11"/>
        <v>327998.87088303897</v>
      </c>
      <c r="I170" s="17">
        <f t="shared" si="9"/>
        <v>41456</v>
      </c>
      <c r="J170" s="86">
        <f>22*16</f>
        <v>352</v>
      </c>
      <c r="K170" s="17">
        <f>'[15]Data Input'!N177</f>
        <v>0</v>
      </c>
      <c r="L170" s="154">
        <v>149.04</v>
      </c>
      <c r="M170" s="17">
        <f t="shared" si="10"/>
        <v>1817757.0228706133</v>
      </c>
    </row>
    <row r="171" spans="1:13" ht="12.75">
      <c r="A171" s="3">
        <v>41487</v>
      </c>
      <c r="C171" s="79">
        <f>Residential!C172</f>
        <v>4.92</v>
      </c>
      <c r="D171" s="79">
        <f>Residential!D172</f>
        <v>112.96000000000001</v>
      </c>
      <c r="E171" s="17">
        <v>0</v>
      </c>
      <c r="F171" s="17">
        <v>31</v>
      </c>
      <c r="G171" s="116">
        <f t="shared" si="11"/>
        <v>705.035845498303</v>
      </c>
      <c r="H171" s="17">
        <f t="shared" si="11"/>
        <v>336487.10617295955</v>
      </c>
      <c r="I171" s="17">
        <f t="shared" si="9"/>
        <v>41487</v>
      </c>
      <c r="J171" s="86">
        <f>21*16</f>
        <v>336</v>
      </c>
      <c r="K171" s="17">
        <f>'[15]Data Input'!N178</f>
        <v>0</v>
      </c>
      <c r="L171" s="154">
        <v>149.23</v>
      </c>
      <c r="M171" s="17">
        <f t="shared" si="10"/>
        <v>1769244.7584680687</v>
      </c>
    </row>
    <row r="172" spans="1:13" ht="12.75">
      <c r="A172" s="3">
        <v>41518</v>
      </c>
      <c r="C172" s="79">
        <f>Residential!C173</f>
        <v>48.76</v>
      </c>
      <c r="D172" s="79">
        <f>Residential!D173</f>
        <v>38.41</v>
      </c>
      <c r="E172" s="17">
        <v>1</v>
      </c>
      <c r="F172" s="17">
        <v>30</v>
      </c>
      <c r="G172" s="116">
        <f t="shared" si="11"/>
        <v>705.827942870669</v>
      </c>
      <c r="H172" s="17">
        <f t="shared" si="11"/>
        <v>344975.34146288014</v>
      </c>
      <c r="I172" s="17">
        <f t="shared" si="9"/>
        <v>41518</v>
      </c>
      <c r="J172" s="86">
        <f>20*16</f>
        <v>320</v>
      </c>
      <c r="K172" s="17">
        <f>'[15]Data Input'!N179</f>
        <v>0</v>
      </c>
      <c r="L172" s="154">
        <v>149.42</v>
      </c>
      <c r="M172" s="17">
        <f t="shared" si="10"/>
        <v>1534645.0994028694</v>
      </c>
    </row>
    <row r="173" spans="1:13" ht="12.75">
      <c r="A173" s="3">
        <v>41548</v>
      </c>
      <c r="C173" s="79">
        <f>Residential!C174</f>
        <v>248.42000000000002</v>
      </c>
      <c r="D173" s="79">
        <f>Residential!D174</f>
        <v>4.24</v>
      </c>
      <c r="E173" s="17">
        <v>1</v>
      </c>
      <c r="F173" s="17">
        <v>31</v>
      </c>
      <c r="G173" s="116">
        <f t="shared" si="11"/>
        <v>706.620040243036</v>
      </c>
      <c r="H173" s="17">
        <f t="shared" si="11"/>
        <v>353463.5767528007</v>
      </c>
      <c r="I173" s="17">
        <f t="shared" si="9"/>
        <v>41548</v>
      </c>
      <c r="J173" s="86">
        <f>22*16</f>
        <v>352</v>
      </c>
      <c r="K173" s="17">
        <f>'[15]Data Input'!N180</f>
        <v>0</v>
      </c>
      <c r="L173" s="154">
        <v>149.62</v>
      </c>
      <c r="M173" s="17">
        <f t="shared" si="10"/>
        <v>1605481.6081286084</v>
      </c>
    </row>
    <row r="174" spans="1:13" ht="12.75">
      <c r="A174" s="3">
        <v>41579</v>
      </c>
      <c r="C174" s="79">
        <f>Residential!C175</f>
        <v>401.59</v>
      </c>
      <c r="D174" s="79">
        <f>Residential!D175</f>
        <v>0</v>
      </c>
      <c r="E174" s="17">
        <v>1</v>
      </c>
      <c r="F174" s="17">
        <v>30</v>
      </c>
      <c r="G174" s="116">
        <f t="shared" si="11"/>
        <v>707.412137615402</v>
      </c>
      <c r="H174" s="17">
        <f t="shared" si="11"/>
        <v>361951.8120427213</v>
      </c>
      <c r="I174" s="17">
        <f t="shared" si="9"/>
        <v>41579</v>
      </c>
      <c r="J174" s="86">
        <f>21*16</f>
        <v>336</v>
      </c>
      <c r="K174" s="17">
        <f>'[15]Data Input'!N181</f>
        <v>0</v>
      </c>
      <c r="L174" s="154">
        <v>149.81</v>
      </c>
      <c r="M174" s="17">
        <f t="shared" si="10"/>
        <v>1621394.3835747144</v>
      </c>
    </row>
    <row r="175" spans="1:14" ht="12.75">
      <c r="A175" s="3">
        <v>41609</v>
      </c>
      <c r="C175" s="79">
        <f>Residential!C176</f>
        <v>611.69</v>
      </c>
      <c r="D175" s="79">
        <f>Residential!D176</f>
        <v>0</v>
      </c>
      <c r="E175" s="17">
        <v>0</v>
      </c>
      <c r="F175" s="17">
        <v>31</v>
      </c>
      <c r="G175" s="116">
        <f t="shared" si="11"/>
        <v>708.204234987769</v>
      </c>
      <c r="H175" s="17">
        <f t="shared" si="11"/>
        <v>370440.0473326419</v>
      </c>
      <c r="I175" s="17">
        <f t="shared" si="9"/>
        <v>41609</v>
      </c>
      <c r="J175" s="86">
        <f>20*16</f>
        <v>320</v>
      </c>
      <c r="K175" s="17">
        <f>'[15]Data Input'!N182</f>
        <v>0</v>
      </c>
      <c r="L175" s="154">
        <v>150</v>
      </c>
      <c r="M175" s="17">
        <f t="shared" si="10"/>
        <v>1826347.7832842807</v>
      </c>
      <c r="N175" s="78">
        <f>SUM(M164:M175)</f>
        <v>20385289.850050718</v>
      </c>
    </row>
    <row r="176" spans="5:6" ht="12.75">
      <c r="E176" s="28"/>
      <c r="F176" s="28"/>
    </row>
    <row r="177" ht="12.75">
      <c r="B177" s="28" t="s">
        <v>95</v>
      </c>
    </row>
    <row r="178" spans="1:13" ht="12.75">
      <c r="A178" s="3">
        <v>41275</v>
      </c>
      <c r="C178" s="79">
        <f>Residential!C179</f>
        <v>715.55</v>
      </c>
      <c r="D178" s="79">
        <f>Residential!D179</f>
        <v>0</v>
      </c>
      <c r="E178" s="17">
        <v>0</v>
      </c>
      <c r="F178" s="17">
        <v>31</v>
      </c>
      <c r="G178" s="116">
        <f>G164</f>
        <v>699.491163891738</v>
      </c>
      <c r="H178" s="17">
        <f>H164</f>
        <v>277069.45914351544</v>
      </c>
      <c r="I178" s="17">
        <f aca="true" t="shared" si="12" ref="I178:I189">A178</f>
        <v>41275</v>
      </c>
      <c r="J178" s="86">
        <f>22*16</f>
        <v>352</v>
      </c>
      <c r="K178" s="17">
        <f>'[15]Data Input'!N185</f>
        <v>0</v>
      </c>
      <c r="L178" s="154">
        <v>147.88</v>
      </c>
      <c r="M178" s="17">
        <f aca="true" t="shared" si="13" ref="M178:M189">$P$18+$P$19*C178+$P$20*D178+$P$21*E178+$P$22*F178+$P$23*G178+$P$24*H178</f>
        <v>1897522.0846883971</v>
      </c>
    </row>
    <row r="179" spans="1:13" ht="12.75">
      <c r="A179" s="3">
        <v>41306</v>
      </c>
      <c r="C179" s="79">
        <f>Residential!C180</f>
        <v>620.5945864661653</v>
      </c>
      <c r="D179" s="79">
        <f>Residential!D180</f>
        <v>0</v>
      </c>
      <c r="E179" s="17">
        <v>0</v>
      </c>
      <c r="F179" s="17">
        <v>28</v>
      </c>
      <c r="G179" s="116">
        <f aca="true" t="shared" si="14" ref="G179:H189">G165</f>
        <v>700.283261264104</v>
      </c>
      <c r="H179" s="17">
        <f t="shared" si="14"/>
        <v>285557.69443343603</v>
      </c>
      <c r="I179" s="17">
        <f t="shared" si="12"/>
        <v>41306</v>
      </c>
      <c r="J179" s="86">
        <f>19*16</f>
        <v>304</v>
      </c>
      <c r="K179" s="17">
        <f>'[15]Data Input'!N186</f>
        <v>0</v>
      </c>
      <c r="L179" s="154">
        <v>148.08</v>
      </c>
      <c r="M179" s="17">
        <f t="shared" si="13"/>
        <v>1714236.6491309882</v>
      </c>
    </row>
    <row r="180" spans="1:13" ht="12.75">
      <c r="A180" s="3">
        <v>41334</v>
      </c>
      <c r="C180" s="79">
        <f>Residential!C181</f>
        <v>524.8575939849625</v>
      </c>
      <c r="D180" s="79">
        <f>Residential!D181</f>
        <v>0</v>
      </c>
      <c r="E180" s="17">
        <v>1</v>
      </c>
      <c r="F180" s="17">
        <v>31</v>
      </c>
      <c r="G180" s="116">
        <f t="shared" si="14"/>
        <v>701.075358636471</v>
      </c>
      <c r="H180" s="17">
        <f t="shared" si="14"/>
        <v>294045.9297233566</v>
      </c>
      <c r="I180" s="17">
        <f t="shared" si="12"/>
        <v>41334</v>
      </c>
      <c r="J180" s="86">
        <f>20*16</f>
        <v>320</v>
      </c>
      <c r="K180" s="17">
        <f>'[15]Data Input'!N187</f>
        <v>0</v>
      </c>
      <c r="L180" s="154">
        <v>148.27</v>
      </c>
      <c r="M180" s="17">
        <f t="shared" si="13"/>
        <v>1741104.771606498</v>
      </c>
    </row>
    <row r="181" spans="1:13" ht="12.75">
      <c r="A181" s="3">
        <v>41365</v>
      </c>
      <c r="C181" s="79">
        <f>Residential!C182</f>
        <v>282.7303759398492</v>
      </c>
      <c r="D181" s="79">
        <f>Residential!D182</f>
        <v>0.9027067669172908</v>
      </c>
      <c r="E181" s="17">
        <v>1</v>
      </c>
      <c r="F181" s="17">
        <v>30</v>
      </c>
      <c r="G181" s="116">
        <f t="shared" si="14"/>
        <v>701.867456008837</v>
      </c>
      <c r="H181" s="17">
        <f t="shared" si="14"/>
        <v>302534.1650132772</v>
      </c>
      <c r="I181" s="17">
        <f t="shared" si="12"/>
        <v>41365</v>
      </c>
      <c r="J181" s="86">
        <f>22*16</f>
        <v>352</v>
      </c>
      <c r="K181" s="17">
        <f>'[15]Data Input'!N188</f>
        <v>0</v>
      </c>
      <c r="L181" s="154">
        <v>148.46</v>
      </c>
      <c r="M181" s="17">
        <f t="shared" si="13"/>
        <v>1581783.6200308409</v>
      </c>
    </row>
    <row r="182" spans="1:13" ht="12.75">
      <c r="A182" s="3">
        <v>41395</v>
      </c>
      <c r="C182" s="79">
        <f>Residential!C183</f>
        <v>137.9461654135339</v>
      </c>
      <c r="D182" s="79">
        <f>Residential!D183</f>
        <v>20.2065413533835</v>
      </c>
      <c r="E182" s="17">
        <v>1</v>
      </c>
      <c r="F182" s="17">
        <v>31</v>
      </c>
      <c r="G182" s="116">
        <f t="shared" si="14"/>
        <v>702.659553381204</v>
      </c>
      <c r="H182" s="17">
        <f t="shared" si="14"/>
        <v>311022.4003031978</v>
      </c>
      <c r="I182" s="17">
        <f t="shared" si="12"/>
        <v>41395</v>
      </c>
      <c r="J182" s="86">
        <f>22*16</f>
        <v>352</v>
      </c>
      <c r="K182" s="17">
        <f>'[15]Data Input'!N189</f>
        <v>0</v>
      </c>
      <c r="L182" s="154">
        <v>148.65</v>
      </c>
      <c r="M182" s="17">
        <f t="shared" si="13"/>
        <v>1594910.1900133777</v>
      </c>
    </row>
    <row r="183" spans="1:13" ht="12.75">
      <c r="A183" s="3">
        <v>41426</v>
      </c>
      <c r="C183" s="79">
        <f>Residential!C184</f>
        <v>20.17789473684229</v>
      </c>
      <c r="D183" s="79">
        <f>Residential!D184</f>
        <v>77.74353383458674</v>
      </c>
      <c r="E183" s="17">
        <v>0</v>
      </c>
      <c r="F183" s="17">
        <v>30</v>
      </c>
      <c r="G183" s="116">
        <f t="shared" si="14"/>
        <v>703.45165075357</v>
      </c>
      <c r="H183" s="17">
        <f t="shared" si="14"/>
        <v>319510.6355931184</v>
      </c>
      <c r="I183" s="17">
        <f t="shared" si="12"/>
        <v>41426</v>
      </c>
      <c r="J183" s="86">
        <f>20*16</f>
        <v>320</v>
      </c>
      <c r="K183" s="17">
        <f>'[15]Data Input'!N190</f>
        <v>0</v>
      </c>
      <c r="L183" s="154">
        <v>148.85</v>
      </c>
      <c r="M183" s="17">
        <f t="shared" si="13"/>
        <v>1666630.0227379005</v>
      </c>
    </row>
    <row r="184" spans="1:13" ht="12.75">
      <c r="A184" s="3">
        <v>41456</v>
      </c>
      <c r="C184" s="79">
        <f>Residential!C185</f>
        <v>-1.4312781954886304</v>
      </c>
      <c r="D184" s="79">
        <f>Residential!D185</f>
        <v>157.18135338345837</v>
      </c>
      <c r="E184" s="17">
        <v>0</v>
      </c>
      <c r="F184" s="17">
        <v>31</v>
      </c>
      <c r="G184" s="116">
        <f t="shared" si="14"/>
        <v>704.243748125937</v>
      </c>
      <c r="H184" s="17">
        <f t="shared" si="14"/>
        <v>327998.87088303897</v>
      </c>
      <c r="I184" s="17">
        <f t="shared" si="12"/>
        <v>41456</v>
      </c>
      <c r="J184" s="86">
        <f>22*16</f>
        <v>352</v>
      </c>
      <c r="K184" s="17">
        <f>'[15]Data Input'!N191</f>
        <v>0</v>
      </c>
      <c r="L184" s="154">
        <v>149.04</v>
      </c>
      <c r="M184" s="17">
        <f t="shared" si="13"/>
        <v>1854046.6965405303</v>
      </c>
    </row>
    <row r="185" spans="1:13" ht="12.75">
      <c r="A185" s="3">
        <v>41487</v>
      </c>
      <c r="C185" s="79">
        <f>Residential!C186</f>
        <v>-0.594962406014929</v>
      </c>
      <c r="D185" s="79">
        <f>Residential!D186</f>
        <v>130.70556390977436</v>
      </c>
      <c r="E185" s="17">
        <v>0</v>
      </c>
      <c r="F185" s="17">
        <v>31</v>
      </c>
      <c r="G185" s="116">
        <f t="shared" si="14"/>
        <v>705.035845498303</v>
      </c>
      <c r="H185" s="17">
        <f t="shared" si="14"/>
        <v>336487.10617295955</v>
      </c>
      <c r="I185" s="17">
        <f t="shared" si="12"/>
        <v>41487</v>
      </c>
      <c r="J185" s="86">
        <f>21*16</f>
        <v>336</v>
      </c>
      <c r="K185" s="17">
        <f>'[15]Data Input'!N192</f>
        <v>0</v>
      </c>
      <c r="L185" s="154">
        <v>149.23</v>
      </c>
      <c r="M185" s="17">
        <f t="shared" si="13"/>
        <v>1801063.8066142637</v>
      </c>
    </row>
    <row r="186" spans="1:13" ht="12.75">
      <c r="A186" s="3">
        <v>41518</v>
      </c>
      <c r="C186" s="79">
        <f>Residential!C187</f>
        <v>35.33406015037599</v>
      </c>
      <c r="D186" s="79">
        <f>Residential!D187</f>
        <v>42.468045112781965</v>
      </c>
      <c r="E186" s="17">
        <v>1</v>
      </c>
      <c r="F186" s="17">
        <v>30</v>
      </c>
      <c r="G186" s="116">
        <f t="shared" si="14"/>
        <v>705.827942870669</v>
      </c>
      <c r="H186" s="17">
        <f t="shared" si="14"/>
        <v>344975.34146288014</v>
      </c>
      <c r="I186" s="17">
        <f t="shared" si="12"/>
        <v>41518</v>
      </c>
      <c r="J186" s="86">
        <f>20*16</f>
        <v>320</v>
      </c>
      <c r="K186" s="17">
        <f>'[15]Data Input'!N193</f>
        <v>0</v>
      </c>
      <c r="L186" s="154">
        <v>149.42</v>
      </c>
      <c r="M186" s="17">
        <f t="shared" si="13"/>
        <v>1536222.03812652</v>
      </c>
    </row>
    <row r="187" spans="1:13" ht="12.75">
      <c r="A187" s="3">
        <v>41548</v>
      </c>
      <c r="C187" s="79">
        <f>Residential!C188</f>
        <v>239.25263157894756</v>
      </c>
      <c r="D187" s="79">
        <f>Residential!D188</f>
        <v>4.685939849624049</v>
      </c>
      <c r="E187" s="17">
        <v>1</v>
      </c>
      <c r="F187" s="17">
        <v>31</v>
      </c>
      <c r="G187" s="116">
        <f t="shared" si="14"/>
        <v>706.620040243036</v>
      </c>
      <c r="H187" s="17">
        <f t="shared" si="14"/>
        <v>353463.5767528007</v>
      </c>
      <c r="I187" s="17">
        <f t="shared" si="12"/>
        <v>41548</v>
      </c>
      <c r="J187" s="86">
        <f>22*16</f>
        <v>352</v>
      </c>
      <c r="K187" s="17">
        <f>'[15]Data Input'!N194</f>
        <v>0</v>
      </c>
      <c r="L187" s="154">
        <v>149.62</v>
      </c>
      <c r="M187" s="17">
        <f t="shared" si="13"/>
        <v>1602051.0615922257</v>
      </c>
    </row>
    <row r="188" spans="1:13" ht="12.75">
      <c r="A188" s="3">
        <v>41579</v>
      </c>
      <c r="C188" s="79">
        <f>Residential!C189</f>
        <v>383.57157894736883</v>
      </c>
      <c r="D188" s="79">
        <f>Residential!D189</f>
        <v>0</v>
      </c>
      <c r="E188" s="17">
        <v>1</v>
      </c>
      <c r="F188" s="17">
        <v>30</v>
      </c>
      <c r="G188" s="116">
        <f t="shared" si="14"/>
        <v>707.412137615402</v>
      </c>
      <c r="H188" s="17">
        <f t="shared" si="14"/>
        <v>361951.8120427213</v>
      </c>
      <c r="I188" s="17">
        <f t="shared" si="12"/>
        <v>41579</v>
      </c>
      <c r="J188" s="86">
        <f>21*16</f>
        <v>336</v>
      </c>
      <c r="K188" s="17">
        <f>'[15]Data Input'!N195</f>
        <v>0</v>
      </c>
      <c r="L188" s="154">
        <v>149.81</v>
      </c>
      <c r="M188" s="17">
        <f t="shared" si="13"/>
        <v>1612952.4239616734</v>
      </c>
    </row>
    <row r="189" spans="1:14" ht="12.75">
      <c r="A189" s="3">
        <v>41609</v>
      </c>
      <c r="C189" s="79">
        <f>Residential!C190</f>
        <v>633.5680451127819</v>
      </c>
      <c r="D189" s="79">
        <f>Residential!D190</f>
        <v>0</v>
      </c>
      <c r="E189" s="17">
        <v>0</v>
      </c>
      <c r="F189" s="17">
        <v>31</v>
      </c>
      <c r="G189" s="116">
        <f t="shared" si="14"/>
        <v>708.204234987769</v>
      </c>
      <c r="H189" s="17">
        <f t="shared" si="14"/>
        <v>370440.0473326419</v>
      </c>
      <c r="I189" s="17">
        <f t="shared" si="12"/>
        <v>41609</v>
      </c>
      <c r="J189" s="86">
        <f>20*16</f>
        <v>320</v>
      </c>
      <c r="K189" s="17">
        <f>'[15]Data Input'!N196</f>
        <v>0</v>
      </c>
      <c r="L189" s="154">
        <v>150</v>
      </c>
      <c r="M189" s="17">
        <f t="shared" si="13"/>
        <v>1836598.0473176779</v>
      </c>
      <c r="N189" s="78">
        <f>SUM(M178:M189)</f>
        <v>20439121.41236089</v>
      </c>
    </row>
  </sheetData>
  <sheetProtection/>
  <mergeCells count="1">
    <mergeCell ref="I1:L1"/>
  </mergeCells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6"/>
  <sheetViews>
    <sheetView zoomScalePageLayoutView="0" workbookViewId="0" topLeftCell="A1">
      <pane xSplit="1" ySplit="2" topLeftCell="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4" sqref="O4:P9"/>
    </sheetView>
  </sheetViews>
  <sheetFormatPr defaultColWidth="9.140625" defaultRowHeight="12.75"/>
  <cols>
    <col min="1" max="1" width="11.8515625" style="0" customWidth="1"/>
    <col min="2" max="2" width="18.00390625" style="28" customWidth="1"/>
    <col min="3" max="3" width="11.7109375" style="24" customWidth="1"/>
    <col min="4" max="4" width="13.421875" style="24" customWidth="1"/>
    <col min="5" max="7" width="12.421875" style="24" customWidth="1"/>
    <col min="8" max="8" width="10.140625" style="24" customWidth="1"/>
    <col min="9" max="10" width="12.421875" style="24" customWidth="1"/>
    <col min="11" max="11" width="12.421875" style="24" hidden="1" customWidth="1"/>
    <col min="12" max="12" width="14.421875" style="36" hidden="1" customWidth="1"/>
    <col min="13" max="13" width="12.421875" style="24" customWidth="1"/>
    <col min="14" max="14" width="29.00390625" style="24" bestFit="1" customWidth="1"/>
    <col min="15" max="15" width="26.421875" style="24" customWidth="1"/>
    <col min="16" max="16" width="22.7109375" style="24" customWidth="1"/>
    <col min="17" max="17" width="15.7109375" style="1" customWidth="1"/>
    <col min="18" max="18" width="17.00390625" style="1" customWidth="1"/>
    <col min="19" max="19" width="12.421875" style="1" customWidth="1"/>
    <col min="20" max="20" width="25.8515625" style="0" bestFit="1" customWidth="1"/>
    <col min="21" max="21" width="18.00390625" style="0" customWidth="1"/>
    <col min="22" max="22" width="17.140625" style="0" customWidth="1"/>
    <col min="23" max="23" width="25.8515625" style="0" bestFit="1" customWidth="1"/>
    <col min="24" max="24" width="12.57421875" style="150" bestFit="1" customWidth="1"/>
    <col min="25" max="25" width="19.28125" style="150" bestFit="1" customWidth="1"/>
    <col min="26" max="26" width="21.00390625" style="150" bestFit="1" customWidth="1"/>
    <col min="27" max="27" width="19.140625" style="150" bestFit="1" customWidth="1"/>
    <col min="28" max="29" width="23.00390625" style="150" bestFit="1" customWidth="1"/>
    <col min="30" max="30" width="12.57421875" style="150" customWidth="1"/>
    <col min="31" max="31" width="21.00390625" style="150" bestFit="1" customWidth="1"/>
    <col min="32" max="32" width="20.140625" style="150" bestFit="1" customWidth="1"/>
    <col min="33" max="33" width="26.140625" style="150" bestFit="1" customWidth="1"/>
    <col min="35" max="35" width="11.7109375" style="0" bestFit="1" customWidth="1"/>
    <col min="36" max="36" width="10.7109375" style="0" bestFit="1" customWidth="1"/>
    <col min="38" max="38" width="9.140625" style="6" customWidth="1"/>
  </cols>
  <sheetData>
    <row r="1" spans="3:13" ht="12.75">
      <c r="C1" s="443" t="s">
        <v>97</v>
      </c>
      <c r="D1" s="443"/>
      <c r="E1" s="443"/>
      <c r="F1" s="443"/>
      <c r="G1" s="443"/>
      <c r="H1" s="443"/>
      <c r="I1" s="443"/>
      <c r="J1" s="443"/>
      <c r="K1" s="443"/>
      <c r="L1" s="443"/>
      <c r="M1" s="146"/>
    </row>
    <row r="2" spans="2:33" ht="42" customHeight="1">
      <c r="B2" s="76" t="s">
        <v>72</v>
      </c>
      <c r="C2" s="77" t="s">
        <v>2</v>
      </c>
      <c r="D2" s="77" t="s">
        <v>3</v>
      </c>
      <c r="E2" s="12" t="s">
        <v>149</v>
      </c>
      <c r="F2" s="77" t="s">
        <v>18</v>
      </c>
      <c r="G2" s="77" t="s">
        <v>164</v>
      </c>
      <c r="H2" s="77" t="s">
        <v>4</v>
      </c>
      <c r="I2" s="77" t="s">
        <v>152</v>
      </c>
      <c r="J2" s="77" t="s">
        <v>59</v>
      </c>
      <c r="K2" s="77" t="s">
        <v>74</v>
      </c>
      <c r="L2" s="80" t="s">
        <v>5</v>
      </c>
      <c r="M2" s="117" t="s">
        <v>153</v>
      </c>
      <c r="O2" t="s">
        <v>19</v>
      </c>
      <c r="P2"/>
      <c r="Q2"/>
      <c r="R2"/>
      <c r="S2"/>
      <c r="X2"/>
      <c r="Y2"/>
      <c r="Z2"/>
      <c r="AA2"/>
      <c r="AB2"/>
      <c r="AC2"/>
      <c r="AD2"/>
      <c r="AE2"/>
      <c r="AF2"/>
      <c r="AG2"/>
    </row>
    <row r="3" spans="1:33" ht="13.5" thickBot="1">
      <c r="A3" s="3">
        <v>37408</v>
      </c>
      <c r="B3" s="28">
        <f>+'[15]Data Input'!$CT10</f>
        <v>4843401.399999999</v>
      </c>
      <c r="C3" s="24">
        <f>'Purchased Power Model '!C5</f>
        <v>36.2</v>
      </c>
      <c r="D3" s="24">
        <f>'Purchased Power Model '!D5</f>
        <v>70</v>
      </c>
      <c r="E3" s="10">
        <f>'Purchased Power Model '!F5</f>
        <v>319.68</v>
      </c>
      <c r="F3" s="17">
        <f>'Purchased Power Model '!L5</f>
        <v>0</v>
      </c>
      <c r="G3" s="17">
        <f aca="true" t="shared" si="0" ref="G3:G34">A3</f>
        <v>37408</v>
      </c>
      <c r="H3" s="17">
        <f>'Purchased Power Model '!E5</f>
        <v>30</v>
      </c>
      <c r="I3" s="116">
        <f>'Purchased Power Model '!K5</f>
        <v>581.8</v>
      </c>
      <c r="J3" s="17">
        <f>+'[15]Data Input'!$CR10</f>
        <v>48</v>
      </c>
      <c r="K3" s="17">
        <f>'Purchased Power Model '!G5</f>
        <v>0</v>
      </c>
      <c r="L3" s="36">
        <f>'Purchased Power Model '!I5</f>
        <v>123.31120824213403</v>
      </c>
      <c r="M3" s="17"/>
      <c r="O3"/>
      <c r="P3"/>
      <c r="Q3"/>
      <c r="R3"/>
      <c r="S3"/>
      <c r="X3"/>
      <c r="Y3"/>
      <c r="Z3"/>
      <c r="AA3"/>
      <c r="AB3"/>
      <c r="AC3"/>
      <c r="AD3"/>
      <c r="AE3"/>
      <c r="AF3"/>
      <c r="AG3"/>
    </row>
    <row r="4" spans="1:33" ht="12.75">
      <c r="A4" s="3">
        <v>37438</v>
      </c>
      <c r="B4" s="28">
        <f>+'[15]Data Input'!$CT11</f>
        <v>4964308.52</v>
      </c>
      <c r="C4" s="24">
        <f>'Purchased Power Model '!C6</f>
        <v>0</v>
      </c>
      <c r="D4" s="24">
        <f>'Purchased Power Model '!D6</f>
        <v>192.4</v>
      </c>
      <c r="E4" s="10">
        <f>'Purchased Power Model '!F6</f>
        <v>351.912</v>
      </c>
      <c r="F4" s="17">
        <f>'Purchased Power Model '!L6</f>
        <v>0</v>
      </c>
      <c r="G4" s="17">
        <f t="shared" si="0"/>
        <v>37438</v>
      </c>
      <c r="H4" s="17">
        <f>'Purchased Power Model '!E6</f>
        <v>31</v>
      </c>
      <c r="I4" s="116">
        <f>'Purchased Power Model '!K6</f>
        <v>584.7</v>
      </c>
      <c r="J4" s="17">
        <f>+'[15]Data Input'!$CR11</f>
        <v>51</v>
      </c>
      <c r="K4" s="17">
        <f>'Purchased Power Model '!G6</f>
        <v>0</v>
      </c>
      <c r="L4" s="36">
        <f>'Purchased Power Model '!I6</f>
        <v>123.67575966778612</v>
      </c>
      <c r="M4" s="17"/>
      <c r="O4" s="213" t="s">
        <v>20</v>
      </c>
      <c r="P4" s="213"/>
      <c r="Q4"/>
      <c r="R4"/>
      <c r="S4"/>
      <c r="X4"/>
      <c r="Y4"/>
      <c r="Z4"/>
      <c r="AA4"/>
      <c r="AB4"/>
      <c r="AC4"/>
      <c r="AD4"/>
      <c r="AE4"/>
      <c r="AF4"/>
      <c r="AG4"/>
    </row>
    <row r="5" spans="1:33" ht="12.75">
      <c r="A5" s="3">
        <v>37469</v>
      </c>
      <c r="B5" s="28">
        <f>+'[15]Data Input'!$CT12</f>
        <v>5208532.48</v>
      </c>
      <c r="C5" s="24">
        <f>'Purchased Power Model '!C7</f>
        <v>0.2</v>
      </c>
      <c r="D5" s="24">
        <f>'Purchased Power Model '!D7</f>
        <v>142.7</v>
      </c>
      <c r="E5" s="10">
        <f>'Purchased Power Model '!F7</f>
        <v>336.288</v>
      </c>
      <c r="F5" s="17">
        <f>'Purchased Power Model '!L7</f>
        <v>0</v>
      </c>
      <c r="G5" s="17">
        <f t="shared" si="0"/>
        <v>37469</v>
      </c>
      <c r="H5" s="17">
        <f>'Purchased Power Model '!E7</f>
        <v>31</v>
      </c>
      <c r="I5" s="116">
        <f>'Purchased Power Model '!K7</f>
        <v>586.6</v>
      </c>
      <c r="J5" s="17">
        <f>+'[15]Data Input'!$CR12</f>
        <v>51</v>
      </c>
      <c r="K5" s="17">
        <f>'Purchased Power Model '!G7</f>
        <v>0</v>
      </c>
      <c r="L5" s="36">
        <f>'Purchased Power Model '!I7</f>
        <v>124.04138883603632</v>
      </c>
      <c r="M5" s="17"/>
      <c r="O5" s="37" t="s">
        <v>21</v>
      </c>
      <c r="P5" s="60">
        <v>0.38838627014943455</v>
      </c>
      <c r="Q5"/>
      <c r="R5"/>
      <c r="S5"/>
      <c r="X5"/>
      <c r="Y5"/>
      <c r="Z5"/>
      <c r="AA5"/>
      <c r="AB5"/>
      <c r="AC5"/>
      <c r="AD5"/>
      <c r="AE5"/>
      <c r="AF5"/>
      <c r="AG5"/>
    </row>
    <row r="6" spans="1:33" ht="12.75">
      <c r="A6" s="3">
        <v>37500</v>
      </c>
      <c r="B6" s="28">
        <f>+'[15]Data Input'!$CT13</f>
        <v>4736911.07</v>
      </c>
      <c r="C6" s="24">
        <f>'Purchased Power Model '!C8</f>
        <v>21.8</v>
      </c>
      <c r="D6" s="24">
        <f>'Purchased Power Model '!D8</f>
        <v>87.6</v>
      </c>
      <c r="E6" s="10">
        <f>'Purchased Power Model '!F8</f>
        <v>319.68</v>
      </c>
      <c r="F6" s="17">
        <f>'Purchased Power Model '!L8</f>
        <v>1</v>
      </c>
      <c r="G6" s="17">
        <f t="shared" si="0"/>
        <v>37500</v>
      </c>
      <c r="H6" s="17">
        <f>'Purchased Power Model '!E8</f>
        <v>30</v>
      </c>
      <c r="I6" s="116">
        <f>'Purchased Power Model '!K8</f>
        <v>583.2</v>
      </c>
      <c r="J6" s="17">
        <f>+'[15]Data Input'!$CR13</f>
        <v>51</v>
      </c>
      <c r="K6" s="17">
        <f>'Purchased Power Model '!G8</f>
        <v>0</v>
      </c>
      <c r="L6" s="36">
        <f>'Purchased Power Model '!I8</f>
        <v>124.40809893307186</v>
      </c>
      <c r="M6" s="17"/>
      <c r="O6" s="37" t="s">
        <v>22</v>
      </c>
      <c r="P6" s="60">
        <v>0.15084389484058955</v>
      </c>
      <c r="Q6"/>
      <c r="R6"/>
      <c r="S6"/>
      <c r="X6"/>
      <c r="Y6"/>
      <c r="Z6"/>
      <c r="AA6"/>
      <c r="AB6"/>
      <c r="AC6"/>
      <c r="AD6"/>
      <c r="AE6"/>
      <c r="AF6"/>
      <c r="AG6"/>
    </row>
    <row r="7" spans="1:33" ht="12.75">
      <c r="A7" s="3">
        <v>37530</v>
      </c>
      <c r="B7" s="28">
        <f>+'[15]Data Input'!$CT14</f>
        <v>4652837.08</v>
      </c>
      <c r="C7" s="24">
        <f>'Purchased Power Model '!C9</f>
        <v>292.2</v>
      </c>
      <c r="D7" s="24">
        <f>'Purchased Power Model '!D9</f>
        <v>10</v>
      </c>
      <c r="E7" s="10">
        <f>'Purchased Power Model '!F9</f>
        <v>351.912</v>
      </c>
      <c r="F7" s="17">
        <f>'Purchased Power Model '!L9</f>
        <v>1</v>
      </c>
      <c r="G7" s="17">
        <f t="shared" si="0"/>
        <v>37530</v>
      </c>
      <c r="H7" s="17">
        <f>'Purchased Power Model '!E9</f>
        <v>31</v>
      </c>
      <c r="I7" s="116">
        <f>'Purchased Power Model '!K9</f>
        <v>582.9</v>
      </c>
      <c r="J7" s="17">
        <f>+'[15]Data Input'!$CR14</f>
        <v>51</v>
      </c>
      <c r="K7" s="17">
        <f>'Purchased Power Model '!G9</f>
        <v>0</v>
      </c>
      <c r="L7" s="36">
        <f>'Purchased Power Model '!I9</f>
        <v>124.7758931544995</v>
      </c>
      <c r="M7" s="17"/>
      <c r="O7" s="37" t="s">
        <v>23</v>
      </c>
      <c r="P7" s="60">
        <v>0.10366855566506675</v>
      </c>
      <c r="Q7"/>
      <c r="R7"/>
      <c r="S7"/>
      <c r="X7"/>
      <c r="Y7"/>
      <c r="Z7"/>
      <c r="AA7"/>
      <c r="AB7"/>
      <c r="AC7"/>
      <c r="AD7"/>
      <c r="AE7"/>
      <c r="AF7"/>
      <c r="AG7"/>
    </row>
    <row r="8" spans="1:33" ht="12.75">
      <c r="A8" s="3">
        <v>37561</v>
      </c>
      <c r="B8" s="28">
        <f>+'[15]Data Input'!$CT15</f>
        <v>4554846.22</v>
      </c>
      <c r="C8" s="24">
        <f>'Purchased Power Model '!C10</f>
        <v>445</v>
      </c>
      <c r="D8" s="24">
        <f>'Purchased Power Model '!D10</f>
        <v>0</v>
      </c>
      <c r="E8" s="10">
        <f>'Purchased Power Model '!F10</f>
        <v>336.24</v>
      </c>
      <c r="F8" s="17">
        <f>'Purchased Power Model '!L10</f>
        <v>1</v>
      </c>
      <c r="G8" s="17">
        <f t="shared" si="0"/>
        <v>37561</v>
      </c>
      <c r="H8" s="17">
        <f>'Purchased Power Model '!E10</f>
        <v>30</v>
      </c>
      <c r="I8" s="116">
        <f>'Purchased Power Model '!K10</f>
        <v>583.5</v>
      </c>
      <c r="J8" s="17">
        <f>+'[15]Data Input'!$CR15</f>
        <v>51</v>
      </c>
      <c r="K8" s="17">
        <f>'Purchased Power Model '!G10</f>
        <v>0</v>
      </c>
      <c r="L8" s="36">
        <f>'Purchased Power Model '!I10</f>
        <v>125.14477470537335</v>
      </c>
      <c r="M8" s="17"/>
      <c r="O8" s="37" t="s">
        <v>24</v>
      </c>
      <c r="P8" s="37">
        <v>346919.7135602885</v>
      </c>
      <c r="Q8"/>
      <c r="R8"/>
      <c r="S8"/>
      <c r="X8"/>
      <c r="Y8"/>
      <c r="Z8"/>
      <c r="AA8"/>
      <c r="AB8"/>
      <c r="AC8"/>
      <c r="AD8"/>
      <c r="AE8"/>
      <c r="AF8"/>
      <c r="AG8"/>
    </row>
    <row r="9" spans="1:33" ht="13.5" thickBot="1">
      <c r="A9" s="3">
        <v>37591</v>
      </c>
      <c r="B9" s="28">
        <f>+'[15]Data Input'!$CT16</f>
        <v>4634143.49</v>
      </c>
      <c r="C9" s="24">
        <f>'Purchased Power Model '!C11</f>
        <v>619.4</v>
      </c>
      <c r="D9" s="24">
        <f>'Purchased Power Model '!D11</f>
        <v>0</v>
      </c>
      <c r="E9" s="10">
        <f>'Purchased Power Model '!F11</f>
        <v>319.92</v>
      </c>
      <c r="F9" s="17">
        <f>'Purchased Power Model '!L11</f>
        <v>0</v>
      </c>
      <c r="G9" s="17">
        <f t="shared" si="0"/>
        <v>37591</v>
      </c>
      <c r="H9" s="17">
        <f>'Purchased Power Model '!E11</f>
        <v>31</v>
      </c>
      <c r="I9" s="116">
        <f>'Purchased Power Model '!K11</f>
        <v>591.8</v>
      </c>
      <c r="J9" s="17">
        <f>+'[15]Data Input'!$CR16</f>
        <v>51</v>
      </c>
      <c r="K9" s="17">
        <f>'Purchased Power Model '!G11</f>
        <v>0</v>
      </c>
      <c r="L9" s="36">
        <f>'Purchased Power Model '!I11</f>
        <v>125.51474680022261</v>
      </c>
      <c r="M9" s="17"/>
      <c r="O9" s="54" t="s">
        <v>25</v>
      </c>
      <c r="P9" s="54">
        <v>115</v>
      </c>
      <c r="Q9"/>
      <c r="R9"/>
      <c r="S9"/>
      <c r="X9"/>
      <c r="Y9"/>
      <c r="Z9"/>
      <c r="AA9"/>
      <c r="AB9"/>
      <c r="AC9"/>
      <c r="AD9"/>
      <c r="AE9"/>
      <c r="AF9"/>
      <c r="AG9"/>
    </row>
    <row r="10" spans="1:33" ht="12.75">
      <c r="A10" s="3">
        <v>37622</v>
      </c>
      <c r="B10" s="28">
        <f>+'[15]Data Input'!$CT17</f>
        <v>5831902.42</v>
      </c>
      <c r="C10" s="24">
        <f>'Purchased Power Model '!C12</f>
        <v>814.5</v>
      </c>
      <c r="D10" s="24">
        <f>'Purchased Power Model '!D12</f>
        <v>0</v>
      </c>
      <c r="E10" s="10">
        <v>351.912</v>
      </c>
      <c r="F10" s="17">
        <f>'Purchased Power Model '!L12</f>
        <v>0</v>
      </c>
      <c r="G10" s="17">
        <f t="shared" si="0"/>
        <v>37622</v>
      </c>
      <c r="H10" s="17">
        <v>31</v>
      </c>
      <c r="I10" s="116">
        <f>'Purchased Power Model '!K12</f>
        <v>591.3</v>
      </c>
      <c r="J10" s="17">
        <f>+'[15]Data Input'!$CR17</f>
        <v>51</v>
      </c>
      <c r="K10" s="17">
        <f>'Purchased Power Model '!G12</f>
        <v>0</v>
      </c>
      <c r="L10" s="36">
        <f>'Purchased Power Model '!I12</f>
        <v>125.66024937363977</v>
      </c>
      <c r="M10" s="17"/>
      <c r="O10"/>
      <c r="P10"/>
      <c r="Q10"/>
      <c r="R10"/>
      <c r="S10"/>
      <c r="X10"/>
      <c r="Y10"/>
      <c r="Z10"/>
      <c r="AA10"/>
      <c r="AB10"/>
      <c r="AC10"/>
      <c r="AD10"/>
      <c r="AE10"/>
      <c r="AF10"/>
      <c r="AG10"/>
    </row>
    <row r="11" spans="1:33" ht="13.5" thickBot="1">
      <c r="A11" s="3">
        <v>37653</v>
      </c>
      <c r="B11" s="28">
        <f>+'[15]Data Input'!$CT18</f>
        <v>5311144.13</v>
      </c>
      <c r="C11" s="24">
        <f>'Purchased Power Model '!C13</f>
        <v>699</v>
      </c>
      <c r="D11" s="24">
        <f>'Purchased Power Model '!D13</f>
        <v>0</v>
      </c>
      <c r="E11" s="10">
        <v>319.872</v>
      </c>
      <c r="F11" s="17">
        <v>0</v>
      </c>
      <c r="G11" s="17">
        <f t="shared" si="0"/>
        <v>37653</v>
      </c>
      <c r="H11" s="17">
        <v>28</v>
      </c>
      <c r="I11" s="116">
        <f>'Purchased Power Model '!K13</f>
        <v>588.4</v>
      </c>
      <c r="J11" s="17">
        <f>+'[15]Data Input'!$CR18</f>
        <v>51</v>
      </c>
      <c r="K11" s="17">
        <f>'Purchased Power Model '!G13</f>
        <v>0</v>
      </c>
      <c r="L11" s="36">
        <v>125.80592062045517</v>
      </c>
      <c r="M11" s="17"/>
      <c r="O11" t="s">
        <v>26</v>
      </c>
      <c r="P11"/>
      <c r="Q11"/>
      <c r="R11"/>
      <c r="S11"/>
      <c r="X11"/>
      <c r="Y11"/>
      <c r="Z11"/>
      <c r="AA11"/>
      <c r="AB11"/>
      <c r="AC11"/>
      <c r="AD11"/>
      <c r="AE11"/>
      <c r="AF11"/>
      <c r="AG11"/>
    </row>
    <row r="12" spans="1:33" ht="12.75">
      <c r="A12" s="3">
        <v>37681</v>
      </c>
      <c r="B12" s="28">
        <f>+'[15]Data Input'!$CT19</f>
        <v>4970084.38</v>
      </c>
      <c r="C12" s="24">
        <f>'Purchased Power Model '!C14</f>
        <v>581.1</v>
      </c>
      <c r="D12" s="24">
        <f>'Purchased Power Model '!D14</f>
        <v>0</v>
      </c>
      <c r="E12" s="10">
        <v>336.288</v>
      </c>
      <c r="F12" s="17">
        <v>1</v>
      </c>
      <c r="G12" s="17">
        <f t="shared" si="0"/>
        <v>37681</v>
      </c>
      <c r="H12" s="17">
        <v>31</v>
      </c>
      <c r="I12" s="116">
        <f>'Purchased Power Model '!K14</f>
        <v>584.5</v>
      </c>
      <c r="J12" s="17">
        <f>+'[15]Data Input'!$CR19</f>
        <v>51</v>
      </c>
      <c r="K12" s="17">
        <f>'Purchased Power Model '!G14</f>
        <v>0</v>
      </c>
      <c r="L12" s="36">
        <v>125.9517607362029</v>
      </c>
      <c r="M12" s="17"/>
      <c r="O12" s="212"/>
      <c r="P12" s="212" t="s">
        <v>30</v>
      </c>
      <c r="Q12" s="212" t="s">
        <v>31</v>
      </c>
      <c r="R12" s="212" t="s">
        <v>32</v>
      </c>
      <c r="S12" s="212" t="s">
        <v>33</v>
      </c>
      <c r="T12" s="212" t="s">
        <v>34</v>
      </c>
      <c r="X12"/>
      <c r="Y12"/>
      <c r="Z12"/>
      <c r="AA12"/>
      <c r="AB12"/>
      <c r="AC12"/>
      <c r="AD12"/>
      <c r="AE12"/>
      <c r="AF12"/>
      <c r="AG12"/>
    </row>
    <row r="13" spans="1:33" ht="12.75">
      <c r="A13" s="3">
        <v>37712</v>
      </c>
      <c r="B13" s="28">
        <f>+'[15]Data Input'!$CT20</f>
        <v>5512684.140000001</v>
      </c>
      <c r="C13" s="24">
        <f>'Purchased Power Model '!C15</f>
        <v>372.5</v>
      </c>
      <c r="D13" s="24">
        <f>'Purchased Power Model '!D15</f>
        <v>2.4</v>
      </c>
      <c r="E13" s="10">
        <v>336.24</v>
      </c>
      <c r="F13" s="17">
        <v>1</v>
      </c>
      <c r="G13" s="17">
        <f t="shared" si="0"/>
        <v>37712</v>
      </c>
      <c r="H13" s="17">
        <v>30</v>
      </c>
      <c r="I13" s="116">
        <f>'Purchased Power Model '!K15</f>
        <v>587.8</v>
      </c>
      <c r="J13" s="17">
        <f>+'[15]Data Input'!$CR20</f>
        <v>51</v>
      </c>
      <c r="K13" s="17">
        <f>'Purchased Power Model '!G15</f>
        <v>0</v>
      </c>
      <c r="L13" s="36">
        <v>126.09776991664374</v>
      </c>
      <c r="M13" s="17"/>
      <c r="O13" s="37" t="s">
        <v>27</v>
      </c>
      <c r="P13" s="37">
        <v>6</v>
      </c>
      <c r="Q13" s="37">
        <v>2308989270788.414</v>
      </c>
      <c r="R13" s="37">
        <v>384831545131.40234</v>
      </c>
      <c r="S13" s="37">
        <v>3.1975158520716214</v>
      </c>
      <c r="T13" s="37">
        <v>0.006282598006187544</v>
      </c>
      <c r="X13"/>
      <c r="Y13"/>
      <c r="Z13"/>
      <c r="AA13"/>
      <c r="AB13"/>
      <c r="AC13"/>
      <c r="AD13"/>
      <c r="AE13"/>
      <c r="AF13"/>
      <c r="AG13"/>
    </row>
    <row r="14" spans="1:33" ht="12.75">
      <c r="A14" s="3">
        <v>37742</v>
      </c>
      <c r="B14" s="28">
        <f>+'[15]Data Input'!$CT21</f>
        <v>5380352.01</v>
      </c>
      <c r="C14" s="24">
        <f>'Purchased Power Model '!C16</f>
        <v>177.9</v>
      </c>
      <c r="D14" s="24">
        <f>'Purchased Power Model '!D16</f>
        <v>0</v>
      </c>
      <c r="E14" s="10">
        <v>336.288</v>
      </c>
      <c r="F14" s="17">
        <v>1</v>
      </c>
      <c r="G14" s="17">
        <f t="shared" si="0"/>
        <v>37742</v>
      </c>
      <c r="H14" s="17">
        <v>31</v>
      </c>
      <c r="I14" s="116">
        <f>'Purchased Power Model '!K16</f>
        <v>596.4</v>
      </c>
      <c r="J14" s="17">
        <f>+'[15]Data Input'!$CR21</f>
        <v>51</v>
      </c>
      <c r="K14" s="17">
        <f>'Purchased Power Model '!G16</f>
        <v>0</v>
      </c>
      <c r="L14" s="36">
        <v>126.2439483577654</v>
      </c>
      <c r="M14" s="17"/>
      <c r="O14" s="37" t="s">
        <v>28</v>
      </c>
      <c r="P14" s="37">
        <v>108</v>
      </c>
      <c r="Q14" s="37">
        <v>12998155066929.283</v>
      </c>
      <c r="R14" s="37">
        <v>120353287656.75262</v>
      </c>
      <c r="S14" s="37"/>
      <c r="T14" s="37"/>
      <c r="X14"/>
      <c r="Y14"/>
      <c r="Z14"/>
      <c r="AA14"/>
      <c r="AB14"/>
      <c r="AC14"/>
      <c r="AD14"/>
      <c r="AE14"/>
      <c r="AF14"/>
      <c r="AG14"/>
    </row>
    <row r="15" spans="1:33" ht="13.5" thickBot="1">
      <c r="A15" s="3">
        <v>37773</v>
      </c>
      <c r="B15" s="28">
        <f>+'[15]Data Input'!$CT22</f>
        <v>5217936.76</v>
      </c>
      <c r="C15" s="24">
        <f>'Purchased Power Model '!C17</f>
        <v>43.4</v>
      </c>
      <c r="D15" s="24">
        <f>'Purchased Power Model '!D17</f>
        <v>52.9</v>
      </c>
      <c r="E15" s="10">
        <v>336.24</v>
      </c>
      <c r="F15" s="17">
        <v>0</v>
      </c>
      <c r="G15" s="17">
        <f t="shared" si="0"/>
        <v>37773</v>
      </c>
      <c r="H15" s="17">
        <v>30</v>
      </c>
      <c r="I15" s="116">
        <f>'Purchased Power Model '!K17</f>
        <v>601.7</v>
      </c>
      <c r="J15" s="17">
        <f>+'[15]Data Input'!$CR22</f>
        <v>51</v>
      </c>
      <c r="K15" s="17">
        <f>'Purchased Power Model '!G17</f>
        <v>0</v>
      </c>
      <c r="L15" s="36">
        <v>126.3902962557828</v>
      </c>
      <c r="M15" s="17"/>
      <c r="O15" s="54" t="s">
        <v>9</v>
      </c>
      <c r="P15" s="54">
        <v>114</v>
      </c>
      <c r="Q15" s="54">
        <v>15307144337717.697</v>
      </c>
      <c r="R15" s="54"/>
      <c r="S15" s="54"/>
      <c r="T15" s="54"/>
      <c r="X15"/>
      <c r="Y15"/>
      <c r="Z15"/>
      <c r="AA15"/>
      <c r="AB15"/>
      <c r="AC15"/>
      <c r="AD15"/>
      <c r="AE15"/>
      <c r="AF15"/>
      <c r="AG15"/>
    </row>
    <row r="16" spans="1:33" ht="13.5" thickBot="1">
      <c r="A16" s="3">
        <v>37803</v>
      </c>
      <c r="B16" s="28">
        <f>+'[15]Data Input'!$CT23</f>
        <v>5439350.35</v>
      </c>
      <c r="C16" s="24">
        <f>'Purchased Power Model '!C18</f>
        <v>0.2</v>
      </c>
      <c r="D16" s="24">
        <f>'Purchased Power Model '!D18</f>
        <v>118.3</v>
      </c>
      <c r="E16" s="10">
        <v>351.912</v>
      </c>
      <c r="F16" s="17">
        <v>0</v>
      </c>
      <c r="G16" s="17">
        <f t="shared" si="0"/>
        <v>37803</v>
      </c>
      <c r="H16" s="17">
        <v>31</v>
      </c>
      <c r="I16" s="116">
        <f>'Purchased Power Model '!K18</f>
        <v>605.7</v>
      </c>
      <c r="J16" s="17">
        <f>+'[15]Data Input'!$CR23</f>
        <v>51</v>
      </c>
      <c r="K16" s="17">
        <f>'Purchased Power Model '!G18</f>
        <v>0</v>
      </c>
      <c r="L16" s="36">
        <v>126.5368138071383</v>
      </c>
      <c r="M16" s="17"/>
      <c r="O16"/>
      <c r="P16"/>
      <c r="Q16"/>
      <c r="R16"/>
      <c r="S16"/>
      <c r="X16"/>
      <c r="Y16"/>
      <c r="Z16"/>
      <c r="AA16"/>
      <c r="AB16"/>
      <c r="AC16"/>
      <c r="AD16"/>
      <c r="AE16"/>
      <c r="AF16"/>
      <c r="AG16"/>
    </row>
    <row r="17" spans="1:34" ht="12.75">
      <c r="A17" s="3">
        <v>37834</v>
      </c>
      <c r="B17" s="28">
        <f>+'[15]Data Input'!$CT24</f>
        <v>5138932.14</v>
      </c>
      <c r="C17" s="24">
        <f>'Purchased Power Model '!C19</f>
        <v>2</v>
      </c>
      <c r="D17" s="24">
        <f>'Purchased Power Model '!D19</f>
        <v>128</v>
      </c>
      <c r="E17" s="10">
        <v>319.92</v>
      </c>
      <c r="F17" s="17">
        <v>0</v>
      </c>
      <c r="G17" s="17">
        <f t="shared" si="0"/>
        <v>37834</v>
      </c>
      <c r="H17" s="17">
        <v>31</v>
      </c>
      <c r="I17" s="116">
        <f>'Purchased Power Model '!K19</f>
        <v>607.6</v>
      </c>
      <c r="J17" s="17">
        <f>+'[15]Data Input'!$CR24</f>
        <v>51</v>
      </c>
      <c r="K17" s="17">
        <f>'Purchased Power Model '!G19</f>
        <v>0</v>
      </c>
      <c r="L17" s="36">
        <v>126.683501208502</v>
      </c>
      <c r="M17" s="17"/>
      <c r="O17" s="212"/>
      <c r="P17" s="212" t="s">
        <v>35</v>
      </c>
      <c r="Q17" s="212" t="s">
        <v>24</v>
      </c>
      <c r="R17" s="212" t="s">
        <v>36</v>
      </c>
      <c r="S17" s="212" t="s">
        <v>37</v>
      </c>
      <c r="T17" s="212" t="s">
        <v>38</v>
      </c>
      <c r="U17" s="212" t="s">
        <v>39</v>
      </c>
      <c r="V17" s="212" t="s">
        <v>150</v>
      </c>
      <c r="W17" s="212" t="s">
        <v>151</v>
      </c>
      <c r="X17" s="151" t="s">
        <v>72</v>
      </c>
      <c r="Y17" s="151" t="s">
        <v>2</v>
      </c>
      <c r="Z17" s="151" t="s">
        <v>149</v>
      </c>
      <c r="AA17" s="151" t="s">
        <v>3</v>
      </c>
      <c r="AB17" s="151" t="s">
        <v>18</v>
      </c>
      <c r="AC17" s="151" t="s">
        <v>4</v>
      </c>
      <c r="AD17" s="151" t="s">
        <v>152</v>
      </c>
      <c r="AE17" s="151" t="s">
        <v>74</v>
      </c>
      <c r="AF17" s="151" t="s">
        <v>164</v>
      </c>
      <c r="AG17" s="151" t="s">
        <v>59</v>
      </c>
      <c r="AH17" s="151" t="s">
        <v>5</v>
      </c>
    </row>
    <row r="18" spans="1:34" ht="12.75">
      <c r="A18" s="3">
        <v>37865</v>
      </c>
      <c r="B18" s="28">
        <f>+'[15]Data Input'!$CT25</f>
        <v>4419434</v>
      </c>
      <c r="C18" s="24">
        <f>'Purchased Power Model '!C20</f>
        <v>54.9</v>
      </c>
      <c r="D18" s="24">
        <f>'Purchased Power Model '!D20</f>
        <v>24</v>
      </c>
      <c r="E18" s="10">
        <v>336.24</v>
      </c>
      <c r="F18" s="17">
        <v>1</v>
      </c>
      <c r="G18" s="17">
        <f t="shared" si="0"/>
        <v>37865</v>
      </c>
      <c r="H18" s="17">
        <v>30</v>
      </c>
      <c r="I18" s="116">
        <f>'Purchased Power Model '!K20</f>
        <v>607.6</v>
      </c>
      <c r="J18" s="17">
        <f>+'[15]Data Input'!$CR25</f>
        <v>51</v>
      </c>
      <c r="K18" s="17">
        <f>'Purchased Power Model '!G20</f>
        <v>0</v>
      </c>
      <c r="L18" s="36">
        <v>126.83035865677196</v>
      </c>
      <c r="M18" s="17"/>
      <c r="O18" s="37" t="s">
        <v>29</v>
      </c>
      <c r="P18" s="59">
        <v>-325056.9376730337</v>
      </c>
      <c r="Q18" s="37">
        <v>1797566.988697765</v>
      </c>
      <c r="R18" s="59">
        <v>-0.18083161279486945</v>
      </c>
      <c r="S18" s="37">
        <v>0.8568386582178058</v>
      </c>
      <c r="T18" s="37">
        <v>-3888146.4509435273</v>
      </c>
      <c r="U18" s="37">
        <v>3238032.57559746</v>
      </c>
      <c r="V18" s="37">
        <v>-3888146.4509435273</v>
      </c>
      <c r="W18" s="37">
        <v>3238032.57559746</v>
      </c>
      <c r="X18" s="60">
        <v>1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</row>
    <row r="19" spans="1:34" ht="12.75">
      <c r="A19" s="3">
        <v>37895</v>
      </c>
      <c r="B19" s="28">
        <f>+'[15]Data Input'!$CT26</f>
        <v>5248324.68</v>
      </c>
      <c r="C19" s="24">
        <f>'Purchased Power Model '!C21</f>
        <v>276</v>
      </c>
      <c r="D19" s="24">
        <f>'Purchased Power Model '!D21</f>
        <v>0</v>
      </c>
      <c r="E19" s="10">
        <v>351.912</v>
      </c>
      <c r="F19" s="17">
        <v>1</v>
      </c>
      <c r="G19" s="17">
        <f t="shared" si="0"/>
        <v>37895</v>
      </c>
      <c r="H19" s="17">
        <v>31</v>
      </c>
      <c r="I19" s="116">
        <f>'Purchased Power Model '!K21</f>
        <v>609.5</v>
      </c>
      <c r="J19" s="17">
        <f>+'[15]Data Input'!$CR26</f>
        <v>51</v>
      </c>
      <c r="K19" s="17">
        <f>'Purchased Power Model '!G21</f>
        <v>0</v>
      </c>
      <c r="L19" s="36">
        <v>126.97738634907456</v>
      </c>
      <c r="M19" s="17"/>
      <c r="O19" s="37" t="s">
        <v>2</v>
      </c>
      <c r="P19" s="59">
        <v>208.04264820652867</v>
      </c>
      <c r="Q19" s="37">
        <v>210.5795210908422</v>
      </c>
      <c r="R19" s="59">
        <v>0.9879528984054478</v>
      </c>
      <c r="S19" s="37">
        <v>0.3253839454274772</v>
      </c>
      <c r="T19" s="37">
        <v>-209.36248218689394</v>
      </c>
      <c r="U19" s="37">
        <v>625.4477785999513</v>
      </c>
      <c r="V19" s="37">
        <v>-209.36248218689394</v>
      </c>
      <c r="W19" s="37">
        <v>625.4477785999513</v>
      </c>
      <c r="X19" s="60">
        <v>0.16422900878344035</v>
      </c>
      <c r="Y19" s="60">
        <v>1</v>
      </c>
      <c r="Z19" s="60"/>
      <c r="AA19" s="60"/>
      <c r="AB19" s="60"/>
      <c r="AC19" s="60"/>
      <c r="AD19" s="60"/>
      <c r="AE19" s="60"/>
      <c r="AF19" s="60"/>
      <c r="AG19" s="60"/>
      <c r="AH19" s="60"/>
    </row>
    <row r="20" spans="1:34" ht="12.75">
      <c r="A20" s="3">
        <v>37926</v>
      </c>
      <c r="B20" s="28">
        <f>+'[15]Data Input'!$CT27</f>
        <v>5261860.37</v>
      </c>
      <c r="C20" s="24">
        <f>'Purchased Power Model '!C22</f>
        <v>398.5</v>
      </c>
      <c r="D20" s="24">
        <f>'Purchased Power Model '!D22</f>
        <v>0</v>
      </c>
      <c r="E20" s="10">
        <v>319.68</v>
      </c>
      <c r="F20" s="17">
        <v>1</v>
      </c>
      <c r="G20" s="17">
        <f t="shared" si="0"/>
        <v>37926</v>
      </c>
      <c r="H20" s="17">
        <v>30</v>
      </c>
      <c r="I20" s="116">
        <f>'Purchased Power Model '!K22</f>
        <v>609</v>
      </c>
      <c r="J20" s="17">
        <f>+'[15]Data Input'!$CR27</f>
        <v>51</v>
      </c>
      <c r="K20" s="17">
        <f>'Purchased Power Model '!G22</f>
        <v>0</v>
      </c>
      <c r="L20" s="36">
        <v>127.12458448276465</v>
      </c>
      <c r="M20" s="17"/>
      <c r="O20" s="37" t="s">
        <v>3</v>
      </c>
      <c r="P20" s="59">
        <v>-355.2686718558491</v>
      </c>
      <c r="Q20" s="37">
        <v>1207.3409767089531</v>
      </c>
      <c r="R20" s="59">
        <v>-0.294257114360736</v>
      </c>
      <c r="S20" s="37">
        <v>0.7691262510028004</v>
      </c>
      <c r="T20" s="37">
        <v>-2748.427869872654</v>
      </c>
      <c r="U20" s="37">
        <v>2037.890526160956</v>
      </c>
      <c r="V20" s="37">
        <v>-2748.427869872654</v>
      </c>
      <c r="W20" s="37">
        <v>2037.890526160956</v>
      </c>
      <c r="X20" s="60">
        <v>0.1896705680472975</v>
      </c>
      <c r="Y20" s="60">
        <v>-0.111569303311444</v>
      </c>
      <c r="Z20" s="60">
        <v>1</v>
      </c>
      <c r="AA20" s="60"/>
      <c r="AB20" s="60"/>
      <c r="AC20" s="60"/>
      <c r="AD20" s="60"/>
      <c r="AE20" s="60"/>
      <c r="AF20" s="60"/>
      <c r="AG20" s="60"/>
      <c r="AH20" s="60"/>
    </row>
    <row r="21" spans="1:34" ht="12.75">
      <c r="A21" s="3">
        <v>37956</v>
      </c>
      <c r="B21" s="28">
        <f>+'[15]Data Input'!$CT28</f>
        <v>5282926.21</v>
      </c>
      <c r="C21" s="24">
        <f>'Purchased Power Model '!C23</f>
        <v>561.5</v>
      </c>
      <c r="D21" s="24">
        <f>'Purchased Power Model '!D23</f>
        <v>0</v>
      </c>
      <c r="E21" s="10">
        <v>336.288</v>
      </c>
      <c r="F21" s="17">
        <v>0</v>
      </c>
      <c r="G21" s="17">
        <f t="shared" si="0"/>
        <v>37956</v>
      </c>
      <c r="H21" s="17">
        <v>31</v>
      </c>
      <c r="I21" s="116">
        <f>'Purchased Power Model '!K23</f>
        <v>609.2</v>
      </c>
      <c r="J21" s="17">
        <f>+'[15]Data Input'!$CR28</f>
        <v>51</v>
      </c>
      <c r="K21" s="17">
        <f>'Purchased Power Model '!G23</f>
        <v>0</v>
      </c>
      <c r="L21" s="36">
        <v>127.27195325542573</v>
      </c>
      <c r="M21" s="17"/>
      <c r="O21" s="37" t="s">
        <v>149</v>
      </c>
      <c r="P21" s="59">
        <v>5046.487237831023</v>
      </c>
      <c r="Q21" s="37">
        <v>2110.6215202363387</v>
      </c>
      <c r="R21" s="59">
        <v>2.390995822531904</v>
      </c>
      <c r="S21" s="37">
        <v>0.01853281601194578</v>
      </c>
      <c r="T21" s="37">
        <v>862.8693518098853</v>
      </c>
      <c r="U21" s="37">
        <v>9230.105123852161</v>
      </c>
      <c r="V21" s="37">
        <v>862.8693518098853</v>
      </c>
      <c r="W21" s="37">
        <v>9230.105123852161</v>
      </c>
      <c r="X21" s="60">
        <v>-0.06674469890391735</v>
      </c>
      <c r="Y21" s="60">
        <v>-0.6865295342863782</v>
      </c>
      <c r="Z21" s="60">
        <v>0.08057118560347758</v>
      </c>
      <c r="AA21" s="60">
        <v>1</v>
      </c>
      <c r="AB21" s="60"/>
      <c r="AC21" s="60"/>
      <c r="AD21" s="60"/>
      <c r="AE21" s="60"/>
      <c r="AF21" s="60"/>
      <c r="AG21" s="60"/>
      <c r="AH21" s="60"/>
    </row>
    <row r="22" spans="1:34" ht="12.75">
      <c r="A22" s="3">
        <v>37987</v>
      </c>
      <c r="B22" s="28">
        <f>+'[15]Data Input'!$CT29</f>
        <v>5646726.470000001</v>
      </c>
      <c r="C22" s="24">
        <f>'Purchased Power Model '!C24</f>
        <v>849.1</v>
      </c>
      <c r="D22" s="24">
        <f>'Purchased Power Model '!D24</f>
        <v>0</v>
      </c>
      <c r="E22" s="10">
        <v>336.288</v>
      </c>
      <c r="F22" s="17">
        <v>0</v>
      </c>
      <c r="G22" s="17">
        <f t="shared" si="0"/>
        <v>37987</v>
      </c>
      <c r="H22" s="17">
        <v>31</v>
      </c>
      <c r="I22" s="116">
        <f>'Purchased Power Model '!K24</f>
        <v>605</v>
      </c>
      <c r="J22" s="17">
        <f>+'[15]Data Input'!$CR29</f>
        <v>52</v>
      </c>
      <c r="K22" s="17">
        <f>'Purchased Power Model '!G24</f>
        <v>0</v>
      </c>
      <c r="L22" s="36">
        <v>127.53411264087498</v>
      </c>
      <c r="M22" s="17"/>
      <c r="O22" s="37" t="s">
        <v>18</v>
      </c>
      <c r="P22" s="59">
        <v>-118828.11040203528</v>
      </c>
      <c r="Q22" s="37">
        <v>90442.71376317198</v>
      </c>
      <c r="R22" s="59">
        <v>-1.3138494573835062</v>
      </c>
      <c r="S22" s="37">
        <v>0.1916808661025199</v>
      </c>
      <c r="T22" s="37">
        <v>-298101.2540386676</v>
      </c>
      <c r="U22" s="37">
        <v>60445.03323459705</v>
      </c>
      <c r="V22" s="37">
        <v>-298101.2540386676</v>
      </c>
      <c r="W22" s="37">
        <v>60445.03323459705</v>
      </c>
      <c r="X22" s="60">
        <v>-0.10967457571622159</v>
      </c>
      <c r="Y22" s="60">
        <v>-0.08365275639406945</v>
      </c>
      <c r="Z22" s="60">
        <v>0.058545044623141564</v>
      </c>
      <c r="AA22" s="60">
        <v>-0.4373909149015547</v>
      </c>
      <c r="AB22" s="60">
        <v>1</v>
      </c>
      <c r="AC22" s="60"/>
      <c r="AD22" s="60"/>
      <c r="AE22" s="60"/>
      <c r="AF22" s="60"/>
      <c r="AG22" s="60"/>
      <c r="AH22" s="60"/>
    </row>
    <row r="23" spans="1:34" ht="12.75">
      <c r="A23" s="3">
        <v>38018</v>
      </c>
      <c r="B23" s="28">
        <f>+'[15]Data Input'!$CT30</f>
        <v>5176038.71</v>
      </c>
      <c r="C23" s="24">
        <f>'Purchased Power Model '!C25</f>
        <v>631.7</v>
      </c>
      <c r="D23" s="24">
        <f>'Purchased Power Model '!D25</f>
        <v>0</v>
      </c>
      <c r="E23" s="10">
        <v>320.16</v>
      </c>
      <c r="F23" s="17">
        <v>0</v>
      </c>
      <c r="G23" s="17">
        <f t="shared" si="0"/>
        <v>38018</v>
      </c>
      <c r="H23" s="17">
        <v>29</v>
      </c>
      <c r="I23" s="116">
        <f>'Purchased Power Model '!K25</f>
        <v>599.4</v>
      </c>
      <c r="J23" s="17">
        <f>+'[15]Data Input'!$CR30</f>
        <v>51</v>
      </c>
      <c r="K23" s="17">
        <f>'Purchased Power Model '!G25</f>
        <v>0</v>
      </c>
      <c r="L23" s="36">
        <v>127.79681203173486</v>
      </c>
      <c r="M23" s="17"/>
      <c r="O23" s="37" t="s">
        <v>164</v>
      </c>
      <c r="P23" s="59">
        <v>33.32752350889265</v>
      </c>
      <c r="Q23" s="37">
        <v>32.17656161580126</v>
      </c>
      <c r="R23" s="59">
        <v>1.0357701953003633</v>
      </c>
      <c r="S23" s="37">
        <v>0.3026229796468932</v>
      </c>
      <c r="T23" s="37">
        <v>-30.452001809059098</v>
      </c>
      <c r="U23" s="37">
        <v>97.10704882684439</v>
      </c>
      <c r="V23" s="37">
        <v>-30.452001809059098</v>
      </c>
      <c r="W23" s="37">
        <v>97.10704882684439</v>
      </c>
      <c r="X23" s="60">
        <v>0.15299861134686762</v>
      </c>
      <c r="Y23" s="60">
        <v>-0.17710192341177458</v>
      </c>
      <c r="Z23" s="60">
        <v>0.35045851536519235</v>
      </c>
      <c r="AA23" s="60">
        <v>0.2107361480114433</v>
      </c>
      <c r="AB23" s="60">
        <v>0.05885837802515974</v>
      </c>
      <c r="AC23" s="60">
        <v>1</v>
      </c>
      <c r="AD23" s="60"/>
      <c r="AE23" s="60"/>
      <c r="AF23" s="60"/>
      <c r="AG23" s="60"/>
      <c r="AH23" s="60"/>
    </row>
    <row r="24" spans="1:34" ht="13.5" thickBot="1">
      <c r="A24" s="3">
        <v>38047</v>
      </c>
      <c r="B24" s="28">
        <f>+'[15]Data Input'!$CT31</f>
        <v>4877727.29</v>
      </c>
      <c r="C24" s="24">
        <f>'Purchased Power Model '!C26</f>
        <v>487.3</v>
      </c>
      <c r="D24" s="24">
        <f>'Purchased Power Model '!D26</f>
        <v>0</v>
      </c>
      <c r="E24" s="10">
        <v>368.28</v>
      </c>
      <c r="F24" s="17">
        <v>1</v>
      </c>
      <c r="G24" s="17">
        <f t="shared" si="0"/>
        <v>38047</v>
      </c>
      <c r="H24" s="17">
        <v>31</v>
      </c>
      <c r="I24" s="116">
        <f>'Purchased Power Model '!K26</f>
        <v>595.4</v>
      </c>
      <c r="J24" s="17">
        <f>+'[15]Data Input'!$CR31</f>
        <v>51</v>
      </c>
      <c r="K24" s="17">
        <f>'Purchased Power Model '!G26</f>
        <v>0</v>
      </c>
      <c r="L24" s="36">
        <v>128.06005254032812</v>
      </c>
      <c r="M24" s="17"/>
      <c r="O24" s="54" t="s">
        <v>4</v>
      </c>
      <c r="P24" s="208">
        <v>84774.8707753265</v>
      </c>
      <c r="Q24" s="54">
        <v>44421.336034864406</v>
      </c>
      <c r="R24" s="208">
        <v>1.9084268584085435</v>
      </c>
      <c r="S24" s="54">
        <v>0.058990924384440646</v>
      </c>
      <c r="T24" s="54">
        <v>-3275.9209817878727</v>
      </c>
      <c r="U24" s="54">
        <v>172825.66253244088</v>
      </c>
      <c r="V24" s="54">
        <v>-3275.9209817878727</v>
      </c>
      <c r="W24" s="54">
        <v>172825.66253244088</v>
      </c>
      <c r="X24" s="60">
        <v>0.453483145685309</v>
      </c>
      <c r="Y24" s="60">
        <v>-0.11912712626915278</v>
      </c>
      <c r="Z24" s="60">
        <v>-0.0003440868999537747</v>
      </c>
      <c r="AA24" s="60">
        <v>0.09911834649240286</v>
      </c>
      <c r="AB24" s="60">
        <v>-0.041343738532606804</v>
      </c>
      <c r="AC24" s="60">
        <v>0.056643832813141504</v>
      </c>
      <c r="AD24" s="60">
        <v>1</v>
      </c>
      <c r="AE24" s="60"/>
      <c r="AF24" s="60"/>
      <c r="AG24" s="60"/>
      <c r="AH24" s="60"/>
    </row>
    <row r="25" spans="1:34" ht="12.75">
      <c r="A25" s="3">
        <v>38078</v>
      </c>
      <c r="B25" s="28">
        <f>+'[15]Data Input'!$CT32</f>
        <v>5052723.45</v>
      </c>
      <c r="C25" s="24">
        <f>'Purchased Power Model '!C27</f>
        <v>331.5</v>
      </c>
      <c r="D25" s="24">
        <f>'Purchased Power Model '!D27</f>
        <v>0</v>
      </c>
      <c r="E25" s="10">
        <v>336.24</v>
      </c>
      <c r="F25" s="17">
        <v>1</v>
      </c>
      <c r="G25" s="17">
        <f t="shared" si="0"/>
        <v>38078</v>
      </c>
      <c r="H25" s="17">
        <v>30</v>
      </c>
      <c r="I25" s="116">
        <f>'Purchased Power Model '!K27</f>
        <v>597.7</v>
      </c>
      <c r="J25" s="17">
        <f>+'[15]Data Input'!$CR32</f>
        <v>50</v>
      </c>
      <c r="K25" s="17">
        <f>'Purchased Power Model '!G27</f>
        <v>0</v>
      </c>
      <c r="L25" s="36">
        <v>128.32383528126866</v>
      </c>
      <c r="M25" s="17"/>
      <c r="O25"/>
      <c r="P25"/>
      <c r="Q25"/>
      <c r="R25"/>
      <c r="S25"/>
      <c r="X25" s="60">
        <v>0.35394935697642577</v>
      </c>
      <c r="Y25" s="60">
        <v>-0.019723457935790858</v>
      </c>
      <c r="Z25" s="60">
        <v>-0.03962351552283407</v>
      </c>
      <c r="AA25" s="60">
        <v>-0.048474135805496116</v>
      </c>
      <c r="AB25" s="60">
        <v>0.020324801267590342</v>
      </c>
      <c r="AC25" s="60">
        <v>0.010089986980193838</v>
      </c>
      <c r="AD25" s="60">
        <v>0.6909883888977547</v>
      </c>
      <c r="AE25" s="60">
        <v>1</v>
      </c>
      <c r="AF25" s="60"/>
      <c r="AG25" s="60"/>
      <c r="AH25" s="60"/>
    </row>
    <row r="26" spans="1:34" ht="12.75">
      <c r="A26" s="3">
        <v>38108</v>
      </c>
      <c r="B26" s="28">
        <f>+'[15]Data Input'!$CT33</f>
        <v>5338005.51</v>
      </c>
      <c r="C26" s="24">
        <f>'Purchased Power Model '!C28</f>
        <v>158.9</v>
      </c>
      <c r="D26" s="24">
        <f>'Purchased Power Model '!D28</f>
        <v>8.6</v>
      </c>
      <c r="E26" s="10">
        <v>319.92</v>
      </c>
      <c r="F26" s="17">
        <v>1</v>
      </c>
      <c r="G26" s="17">
        <f t="shared" si="0"/>
        <v>38108</v>
      </c>
      <c r="H26" s="17">
        <v>31</v>
      </c>
      <c r="I26" s="116">
        <f>'Purchased Power Model '!K28</f>
        <v>605.6</v>
      </c>
      <c r="J26" s="17">
        <f>+'[15]Data Input'!$CR33</f>
        <v>50</v>
      </c>
      <c r="K26" s="17">
        <f>'Purchased Power Model '!G28</f>
        <v>0</v>
      </c>
      <c r="L26" s="36">
        <v>128.58816137146633</v>
      </c>
      <c r="M26" s="17"/>
      <c r="N26"/>
      <c r="O26"/>
      <c r="P26"/>
      <c r="Q26"/>
      <c r="R26"/>
      <c r="S26"/>
      <c r="X26" s="60">
        <v>0.40015424509715464</v>
      </c>
      <c r="Y26" s="60">
        <v>-0.009640150100724014</v>
      </c>
      <c r="Z26" s="60">
        <v>-0.018001367118930186</v>
      </c>
      <c r="AA26" s="60">
        <v>-0.05567112753641479</v>
      </c>
      <c r="AB26" s="60">
        <v>0.029711879206251856</v>
      </c>
      <c r="AC26" s="60">
        <v>0.0002535665599018024</v>
      </c>
      <c r="AD26" s="60">
        <v>0.8618520384332911</v>
      </c>
      <c r="AE26" s="60">
        <v>0.9076266631402765</v>
      </c>
      <c r="AF26" s="60">
        <v>1</v>
      </c>
      <c r="AG26" s="60"/>
      <c r="AH26" s="60"/>
    </row>
    <row r="27" spans="1:34" ht="12.75">
      <c r="A27" s="3">
        <v>38139</v>
      </c>
      <c r="B27" s="28">
        <f>+'[15]Data Input'!$CT34</f>
        <v>5320615.699999999</v>
      </c>
      <c r="C27" s="24">
        <f>'Purchased Power Model '!C29</f>
        <v>44.2</v>
      </c>
      <c r="D27" s="24">
        <f>'Purchased Power Model '!D29</f>
        <v>31.6</v>
      </c>
      <c r="E27" s="10">
        <v>352.08</v>
      </c>
      <c r="F27" s="17">
        <v>0</v>
      </c>
      <c r="G27" s="17">
        <f t="shared" si="0"/>
        <v>38139</v>
      </c>
      <c r="H27" s="17">
        <v>30</v>
      </c>
      <c r="I27" s="116">
        <f>'Purchased Power Model '!K29</f>
        <v>615.4</v>
      </c>
      <c r="J27" s="17">
        <f>+'[15]Data Input'!$CR34</f>
        <v>50</v>
      </c>
      <c r="K27" s="17">
        <f>'Purchased Power Model '!G29</f>
        <v>0</v>
      </c>
      <c r="L27" s="36">
        <v>128.85303193013166</v>
      </c>
      <c r="M27" s="17"/>
      <c r="N27"/>
      <c r="O27"/>
      <c r="P27"/>
      <c r="Q27"/>
      <c r="R27"/>
      <c r="S27"/>
      <c r="X27" s="60">
        <v>0.4158376311576295</v>
      </c>
      <c r="Y27" s="60">
        <v>-0.011845730196356957</v>
      </c>
      <c r="Z27" s="60">
        <v>-0.024867719764619753</v>
      </c>
      <c r="AA27" s="60">
        <v>-0.06247472756550598</v>
      </c>
      <c r="AB27" s="60">
        <v>0.0276755693048161</v>
      </c>
      <c r="AC27" s="60">
        <v>0.010830455705109453</v>
      </c>
      <c r="AD27" s="60">
        <v>0.8328360067007213</v>
      </c>
      <c r="AE27" s="60">
        <v>0.9246089978046941</v>
      </c>
      <c r="AF27" s="60">
        <v>0.9859098380013614</v>
      </c>
      <c r="AG27" s="60">
        <v>1</v>
      </c>
      <c r="AH27" s="60"/>
    </row>
    <row r="28" spans="1:34" ht="13.5" thickBot="1">
      <c r="A28" s="3">
        <v>38169</v>
      </c>
      <c r="B28" s="28">
        <f>+'[15]Data Input'!$CT35</f>
        <v>5334938.8</v>
      </c>
      <c r="C28" s="24">
        <f>'Purchased Power Model '!C30</f>
        <v>3.6</v>
      </c>
      <c r="D28" s="24">
        <f>'Purchased Power Model '!D30</f>
        <v>86.4</v>
      </c>
      <c r="E28" s="10">
        <v>336.288</v>
      </c>
      <c r="F28" s="17">
        <v>0</v>
      </c>
      <c r="G28" s="17">
        <f t="shared" si="0"/>
        <v>38169</v>
      </c>
      <c r="H28" s="17">
        <v>31</v>
      </c>
      <c r="I28" s="116">
        <f>'Purchased Power Model '!K30</f>
        <v>623.8</v>
      </c>
      <c r="J28" s="17">
        <f>+'[15]Data Input'!$CR35</f>
        <v>44</v>
      </c>
      <c r="K28" s="17">
        <f>'Purchased Power Model '!G30</f>
        <v>0</v>
      </c>
      <c r="L28" s="36">
        <v>129.11844807878055</v>
      </c>
      <c r="M28" s="17"/>
      <c r="N28"/>
      <c r="O28"/>
      <c r="P28"/>
      <c r="Q28"/>
      <c r="R28"/>
      <c r="S28"/>
      <c r="X28" s="149">
        <v>0.45521494491439385</v>
      </c>
      <c r="Y28" s="149">
        <v>0.0010098543819386414</v>
      </c>
      <c r="Z28" s="149">
        <v>-0.021868581948757255</v>
      </c>
      <c r="AA28" s="149">
        <v>-0.06413808286721367</v>
      </c>
      <c r="AB28" s="149">
        <v>0.03425431630066644</v>
      </c>
      <c r="AC28" s="149">
        <v>0.004048570909300847</v>
      </c>
      <c r="AD28" s="149">
        <v>0.9193538346722581</v>
      </c>
      <c r="AE28" s="149">
        <v>0.7983278371370723</v>
      </c>
      <c r="AF28" s="149">
        <v>0.8873366280779835</v>
      </c>
      <c r="AG28" s="149">
        <v>0.8792002164911644</v>
      </c>
      <c r="AH28" s="149">
        <v>1</v>
      </c>
    </row>
    <row r="29" spans="1:33" ht="12.75">
      <c r="A29" s="3">
        <v>38200</v>
      </c>
      <c r="B29" s="28">
        <f>+'[15]Data Input'!$CT36</f>
        <v>5639271.07</v>
      </c>
      <c r="C29" s="24">
        <f>'Purchased Power Model '!C31</f>
        <v>12.8</v>
      </c>
      <c r="D29" s="24">
        <f>'Purchased Power Model '!D31</f>
        <v>59.6</v>
      </c>
      <c r="E29" s="10">
        <v>336.288</v>
      </c>
      <c r="F29" s="17">
        <v>0</v>
      </c>
      <c r="G29" s="17">
        <f t="shared" si="0"/>
        <v>38200</v>
      </c>
      <c r="H29" s="17">
        <v>31</v>
      </c>
      <c r="I29" s="116">
        <f>'Purchased Power Model '!K31</f>
        <v>625.7</v>
      </c>
      <c r="J29" s="17">
        <f>+'[15]Data Input'!$CR36</f>
        <v>50</v>
      </c>
      <c r="K29" s="17">
        <f>'Purchased Power Model '!G31</f>
        <v>0</v>
      </c>
      <c r="L29" s="36">
        <v>129.38441094123903</v>
      </c>
      <c r="M29" s="17"/>
      <c r="N29"/>
      <c r="O29"/>
      <c r="P29"/>
      <c r="Q29"/>
      <c r="R29"/>
      <c r="S29"/>
      <c r="X29"/>
      <c r="Y29"/>
      <c r="Z29"/>
      <c r="AA29"/>
      <c r="AB29"/>
      <c r="AC29"/>
      <c r="AD29"/>
      <c r="AE29"/>
      <c r="AF29"/>
      <c r="AG29"/>
    </row>
    <row r="30" spans="1:33" ht="12.75">
      <c r="A30" s="3">
        <v>38231</v>
      </c>
      <c r="B30" s="28">
        <f>+'[15]Data Input'!$CT37</f>
        <v>5627647.21</v>
      </c>
      <c r="C30" s="24">
        <f>'Purchased Power Model '!C32</f>
        <v>30</v>
      </c>
      <c r="D30" s="24">
        <f>'Purchased Power Model '!D32</f>
        <v>41.2</v>
      </c>
      <c r="E30" s="10">
        <v>336.24</v>
      </c>
      <c r="F30" s="17">
        <v>1</v>
      </c>
      <c r="G30" s="17">
        <f t="shared" si="0"/>
        <v>38231</v>
      </c>
      <c r="H30" s="17">
        <v>30</v>
      </c>
      <c r="I30" s="116">
        <f>'Purchased Power Model '!K32</f>
        <v>626.7</v>
      </c>
      <c r="J30" s="17">
        <f>+'[15]Data Input'!$CR37</f>
        <v>50</v>
      </c>
      <c r="K30" s="17">
        <f>'Purchased Power Model '!G32</f>
        <v>0</v>
      </c>
      <c r="L30" s="36">
        <v>129.65092164364802</v>
      </c>
      <c r="M30" s="17"/>
      <c r="N30"/>
      <c r="O30"/>
      <c r="P30"/>
      <c r="Q30"/>
      <c r="R30"/>
      <c r="S30"/>
      <c r="X30"/>
      <c r="Y30"/>
      <c r="Z30"/>
      <c r="AA30"/>
      <c r="AB30"/>
      <c r="AC30"/>
      <c r="AD30"/>
      <c r="AE30"/>
      <c r="AF30"/>
      <c r="AG30"/>
    </row>
    <row r="31" spans="1:33" ht="12.75">
      <c r="A31" s="3">
        <v>38261</v>
      </c>
      <c r="B31" s="28">
        <f>+'[15]Data Input'!$CT38</f>
        <v>5291026.09</v>
      </c>
      <c r="C31" s="24">
        <f>'Purchased Power Model '!C33</f>
        <v>226.3</v>
      </c>
      <c r="D31" s="24">
        <f>'Purchased Power Model '!D33</f>
        <v>1.5</v>
      </c>
      <c r="E31" s="10">
        <v>319.92</v>
      </c>
      <c r="F31" s="17">
        <v>1</v>
      </c>
      <c r="G31" s="17">
        <f t="shared" si="0"/>
        <v>38261</v>
      </c>
      <c r="H31" s="17">
        <v>31</v>
      </c>
      <c r="I31" s="116">
        <f>'Purchased Power Model '!K33</f>
        <v>625.1</v>
      </c>
      <c r="J31" s="17">
        <f>+'[15]Data Input'!$CR38</f>
        <v>51</v>
      </c>
      <c r="K31" s="17">
        <f>'Purchased Power Model '!G33</f>
        <v>0</v>
      </c>
      <c r="L31" s="36">
        <v>129.91798131446814</v>
      </c>
      <c r="M31" s="17"/>
      <c r="N31" s="17"/>
      <c r="O31"/>
      <c r="P31"/>
      <c r="Q31"/>
      <c r="R31"/>
      <c r="S31"/>
      <c r="X31"/>
      <c r="Y31"/>
      <c r="Z31"/>
      <c r="AA31"/>
      <c r="AB31"/>
      <c r="AC31"/>
      <c r="AD31"/>
      <c r="AE31"/>
      <c r="AF31"/>
      <c r="AG31"/>
    </row>
    <row r="32" spans="1:33" ht="12.75">
      <c r="A32" s="3">
        <v>38292</v>
      </c>
      <c r="B32" s="28">
        <f>+'[15]Data Input'!$CT39</f>
        <v>5523064.1</v>
      </c>
      <c r="C32" s="24">
        <f>'Purchased Power Model '!C34</f>
        <v>379.1</v>
      </c>
      <c r="D32" s="24">
        <f>'Purchased Power Model '!D34</f>
        <v>0</v>
      </c>
      <c r="E32" s="10">
        <v>352.08</v>
      </c>
      <c r="F32" s="17">
        <v>1</v>
      </c>
      <c r="G32" s="17">
        <f t="shared" si="0"/>
        <v>38292</v>
      </c>
      <c r="H32" s="17">
        <v>30</v>
      </c>
      <c r="I32" s="116">
        <f>'Purchased Power Model '!K34</f>
        <v>625.2</v>
      </c>
      <c r="J32" s="17">
        <f>+'[15]Data Input'!$CR39</f>
        <v>52</v>
      </c>
      <c r="K32" s="17">
        <f>'Purchased Power Model '!G34</f>
        <v>0</v>
      </c>
      <c r="L32" s="36">
        <v>130.18559108448443</v>
      </c>
      <c r="M32" s="17"/>
      <c r="N32" s="17"/>
      <c r="O32"/>
      <c r="P32"/>
      <c r="Q32"/>
      <c r="R32"/>
      <c r="S32"/>
      <c r="X32"/>
      <c r="Y32"/>
      <c r="Z32"/>
      <c r="AA32"/>
      <c r="AB32"/>
      <c r="AC32"/>
      <c r="AD32"/>
      <c r="AE32"/>
      <c r="AF32"/>
      <c r="AG32"/>
    </row>
    <row r="33" spans="1:33" ht="12.75">
      <c r="A33" s="3">
        <v>38322</v>
      </c>
      <c r="B33" s="28">
        <f>+'[15]Data Input'!$CT40</f>
        <v>5882976.460000001</v>
      </c>
      <c r="C33" s="24">
        <f>'Purchased Power Model '!C35</f>
        <v>643.4</v>
      </c>
      <c r="D33" s="24">
        <f>'Purchased Power Model '!D35</f>
        <v>0</v>
      </c>
      <c r="E33" s="10">
        <v>336.288</v>
      </c>
      <c r="F33" s="17">
        <v>0</v>
      </c>
      <c r="G33" s="17">
        <f t="shared" si="0"/>
        <v>38322</v>
      </c>
      <c r="H33" s="17">
        <v>31</v>
      </c>
      <c r="I33" s="116">
        <f>'Purchased Power Model '!K35</f>
        <v>628.4</v>
      </c>
      <c r="J33" s="17">
        <f>+'[15]Data Input'!$CR40</f>
        <v>54</v>
      </c>
      <c r="K33" s="17">
        <f>'Purchased Power Model '!G35</f>
        <v>0</v>
      </c>
      <c r="L33" s="36">
        <v>130.45375208681136</v>
      </c>
      <c r="M33" s="17"/>
      <c r="N33" s="17"/>
      <c r="O33"/>
      <c r="P33"/>
      <c r="Q33"/>
      <c r="R33"/>
      <c r="S33"/>
      <c r="X33"/>
      <c r="Y33"/>
      <c r="Z33"/>
      <c r="AA33"/>
      <c r="AB33"/>
      <c r="AC33"/>
      <c r="AD33"/>
      <c r="AE33"/>
      <c r="AF33"/>
      <c r="AG33"/>
    </row>
    <row r="34" spans="1:33" ht="12.75">
      <c r="A34" s="3">
        <v>38353</v>
      </c>
      <c r="B34" s="28">
        <f>+'[15]Data Input'!$CT41</f>
        <v>5416459.29</v>
      </c>
      <c r="C34" s="24">
        <f>'Purchased Power Model '!C36</f>
        <v>770</v>
      </c>
      <c r="D34" s="24">
        <f>'Purchased Power Model '!D36</f>
        <v>0</v>
      </c>
      <c r="E34" s="10">
        <v>319.92</v>
      </c>
      <c r="F34" s="17">
        <v>0</v>
      </c>
      <c r="G34" s="17">
        <f t="shared" si="0"/>
        <v>38353</v>
      </c>
      <c r="H34" s="17">
        <v>31</v>
      </c>
      <c r="I34" s="116">
        <f>'Purchased Power Model '!K36</f>
        <v>629.5</v>
      </c>
      <c r="J34" s="17">
        <f>+'[15]Data Input'!$CR41</f>
        <v>54</v>
      </c>
      <c r="K34" s="17">
        <f>'Purchased Power Model '!G36</f>
        <v>0</v>
      </c>
      <c r="L34" s="36">
        <v>130.7437021568508</v>
      </c>
      <c r="M34" s="17"/>
      <c r="N34" s="17"/>
      <c r="O34"/>
      <c r="P34"/>
      <c r="Q34"/>
      <c r="R34"/>
      <c r="S34"/>
      <c r="X34"/>
      <c r="Y34"/>
      <c r="Z34"/>
      <c r="AA34"/>
      <c r="AB34"/>
      <c r="AC34"/>
      <c r="AD34"/>
      <c r="AE34"/>
      <c r="AF34"/>
      <c r="AG34"/>
    </row>
    <row r="35" spans="1:33" ht="12.75">
      <c r="A35" s="3">
        <v>38384</v>
      </c>
      <c r="B35" s="28">
        <f>+'[15]Data Input'!$CT42</f>
        <v>5733803.17</v>
      </c>
      <c r="C35" s="24">
        <f>'Purchased Power Model '!C37</f>
        <v>616.4</v>
      </c>
      <c r="D35" s="24">
        <f>'Purchased Power Model '!D37</f>
        <v>0</v>
      </c>
      <c r="E35" s="10">
        <v>319.872</v>
      </c>
      <c r="F35" s="17">
        <v>0</v>
      </c>
      <c r="G35" s="17">
        <f aca="true" t="shared" si="1" ref="G35:G66">A35</f>
        <v>38384</v>
      </c>
      <c r="H35" s="17">
        <v>28</v>
      </c>
      <c r="I35" s="116">
        <f>'Purchased Power Model '!K37</f>
        <v>630.9</v>
      </c>
      <c r="J35" s="17">
        <f>+'[15]Data Input'!$CR42</f>
        <v>53</v>
      </c>
      <c r="K35" s="17">
        <f>'Purchased Power Model '!G37</f>
        <v>0</v>
      </c>
      <c r="L35" s="36">
        <v>131.0342966778299</v>
      </c>
      <c r="M35" s="17"/>
      <c r="N35" s="17"/>
      <c r="O35"/>
      <c r="P35"/>
      <c r="Q35"/>
      <c r="R35"/>
      <c r="S35"/>
      <c r="X35"/>
      <c r="Y35"/>
      <c r="Z35"/>
      <c r="AA35"/>
      <c r="AB35"/>
      <c r="AC35"/>
      <c r="AD35"/>
      <c r="AE35"/>
      <c r="AF35"/>
      <c r="AG35"/>
    </row>
    <row r="36" spans="1:33" ht="12.75">
      <c r="A36" s="3">
        <v>38412</v>
      </c>
      <c r="B36" s="28">
        <f>+'[15]Data Input'!$CT43</f>
        <v>5188433.16</v>
      </c>
      <c r="C36" s="24">
        <f>'Purchased Power Model '!C38</f>
        <v>608.6</v>
      </c>
      <c r="D36" s="24">
        <f>'Purchased Power Model '!D38</f>
        <v>0</v>
      </c>
      <c r="E36" s="10">
        <v>351.912</v>
      </c>
      <c r="F36" s="17">
        <v>1</v>
      </c>
      <c r="G36" s="17">
        <f t="shared" si="1"/>
        <v>38412</v>
      </c>
      <c r="H36" s="17">
        <v>31</v>
      </c>
      <c r="I36" s="116">
        <f>'Purchased Power Model '!K38</f>
        <v>628.1</v>
      </c>
      <c r="J36" s="17">
        <f>+'[15]Data Input'!$CR43</f>
        <v>53</v>
      </c>
      <c r="K36" s="17">
        <f>'Purchased Power Model '!G38</f>
        <v>0</v>
      </c>
      <c r="L36" s="36">
        <v>131.32553708212293</v>
      </c>
      <c r="M36" s="17"/>
      <c r="N36" s="17"/>
      <c r="O36"/>
      <c r="P36"/>
      <c r="Q36"/>
      <c r="R36"/>
      <c r="S36"/>
      <c r="X36"/>
      <c r="Y36"/>
      <c r="Z36"/>
      <c r="AA36"/>
      <c r="AB36"/>
      <c r="AC36"/>
      <c r="AD36"/>
      <c r="AE36"/>
      <c r="AF36"/>
      <c r="AG36"/>
    </row>
    <row r="37" spans="1:33" ht="12.75">
      <c r="A37" s="3">
        <v>38443</v>
      </c>
      <c r="B37" s="28">
        <f>+'[15]Data Input'!$CT44</f>
        <v>4911190.78</v>
      </c>
      <c r="C37" s="24">
        <f>'Purchased Power Model '!C39</f>
        <v>306.8</v>
      </c>
      <c r="D37" s="24">
        <f>'Purchased Power Model '!D39</f>
        <v>0</v>
      </c>
      <c r="E37" s="10">
        <v>336.24</v>
      </c>
      <c r="F37" s="17">
        <v>1</v>
      </c>
      <c r="G37" s="17">
        <f t="shared" si="1"/>
        <v>38443</v>
      </c>
      <c r="H37" s="17">
        <v>30</v>
      </c>
      <c r="I37" s="116">
        <f>'Purchased Power Model '!K39</f>
        <v>631.3</v>
      </c>
      <c r="J37" s="17">
        <f>+'[15]Data Input'!$CR44</f>
        <v>51</v>
      </c>
      <c r="K37" s="17">
        <f>'Purchased Power Model '!G39</f>
        <v>0</v>
      </c>
      <c r="L37" s="36">
        <v>131.61742480528775</v>
      </c>
      <c r="M37" s="17"/>
      <c r="N37" s="17"/>
      <c r="O37"/>
      <c r="P37"/>
      <c r="Q37"/>
      <c r="R37"/>
      <c r="S37"/>
      <c r="X37"/>
      <c r="Y37"/>
      <c r="Z37"/>
      <c r="AA37"/>
      <c r="AB37"/>
      <c r="AC37"/>
      <c r="AD37"/>
      <c r="AE37"/>
      <c r="AF37"/>
      <c r="AG37"/>
    </row>
    <row r="38" spans="1:33" ht="12.75">
      <c r="A38" s="3">
        <v>38473</v>
      </c>
      <c r="B38" s="28">
        <f>+'[15]Data Input'!$CT45</f>
        <v>4916161.99</v>
      </c>
      <c r="C38" s="24">
        <f>'Purchased Power Model '!C40</f>
        <v>189.4</v>
      </c>
      <c r="D38" s="24">
        <f>'Purchased Power Model '!D40</f>
        <v>0.8</v>
      </c>
      <c r="E38" s="10">
        <v>336.288</v>
      </c>
      <c r="F38" s="17">
        <v>1</v>
      </c>
      <c r="G38" s="17">
        <f t="shared" si="1"/>
        <v>38473</v>
      </c>
      <c r="H38" s="17">
        <v>31</v>
      </c>
      <c r="I38" s="116">
        <f>'Purchased Power Model '!K40</f>
        <v>638.6</v>
      </c>
      <c r="J38" s="17">
        <f>+'[15]Data Input'!$CR45</f>
        <v>52</v>
      </c>
      <c r="K38" s="17">
        <f>'Purchased Power Model '!G40</f>
        <v>0</v>
      </c>
      <c r="L38" s="36">
        <v>131.90996128607298</v>
      </c>
      <c r="M38" s="17"/>
      <c r="N38" s="17"/>
      <c r="O38"/>
      <c r="P38"/>
      <c r="Q38"/>
      <c r="R38"/>
      <c r="S38"/>
      <c r="X38"/>
      <c r="Y38"/>
      <c r="Z38"/>
      <c r="AA38"/>
      <c r="AB38"/>
      <c r="AC38"/>
      <c r="AD38"/>
      <c r="AE38"/>
      <c r="AF38"/>
      <c r="AG38"/>
    </row>
    <row r="39" spans="1:33" ht="12.75">
      <c r="A39" s="3">
        <v>38504</v>
      </c>
      <c r="B39" s="28">
        <f>+'[15]Data Input'!$CT46</f>
        <v>5204983.35</v>
      </c>
      <c r="C39" s="24">
        <f>'Purchased Power Model '!C41</f>
        <v>8.9</v>
      </c>
      <c r="D39" s="24">
        <f>'Purchased Power Model '!D41</f>
        <v>146.3</v>
      </c>
      <c r="E39" s="10">
        <v>352.08</v>
      </c>
      <c r="F39" s="17">
        <v>0</v>
      </c>
      <c r="G39" s="17">
        <f t="shared" si="1"/>
        <v>38504</v>
      </c>
      <c r="H39" s="17">
        <v>30</v>
      </c>
      <c r="I39" s="116">
        <f>'Purchased Power Model '!K41</f>
        <v>648.1</v>
      </c>
      <c r="J39" s="17">
        <f>+'[15]Data Input'!$CR46</f>
        <v>51</v>
      </c>
      <c r="K39" s="17">
        <f>'Purchased Power Model '!G41</f>
        <v>0</v>
      </c>
      <c r="L39" s="36">
        <v>132.203147966425</v>
      </c>
      <c r="M39" s="17"/>
      <c r="N39" s="17"/>
      <c r="O39"/>
      <c r="P39"/>
      <c r="Q39"/>
      <c r="R39"/>
      <c r="S39"/>
      <c r="X39"/>
      <c r="Y39"/>
      <c r="Z39"/>
      <c r="AA39"/>
      <c r="AB39"/>
      <c r="AC39"/>
      <c r="AD39"/>
      <c r="AE39"/>
      <c r="AF39"/>
      <c r="AG39"/>
    </row>
    <row r="40" spans="1:33" ht="12.75">
      <c r="A40" s="3">
        <v>38534</v>
      </c>
      <c r="B40" s="28">
        <f>+'[15]Data Input'!$CT47</f>
        <v>5071710.47</v>
      </c>
      <c r="C40" s="24">
        <f>'Purchased Power Model '!C42</f>
        <v>0</v>
      </c>
      <c r="D40" s="24">
        <f>'Purchased Power Model '!D42</f>
        <v>188.7</v>
      </c>
      <c r="E40" s="10">
        <v>319.92</v>
      </c>
      <c r="F40" s="17">
        <v>0</v>
      </c>
      <c r="G40" s="17">
        <f t="shared" si="1"/>
        <v>38534</v>
      </c>
      <c r="H40" s="17">
        <v>31</v>
      </c>
      <c r="I40" s="116">
        <f>'Purchased Power Model '!K42</f>
        <v>653.1</v>
      </c>
      <c r="J40" s="17">
        <f>+'[15]Data Input'!$CR47</f>
        <v>51</v>
      </c>
      <c r="K40" s="17">
        <f>'Purchased Power Model '!G42</f>
        <v>0</v>
      </c>
      <c r="L40" s="36">
        <v>132.49698629149512</v>
      </c>
      <c r="M40" s="17"/>
      <c r="N40" s="17"/>
      <c r="O40"/>
      <c r="P40"/>
      <c r="Q40"/>
      <c r="R40"/>
      <c r="S40"/>
      <c r="X40"/>
      <c r="Y40"/>
      <c r="Z40"/>
      <c r="AA40"/>
      <c r="AB40"/>
      <c r="AC40"/>
      <c r="AD40"/>
      <c r="AE40"/>
      <c r="AF40"/>
      <c r="AG40"/>
    </row>
    <row r="41" spans="1:33" ht="12.75">
      <c r="A41" s="3">
        <v>38565</v>
      </c>
      <c r="B41" s="28">
        <f>+'[15]Data Input'!$CT48</f>
        <v>5408583.51</v>
      </c>
      <c r="C41" s="24">
        <f>'Purchased Power Model '!C43</f>
        <v>0.2</v>
      </c>
      <c r="D41" s="24">
        <f>'Purchased Power Model '!D43</f>
        <v>140.7</v>
      </c>
      <c r="E41" s="10">
        <v>351.912</v>
      </c>
      <c r="F41" s="17">
        <v>0</v>
      </c>
      <c r="G41" s="17">
        <f t="shared" si="1"/>
        <v>38565</v>
      </c>
      <c r="H41" s="17">
        <v>31</v>
      </c>
      <c r="I41" s="116">
        <f>'Purchased Power Model '!K43</f>
        <v>655.6</v>
      </c>
      <c r="J41" s="17">
        <f>+'[15]Data Input'!$CR48</f>
        <v>51</v>
      </c>
      <c r="K41" s="17">
        <f>'Purchased Power Model '!G43</f>
        <v>0</v>
      </c>
      <c r="L41" s="36">
        <v>132.79147770964664</v>
      </c>
      <c r="M41" s="17"/>
      <c r="N41" s="17"/>
      <c r="O41"/>
      <c r="P41"/>
      <c r="Q41"/>
      <c r="R41"/>
      <c r="S41"/>
      <c r="X41"/>
      <c r="Y41"/>
      <c r="Z41"/>
      <c r="AA41"/>
      <c r="AB41"/>
      <c r="AC41"/>
      <c r="AD41"/>
      <c r="AE41"/>
      <c r="AF41"/>
      <c r="AG41"/>
    </row>
    <row r="42" spans="1:33" ht="12.75">
      <c r="A42" s="3">
        <v>38596</v>
      </c>
      <c r="B42" s="28">
        <f>+'[15]Data Input'!$CT49</f>
        <v>5473435.3</v>
      </c>
      <c r="C42" s="24">
        <f>'Purchased Power Model '!C44</f>
        <v>22.6</v>
      </c>
      <c r="D42" s="24">
        <f>'Purchased Power Model '!D44</f>
        <v>52.1</v>
      </c>
      <c r="E42" s="10">
        <v>336.24</v>
      </c>
      <c r="F42" s="17">
        <v>1</v>
      </c>
      <c r="G42" s="17">
        <f t="shared" si="1"/>
        <v>38596</v>
      </c>
      <c r="H42" s="17">
        <v>30</v>
      </c>
      <c r="I42" s="116">
        <f>'Purchased Power Model '!K44</f>
        <v>652.2</v>
      </c>
      <c r="J42" s="17">
        <f>+'[15]Data Input'!$CR49</f>
        <v>51</v>
      </c>
      <c r="K42" s="17">
        <f>'Purchased Power Model '!G44</f>
        <v>0</v>
      </c>
      <c r="L42" s="36">
        <v>133.0866236724621</v>
      </c>
      <c r="M42" s="17"/>
      <c r="N42" s="17"/>
      <c r="O42"/>
      <c r="P42"/>
      <c r="Q42"/>
      <c r="R42"/>
      <c r="S42"/>
      <c r="X42"/>
      <c r="Y42"/>
      <c r="Z42"/>
      <c r="AA42"/>
      <c r="AB42"/>
      <c r="AC42"/>
      <c r="AD42"/>
      <c r="AE42"/>
      <c r="AF42"/>
      <c r="AG42"/>
    </row>
    <row r="43" spans="1:33" ht="12.75">
      <c r="A43" s="3">
        <v>38626</v>
      </c>
      <c r="B43" s="28">
        <f>+'[15]Data Input'!$CT50</f>
        <v>5173285.620000001</v>
      </c>
      <c r="C43" s="24">
        <f>'Purchased Power Model '!C45</f>
        <v>220.2</v>
      </c>
      <c r="D43" s="24">
        <f>'Purchased Power Model '!D45</f>
        <v>7.6</v>
      </c>
      <c r="E43" s="10">
        <v>319.92</v>
      </c>
      <c r="F43" s="17">
        <v>1</v>
      </c>
      <c r="G43" s="17">
        <f t="shared" si="1"/>
        <v>38626</v>
      </c>
      <c r="H43" s="17">
        <v>31</v>
      </c>
      <c r="I43" s="116">
        <f>'Purchased Power Model '!K45</f>
        <v>649.8</v>
      </c>
      <c r="J43" s="17">
        <f>+'[15]Data Input'!$CR50</f>
        <v>51</v>
      </c>
      <c r="K43" s="17">
        <f>'Purchased Power Model '!G45</f>
        <v>0</v>
      </c>
      <c r="L43" s="36">
        <v>133.38242563475035</v>
      </c>
      <c r="M43" s="17"/>
      <c r="N43" s="17"/>
      <c r="O43"/>
      <c r="P43"/>
      <c r="Q43"/>
      <c r="R43"/>
      <c r="S43"/>
      <c r="X43"/>
      <c r="Y43"/>
      <c r="Z43"/>
      <c r="AA43"/>
      <c r="AB43"/>
      <c r="AC43"/>
      <c r="AD43"/>
      <c r="AE43"/>
      <c r="AF43"/>
      <c r="AG43"/>
    </row>
    <row r="44" spans="1:33" ht="12.75">
      <c r="A44" s="3">
        <v>38657</v>
      </c>
      <c r="B44" s="28">
        <f>+'[15]Data Input'!$CT51</f>
        <v>5132287.2</v>
      </c>
      <c r="C44" s="24">
        <f>'Purchased Power Model '!C46</f>
        <v>388.4</v>
      </c>
      <c r="D44" s="24">
        <f>'Purchased Power Model '!D46</f>
        <v>0</v>
      </c>
      <c r="E44" s="10">
        <v>352.08</v>
      </c>
      <c r="F44" s="17">
        <v>1</v>
      </c>
      <c r="G44" s="17">
        <f t="shared" si="1"/>
        <v>38657</v>
      </c>
      <c r="H44" s="17">
        <v>30</v>
      </c>
      <c r="I44" s="116">
        <f>'Purchased Power Model '!K46</f>
        <v>643.8</v>
      </c>
      <c r="J44" s="17">
        <f>+'[15]Data Input'!$CR51</f>
        <v>51</v>
      </c>
      <c r="K44" s="17">
        <f>'Purchased Power Model '!G46</f>
        <v>0</v>
      </c>
      <c r="L44" s="36">
        <v>133.6788850545537</v>
      </c>
      <c r="M44" s="17"/>
      <c r="N44" s="17"/>
      <c r="O44"/>
      <c r="P44"/>
      <c r="Q44"/>
      <c r="R44"/>
      <c r="S44"/>
      <c r="X44"/>
      <c r="Y44"/>
      <c r="Z44"/>
      <c r="AA44"/>
      <c r="AB44"/>
      <c r="AC44"/>
      <c r="AD44"/>
      <c r="AE44"/>
      <c r="AF44"/>
      <c r="AG44"/>
    </row>
    <row r="45" spans="1:33" ht="12.75">
      <c r="A45" s="3">
        <v>38687</v>
      </c>
      <c r="B45" s="28">
        <f>+'[15]Data Input'!$CT52</f>
        <v>4749649.72</v>
      </c>
      <c r="C45" s="24">
        <f>'Purchased Power Model '!C47</f>
        <v>665.3</v>
      </c>
      <c r="D45" s="24">
        <f>'Purchased Power Model '!D47</f>
        <v>0</v>
      </c>
      <c r="E45" s="10">
        <v>319.92</v>
      </c>
      <c r="F45" s="17">
        <v>0</v>
      </c>
      <c r="G45" s="17">
        <f t="shared" si="1"/>
        <v>38687</v>
      </c>
      <c r="H45" s="17">
        <v>31</v>
      </c>
      <c r="I45" s="116">
        <f>'Purchased Power Model '!K47</f>
        <v>644.6</v>
      </c>
      <c r="J45" s="17">
        <f>+'[15]Data Input'!$CR52</f>
        <v>51</v>
      </c>
      <c r="K45" s="17">
        <f>'Purchased Power Model '!G47</f>
        <v>0</v>
      </c>
      <c r="L45" s="36">
        <v>133.97600339315525</v>
      </c>
      <c r="M45" s="17"/>
      <c r="N45" s="17"/>
      <c r="O45"/>
      <c r="P45"/>
      <c r="Q45"/>
      <c r="R45"/>
      <c r="S45"/>
      <c r="X45"/>
      <c r="Y45"/>
      <c r="Z45"/>
      <c r="AA45"/>
      <c r="AB45"/>
      <c r="AC45"/>
      <c r="AD45"/>
      <c r="AE45"/>
      <c r="AF45"/>
      <c r="AG45"/>
    </row>
    <row r="46" spans="1:33" ht="12.75">
      <c r="A46" s="3">
        <v>38718</v>
      </c>
      <c r="B46" s="28">
        <f>+'[15]Data Input'!$CT53</f>
        <v>5326921.01</v>
      </c>
      <c r="C46" s="24">
        <f>'Purchased Power Model '!C48</f>
        <v>551.8</v>
      </c>
      <c r="D46" s="24">
        <f>'Purchased Power Model '!D48</f>
        <v>0</v>
      </c>
      <c r="E46" s="10">
        <v>336.288</v>
      </c>
      <c r="F46" s="17">
        <v>0</v>
      </c>
      <c r="G46" s="17">
        <f t="shared" si="1"/>
        <v>38718</v>
      </c>
      <c r="H46" s="17">
        <v>31</v>
      </c>
      <c r="I46" s="116">
        <f>'Purchased Power Model '!K48</f>
        <v>643.6</v>
      </c>
      <c r="J46" s="17">
        <f>+'[15]Data Input'!$CR53</f>
        <v>52</v>
      </c>
      <c r="K46" s="17">
        <f>'Purchased Power Model '!G48</f>
        <v>5336.896278152831</v>
      </c>
      <c r="L46" s="36">
        <v>134.25197202423305</v>
      </c>
      <c r="M46" s="17"/>
      <c r="N46" s="17"/>
      <c r="O46"/>
      <c r="P46"/>
      <c r="Q46"/>
      <c r="R46"/>
      <c r="S46"/>
      <c r="X46"/>
      <c r="Y46"/>
      <c r="Z46"/>
      <c r="AA46"/>
      <c r="AB46"/>
      <c r="AC46"/>
      <c r="AD46"/>
      <c r="AE46"/>
      <c r="AF46"/>
      <c r="AG46"/>
    </row>
    <row r="47" spans="1:33" ht="12.75">
      <c r="A47" s="3">
        <v>38749</v>
      </c>
      <c r="B47" s="28">
        <f>+'[15]Data Input'!$CT54</f>
        <v>4342101.26</v>
      </c>
      <c r="C47" s="24">
        <f>'Purchased Power Model '!C49</f>
        <v>604.3</v>
      </c>
      <c r="D47" s="24">
        <f>'Purchased Power Model '!D49</f>
        <v>0</v>
      </c>
      <c r="E47" s="10">
        <v>319.872</v>
      </c>
      <c r="F47" s="17">
        <v>0</v>
      </c>
      <c r="G47" s="17">
        <f t="shared" si="1"/>
        <v>38749</v>
      </c>
      <c r="H47" s="17">
        <v>28</v>
      </c>
      <c r="I47" s="116">
        <f>'Purchased Power Model '!K49</f>
        <v>642.9</v>
      </c>
      <c r="J47" s="17">
        <f>+'[15]Data Input'!$CR54</f>
        <v>54</v>
      </c>
      <c r="K47" s="17">
        <f>'Purchased Power Model '!G49</f>
        <v>10673.792556305661</v>
      </c>
      <c r="L47" s="36">
        <v>134.5285091055065</v>
      </c>
      <c r="M47" s="17"/>
      <c r="N47" s="17"/>
      <c r="O47"/>
      <c r="P47"/>
      <c r="Q47"/>
      <c r="R47"/>
      <c r="S47"/>
      <c r="X47"/>
      <c r="Y47"/>
      <c r="Z47"/>
      <c r="AA47"/>
      <c r="AB47"/>
      <c r="AC47"/>
      <c r="AD47"/>
      <c r="AE47"/>
      <c r="AF47"/>
      <c r="AG47"/>
    </row>
    <row r="48" spans="1:33" ht="12.75">
      <c r="A48" s="3">
        <v>38777</v>
      </c>
      <c r="B48" s="28">
        <f>+'[15]Data Input'!$CT55</f>
        <v>5578944.35</v>
      </c>
      <c r="C48" s="24">
        <f>'Purchased Power Model '!C50</f>
        <v>516.6</v>
      </c>
      <c r="D48" s="24">
        <f>'Purchased Power Model '!D50</f>
        <v>0</v>
      </c>
      <c r="E48" s="10">
        <v>368.28</v>
      </c>
      <c r="F48" s="17">
        <v>1</v>
      </c>
      <c r="G48" s="17">
        <f t="shared" si="1"/>
        <v>38777</v>
      </c>
      <c r="H48" s="17">
        <v>31</v>
      </c>
      <c r="I48" s="116">
        <f>'Purchased Power Model '!K50</f>
        <v>641</v>
      </c>
      <c r="J48" s="17">
        <f>+'[15]Data Input'!$CR55</f>
        <v>54</v>
      </c>
      <c r="K48" s="17">
        <f>'Purchased Power Model '!G50</f>
        <v>16010.688834458491</v>
      </c>
      <c r="L48" s="36">
        <v>134.80561580788986</v>
      </c>
      <c r="M48" s="17"/>
      <c r="N48" s="17"/>
      <c r="O48"/>
      <c r="P48"/>
      <c r="Q48"/>
      <c r="R48"/>
      <c r="S48"/>
      <c r="X48"/>
      <c r="Y48"/>
      <c r="Z48"/>
      <c r="AA48"/>
      <c r="AB48"/>
      <c r="AC48"/>
      <c r="AD48"/>
      <c r="AE48"/>
      <c r="AF48"/>
      <c r="AG48"/>
    </row>
    <row r="49" spans="1:33" ht="12.75">
      <c r="A49" s="3">
        <v>38808</v>
      </c>
      <c r="B49" s="28">
        <f>+'[15]Data Input'!$CT56</f>
        <v>5076820.2</v>
      </c>
      <c r="C49" s="24">
        <f>'Purchased Power Model '!C51</f>
        <v>293.3</v>
      </c>
      <c r="D49" s="24">
        <f>'Purchased Power Model '!D51</f>
        <v>0</v>
      </c>
      <c r="E49" s="10">
        <v>303.84</v>
      </c>
      <c r="F49" s="17">
        <v>1</v>
      </c>
      <c r="G49" s="17">
        <f t="shared" si="1"/>
        <v>38808</v>
      </c>
      <c r="H49" s="17">
        <v>30</v>
      </c>
      <c r="I49" s="116">
        <f>'Purchased Power Model '!K51</f>
        <v>643.6</v>
      </c>
      <c r="J49" s="17">
        <f>+'[15]Data Input'!$CR56</f>
        <v>54</v>
      </c>
      <c r="K49" s="17">
        <f>'Purchased Power Model '!G51</f>
        <v>21347.585112611323</v>
      </c>
      <c r="L49" s="36">
        <v>135.08329330470943</v>
      </c>
      <c r="M49" s="17"/>
      <c r="N49" s="17"/>
      <c r="O49"/>
      <c r="P49"/>
      <c r="Q49"/>
      <c r="R49"/>
      <c r="S49"/>
      <c r="X49"/>
      <c r="Y49"/>
      <c r="Z49"/>
      <c r="AA49"/>
      <c r="AB49"/>
      <c r="AC49"/>
      <c r="AD49"/>
      <c r="AE49"/>
      <c r="AF49"/>
      <c r="AG49"/>
    </row>
    <row r="50" spans="1:33" ht="12.75">
      <c r="A50" s="3">
        <v>38838</v>
      </c>
      <c r="B50" s="28">
        <f>+'[15]Data Input'!$CT57</f>
        <v>5306762.93</v>
      </c>
      <c r="C50" s="24">
        <f>'Purchased Power Model '!C52</f>
        <v>136.9</v>
      </c>
      <c r="D50" s="24">
        <f>'Purchased Power Model '!D52</f>
        <v>26</v>
      </c>
      <c r="E50" s="10">
        <v>351.912</v>
      </c>
      <c r="F50" s="17">
        <v>1</v>
      </c>
      <c r="G50" s="17">
        <f t="shared" si="1"/>
        <v>38838</v>
      </c>
      <c r="H50" s="17">
        <v>31</v>
      </c>
      <c r="I50" s="116">
        <f>'Purchased Power Model '!K52</f>
        <v>652.3</v>
      </c>
      <c r="J50" s="17">
        <f>+'[15]Data Input'!$CR57</f>
        <v>53</v>
      </c>
      <c r="K50" s="17">
        <f>'Purchased Power Model '!G52</f>
        <v>26684.481390764155</v>
      </c>
      <c r="L50" s="36">
        <v>135.3615427717083</v>
      </c>
      <c r="M50" s="17"/>
      <c r="N50" s="17"/>
      <c r="O50"/>
      <c r="P50"/>
      <c r="Q50"/>
      <c r="R50"/>
      <c r="S50"/>
      <c r="X50"/>
      <c r="Y50"/>
      <c r="Z50"/>
      <c r="AA50"/>
      <c r="AB50"/>
      <c r="AC50"/>
      <c r="AD50"/>
      <c r="AE50"/>
      <c r="AF50"/>
      <c r="AG50"/>
    </row>
    <row r="51" spans="1:33" ht="12.75">
      <c r="A51" s="3">
        <v>38869</v>
      </c>
      <c r="B51" s="28">
        <f>+'[15]Data Input'!$CT58</f>
        <v>5358384.63</v>
      </c>
      <c r="C51" s="24">
        <f>'Purchased Power Model '!C53</f>
        <v>19.5</v>
      </c>
      <c r="D51" s="24">
        <f>'Purchased Power Model '!D53</f>
        <v>73.6</v>
      </c>
      <c r="E51" s="10">
        <v>352.08</v>
      </c>
      <c r="F51" s="17">
        <v>0</v>
      </c>
      <c r="G51" s="17">
        <f t="shared" si="1"/>
        <v>38869</v>
      </c>
      <c r="H51" s="17">
        <v>30</v>
      </c>
      <c r="I51" s="116">
        <f>'Purchased Power Model '!K53</f>
        <v>660</v>
      </c>
      <c r="J51" s="17">
        <f>+'[15]Data Input'!$CR58</f>
        <v>53</v>
      </c>
      <c r="K51" s="17">
        <f>'Purchased Power Model '!G53</f>
        <v>32021.377668916986</v>
      </c>
      <c r="L51" s="36">
        <v>135.64036538705133</v>
      </c>
      <c r="M51" s="17"/>
      <c r="N51" s="17"/>
      <c r="O51"/>
      <c r="P51"/>
      <c r="Q51"/>
      <c r="R51"/>
      <c r="S51"/>
      <c r="X51"/>
      <c r="Y51"/>
      <c r="Z51"/>
      <c r="AA51"/>
      <c r="AB51"/>
      <c r="AC51"/>
      <c r="AD51"/>
      <c r="AE51"/>
      <c r="AF51"/>
      <c r="AG51"/>
    </row>
    <row r="52" spans="1:33" ht="12.75">
      <c r="A52" s="3">
        <v>38899</v>
      </c>
      <c r="B52" s="28">
        <f>+'[15]Data Input'!$CT59</f>
        <v>5326927.449999999</v>
      </c>
      <c r="C52" s="24">
        <f>'Purchased Power Model '!C54</f>
        <v>0</v>
      </c>
      <c r="D52" s="24">
        <f>'Purchased Power Model '!D54</f>
        <v>167.3</v>
      </c>
      <c r="E52" s="10">
        <v>319.92</v>
      </c>
      <c r="F52" s="17">
        <v>0</v>
      </c>
      <c r="G52" s="17">
        <f t="shared" si="1"/>
        <v>38899</v>
      </c>
      <c r="H52" s="17">
        <v>31</v>
      </c>
      <c r="I52" s="116">
        <f>'Purchased Power Model '!K54</f>
        <v>665.1</v>
      </c>
      <c r="J52" s="17">
        <f>+'[15]Data Input'!$CR59</f>
        <v>53</v>
      </c>
      <c r="K52" s="17">
        <f>'Purchased Power Model '!G54</f>
        <v>37358.273947069814</v>
      </c>
      <c r="L52" s="36">
        <v>135.9197623313303</v>
      </c>
      <c r="M52" s="17"/>
      <c r="N52" s="17"/>
      <c r="O52"/>
      <c r="P52"/>
      <c r="Q52"/>
      <c r="R52"/>
      <c r="S52"/>
      <c r="X52"/>
      <c r="Y52"/>
      <c r="Z52"/>
      <c r="AA52"/>
      <c r="AB52"/>
      <c r="AC52"/>
      <c r="AD52"/>
      <c r="AE52"/>
      <c r="AF52"/>
      <c r="AG52"/>
    </row>
    <row r="53" spans="1:33" ht="12.75">
      <c r="A53" s="3">
        <v>38930</v>
      </c>
      <c r="B53" s="28">
        <f>+'[15]Data Input'!$CT60</f>
        <v>5711093.050000001</v>
      </c>
      <c r="C53" s="24">
        <f>'Purchased Power Model '!C55</f>
        <v>4.2</v>
      </c>
      <c r="D53" s="24">
        <f>'Purchased Power Model '!D55</f>
        <v>101.6</v>
      </c>
      <c r="E53" s="10">
        <v>351.912</v>
      </c>
      <c r="F53" s="17">
        <v>0</v>
      </c>
      <c r="G53" s="17">
        <f t="shared" si="1"/>
        <v>38930</v>
      </c>
      <c r="H53" s="17">
        <v>31</v>
      </c>
      <c r="I53" s="116">
        <f>'Purchased Power Model '!K55</f>
        <v>667.3</v>
      </c>
      <c r="J53" s="17">
        <f>+'[15]Data Input'!$CR60</f>
        <v>53</v>
      </c>
      <c r="K53" s="17">
        <f>'Purchased Power Model '!G55</f>
        <v>42695.170225222646</v>
      </c>
      <c r="L53" s="36">
        <v>136.1997347875688</v>
      </c>
      <c r="M53" s="17"/>
      <c r="N53" s="17"/>
      <c r="O53"/>
      <c r="P53"/>
      <c r="Q53"/>
      <c r="R53"/>
      <c r="S53"/>
      <c r="X53"/>
      <c r="Y53"/>
      <c r="Z53"/>
      <c r="AA53"/>
      <c r="AB53"/>
      <c r="AC53"/>
      <c r="AD53"/>
      <c r="AE53"/>
      <c r="AF53"/>
      <c r="AG53"/>
    </row>
    <row r="54" spans="1:33" ht="12.75">
      <c r="A54" s="3">
        <v>38961</v>
      </c>
      <c r="B54" s="28">
        <f>+'[15]Data Input'!$CT61</f>
        <v>5117143.32</v>
      </c>
      <c r="C54" s="24">
        <f>'Purchased Power Model '!C56</f>
        <v>80.9</v>
      </c>
      <c r="D54" s="24">
        <f>'Purchased Power Model '!D56</f>
        <v>12.9</v>
      </c>
      <c r="E54" s="10">
        <v>319.68</v>
      </c>
      <c r="F54" s="17">
        <v>1</v>
      </c>
      <c r="G54" s="17">
        <f t="shared" si="1"/>
        <v>38961</v>
      </c>
      <c r="H54" s="17">
        <v>30</v>
      </c>
      <c r="I54" s="116">
        <f>'Purchased Power Model '!K56</f>
        <v>664.9</v>
      </c>
      <c r="J54" s="17">
        <f>+'[15]Data Input'!$CR61</f>
        <v>54</v>
      </c>
      <c r="K54" s="17">
        <f>'Purchased Power Model '!G56</f>
        <v>48032.06650337548</v>
      </c>
      <c r="L54" s="36">
        <v>136.48028394122719</v>
      </c>
      <c r="M54" s="17"/>
      <c r="N54" s="17"/>
      <c r="O54"/>
      <c r="P54"/>
      <c r="Q54"/>
      <c r="R54"/>
      <c r="S54"/>
      <c r="X54"/>
      <c r="Y54"/>
      <c r="Z54"/>
      <c r="AA54"/>
      <c r="AB54"/>
      <c r="AC54"/>
      <c r="AD54"/>
      <c r="AE54"/>
      <c r="AF54"/>
      <c r="AG54"/>
    </row>
    <row r="55" spans="1:33" ht="12.75">
      <c r="A55" s="3">
        <v>38991</v>
      </c>
      <c r="B55" s="28">
        <f>+'[15]Data Input'!$CT62</f>
        <v>5315238.08</v>
      </c>
      <c r="C55" s="24">
        <f>'Purchased Power Model '!C57</f>
        <v>288.3</v>
      </c>
      <c r="D55" s="24">
        <f>'Purchased Power Model '!D57</f>
        <v>1.1</v>
      </c>
      <c r="E55" s="10">
        <v>336.288</v>
      </c>
      <c r="F55" s="17">
        <v>1</v>
      </c>
      <c r="G55" s="17">
        <f t="shared" si="1"/>
        <v>38991</v>
      </c>
      <c r="H55" s="17">
        <v>31</v>
      </c>
      <c r="I55" s="116">
        <f>'Purchased Power Model '!K57</f>
        <v>667</v>
      </c>
      <c r="J55" s="17">
        <f>+'[15]Data Input'!$CR62</f>
        <v>54</v>
      </c>
      <c r="K55" s="17">
        <f>'Purchased Power Model '!G57</f>
        <v>53368.96278152831</v>
      </c>
      <c r="L55" s="36">
        <v>136.76141098020776</v>
      </c>
      <c r="M55" s="17"/>
      <c r="N55" s="17"/>
      <c r="O55"/>
      <c r="P55"/>
      <c r="Q55"/>
      <c r="R55"/>
      <c r="S55"/>
      <c r="X55"/>
      <c r="Y55"/>
      <c r="Z55"/>
      <c r="AA55"/>
      <c r="AB55"/>
      <c r="AC55"/>
      <c r="AD55"/>
      <c r="AE55"/>
      <c r="AF55"/>
      <c r="AG55"/>
    </row>
    <row r="56" spans="1:33" ht="12.75">
      <c r="A56" s="3">
        <v>39022</v>
      </c>
      <c r="B56" s="28">
        <f>+'[15]Data Input'!$CT63</f>
        <v>5350541.74</v>
      </c>
      <c r="C56" s="24">
        <f>'Purchased Power Model '!C58</f>
        <v>382.2</v>
      </c>
      <c r="D56" s="24">
        <f>'Purchased Power Model '!D58</f>
        <v>0</v>
      </c>
      <c r="E56" s="10">
        <v>352.08</v>
      </c>
      <c r="F56" s="17">
        <v>1</v>
      </c>
      <c r="G56" s="17">
        <f t="shared" si="1"/>
        <v>39022</v>
      </c>
      <c r="H56" s="17">
        <v>30</v>
      </c>
      <c r="I56" s="116">
        <f>'Purchased Power Model '!K58</f>
        <v>666.2</v>
      </c>
      <c r="J56" s="17">
        <f>+'[15]Data Input'!$CR63</f>
        <v>54</v>
      </c>
      <c r="K56" s="17">
        <f>'Purchased Power Model '!G58</f>
        <v>58705.85905968114</v>
      </c>
      <c r="L56" s="36">
        <v>137.04311709485967</v>
      </c>
      <c r="M56" s="17"/>
      <c r="N56" s="17"/>
      <c r="O56"/>
      <c r="P56"/>
      <c r="Q56"/>
      <c r="R56"/>
      <c r="S56"/>
      <c r="X56"/>
      <c r="Y56"/>
      <c r="Z56"/>
      <c r="AA56"/>
      <c r="AB56"/>
      <c r="AC56"/>
      <c r="AD56"/>
      <c r="AE56"/>
      <c r="AF56"/>
      <c r="AG56"/>
    </row>
    <row r="57" spans="1:33" ht="12.75">
      <c r="A57" s="3">
        <v>39052</v>
      </c>
      <c r="B57" s="28">
        <f>+'[15]Data Input'!$CT64</f>
        <v>5127576.12</v>
      </c>
      <c r="C57" s="24">
        <f>'Purchased Power Model '!C59</f>
        <v>500.5</v>
      </c>
      <c r="D57" s="24">
        <f>'Purchased Power Model '!D59</f>
        <v>0</v>
      </c>
      <c r="E57" s="10">
        <v>304.296</v>
      </c>
      <c r="F57" s="17">
        <v>0</v>
      </c>
      <c r="G57" s="17">
        <f t="shared" si="1"/>
        <v>39052</v>
      </c>
      <c r="H57" s="17">
        <v>31</v>
      </c>
      <c r="I57" s="116">
        <f>'Purchased Power Model '!K59</f>
        <v>667.7</v>
      </c>
      <c r="J57" s="17">
        <f>+'[15]Data Input'!$CR64</f>
        <v>54</v>
      </c>
      <c r="K57" s="17">
        <f>'Purchased Power Model '!G59</f>
        <v>64042.75533783397</v>
      </c>
      <c r="L57" s="36">
        <v>137.3254034779841</v>
      </c>
      <c r="M57" s="17"/>
      <c r="N57" s="17"/>
      <c r="O57"/>
      <c r="P57"/>
      <c r="Q57"/>
      <c r="R57"/>
      <c r="S57"/>
      <c r="X57"/>
      <c r="Y57"/>
      <c r="Z57"/>
      <c r="AA57"/>
      <c r="AB57"/>
      <c r="AC57"/>
      <c r="AD57"/>
      <c r="AE57"/>
      <c r="AF57"/>
      <c r="AG57"/>
    </row>
    <row r="58" spans="1:33" ht="12.75">
      <c r="A58" s="3">
        <v>39083</v>
      </c>
      <c r="B58" s="28">
        <f>+'[15]Data Input'!$CT65</f>
        <v>5730787.24</v>
      </c>
      <c r="C58" s="24">
        <f>'Purchased Power Model '!C60</f>
        <v>647.1</v>
      </c>
      <c r="D58" s="24">
        <f>'Purchased Power Model '!D60</f>
        <v>0</v>
      </c>
      <c r="E58" s="10">
        <v>351.912</v>
      </c>
      <c r="F58" s="17">
        <v>0</v>
      </c>
      <c r="G58" s="17">
        <f t="shared" si="1"/>
        <v>39083</v>
      </c>
      <c r="H58" s="17">
        <v>31</v>
      </c>
      <c r="I58" s="116">
        <f>'Purchased Power Model '!K60</f>
        <v>662.2</v>
      </c>
      <c r="J58" s="17">
        <f>+'[15]Data Input'!$CR65</f>
        <v>54</v>
      </c>
      <c r="K58" s="17">
        <f>'Purchased Power Model '!G60</f>
        <v>78567.68631241636</v>
      </c>
      <c r="L58" s="36">
        <v>137.5858759607308</v>
      </c>
      <c r="M58" s="17"/>
      <c r="N58" s="17"/>
      <c r="O58"/>
      <c r="P58"/>
      <c r="Q58"/>
      <c r="R58"/>
      <c r="S58"/>
      <c r="X58"/>
      <c r="Y58"/>
      <c r="Z58"/>
      <c r="AA58"/>
      <c r="AB58"/>
      <c r="AC58"/>
      <c r="AD58"/>
      <c r="AE58"/>
      <c r="AF58"/>
      <c r="AG58"/>
    </row>
    <row r="59" spans="1:33" ht="12.75">
      <c r="A59" s="3">
        <v>39114</v>
      </c>
      <c r="B59" s="28">
        <f>+'[15]Data Input'!$CT66</f>
        <v>5204196.3100000005</v>
      </c>
      <c r="C59" s="24">
        <f>'Purchased Power Model '!C61</f>
        <v>740.1</v>
      </c>
      <c r="D59" s="24">
        <f>'Purchased Power Model '!D61</f>
        <v>0</v>
      </c>
      <c r="E59" s="10">
        <v>319.872</v>
      </c>
      <c r="F59" s="17">
        <v>0</v>
      </c>
      <c r="G59" s="17">
        <f t="shared" si="1"/>
        <v>39114</v>
      </c>
      <c r="H59" s="17">
        <v>28</v>
      </c>
      <c r="I59" s="116">
        <f>'Purchased Power Model '!K61</f>
        <v>656.8</v>
      </c>
      <c r="J59" s="17">
        <f>+'[15]Data Input'!$CR66</f>
        <v>53</v>
      </c>
      <c r="K59" s="17">
        <f>'Purchased Power Model '!G61</f>
        <v>93092.61728699875</v>
      </c>
      <c r="L59" s="36">
        <v>137.84684249565245</v>
      </c>
      <c r="M59" s="17"/>
      <c r="N59" s="17"/>
      <c r="O59"/>
      <c r="P59"/>
      <c r="Q59"/>
      <c r="R59"/>
      <c r="S59"/>
      <c r="X59"/>
      <c r="Y59"/>
      <c r="Z59"/>
      <c r="AA59"/>
      <c r="AB59"/>
      <c r="AC59"/>
      <c r="AD59"/>
      <c r="AE59"/>
      <c r="AF59"/>
      <c r="AG59"/>
    </row>
    <row r="60" spans="1:33" ht="12.75">
      <c r="A60" s="3">
        <v>39142</v>
      </c>
      <c r="B60" s="28">
        <f>+'[15]Data Input'!$CT67</f>
        <v>5478827.74</v>
      </c>
      <c r="C60" s="24">
        <f>'Purchased Power Model '!C62</f>
        <v>546.7</v>
      </c>
      <c r="D60" s="24">
        <f>'Purchased Power Model '!D62</f>
        <v>0</v>
      </c>
      <c r="E60" s="10">
        <v>351.912</v>
      </c>
      <c r="F60" s="17">
        <v>1</v>
      </c>
      <c r="G60" s="17">
        <f t="shared" si="1"/>
        <v>39142</v>
      </c>
      <c r="H60" s="17">
        <v>31</v>
      </c>
      <c r="I60" s="116">
        <f>'Purchased Power Model '!K62</f>
        <v>652.2</v>
      </c>
      <c r="J60" s="17">
        <f>+'[15]Data Input'!$CR67</f>
        <v>53</v>
      </c>
      <c r="K60" s="17">
        <f>'Purchased Power Model '!G62</f>
        <v>107617.54826158113</v>
      </c>
      <c r="L60" s="36">
        <v>138.10830401984444</v>
      </c>
      <c r="M60" s="17"/>
      <c r="N60" s="17"/>
      <c r="O60"/>
      <c r="P60"/>
      <c r="Q60"/>
      <c r="R60"/>
      <c r="S60"/>
      <c r="X60"/>
      <c r="Y60"/>
      <c r="Z60"/>
      <c r="AA60"/>
      <c r="AB60"/>
      <c r="AC60"/>
      <c r="AD60"/>
      <c r="AE60"/>
      <c r="AF60"/>
      <c r="AG60"/>
    </row>
    <row r="61" spans="1:33" ht="12.75">
      <c r="A61" s="3">
        <v>39173</v>
      </c>
      <c r="B61" s="28">
        <f>+'[15]Data Input'!$CT68</f>
        <v>4925344.0200000005</v>
      </c>
      <c r="C61" s="24">
        <f>'Purchased Power Model '!C63</f>
        <v>356.4</v>
      </c>
      <c r="D61" s="24">
        <f>'Purchased Power Model '!D63</f>
        <v>0</v>
      </c>
      <c r="E61" s="10">
        <v>319.68</v>
      </c>
      <c r="F61" s="17">
        <v>1</v>
      </c>
      <c r="G61" s="17">
        <f t="shared" si="1"/>
        <v>39173</v>
      </c>
      <c r="H61" s="17">
        <v>30</v>
      </c>
      <c r="I61" s="116">
        <f>'Purchased Power Model '!K63</f>
        <v>647.4</v>
      </c>
      <c r="J61" s="17">
        <f>+'[15]Data Input'!$CR68</f>
        <v>52</v>
      </c>
      <c r="K61" s="17">
        <f>'Purchased Power Model '!G63</f>
        <v>122142.47923616352</v>
      </c>
      <c r="L61" s="36">
        <v>138.37026147217955</v>
      </c>
      <c r="M61" s="17"/>
      <c r="N61" s="17"/>
      <c r="O61"/>
      <c r="P61"/>
      <c r="Q61"/>
      <c r="R61"/>
      <c r="S61"/>
      <c r="X61"/>
      <c r="Y61"/>
      <c r="Z61"/>
      <c r="AA61"/>
      <c r="AB61"/>
      <c r="AC61"/>
      <c r="AD61"/>
      <c r="AE61"/>
      <c r="AF61"/>
      <c r="AG61"/>
    </row>
    <row r="62" spans="1:33" ht="12.75">
      <c r="A62" s="3">
        <v>39203</v>
      </c>
      <c r="B62" s="28">
        <f>+'[15]Data Input'!$CT69</f>
        <v>4950939.18</v>
      </c>
      <c r="C62" s="24">
        <f>'Purchased Power Model '!C64</f>
        <v>136.4</v>
      </c>
      <c r="D62" s="24">
        <f>'Purchased Power Model '!D64</f>
        <v>22.4</v>
      </c>
      <c r="E62" s="10">
        <v>351.912</v>
      </c>
      <c r="F62" s="17">
        <v>1</v>
      </c>
      <c r="G62" s="17">
        <f t="shared" si="1"/>
        <v>39203</v>
      </c>
      <c r="H62" s="17">
        <v>31</v>
      </c>
      <c r="I62" s="116">
        <f>'Purchased Power Model '!K64</f>
        <v>646.9</v>
      </c>
      <c r="J62" s="17">
        <f>+'[15]Data Input'!$CR69</f>
        <v>52</v>
      </c>
      <c r="K62" s="17">
        <f>'Purchased Power Model '!G64</f>
        <v>136667.4102107459</v>
      </c>
      <c r="L62" s="36">
        <v>138.63271579331135</v>
      </c>
      <c r="M62" s="17"/>
      <c r="N62" s="17"/>
      <c r="O62"/>
      <c r="P62"/>
      <c r="Q62"/>
      <c r="R62"/>
      <c r="S62"/>
      <c r="X62"/>
      <c r="Y62"/>
      <c r="Z62"/>
      <c r="AA62"/>
      <c r="AB62"/>
      <c r="AC62"/>
      <c r="AD62"/>
      <c r="AE62"/>
      <c r="AF62"/>
      <c r="AG62"/>
    </row>
    <row r="63" spans="1:33" ht="12.75">
      <c r="A63" s="3">
        <v>39234</v>
      </c>
      <c r="B63" s="28">
        <f>+'[15]Data Input'!$CT70</f>
        <v>5038152.880000001</v>
      </c>
      <c r="C63" s="24">
        <f>'Purchased Power Model '!C65</f>
        <v>16.5</v>
      </c>
      <c r="D63" s="24">
        <f>'Purchased Power Model '!D65</f>
        <v>99.2</v>
      </c>
      <c r="E63" s="10">
        <v>336.24</v>
      </c>
      <c r="F63" s="17">
        <v>0</v>
      </c>
      <c r="G63" s="17">
        <f t="shared" si="1"/>
        <v>39234</v>
      </c>
      <c r="H63" s="17">
        <v>30</v>
      </c>
      <c r="I63" s="116">
        <f>'Purchased Power Model '!K65</f>
        <v>652.3</v>
      </c>
      <c r="J63" s="17">
        <f>+'[15]Data Input'!$CR70</f>
        <v>53</v>
      </c>
      <c r="K63" s="17">
        <f>'Purchased Power Model '!G65</f>
        <v>151192.3411853283</v>
      </c>
      <c r="L63" s="36">
        <v>138.89566792567766</v>
      </c>
      <c r="M63" s="17"/>
      <c r="N63" s="17"/>
      <c r="O63"/>
      <c r="P63"/>
      <c r="Q63"/>
      <c r="R63"/>
      <c r="S63"/>
      <c r="X63"/>
      <c r="Y63"/>
      <c r="Z63"/>
      <c r="AA63"/>
      <c r="AB63"/>
      <c r="AC63"/>
      <c r="AD63"/>
      <c r="AE63"/>
      <c r="AF63"/>
      <c r="AG63"/>
    </row>
    <row r="64" spans="1:33" ht="12.75">
      <c r="A64" s="3">
        <v>39264</v>
      </c>
      <c r="B64" s="28">
        <f>+'[15]Data Input'!$CT71</f>
        <v>4787520.46</v>
      </c>
      <c r="C64" s="24">
        <f>'Purchased Power Model '!C66</f>
        <v>3.2</v>
      </c>
      <c r="D64" s="24">
        <f>'Purchased Power Model '!D66</f>
        <v>106.1</v>
      </c>
      <c r="E64" s="10">
        <v>336.288</v>
      </c>
      <c r="F64" s="17">
        <v>0</v>
      </c>
      <c r="G64" s="17">
        <f t="shared" si="1"/>
        <v>39264</v>
      </c>
      <c r="H64" s="17">
        <v>31</v>
      </c>
      <c r="I64" s="116">
        <f>'Purchased Power Model '!K66</f>
        <v>659.9</v>
      </c>
      <c r="J64" s="17">
        <f>+'[15]Data Input'!$CR71</f>
        <v>53</v>
      </c>
      <c r="K64" s="17">
        <f>'Purchased Power Model '!G66</f>
        <v>165717.27215991067</v>
      </c>
      <c r="L64" s="36">
        <v>139.1591188135038</v>
      </c>
      <c r="M64" s="17"/>
      <c r="N64" s="17"/>
      <c r="O64"/>
      <c r="P64"/>
      <c r="Q64"/>
      <c r="R64"/>
      <c r="S64"/>
      <c r="X64"/>
      <c r="Y64"/>
      <c r="Z64"/>
      <c r="AA64"/>
      <c r="AB64"/>
      <c r="AC64"/>
      <c r="AD64"/>
      <c r="AE64"/>
      <c r="AF64"/>
      <c r="AG64"/>
    </row>
    <row r="65" spans="1:33" ht="12.75">
      <c r="A65" s="3">
        <v>39295</v>
      </c>
      <c r="B65" s="28">
        <f>+'[15]Data Input'!$CT72</f>
        <v>5008395.56</v>
      </c>
      <c r="C65" s="24">
        <f>'Purchased Power Model '!C67</f>
        <v>5.2</v>
      </c>
      <c r="D65" s="24">
        <f>'Purchased Power Model '!D67</f>
        <v>141</v>
      </c>
      <c r="E65" s="10">
        <v>351.912</v>
      </c>
      <c r="F65" s="17">
        <v>0</v>
      </c>
      <c r="G65" s="17">
        <f t="shared" si="1"/>
        <v>39295</v>
      </c>
      <c r="H65" s="17">
        <v>31</v>
      </c>
      <c r="I65" s="116">
        <f>'Purchased Power Model '!K67</f>
        <v>662.1</v>
      </c>
      <c r="J65" s="17">
        <f>+'[15]Data Input'!$CR72</f>
        <v>54</v>
      </c>
      <c r="K65" s="17">
        <f>'Purchased Power Model '!G67</f>
        <v>180242.20313449306</v>
      </c>
      <c r="L65" s="36">
        <v>139.4230694028061</v>
      </c>
      <c r="M65" s="17"/>
      <c r="N65" s="17"/>
      <c r="O65"/>
      <c r="P65"/>
      <c r="Q65"/>
      <c r="R65"/>
      <c r="S65"/>
      <c r="X65"/>
      <c r="Y65"/>
      <c r="Z65"/>
      <c r="AA65"/>
      <c r="AB65"/>
      <c r="AC65"/>
      <c r="AD65"/>
      <c r="AE65"/>
      <c r="AF65"/>
      <c r="AG65"/>
    </row>
    <row r="66" spans="1:33" ht="12.75">
      <c r="A66" s="3">
        <v>39326</v>
      </c>
      <c r="B66" s="28">
        <f>+'[15]Data Input'!$CT73</f>
        <v>4905752.13</v>
      </c>
      <c r="C66" s="24">
        <f>'Purchased Power Model '!C68</f>
        <v>36.9</v>
      </c>
      <c r="D66" s="24">
        <f>'Purchased Power Model '!D68</f>
        <v>47.5</v>
      </c>
      <c r="E66" s="10">
        <v>303.84</v>
      </c>
      <c r="F66" s="17">
        <v>1</v>
      </c>
      <c r="G66" s="17">
        <f t="shared" si="1"/>
        <v>39326</v>
      </c>
      <c r="H66" s="17">
        <v>30</v>
      </c>
      <c r="I66" s="116">
        <f>'Purchased Power Model '!K68</f>
        <v>660.7</v>
      </c>
      <c r="J66" s="17">
        <f>+'[15]Data Input'!$CR73</f>
        <v>54</v>
      </c>
      <c r="K66" s="17">
        <f>'Purchased Power Model '!G68</f>
        <v>194767.13410907544</v>
      </c>
      <c r="L66" s="36">
        <v>139.68752064139528</v>
      </c>
      <c r="M66" s="17"/>
      <c r="N66" s="17"/>
      <c r="O66"/>
      <c r="P66"/>
      <c r="Q66"/>
      <c r="R66"/>
      <c r="S66"/>
      <c r="X66"/>
      <c r="Y66"/>
      <c r="Z66"/>
      <c r="AA66"/>
      <c r="AB66"/>
      <c r="AC66"/>
      <c r="AD66"/>
      <c r="AE66"/>
      <c r="AF66"/>
      <c r="AG66"/>
    </row>
    <row r="67" spans="1:33" ht="12.75">
      <c r="A67" s="3">
        <v>39356</v>
      </c>
      <c r="B67" s="28">
        <f>+'[15]Data Input'!$CT74</f>
        <v>5174567.12</v>
      </c>
      <c r="C67" s="24">
        <f>'Purchased Power Model '!C69</f>
        <v>137.7</v>
      </c>
      <c r="D67" s="24">
        <f>'Purchased Power Model '!D69</f>
        <v>19.8</v>
      </c>
      <c r="E67" s="10">
        <v>351.912</v>
      </c>
      <c r="F67" s="17">
        <v>1</v>
      </c>
      <c r="G67" s="17">
        <f aca="true" t="shared" si="2" ref="G67:G98">A67</f>
        <v>39356</v>
      </c>
      <c r="H67" s="17">
        <v>31</v>
      </c>
      <c r="I67" s="116">
        <f>'Purchased Power Model '!K69</f>
        <v>662.5</v>
      </c>
      <c r="J67" s="17">
        <f>+'[15]Data Input'!$CR74</f>
        <v>54</v>
      </c>
      <c r="K67" s="17">
        <f>'Purchased Power Model '!G69</f>
        <v>209292.06508365783</v>
      </c>
      <c r="L67" s="36">
        <v>139.95247347887977</v>
      </c>
      <c r="M67" s="17"/>
      <c r="N67" s="17"/>
      <c r="O67"/>
      <c r="P67"/>
      <c r="Q67"/>
      <c r="R67"/>
      <c r="S67"/>
      <c r="X67"/>
      <c r="Y67"/>
      <c r="Z67"/>
      <c r="AA67"/>
      <c r="AB67"/>
      <c r="AC67"/>
      <c r="AD67"/>
      <c r="AE67"/>
      <c r="AF67"/>
      <c r="AG67"/>
    </row>
    <row r="68" spans="1:33" ht="12.75">
      <c r="A68" s="3">
        <v>39387</v>
      </c>
      <c r="B68" s="28">
        <f>+'[15]Data Input'!$CT75</f>
        <v>5124865.54</v>
      </c>
      <c r="C68" s="24">
        <f>'Purchased Power Model '!C70</f>
        <v>462.5</v>
      </c>
      <c r="D68" s="24">
        <f>'Purchased Power Model '!D70</f>
        <v>0</v>
      </c>
      <c r="E68" s="10">
        <v>352.08</v>
      </c>
      <c r="F68" s="17">
        <v>1</v>
      </c>
      <c r="G68" s="17">
        <f t="shared" si="2"/>
        <v>39387</v>
      </c>
      <c r="H68" s="17">
        <v>30</v>
      </c>
      <c r="I68" s="116">
        <f>'Purchased Power Model '!K70</f>
        <v>666.7</v>
      </c>
      <c r="J68" s="17">
        <f>+'[15]Data Input'!$CR75</f>
        <v>54</v>
      </c>
      <c r="K68" s="17">
        <f>'Purchased Power Model '!G70</f>
        <v>223816.9960582402</v>
      </c>
      <c r="L68" s="36">
        <v>140.21792886666915</v>
      </c>
      <c r="M68" s="17"/>
      <c r="N68" s="17"/>
      <c r="O68"/>
      <c r="P68"/>
      <c r="Q68"/>
      <c r="R68"/>
      <c r="S68"/>
      <c r="X68"/>
      <c r="Y68"/>
      <c r="Z68"/>
      <c r="AA68"/>
      <c r="AB68"/>
      <c r="AC68"/>
      <c r="AD68"/>
      <c r="AE68"/>
      <c r="AF68"/>
      <c r="AG68"/>
    </row>
    <row r="69" spans="1:33" ht="12.75">
      <c r="A69" s="3">
        <v>39417</v>
      </c>
      <c r="B69" s="28">
        <f>+'[15]Data Input'!$CT76</f>
        <v>4947199.49</v>
      </c>
      <c r="C69" s="24">
        <f>'Purchased Power Model '!C71</f>
        <v>630.7</v>
      </c>
      <c r="D69" s="24">
        <f>'Purchased Power Model '!D71</f>
        <v>0</v>
      </c>
      <c r="E69" s="10">
        <v>304.296</v>
      </c>
      <c r="F69" s="17">
        <v>0</v>
      </c>
      <c r="G69" s="17">
        <f t="shared" si="2"/>
        <v>39417</v>
      </c>
      <c r="H69" s="17">
        <v>31</v>
      </c>
      <c r="I69" s="116">
        <f>'Purchased Power Model '!K71</f>
        <v>668.5</v>
      </c>
      <c r="J69" s="17">
        <f>+'[15]Data Input'!$CR76</f>
        <v>54</v>
      </c>
      <c r="K69" s="17">
        <f>'Purchased Power Model '!G71</f>
        <v>238341.9270328226</v>
      </c>
      <c r="L69" s="36">
        <v>140.48388775797773</v>
      </c>
      <c r="M69" s="17"/>
      <c r="N69" s="17"/>
      <c r="O69"/>
      <c r="P69"/>
      <c r="Q69"/>
      <c r="R69"/>
      <c r="S69"/>
      <c r="X69"/>
      <c r="Y69"/>
      <c r="Z69"/>
      <c r="AA69"/>
      <c r="AB69"/>
      <c r="AC69"/>
      <c r="AD69"/>
      <c r="AE69"/>
      <c r="AF69"/>
      <c r="AG69"/>
    </row>
    <row r="70" spans="1:33" ht="12.75">
      <c r="A70" s="3">
        <v>39448</v>
      </c>
      <c r="B70" s="28">
        <f>+'[15]Data Input'!$CT77</f>
        <v>7516255.32</v>
      </c>
      <c r="C70" s="24">
        <f>'Purchased Power Model '!C72</f>
        <v>623.5</v>
      </c>
      <c r="D70" s="24">
        <f>'Purchased Power Model '!D72</f>
        <v>0</v>
      </c>
      <c r="E70" s="1">
        <v>352</v>
      </c>
      <c r="F70" s="17">
        <v>0</v>
      </c>
      <c r="G70" s="17">
        <f t="shared" si="2"/>
        <v>39448</v>
      </c>
      <c r="H70" s="17">
        <v>31</v>
      </c>
      <c r="I70" s="116">
        <f>'Purchased Power Model '!K72</f>
        <v>661.4</v>
      </c>
      <c r="J70" s="17">
        <f>+'[15]Data Input'!$CR77</f>
        <v>55</v>
      </c>
      <c r="K70" s="17">
        <f>'Purchased Power Model '!G72</f>
        <v>229402.04229052924</v>
      </c>
      <c r="L70" s="34">
        <v>140.42521823206457</v>
      </c>
      <c r="M70" s="17"/>
      <c r="N70" s="17"/>
      <c r="O70"/>
      <c r="P70"/>
      <c r="Q70"/>
      <c r="R70"/>
      <c r="S70"/>
      <c r="X70"/>
      <c r="Y70"/>
      <c r="Z70"/>
      <c r="AA70"/>
      <c r="AB70"/>
      <c r="AC70"/>
      <c r="AD70"/>
      <c r="AE70"/>
      <c r="AF70"/>
      <c r="AG70"/>
    </row>
    <row r="71" spans="1:33" ht="12.75">
      <c r="A71" s="3">
        <v>39479</v>
      </c>
      <c r="B71" s="28">
        <f>+'[15]Data Input'!$CT78</f>
        <v>5022592.38</v>
      </c>
      <c r="C71" s="24">
        <f>'Purchased Power Model '!C73</f>
        <v>674.7</v>
      </c>
      <c r="D71" s="24">
        <f>'Purchased Power Model '!D73</f>
        <v>0</v>
      </c>
      <c r="E71" s="1">
        <v>320</v>
      </c>
      <c r="F71" s="17">
        <v>0</v>
      </c>
      <c r="G71" s="17">
        <f t="shared" si="2"/>
        <v>39479</v>
      </c>
      <c r="H71" s="17">
        <v>29</v>
      </c>
      <c r="I71" s="116">
        <f>'Purchased Power Model '!K73</f>
        <v>656.3</v>
      </c>
      <c r="J71" s="17">
        <f>+'[15]Data Input'!$CR78</f>
        <v>55</v>
      </c>
      <c r="K71" s="17">
        <f>'Purchased Power Model '!G73</f>
        <v>220462.15754823587</v>
      </c>
      <c r="L71" s="34">
        <v>140.36657320798807</v>
      </c>
      <c r="M71" s="17"/>
      <c r="N71" s="17"/>
      <c r="O71"/>
      <c r="P71"/>
      <c r="Q71"/>
      <c r="R71"/>
      <c r="S71"/>
      <c r="X71"/>
      <c r="Y71"/>
      <c r="Z71"/>
      <c r="AA71"/>
      <c r="AB71"/>
      <c r="AC71"/>
      <c r="AD71"/>
      <c r="AE71"/>
      <c r="AF71"/>
      <c r="AG71"/>
    </row>
    <row r="72" spans="1:33" ht="12.75">
      <c r="A72" s="3">
        <v>39508</v>
      </c>
      <c r="B72" s="28">
        <f>+'[15]Data Input'!$CT79</f>
        <v>5716428.34</v>
      </c>
      <c r="C72" s="24">
        <f>'Purchased Power Model '!C74</f>
        <v>610.2</v>
      </c>
      <c r="D72" s="24">
        <f>'Purchased Power Model '!D74</f>
        <v>0</v>
      </c>
      <c r="E72" s="1">
        <v>304</v>
      </c>
      <c r="F72" s="17">
        <v>1</v>
      </c>
      <c r="G72" s="17">
        <f t="shared" si="2"/>
        <v>39508</v>
      </c>
      <c r="H72" s="17">
        <v>31</v>
      </c>
      <c r="I72" s="116">
        <f>'Purchased Power Model '!K74</f>
        <v>647</v>
      </c>
      <c r="J72" s="17">
        <f>+'[15]Data Input'!$CR79</f>
        <v>54</v>
      </c>
      <c r="K72" s="17">
        <f>'Purchased Power Model '!G74</f>
        <v>211522.2728059425</v>
      </c>
      <c r="L72" s="34">
        <v>140.30795267551565</v>
      </c>
      <c r="M72" s="17"/>
      <c r="N72" s="17"/>
      <c r="O72"/>
      <c r="P72"/>
      <c r="Q72"/>
      <c r="R72"/>
      <c r="S72"/>
      <c r="X72"/>
      <c r="Y72"/>
      <c r="Z72"/>
      <c r="AA72"/>
      <c r="AB72"/>
      <c r="AC72"/>
      <c r="AD72"/>
      <c r="AE72"/>
      <c r="AF72"/>
      <c r="AG72"/>
    </row>
    <row r="73" spans="1:33" ht="12.75">
      <c r="A73" s="3">
        <v>39539</v>
      </c>
      <c r="B73" s="28">
        <f>+'[15]Data Input'!$CT80</f>
        <v>5351170.64</v>
      </c>
      <c r="C73" s="24">
        <f>'Purchased Power Model '!C75</f>
        <v>253.9</v>
      </c>
      <c r="D73" s="24">
        <f>'Purchased Power Model '!D75</f>
        <v>0</v>
      </c>
      <c r="E73" s="1">
        <v>352</v>
      </c>
      <c r="F73" s="17">
        <v>1</v>
      </c>
      <c r="G73" s="17">
        <f t="shared" si="2"/>
        <v>39539</v>
      </c>
      <c r="H73" s="17">
        <v>30</v>
      </c>
      <c r="I73" s="116">
        <f>'Purchased Power Model '!K75</f>
        <v>647.2</v>
      </c>
      <c r="J73" s="17">
        <f>+'[15]Data Input'!$CR80</f>
        <v>58</v>
      </c>
      <c r="K73" s="17">
        <f>'Purchased Power Model '!G75</f>
        <v>202582.38806364915</v>
      </c>
      <c r="L73" s="34">
        <v>140.24935662441902</v>
      </c>
      <c r="M73" s="17"/>
      <c r="N73" s="17"/>
      <c r="O73"/>
      <c r="P73"/>
      <c r="Q73"/>
      <c r="R73"/>
      <c r="S73"/>
      <c r="X73"/>
      <c r="Y73"/>
      <c r="Z73"/>
      <c r="AA73"/>
      <c r="AB73"/>
      <c r="AC73"/>
      <c r="AD73"/>
      <c r="AE73"/>
      <c r="AF73"/>
      <c r="AG73"/>
    </row>
    <row r="74" spans="1:33" ht="12.75">
      <c r="A74" s="3">
        <v>39569</v>
      </c>
      <c r="B74" s="28">
        <f>+'[15]Data Input'!$CT81</f>
        <v>5274780.21</v>
      </c>
      <c r="C74" s="24">
        <f>'Purchased Power Model '!C76</f>
        <v>193.5</v>
      </c>
      <c r="D74" s="24">
        <f>'Purchased Power Model '!D76</f>
        <v>2.5</v>
      </c>
      <c r="E74" s="1">
        <v>336</v>
      </c>
      <c r="F74" s="17">
        <v>1</v>
      </c>
      <c r="G74" s="17">
        <f t="shared" si="2"/>
        <v>39569</v>
      </c>
      <c r="H74" s="17">
        <v>31</v>
      </c>
      <c r="I74" s="116">
        <f>'Purchased Power Model '!K76</f>
        <v>648.8</v>
      </c>
      <c r="J74" s="17">
        <f>+'[15]Data Input'!$CR81</f>
        <v>58</v>
      </c>
      <c r="K74" s="17">
        <f>'Purchased Power Model '!G76</f>
        <v>193642.5033213558</v>
      </c>
      <c r="L74" s="34">
        <v>140.19078504447415</v>
      </c>
      <c r="M74" s="17"/>
      <c r="N74" s="17"/>
      <c r="O74"/>
      <c r="P74"/>
      <c r="Q74"/>
      <c r="R74"/>
      <c r="S74"/>
      <c r="X74"/>
      <c r="Y74"/>
      <c r="Z74"/>
      <c r="AA74"/>
      <c r="AB74"/>
      <c r="AC74"/>
      <c r="AD74"/>
      <c r="AE74"/>
      <c r="AF74"/>
      <c r="AG74"/>
    </row>
    <row r="75" spans="1:33" ht="12.75">
      <c r="A75" s="3">
        <v>39600</v>
      </c>
      <c r="B75" s="28">
        <f>+'[15]Data Input'!$CT82</f>
        <v>5489928.609999999</v>
      </c>
      <c r="C75" s="24">
        <f>'Purchased Power Model '!C77</f>
        <v>22.7</v>
      </c>
      <c r="D75" s="24">
        <f>'Purchased Power Model '!D77</f>
        <v>71.5</v>
      </c>
      <c r="E75" s="1">
        <v>336</v>
      </c>
      <c r="F75" s="17">
        <v>0</v>
      </c>
      <c r="G75" s="17">
        <f t="shared" si="2"/>
        <v>39600</v>
      </c>
      <c r="H75" s="17">
        <v>30</v>
      </c>
      <c r="I75" s="116">
        <f>'Purchased Power Model '!K77</f>
        <v>656.8</v>
      </c>
      <c r="J75" s="17">
        <f>+'[15]Data Input'!$CR82</f>
        <v>58</v>
      </c>
      <c r="K75" s="17">
        <f>'Purchased Power Model '!G77</f>
        <v>184702.61857906243</v>
      </c>
      <c r="L75" s="34">
        <v>140.1322379254613</v>
      </c>
      <c r="M75" s="17"/>
      <c r="N75" s="17"/>
      <c r="O75"/>
      <c r="P75"/>
      <c r="Q75"/>
      <c r="R75"/>
      <c r="S75"/>
      <c r="X75"/>
      <c r="Y75"/>
      <c r="Z75"/>
      <c r="AA75"/>
      <c r="AB75"/>
      <c r="AC75"/>
      <c r="AD75"/>
      <c r="AE75"/>
      <c r="AF75"/>
      <c r="AG75"/>
    </row>
    <row r="76" spans="1:33" ht="12.75">
      <c r="A76" s="3">
        <v>39630</v>
      </c>
      <c r="B76" s="28">
        <f>+'[15]Data Input'!$CT83</f>
        <v>5505551.43</v>
      </c>
      <c r="C76" s="24">
        <f>'Purchased Power Model '!C78</f>
        <v>1</v>
      </c>
      <c r="D76" s="24">
        <f>'Purchased Power Model '!D78</f>
        <v>111</v>
      </c>
      <c r="E76" s="1">
        <v>352</v>
      </c>
      <c r="F76" s="17">
        <v>0</v>
      </c>
      <c r="G76" s="17">
        <f t="shared" si="2"/>
        <v>39630</v>
      </c>
      <c r="H76" s="17">
        <v>31</v>
      </c>
      <c r="I76" s="116">
        <f>'Purchased Power Model '!K78</f>
        <v>663.6</v>
      </c>
      <c r="J76" s="17">
        <f>+'[15]Data Input'!$CR83</f>
        <v>58</v>
      </c>
      <c r="K76" s="17">
        <f>'Purchased Power Model '!G78</f>
        <v>175762.73383676907</v>
      </c>
      <c r="L76" s="34">
        <v>140.073715257165</v>
      </c>
      <c r="M76" s="17"/>
      <c r="N76" s="17"/>
      <c r="O76"/>
      <c r="P76"/>
      <c r="Q76"/>
      <c r="R76"/>
      <c r="S76"/>
      <c r="X76"/>
      <c r="Y76"/>
      <c r="Z76"/>
      <c r="AA76"/>
      <c r="AB76"/>
      <c r="AC76"/>
      <c r="AD76"/>
      <c r="AE76"/>
      <c r="AF76"/>
      <c r="AG76"/>
    </row>
    <row r="77" spans="1:33" ht="12.75">
      <c r="A77" s="3">
        <v>39661</v>
      </c>
      <c r="B77" s="28">
        <f>+'[15]Data Input'!$CT84</f>
        <v>5569239.68</v>
      </c>
      <c r="C77" s="24">
        <f>'Purchased Power Model '!C79</f>
        <v>12.7</v>
      </c>
      <c r="D77" s="24">
        <f>'Purchased Power Model '!D79</f>
        <v>64</v>
      </c>
      <c r="E77" s="1">
        <v>320</v>
      </c>
      <c r="F77" s="17">
        <v>0</v>
      </c>
      <c r="G77" s="17">
        <f t="shared" si="2"/>
        <v>39661</v>
      </c>
      <c r="H77" s="17">
        <v>31</v>
      </c>
      <c r="I77" s="116">
        <f>'Purchased Power Model '!K79</f>
        <v>666.6</v>
      </c>
      <c r="J77" s="17">
        <f>+'[15]Data Input'!$CR84</f>
        <v>58</v>
      </c>
      <c r="K77" s="17">
        <f>'Purchased Power Model '!G79</f>
        <v>166822.8490944757</v>
      </c>
      <c r="L77" s="34">
        <v>140.01521702937399</v>
      </c>
      <c r="M77" s="17"/>
      <c r="N77" s="17"/>
      <c r="O77"/>
      <c r="P77"/>
      <c r="Q77"/>
      <c r="R77"/>
      <c r="S77"/>
      <c r="X77"/>
      <c r="Y77"/>
      <c r="Z77"/>
      <c r="AA77"/>
      <c r="AB77"/>
      <c r="AC77"/>
      <c r="AD77"/>
      <c r="AE77"/>
      <c r="AF77"/>
      <c r="AG77"/>
    </row>
    <row r="78" spans="1:33" ht="12.75">
      <c r="A78" s="3">
        <v>39692</v>
      </c>
      <c r="B78" s="28">
        <f>+'[15]Data Input'!$CT85</f>
        <v>5399515.92</v>
      </c>
      <c r="C78" s="24">
        <f>'Purchased Power Model '!C80</f>
        <v>59</v>
      </c>
      <c r="D78" s="24">
        <f>'Purchased Power Model '!D80</f>
        <v>26.7</v>
      </c>
      <c r="E78" s="1">
        <v>336</v>
      </c>
      <c r="F78" s="17">
        <v>1</v>
      </c>
      <c r="G78" s="17">
        <f t="shared" si="2"/>
        <v>39692</v>
      </c>
      <c r="H78" s="17">
        <v>30</v>
      </c>
      <c r="I78" s="116">
        <f>'Purchased Power Model '!K80</f>
        <v>669.7</v>
      </c>
      <c r="J78" s="17">
        <f>+'[15]Data Input'!$CR85</f>
        <v>59</v>
      </c>
      <c r="K78" s="17">
        <f>'Purchased Power Model '!G80</f>
        <v>157882.96435218235</v>
      </c>
      <c r="L78" s="34">
        <v>139.95674323188132</v>
      </c>
      <c r="M78" s="17"/>
      <c r="N78" s="17"/>
      <c r="O78"/>
      <c r="P78"/>
      <c r="Q78"/>
      <c r="R78"/>
      <c r="S78"/>
      <c r="X78"/>
      <c r="Y78"/>
      <c r="Z78"/>
      <c r="AA78"/>
      <c r="AB78"/>
      <c r="AC78"/>
      <c r="AD78"/>
      <c r="AE78"/>
      <c r="AF78"/>
      <c r="AG78"/>
    </row>
    <row r="79" spans="1:33" ht="12.75">
      <c r="A79" s="3">
        <v>39722</v>
      </c>
      <c r="B79" s="28">
        <f>+'[15]Data Input'!$CT86</f>
        <v>5552895.14</v>
      </c>
      <c r="C79" s="24">
        <f>'Purchased Power Model '!C81</f>
        <v>278.6</v>
      </c>
      <c r="D79" s="24">
        <f>'Purchased Power Model '!D81</f>
        <v>0</v>
      </c>
      <c r="E79" s="1">
        <v>352</v>
      </c>
      <c r="F79" s="17">
        <v>1</v>
      </c>
      <c r="G79" s="17">
        <f t="shared" si="2"/>
        <v>39722</v>
      </c>
      <c r="H79" s="17">
        <v>31</v>
      </c>
      <c r="I79" s="116">
        <f>'Purchased Power Model '!K81</f>
        <v>673</v>
      </c>
      <c r="J79" s="17">
        <f>+'[15]Data Input'!$CR86</f>
        <v>59</v>
      </c>
      <c r="K79" s="17">
        <f>'Purchased Power Model '!G81</f>
        <v>148943.07960988898</v>
      </c>
      <c r="L79" s="34">
        <v>139.8982938544843</v>
      </c>
      <c r="M79" s="17"/>
      <c r="N79" s="17"/>
      <c r="O79"/>
      <c r="P79"/>
      <c r="Q79"/>
      <c r="R79"/>
      <c r="S79"/>
      <c r="X79"/>
      <c r="Y79"/>
      <c r="Z79"/>
      <c r="AA79"/>
      <c r="AB79"/>
      <c r="AC79"/>
      <c r="AD79"/>
      <c r="AE79"/>
      <c r="AF79"/>
      <c r="AG79"/>
    </row>
    <row r="80" spans="1:33" ht="12.75">
      <c r="A80" s="3">
        <v>39753</v>
      </c>
      <c r="B80" s="28">
        <f>+'[15]Data Input'!$CT87</f>
        <v>5353309.32</v>
      </c>
      <c r="C80" s="24">
        <f>'Purchased Power Model '!C82</f>
        <v>451.6</v>
      </c>
      <c r="D80" s="24">
        <f>'Purchased Power Model '!D82</f>
        <v>0</v>
      </c>
      <c r="E80" s="1">
        <v>304</v>
      </c>
      <c r="F80" s="17">
        <v>1</v>
      </c>
      <c r="G80" s="17">
        <f t="shared" si="2"/>
        <v>39753</v>
      </c>
      <c r="H80" s="17">
        <v>30</v>
      </c>
      <c r="I80" s="116">
        <f>'Purchased Power Model '!K82</f>
        <v>676.9</v>
      </c>
      <c r="J80" s="17">
        <f>+'[15]Data Input'!$CR87</f>
        <v>59</v>
      </c>
      <c r="K80" s="17">
        <f>'Purchased Power Model '!G82</f>
        <v>140003.19486759562</v>
      </c>
      <c r="L80" s="34">
        <v>139.83986888698453</v>
      </c>
      <c r="M80" s="17"/>
      <c r="N80" s="17"/>
      <c r="O80"/>
      <c r="P80"/>
      <c r="Q80"/>
      <c r="R80"/>
      <c r="S80"/>
      <c r="X80"/>
      <c r="Y80"/>
      <c r="Z80"/>
      <c r="AA80"/>
      <c r="AB80"/>
      <c r="AC80"/>
      <c r="AD80"/>
      <c r="AE80"/>
      <c r="AF80"/>
      <c r="AG80"/>
    </row>
    <row r="81" spans="1:33" ht="12.75">
      <c r="A81" s="3">
        <v>39783</v>
      </c>
      <c r="B81" s="28">
        <f>+'[15]Data Input'!$CT88</f>
        <v>5147153.4</v>
      </c>
      <c r="C81" s="24">
        <f>'Purchased Power Model '!C83</f>
        <v>654.6</v>
      </c>
      <c r="D81" s="24">
        <f>'Purchased Power Model '!D83</f>
        <v>0</v>
      </c>
      <c r="E81" s="1">
        <v>336</v>
      </c>
      <c r="F81" s="17">
        <v>0</v>
      </c>
      <c r="G81" s="17">
        <f t="shared" si="2"/>
        <v>39783</v>
      </c>
      <c r="H81" s="17">
        <v>31</v>
      </c>
      <c r="I81" s="116">
        <f>'Purchased Power Model '!K83</f>
        <v>673.6</v>
      </c>
      <c r="J81" s="17">
        <f>+'[15]Data Input'!$CR88</f>
        <v>59</v>
      </c>
      <c r="K81" s="17">
        <f>'Purchased Power Model '!G83</f>
        <v>131063.31012530225</v>
      </c>
      <c r="L81" s="34">
        <v>139.78146831918784</v>
      </c>
      <c r="M81" s="17"/>
      <c r="N81" s="17"/>
      <c r="O81"/>
      <c r="P81"/>
      <c r="Q81"/>
      <c r="R81"/>
      <c r="S81"/>
      <c r="X81"/>
      <c r="Y81"/>
      <c r="Z81"/>
      <c r="AA81"/>
      <c r="AB81"/>
      <c r="AC81"/>
      <c r="AD81"/>
      <c r="AE81"/>
      <c r="AF81"/>
      <c r="AG81"/>
    </row>
    <row r="82" spans="1:38" s="14" customFormat="1" ht="12.75">
      <c r="A82" s="3">
        <v>39814</v>
      </c>
      <c r="B82" s="28">
        <f>+'[15]Data Input'!$CT89</f>
        <v>5517120.49</v>
      </c>
      <c r="C82" s="24">
        <f>'Purchased Power Model '!C84</f>
        <v>830.2</v>
      </c>
      <c r="D82" s="24">
        <f>'Purchased Power Model '!D84</f>
        <v>0</v>
      </c>
      <c r="E82" s="1">
        <v>336</v>
      </c>
      <c r="F82" s="17">
        <v>0</v>
      </c>
      <c r="G82" s="17">
        <f t="shared" si="2"/>
        <v>39814</v>
      </c>
      <c r="H82" s="17">
        <v>31</v>
      </c>
      <c r="I82" s="116">
        <f>'Purchased Power Model '!K84</f>
        <v>662.3</v>
      </c>
      <c r="J82" s="17">
        <f>+'[15]Data Input'!$CR89</f>
        <v>59</v>
      </c>
      <c r="K82" s="17">
        <f>'Purchased Power Model '!G84</f>
        <v>143659.25372164507</v>
      </c>
      <c r="L82" s="34">
        <v>139.3791116068711</v>
      </c>
      <c r="M82" s="17"/>
      <c r="N82" s="17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 s="11"/>
    </row>
    <row r="83" spans="1:33" ht="12.75">
      <c r="A83" s="3">
        <v>39845</v>
      </c>
      <c r="B83" s="28">
        <f>+'[15]Data Input'!$CT90</f>
        <v>4983742.65</v>
      </c>
      <c r="C83" s="24">
        <f>'Purchased Power Model '!C85</f>
        <v>606.4</v>
      </c>
      <c r="D83" s="24">
        <f>'Purchased Power Model '!D85</f>
        <v>0</v>
      </c>
      <c r="E83" s="1">
        <v>304</v>
      </c>
      <c r="F83" s="17">
        <v>0</v>
      </c>
      <c r="G83" s="17">
        <f t="shared" si="2"/>
        <v>39845</v>
      </c>
      <c r="H83" s="17">
        <v>28</v>
      </c>
      <c r="I83" s="116">
        <f>'Purchased Power Model '!K85</f>
        <v>649.3</v>
      </c>
      <c r="J83" s="17">
        <f>+'[15]Data Input'!$CR90</f>
        <v>59</v>
      </c>
      <c r="K83" s="17">
        <f>'Purchased Power Model '!G85</f>
        <v>156255.19731798788</v>
      </c>
      <c r="L83" s="34">
        <v>138.97791306613385</v>
      </c>
      <c r="M83" s="17"/>
      <c r="N83" s="17"/>
      <c r="O83"/>
      <c r="P83"/>
      <c r="Q83"/>
      <c r="R83"/>
      <c r="S83"/>
      <c r="X83"/>
      <c r="Y83"/>
      <c r="Z83"/>
      <c r="AA83"/>
      <c r="AB83"/>
      <c r="AC83"/>
      <c r="AD83"/>
      <c r="AE83"/>
      <c r="AF83"/>
      <c r="AG83"/>
    </row>
    <row r="84" spans="1:33" ht="12.75">
      <c r="A84" s="3">
        <v>39873</v>
      </c>
      <c r="B84" s="28">
        <f>+'[15]Data Input'!$CT91</f>
        <v>5208108.630000001</v>
      </c>
      <c r="C84" s="24">
        <f>'Purchased Power Model '!C86</f>
        <v>533.8</v>
      </c>
      <c r="D84" s="24">
        <f>'Purchased Power Model '!D86</f>
        <v>0</v>
      </c>
      <c r="E84" s="1">
        <v>352</v>
      </c>
      <c r="F84" s="17">
        <v>1</v>
      </c>
      <c r="G84" s="17">
        <f t="shared" si="2"/>
        <v>39873</v>
      </c>
      <c r="H84" s="17">
        <v>31</v>
      </c>
      <c r="I84" s="116">
        <f>'Purchased Power Model '!K86</f>
        <v>636.3</v>
      </c>
      <c r="J84" s="17">
        <f>+'[15]Data Input'!$CR91</f>
        <v>58</v>
      </c>
      <c r="K84" s="17">
        <f>'Purchased Power Model '!G86</f>
        <v>168851.1409143307</v>
      </c>
      <c r="L84" s="34">
        <v>138.57786936321438</v>
      </c>
      <c r="M84" s="17"/>
      <c r="N84" s="17"/>
      <c r="O84"/>
      <c r="P84"/>
      <c r="Q84"/>
      <c r="R84"/>
      <c r="S84"/>
      <c r="X84"/>
      <c r="Y84"/>
      <c r="Z84"/>
      <c r="AA84"/>
      <c r="AB84"/>
      <c r="AC84"/>
      <c r="AD84"/>
      <c r="AE84"/>
      <c r="AF84"/>
      <c r="AG84"/>
    </row>
    <row r="85" spans="1:33" ht="12.75">
      <c r="A85" s="3">
        <v>39904</v>
      </c>
      <c r="B85" s="28">
        <f>+'[15]Data Input'!$CT92</f>
        <v>5059748.74</v>
      </c>
      <c r="C85" s="24">
        <f>'Purchased Power Model '!C87</f>
        <v>305.8</v>
      </c>
      <c r="D85" s="24">
        <f>'Purchased Power Model '!D87</f>
        <v>1.2</v>
      </c>
      <c r="E85" s="1">
        <v>320</v>
      </c>
      <c r="F85" s="17">
        <v>1</v>
      </c>
      <c r="G85" s="17">
        <f t="shared" si="2"/>
        <v>39904</v>
      </c>
      <c r="H85" s="17">
        <v>30</v>
      </c>
      <c r="I85" s="116">
        <f>'Purchased Power Model '!K87</f>
        <v>632.2</v>
      </c>
      <c r="J85" s="17">
        <f>+'[15]Data Input'!$CR92</f>
        <v>58</v>
      </c>
      <c r="K85" s="17">
        <f>'Purchased Power Model '!G87</f>
        <v>181447.0845106735</v>
      </c>
      <c r="L85" s="34">
        <v>138.17897717394706</v>
      </c>
      <c r="M85" s="17"/>
      <c r="N85" s="17"/>
      <c r="O85"/>
      <c r="P85"/>
      <c r="Q85"/>
      <c r="R85"/>
      <c r="S85"/>
      <c r="X85"/>
      <c r="Y85"/>
      <c r="Z85"/>
      <c r="AA85"/>
      <c r="AB85"/>
      <c r="AC85"/>
      <c r="AD85"/>
      <c r="AE85"/>
      <c r="AF85"/>
      <c r="AG85"/>
    </row>
    <row r="86" spans="1:33" ht="12.75">
      <c r="A86" s="3">
        <v>39934</v>
      </c>
      <c r="B86" s="28">
        <f>+'[15]Data Input'!$CT93</f>
        <v>5014653.33</v>
      </c>
      <c r="C86" s="24">
        <f>'Purchased Power Model '!C88</f>
        <v>158.8</v>
      </c>
      <c r="D86" s="24">
        <f>'Purchased Power Model '!D88</f>
        <v>6.9</v>
      </c>
      <c r="E86" s="1">
        <v>320</v>
      </c>
      <c r="F86" s="17">
        <v>1</v>
      </c>
      <c r="G86" s="17">
        <f t="shared" si="2"/>
        <v>39934</v>
      </c>
      <c r="H86" s="17">
        <v>31</v>
      </c>
      <c r="I86" s="116">
        <f>'Purchased Power Model '!K88</f>
        <v>631.7</v>
      </c>
      <c r="J86" s="17">
        <f>+'[15]Data Input'!$CR93</f>
        <v>58</v>
      </c>
      <c r="K86" s="17">
        <f>'Purchased Power Model '!G88</f>
        <v>194043.02810701632</v>
      </c>
      <c r="L86" s="34">
        <v>137.78123318373483</v>
      </c>
      <c r="M86" s="17"/>
      <c r="N86" s="17"/>
      <c r="O86"/>
      <c r="P86"/>
      <c r="Q86"/>
      <c r="R86"/>
      <c r="S86"/>
      <c r="X86"/>
      <c r="Y86"/>
      <c r="Z86"/>
      <c r="AA86"/>
      <c r="AB86"/>
      <c r="AC86"/>
      <c r="AD86"/>
      <c r="AE86"/>
      <c r="AF86"/>
      <c r="AG86"/>
    </row>
    <row r="87" spans="1:33" ht="12.75">
      <c r="A87" s="3">
        <v>39965</v>
      </c>
      <c r="B87" s="28">
        <f>+'[15]Data Input'!$CT94</f>
        <v>5096481.609999999</v>
      </c>
      <c r="C87" s="24">
        <f>'Purchased Power Model '!C89</f>
        <v>49.3</v>
      </c>
      <c r="D87" s="24">
        <f>'Purchased Power Model '!D89</f>
        <v>34.2</v>
      </c>
      <c r="E87" s="1">
        <v>352</v>
      </c>
      <c r="F87" s="17">
        <v>0</v>
      </c>
      <c r="G87" s="17">
        <f t="shared" si="2"/>
        <v>39965</v>
      </c>
      <c r="H87" s="17">
        <v>30</v>
      </c>
      <c r="I87" s="116">
        <f>'Purchased Power Model '!K89</f>
        <v>642.7</v>
      </c>
      <c r="J87" s="17">
        <f>+'[15]Data Input'!$CR94</f>
        <v>60</v>
      </c>
      <c r="K87" s="17">
        <f>'Purchased Power Model '!G89</f>
        <v>206638.97170335913</v>
      </c>
      <c r="L87" s="34">
        <v>137.38463408752156</v>
      </c>
      <c r="M87" s="17"/>
      <c r="N87" s="17"/>
      <c r="O87"/>
      <c r="P87"/>
      <c r="Q87"/>
      <c r="R87"/>
      <c r="S87"/>
      <c r="X87"/>
      <c r="Y87"/>
      <c r="Z87"/>
      <c r="AA87"/>
      <c r="AB87"/>
      <c r="AC87"/>
      <c r="AD87"/>
      <c r="AE87"/>
      <c r="AF87"/>
      <c r="AG87"/>
    </row>
    <row r="88" spans="1:33" ht="12.75">
      <c r="A88" s="3">
        <v>39995</v>
      </c>
      <c r="B88" s="28">
        <f>+'[15]Data Input'!$CT95</f>
        <v>5015960.82</v>
      </c>
      <c r="C88" s="24">
        <f>'Purchased Power Model '!C90</f>
        <v>6.2</v>
      </c>
      <c r="D88" s="24">
        <f>'Purchased Power Model '!D90</f>
        <v>43.7</v>
      </c>
      <c r="E88" s="1">
        <v>352</v>
      </c>
      <c r="F88" s="17">
        <v>0</v>
      </c>
      <c r="G88" s="17">
        <f t="shared" si="2"/>
        <v>39995</v>
      </c>
      <c r="H88" s="17">
        <v>31</v>
      </c>
      <c r="I88" s="116">
        <f>'Purchased Power Model '!K90</f>
        <v>650</v>
      </c>
      <c r="J88" s="17">
        <f>+'[15]Data Input'!$CR95</f>
        <v>60</v>
      </c>
      <c r="K88" s="17">
        <f>'Purchased Power Model '!G90</f>
        <v>219234.91529970194</v>
      </c>
      <c r="L88" s="34">
        <v>136.98917658976464</v>
      </c>
      <c r="M88" s="17"/>
      <c r="N88" s="17"/>
      <c r="O88"/>
      <c r="P88"/>
      <c r="Q88"/>
      <c r="R88"/>
      <c r="S88"/>
      <c r="X88"/>
      <c r="Y88"/>
      <c r="Z88"/>
      <c r="AA88"/>
      <c r="AB88"/>
      <c r="AC88"/>
      <c r="AD88"/>
      <c r="AE88"/>
      <c r="AF88"/>
      <c r="AG88"/>
    </row>
    <row r="89" spans="1:33" ht="12.75">
      <c r="A89" s="3">
        <v>40026</v>
      </c>
      <c r="B89" s="28">
        <f>+'[15]Data Input'!$CT96</f>
        <v>5285812.55</v>
      </c>
      <c r="C89" s="24">
        <f>'Purchased Power Model '!C91</f>
        <v>9.8</v>
      </c>
      <c r="D89" s="24">
        <f>'Purchased Power Model '!D91</f>
        <v>91</v>
      </c>
      <c r="E89" s="1">
        <v>320</v>
      </c>
      <c r="F89" s="17">
        <v>0</v>
      </c>
      <c r="G89" s="17">
        <f t="shared" si="2"/>
        <v>40026</v>
      </c>
      <c r="H89" s="17">
        <v>31</v>
      </c>
      <c r="I89" s="116">
        <f>'Purchased Power Model '!K91</f>
        <v>655.3</v>
      </c>
      <c r="J89" s="17">
        <f>+'[15]Data Input'!$CR96</f>
        <v>61</v>
      </c>
      <c r="K89" s="17">
        <f>'Purchased Power Model '!G91</f>
        <v>231830.85889604475</v>
      </c>
      <c r="L89" s="34">
        <v>136.59485740440758</v>
      </c>
      <c r="M89" s="17"/>
      <c r="N89" s="17"/>
      <c r="O89"/>
      <c r="P89"/>
      <c r="Q89"/>
      <c r="R89"/>
      <c r="S89"/>
      <c r="X89"/>
      <c r="Y89"/>
      <c r="Z89"/>
      <c r="AA89"/>
      <c r="AB89"/>
      <c r="AC89"/>
      <c r="AD89"/>
      <c r="AE89"/>
      <c r="AF89"/>
      <c r="AG89"/>
    </row>
    <row r="90" spans="1:33" ht="12.75">
      <c r="A90" s="3">
        <v>40057</v>
      </c>
      <c r="B90" s="28">
        <f>+'[15]Data Input'!$CT97</f>
        <v>5277097.64</v>
      </c>
      <c r="C90" s="24">
        <f>'Purchased Power Model '!C92</f>
        <v>55.2</v>
      </c>
      <c r="D90" s="24">
        <f>'Purchased Power Model '!D92</f>
        <v>20.9</v>
      </c>
      <c r="E90" s="1">
        <v>336</v>
      </c>
      <c r="F90" s="17">
        <v>1</v>
      </c>
      <c r="G90" s="17">
        <f t="shared" si="2"/>
        <v>40057</v>
      </c>
      <c r="H90" s="17">
        <v>30</v>
      </c>
      <c r="I90" s="116">
        <f>'Purchased Power Model '!K92</f>
        <v>654.9</v>
      </c>
      <c r="J90" s="17">
        <f>+'[15]Data Input'!$CR97</f>
        <v>61</v>
      </c>
      <c r="K90" s="17">
        <f>'Purchased Power Model '!G92</f>
        <v>244426.80249238756</v>
      </c>
      <c r="L90" s="34">
        <v>136.20167325485272</v>
      </c>
      <c r="M90" s="17"/>
      <c r="N90" s="17"/>
      <c r="O90"/>
      <c r="P90"/>
      <c r="Q90"/>
      <c r="R90"/>
      <c r="S90"/>
      <c r="X90"/>
      <c r="Y90"/>
      <c r="Z90"/>
      <c r="AA90"/>
      <c r="AB90"/>
      <c r="AC90"/>
      <c r="AD90"/>
      <c r="AE90"/>
      <c r="AF90"/>
      <c r="AG90"/>
    </row>
    <row r="91" spans="1:33" ht="12.75">
      <c r="A91" s="3">
        <v>40087</v>
      </c>
      <c r="B91" s="28">
        <f>+'[15]Data Input'!$CT98</f>
        <v>5260474.74</v>
      </c>
      <c r="C91" s="24">
        <f>'Purchased Power Model '!C93</f>
        <v>287.8</v>
      </c>
      <c r="D91" s="24">
        <f>'Purchased Power Model '!D93</f>
        <v>0</v>
      </c>
      <c r="E91" s="1">
        <v>336</v>
      </c>
      <c r="F91" s="17">
        <v>1</v>
      </c>
      <c r="G91" s="17">
        <f t="shared" si="2"/>
        <v>40087</v>
      </c>
      <c r="H91" s="17">
        <v>31</v>
      </c>
      <c r="I91" s="116">
        <f>'Purchased Power Model '!K93</f>
        <v>656.6</v>
      </c>
      <c r="J91" s="17">
        <f>+'[15]Data Input'!$CR98</f>
        <v>62</v>
      </c>
      <c r="K91" s="17">
        <f>'Purchased Power Model '!G93</f>
        <v>257022.74608873038</v>
      </c>
      <c r="L91" s="34">
        <v>135.80962087393394</v>
      </c>
      <c r="M91" s="17"/>
      <c r="N91" s="17"/>
      <c r="O91"/>
      <c r="P91"/>
      <c r="Q91"/>
      <c r="R91"/>
      <c r="S91"/>
      <c r="X91"/>
      <c r="Y91"/>
      <c r="Z91"/>
      <c r="AA91"/>
      <c r="AB91"/>
      <c r="AC91"/>
      <c r="AD91"/>
      <c r="AE91"/>
      <c r="AF91"/>
      <c r="AG91"/>
    </row>
    <row r="92" spans="1:18" ht="12.75">
      <c r="A92" s="3">
        <v>40118</v>
      </c>
      <c r="B92" s="28">
        <f>+'[15]Data Input'!$CT99</f>
        <v>5388339.91</v>
      </c>
      <c r="C92" s="24">
        <f>'Purchased Power Model '!C94</f>
        <v>361.2</v>
      </c>
      <c r="D92" s="24">
        <f>'Purchased Power Model '!D94</f>
        <v>0</v>
      </c>
      <c r="E92" s="1">
        <v>320</v>
      </c>
      <c r="F92" s="17">
        <v>1</v>
      </c>
      <c r="G92" s="17">
        <f t="shared" si="2"/>
        <v>40118</v>
      </c>
      <c r="H92" s="17">
        <v>30</v>
      </c>
      <c r="I92" s="116">
        <f>'Purchased Power Model '!K94</f>
        <v>654.8</v>
      </c>
      <c r="J92" s="17">
        <f>+'[15]Data Input'!$CR99</f>
        <v>62</v>
      </c>
      <c r="K92" s="17">
        <f>'Purchased Power Model '!G94</f>
        <v>269618.6896850732</v>
      </c>
      <c r="L92" s="34">
        <v>135.41869700388958</v>
      </c>
      <c r="M92" s="17"/>
      <c r="N92" s="17"/>
      <c r="O92" s="17"/>
      <c r="P92" s="17"/>
      <c r="Q92" s="10"/>
      <c r="R92" s="50"/>
    </row>
    <row r="93" spans="1:38" s="33" customFormat="1" ht="12.75">
      <c r="A93" s="3">
        <v>40148</v>
      </c>
      <c r="B93" s="28">
        <f>+'[15]Data Input'!$CT100</f>
        <v>5299573.92</v>
      </c>
      <c r="C93" s="24">
        <f>'Purchased Power Model '!C95</f>
        <v>631.3</v>
      </c>
      <c r="D93" s="24">
        <f>'Purchased Power Model '!D95</f>
        <v>0</v>
      </c>
      <c r="E93" s="1">
        <v>352</v>
      </c>
      <c r="F93" s="17">
        <v>0</v>
      </c>
      <c r="G93" s="17">
        <f t="shared" si="2"/>
        <v>40148</v>
      </c>
      <c r="H93" s="17">
        <v>31</v>
      </c>
      <c r="I93" s="116">
        <f>'Purchased Power Model '!K95</f>
        <v>652.3</v>
      </c>
      <c r="J93" s="17">
        <f>+'[15]Data Input'!$CR100</f>
        <v>62</v>
      </c>
      <c r="K93" s="17">
        <f>'Purchased Power Model '!G95</f>
        <v>282214.633281416</v>
      </c>
      <c r="L93" s="34">
        <v>135.02889839633545</v>
      </c>
      <c r="M93" s="17"/>
      <c r="N93" s="17"/>
      <c r="O93" s="17"/>
      <c r="P93" s="17"/>
      <c r="Q93" s="10"/>
      <c r="R93" s="50"/>
      <c r="S93" s="1"/>
      <c r="T93"/>
      <c r="U93"/>
      <c r="V93"/>
      <c r="W93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/>
      <c r="AI93"/>
      <c r="AJ93"/>
      <c r="AK93"/>
      <c r="AL93" s="28"/>
    </row>
    <row r="94" spans="1:18" ht="12.75">
      <c r="A94" s="3">
        <v>40179</v>
      </c>
      <c r="B94" s="28">
        <f>+'[15]Data Input'!$CT101</f>
        <v>5555439.0600000005</v>
      </c>
      <c r="C94" s="24">
        <f>'Purchased Power Model '!C96</f>
        <v>720</v>
      </c>
      <c r="D94" s="24">
        <f>'Purchased Power Model '!D96</f>
        <v>0</v>
      </c>
      <c r="E94" s="1">
        <v>320</v>
      </c>
      <c r="F94" s="17">
        <v>0</v>
      </c>
      <c r="G94" s="17">
        <f t="shared" si="2"/>
        <v>40179</v>
      </c>
      <c r="H94" s="17">
        <v>31</v>
      </c>
      <c r="I94" s="116">
        <f>'Purchased Power Model '!K96</f>
        <v>646</v>
      </c>
      <c r="J94" s="17">
        <f>+'[15]Data Input'!$CR101</f>
        <v>62</v>
      </c>
      <c r="K94" s="17">
        <f>'Purchased Power Model '!G96</f>
        <v>273285.7699998244</v>
      </c>
      <c r="L94" s="34">
        <v>135.32901731143812</v>
      </c>
      <c r="M94" s="17"/>
      <c r="N94" s="17"/>
      <c r="O94" s="17"/>
      <c r="P94" s="17"/>
      <c r="Q94" s="10"/>
      <c r="R94" s="50"/>
    </row>
    <row r="95" spans="1:18" ht="12.75">
      <c r="A95" s="3">
        <v>40210</v>
      </c>
      <c r="B95" s="28">
        <f>+'[15]Data Input'!$CT102</f>
        <v>5013773.95</v>
      </c>
      <c r="C95" s="24">
        <f>'Purchased Power Model '!C97</f>
        <v>598.3</v>
      </c>
      <c r="D95" s="24">
        <f>'Purchased Power Model '!D97</f>
        <v>0</v>
      </c>
      <c r="E95" s="1">
        <v>304</v>
      </c>
      <c r="F95" s="17">
        <v>0</v>
      </c>
      <c r="G95" s="17">
        <f t="shared" si="2"/>
        <v>40210</v>
      </c>
      <c r="H95" s="17">
        <v>28</v>
      </c>
      <c r="I95" s="116">
        <f>'Purchased Power Model '!K97</f>
        <v>642.3</v>
      </c>
      <c r="J95" s="17">
        <f>+'[15]Data Input'!$CR102</f>
        <v>60</v>
      </c>
      <c r="K95" s="17">
        <f>'Purchased Power Model '!G97</f>
        <v>264356.9067182328</v>
      </c>
      <c r="L95" s="34">
        <v>135.62980327903304</v>
      </c>
      <c r="M95" s="17"/>
      <c r="N95" s="17"/>
      <c r="O95" s="17"/>
      <c r="P95" s="17"/>
      <c r="Q95" s="10"/>
      <c r="R95" s="50"/>
    </row>
    <row r="96" spans="1:18" ht="12.75">
      <c r="A96" s="3">
        <v>40238</v>
      </c>
      <c r="B96" s="28">
        <f>+'[15]Data Input'!$CT103</f>
        <v>6205384.9399999995</v>
      </c>
      <c r="C96" s="24">
        <f>'Purchased Power Model '!C98</f>
        <v>422.8</v>
      </c>
      <c r="D96" s="24">
        <f>'Purchased Power Model '!D98</f>
        <v>0</v>
      </c>
      <c r="E96" s="1">
        <v>368</v>
      </c>
      <c r="F96" s="17">
        <v>1</v>
      </c>
      <c r="G96" s="17">
        <f t="shared" si="2"/>
        <v>40238</v>
      </c>
      <c r="H96" s="17">
        <v>31</v>
      </c>
      <c r="I96" s="116">
        <f>'Purchased Power Model '!K98</f>
        <v>639.5</v>
      </c>
      <c r="J96" s="17">
        <f>+'[15]Data Input'!$CR103</f>
        <v>60</v>
      </c>
      <c r="K96" s="17">
        <f>'Purchased Power Model '!G98</f>
        <v>255428.04343664116</v>
      </c>
      <c r="L96" s="34">
        <v>135.9312577817293</v>
      </c>
      <c r="M96" s="17"/>
      <c r="N96" s="17"/>
      <c r="O96" s="17"/>
      <c r="P96" s="17"/>
      <c r="Q96" s="10"/>
      <c r="R96" s="50"/>
    </row>
    <row r="97" spans="1:18" ht="12.75">
      <c r="A97" s="3">
        <v>40269</v>
      </c>
      <c r="B97" s="28">
        <f>+'[15]Data Input'!$CT104</f>
        <v>5049381.8100000005</v>
      </c>
      <c r="C97" s="24">
        <f>'Purchased Power Model '!C99</f>
        <v>225.1</v>
      </c>
      <c r="D97" s="24">
        <f>'Purchased Power Model '!D99</f>
        <v>0</v>
      </c>
      <c r="E97" s="1">
        <v>320</v>
      </c>
      <c r="F97" s="17">
        <v>1</v>
      </c>
      <c r="G97" s="17">
        <f t="shared" si="2"/>
        <v>40269</v>
      </c>
      <c r="H97" s="17">
        <v>30</v>
      </c>
      <c r="I97" s="116">
        <f>'Purchased Power Model '!K99</f>
        <v>643.8</v>
      </c>
      <c r="J97" s="17">
        <f>+'[15]Data Input'!$CR104</f>
        <v>60</v>
      </c>
      <c r="K97" s="17">
        <f>'Purchased Power Model '!G99</f>
        <v>246499.18015504954</v>
      </c>
      <c r="L97" s="34">
        <v>136.23338230543126</v>
      </c>
      <c r="M97" s="17"/>
      <c r="N97" s="17"/>
      <c r="O97" s="17"/>
      <c r="P97" s="17"/>
      <c r="Q97" s="10"/>
      <c r="R97" s="50"/>
    </row>
    <row r="98" spans="1:18" ht="12.75">
      <c r="A98" s="3">
        <v>40299</v>
      </c>
      <c r="B98" s="28">
        <f>+'[15]Data Input'!$CT105</f>
        <v>5353724.970000001</v>
      </c>
      <c r="C98" s="24">
        <f>'Purchased Power Model '!C100</f>
        <v>107.9</v>
      </c>
      <c r="D98" s="24">
        <f>'Purchased Power Model '!D100</f>
        <v>45.7</v>
      </c>
      <c r="E98" s="1">
        <v>320</v>
      </c>
      <c r="F98" s="17">
        <v>1</v>
      </c>
      <c r="G98" s="17">
        <f t="shared" si="2"/>
        <v>40299</v>
      </c>
      <c r="H98" s="17">
        <v>31</v>
      </c>
      <c r="I98" s="116">
        <f>'Purchased Power Model '!K100</f>
        <v>653.4</v>
      </c>
      <c r="J98" s="17">
        <f>+'[15]Data Input'!$CR105</f>
        <v>60</v>
      </c>
      <c r="K98" s="17">
        <f>'Purchased Power Model '!G100</f>
        <v>237570.31687345792</v>
      </c>
      <c r="L98" s="34">
        <v>136.5361783393459</v>
      </c>
      <c r="M98" s="17"/>
      <c r="N98" s="17"/>
      <c r="O98" s="17"/>
      <c r="P98" s="17"/>
      <c r="Q98" s="10"/>
      <c r="R98" s="50"/>
    </row>
    <row r="99" spans="1:18" ht="12.75">
      <c r="A99" s="3">
        <v>40330</v>
      </c>
      <c r="B99" s="28">
        <f>+'[15]Data Input'!$CT106</f>
        <v>5394851.75</v>
      </c>
      <c r="C99" s="24">
        <f>'Purchased Power Model '!C101</f>
        <v>21.7</v>
      </c>
      <c r="D99" s="24">
        <f>'Purchased Power Model '!D101</f>
        <v>58.7</v>
      </c>
      <c r="E99" s="1">
        <v>352</v>
      </c>
      <c r="F99" s="17">
        <v>0</v>
      </c>
      <c r="G99" s="17">
        <f aca="true" t="shared" si="3" ref="G99:G130">A99</f>
        <v>40330</v>
      </c>
      <c r="H99" s="17">
        <v>30</v>
      </c>
      <c r="I99" s="116">
        <f>'Purchased Power Model '!K101</f>
        <v>668.5</v>
      </c>
      <c r="J99" s="17">
        <f>+'[15]Data Input'!$CR106</f>
        <v>60</v>
      </c>
      <c r="K99" s="17">
        <f>'Purchased Power Model '!G101</f>
        <v>228641.4535918663</v>
      </c>
      <c r="L99" s="34">
        <v>136.83964737599013</v>
      </c>
      <c r="M99" s="17"/>
      <c r="N99" s="17"/>
      <c r="O99" s="17"/>
      <c r="P99" s="17"/>
      <c r="Q99" s="10"/>
      <c r="R99" s="50"/>
    </row>
    <row r="100" spans="1:18" ht="12.75">
      <c r="A100" s="3">
        <v>40360</v>
      </c>
      <c r="B100" s="28">
        <f>+'[15]Data Input'!$CT107</f>
        <v>5369307.02</v>
      </c>
      <c r="C100" s="24">
        <f>'Purchased Power Model '!C102</f>
        <v>1.8</v>
      </c>
      <c r="D100" s="24">
        <f>'Purchased Power Model '!D102</f>
        <v>164.9</v>
      </c>
      <c r="E100" s="1">
        <v>336</v>
      </c>
      <c r="F100" s="17">
        <v>0</v>
      </c>
      <c r="G100" s="17">
        <f t="shared" si="3"/>
        <v>40360</v>
      </c>
      <c r="H100" s="17">
        <v>31</v>
      </c>
      <c r="I100" s="116">
        <f>'Purchased Power Model '!K102</f>
        <v>680.1</v>
      </c>
      <c r="J100" s="17">
        <f>+'[15]Data Input'!$CR107</f>
        <v>60</v>
      </c>
      <c r="K100" s="17">
        <f>'Purchased Power Model '!G102</f>
        <v>219712.59031027468</v>
      </c>
      <c r="L100" s="34">
        <v>137.1437909111982</v>
      </c>
      <c r="M100" s="17"/>
      <c r="N100" s="17"/>
      <c r="O100" s="17"/>
      <c r="P100" s="17"/>
      <c r="Q100" s="10"/>
      <c r="R100" s="50"/>
    </row>
    <row r="101" spans="1:18" ht="12.75">
      <c r="A101" s="3">
        <v>40391</v>
      </c>
      <c r="B101" s="28">
        <f>+'[15]Data Input'!$CT108</f>
        <v>5474714.72</v>
      </c>
      <c r="C101" s="24">
        <f>'Purchased Power Model '!C103</f>
        <v>2.1</v>
      </c>
      <c r="D101" s="24">
        <f>'Purchased Power Model '!D103</f>
        <v>138.8</v>
      </c>
      <c r="E101" s="1">
        <v>336</v>
      </c>
      <c r="F101" s="17">
        <v>0</v>
      </c>
      <c r="G101" s="17">
        <f t="shared" si="3"/>
        <v>40391</v>
      </c>
      <c r="H101" s="17">
        <v>31</v>
      </c>
      <c r="I101" s="116">
        <f>'Purchased Power Model '!K103</f>
        <v>683.1</v>
      </c>
      <c r="J101" s="17">
        <f>+'[15]Data Input'!$CR108</f>
        <v>60</v>
      </c>
      <c r="K101" s="17">
        <f>'Purchased Power Model '!G103</f>
        <v>210783.72702868306</v>
      </c>
      <c r="L101" s="34">
        <v>137.44861044412903</v>
      </c>
      <c r="M101" s="17"/>
      <c r="N101" s="17"/>
      <c r="O101" s="17"/>
      <c r="P101" s="17"/>
      <c r="Q101" s="10"/>
      <c r="R101" s="50"/>
    </row>
    <row r="102" spans="1:18" ht="12.75">
      <c r="A102" s="3">
        <v>40422</v>
      </c>
      <c r="B102" s="28">
        <f>+'[15]Data Input'!$CT109</f>
        <v>5300728.08</v>
      </c>
      <c r="C102" s="24">
        <f>'Purchased Power Model '!C104</f>
        <v>78.1</v>
      </c>
      <c r="D102" s="24">
        <f>'Purchased Power Model '!D104</f>
        <v>31.5</v>
      </c>
      <c r="E102" s="1">
        <v>336</v>
      </c>
      <c r="F102" s="17">
        <v>1</v>
      </c>
      <c r="G102" s="17">
        <f t="shared" si="3"/>
        <v>40422</v>
      </c>
      <c r="H102" s="17">
        <v>30</v>
      </c>
      <c r="I102" s="116">
        <f>'Purchased Power Model '!K104</f>
        <v>677.1</v>
      </c>
      <c r="J102" s="17">
        <f>+'[15]Data Input'!$CR109</f>
        <v>60</v>
      </c>
      <c r="K102" s="17">
        <f>'Purchased Power Model '!G104</f>
        <v>201854.86374709144</v>
      </c>
      <c r="L102" s="34">
        <v>137.7541074772736</v>
      </c>
      <c r="M102" s="17"/>
      <c r="N102" s="17"/>
      <c r="O102" s="17"/>
      <c r="P102" s="17"/>
      <c r="Q102" s="10"/>
      <c r="R102" s="50"/>
    </row>
    <row r="103" spans="1:18" ht="12.75">
      <c r="A103" s="3">
        <v>40452</v>
      </c>
      <c r="B103" s="28">
        <f>+'[15]Data Input'!$CT110</f>
        <v>5245082.21</v>
      </c>
      <c r="C103" s="24">
        <f>'Purchased Power Model '!C105</f>
        <v>241.6</v>
      </c>
      <c r="D103" s="24">
        <f>'Purchased Power Model '!D105</f>
        <v>0</v>
      </c>
      <c r="E103" s="1">
        <v>320</v>
      </c>
      <c r="F103" s="17">
        <v>1</v>
      </c>
      <c r="G103" s="17">
        <f t="shared" si="3"/>
        <v>40452</v>
      </c>
      <c r="H103" s="17">
        <v>31</v>
      </c>
      <c r="I103" s="116">
        <f>'Purchased Power Model '!K105</f>
        <v>670.2</v>
      </c>
      <c r="J103" s="17">
        <f>+'[15]Data Input'!$CR110</f>
        <v>61</v>
      </c>
      <c r="K103" s="17">
        <f>'Purchased Power Model '!G105</f>
        <v>192926.00046549982</v>
      </c>
      <c r="L103" s="34">
        <v>138.0602835164624</v>
      </c>
      <c r="M103" s="17"/>
      <c r="N103" s="17"/>
      <c r="O103" s="17"/>
      <c r="P103" s="17"/>
      <c r="Q103" s="10"/>
      <c r="R103" s="50"/>
    </row>
    <row r="104" spans="1:18" ht="12.75">
      <c r="A104" s="3">
        <v>40483</v>
      </c>
      <c r="B104" s="28">
        <f>+'[15]Data Input'!$CT111</f>
        <v>5280970.48</v>
      </c>
      <c r="C104" s="24">
        <f>'Purchased Power Model '!C106</f>
        <v>405.3</v>
      </c>
      <c r="D104" s="24">
        <f>'Purchased Power Model '!D106</f>
        <v>0</v>
      </c>
      <c r="E104" s="1">
        <v>336</v>
      </c>
      <c r="F104" s="17">
        <v>1</v>
      </c>
      <c r="G104" s="17">
        <f t="shared" si="3"/>
        <v>40483</v>
      </c>
      <c r="H104" s="17">
        <v>30</v>
      </c>
      <c r="I104" s="116">
        <f>'Purchased Power Model '!K106</f>
        <v>668.1</v>
      </c>
      <c r="J104" s="17">
        <f>+'[15]Data Input'!$CR111</f>
        <v>62</v>
      </c>
      <c r="K104" s="17">
        <f>'Purchased Power Model '!G106</f>
        <v>183997.1371839082</v>
      </c>
      <c r="L104" s="34">
        <v>138.36714007087275</v>
      </c>
      <c r="M104" s="17"/>
      <c r="N104" s="17"/>
      <c r="O104" s="17"/>
      <c r="P104" s="17"/>
      <c r="Q104" s="10"/>
      <c r="R104" s="50"/>
    </row>
    <row r="105" spans="1:18" ht="12.75">
      <c r="A105" s="3">
        <v>40513</v>
      </c>
      <c r="B105" s="28">
        <f>+'[15]Data Input'!$CT112</f>
        <v>5133324.76</v>
      </c>
      <c r="C105" s="24">
        <f>'Purchased Power Model '!C107</f>
        <v>676.2</v>
      </c>
      <c r="D105" s="24">
        <f>'Purchased Power Model '!D107</f>
        <v>0</v>
      </c>
      <c r="E105" s="1">
        <v>368</v>
      </c>
      <c r="F105" s="17">
        <v>0</v>
      </c>
      <c r="G105" s="17">
        <f t="shared" si="3"/>
        <v>40513</v>
      </c>
      <c r="H105" s="17">
        <v>31</v>
      </c>
      <c r="I105" s="116">
        <f>'Purchased Power Model '!K107</f>
        <v>666.9</v>
      </c>
      <c r="J105" s="17">
        <f>+'[15]Data Input'!$CR112</f>
        <v>62</v>
      </c>
      <c r="K105" s="17">
        <f>'Purchased Power Model '!G107</f>
        <v>175068.27390231658</v>
      </c>
      <c r="L105" s="34">
        <v>138.6746786530365</v>
      </c>
      <c r="M105" s="17"/>
      <c r="N105" s="17"/>
      <c r="O105" s="17"/>
      <c r="P105" s="17"/>
      <c r="Q105" s="10"/>
      <c r="R105" s="50"/>
    </row>
    <row r="106" spans="1:18" ht="12.75">
      <c r="A106" s="3">
        <v>40544</v>
      </c>
      <c r="B106" s="28">
        <f>+'[15]Data Input'!$CT113</f>
        <v>5500082.609999999</v>
      </c>
      <c r="C106" s="24">
        <f>'Purchased Power Model '!C108</f>
        <v>775.3</v>
      </c>
      <c r="D106" s="24">
        <f>'Purchased Power Model '!D108</f>
        <v>0</v>
      </c>
      <c r="E106" s="1">
        <v>336</v>
      </c>
      <c r="F106" s="17">
        <v>0</v>
      </c>
      <c r="G106" s="17">
        <f t="shared" si="3"/>
        <v>40544</v>
      </c>
      <c r="H106" s="78">
        <v>31</v>
      </c>
      <c r="I106" s="116">
        <f>'Purchased Power Model '!K108</f>
        <v>663.9</v>
      </c>
      <c r="J106" s="17">
        <f>+'[15]Data Input'!$CR113</f>
        <v>61</v>
      </c>
      <c r="K106" s="17">
        <f>'Purchased Power Model '!G108</f>
        <v>193076.05790077086</v>
      </c>
      <c r="L106" s="34">
        <v>139.03916243618784</v>
      </c>
      <c r="M106" s="17"/>
      <c r="N106" s="17"/>
      <c r="O106" s="17"/>
      <c r="P106" s="17"/>
      <c r="Q106" s="10"/>
      <c r="R106" s="50"/>
    </row>
    <row r="107" spans="1:18" ht="12.75">
      <c r="A107" s="3">
        <v>40575</v>
      </c>
      <c r="B107" s="28">
        <f>+'[15]Data Input'!$CT114</f>
        <v>4946525.89</v>
      </c>
      <c r="C107" s="24">
        <f>'Purchased Power Model '!C109</f>
        <v>654.2</v>
      </c>
      <c r="D107" s="24">
        <f>'Purchased Power Model '!D109</f>
        <v>0</v>
      </c>
      <c r="E107" s="1">
        <v>304</v>
      </c>
      <c r="F107" s="17">
        <v>0</v>
      </c>
      <c r="G107" s="17">
        <f t="shared" si="3"/>
        <v>40575</v>
      </c>
      <c r="H107" s="78">
        <v>28</v>
      </c>
      <c r="I107" s="116">
        <f>'Purchased Power Model '!K109</f>
        <v>666.1</v>
      </c>
      <c r="J107" s="17">
        <f>+'[15]Data Input'!$CR114</f>
        <v>60</v>
      </c>
      <c r="K107" s="17">
        <f>'Purchased Power Model '!G109</f>
        <v>211083.84189922514</v>
      </c>
      <c r="L107" s="34">
        <v>139.4046042055373</v>
      </c>
      <c r="M107" s="17"/>
      <c r="N107" s="17"/>
      <c r="O107" s="17"/>
      <c r="P107" s="17"/>
      <c r="Q107" s="10"/>
      <c r="R107" s="50"/>
    </row>
    <row r="108" spans="1:18" ht="12.75">
      <c r="A108" s="3">
        <v>40603</v>
      </c>
      <c r="B108" s="28">
        <f>+'[15]Data Input'!$CT115</f>
        <v>5361918.63</v>
      </c>
      <c r="C108" s="24">
        <f>'Purchased Power Model '!C110</f>
        <v>572.8</v>
      </c>
      <c r="D108" s="24">
        <f>'Purchased Power Model '!D110</f>
        <v>0</v>
      </c>
      <c r="E108" s="1">
        <v>368</v>
      </c>
      <c r="F108" s="17">
        <v>1</v>
      </c>
      <c r="G108" s="17">
        <f t="shared" si="3"/>
        <v>40603</v>
      </c>
      <c r="H108" s="78">
        <v>31</v>
      </c>
      <c r="I108" s="116">
        <f>'Purchased Power Model '!K110</f>
        <v>671.2</v>
      </c>
      <c r="J108" s="17">
        <f>+'[15]Data Input'!$CR115</f>
        <v>60</v>
      </c>
      <c r="K108" s="17">
        <f>'Purchased Power Model '!G110</f>
        <v>229091.62589767942</v>
      </c>
      <c r="L108" s="34">
        <v>139.77100647899545</v>
      </c>
      <c r="M108" s="17"/>
      <c r="N108" s="17"/>
      <c r="O108" s="17"/>
      <c r="P108" s="17"/>
      <c r="Q108" s="10"/>
      <c r="R108" s="50"/>
    </row>
    <row r="109" spans="1:18" ht="12.75">
      <c r="A109" s="3">
        <v>40634</v>
      </c>
      <c r="B109" s="28">
        <f>+'[15]Data Input'!$CT116</f>
        <v>4665343.54</v>
      </c>
      <c r="C109" s="24">
        <f>'Purchased Power Model '!C111</f>
        <v>332.3</v>
      </c>
      <c r="D109" s="24">
        <f>'Purchased Power Model '!D111</f>
        <v>0</v>
      </c>
      <c r="E109" s="1">
        <v>320</v>
      </c>
      <c r="F109" s="17">
        <v>1</v>
      </c>
      <c r="G109" s="17">
        <f t="shared" si="3"/>
        <v>40634</v>
      </c>
      <c r="H109" s="78">
        <v>30</v>
      </c>
      <c r="I109" s="116">
        <f>'Purchased Power Model '!K111</f>
        <v>679.9</v>
      </c>
      <c r="J109" s="17">
        <f>+'[15]Data Input'!$CR116</f>
        <v>60</v>
      </c>
      <c r="K109" s="17">
        <f>'Purchased Power Model '!G111</f>
        <v>247099.4098961337</v>
      </c>
      <c r="L109" s="34">
        <v>140.1383717810907</v>
      </c>
      <c r="M109" s="17"/>
      <c r="N109" s="17"/>
      <c r="O109" s="17"/>
      <c r="P109" s="17"/>
      <c r="Q109" s="10"/>
      <c r="R109" s="50"/>
    </row>
    <row r="110" spans="1:18" ht="12.75">
      <c r="A110" s="3">
        <v>40664</v>
      </c>
      <c r="B110" s="28">
        <f>+'[15]Data Input'!$CT117</f>
        <v>4906208.38</v>
      </c>
      <c r="C110" s="24">
        <f>'Purchased Power Model '!C112</f>
        <v>134.1</v>
      </c>
      <c r="D110" s="24">
        <f>'Purchased Power Model '!D112</f>
        <v>13</v>
      </c>
      <c r="E110" s="1">
        <v>336</v>
      </c>
      <c r="F110" s="17">
        <v>1</v>
      </c>
      <c r="G110" s="17">
        <f t="shared" si="3"/>
        <v>40664</v>
      </c>
      <c r="H110" s="78">
        <v>31</v>
      </c>
      <c r="I110" s="116">
        <f>'Purchased Power Model '!K112</f>
        <v>685.8</v>
      </c>
      <c r="J110" s="17">
        <f>+'[15]Data Input'!$CR117</f>
        <v>59</v>
      </c>
      <c r="K110" s="17">
        <f>'Purchased Power Model '!G112</f>
        <v>265107.193894588</v>
      </c>
      <c r="L110" s="34">
        <v>140.50670264298682</v>
      </c>
      <c r="M110" s="17"/>
      <c r="N110" s="17"/>
      <c r="O110" s="17"/>
      <c r="P110" s="17"/>
      <c r="Q110" s="10"/>
      <c r="R110" s="50"/>
    </row>
    <row r="111" spans="1:18" ht="12.75">
      <c r="A111" s="3">
        <v>40695</v>
      </c>
      <c r="B111" s="28">
        <f>+'[15]Data Input'!$CT118</f>
        <v>5074043.26</v>
      </c>
      <c r="C111" s="24">
        <f>'Purchased Power Model '!C113</f>
        <v>19</v>
      </c>
      <c r="D111" s="24">
        <f>'Purchased Power Model '!D113</f>
        <v>52.2</v>
      </c>
      <c r="E111" s="1">
        <v>352</v>
      </c>
      <c r="F111" s="17">
        <v>0</v>
      </c>
      <c r="G111" s="17">
        <f t="shared" si="3"/>
        <v>40695</v>
      </c>
      <c r="H111" s="78">
        <v>30</v>
      </c>
      <c r="I111" s="116">
        <f>'Purchased Power Model '!K113</f>
        <v>697.1</v>
      </c>
      <c r="J111" s="17">
        <f>+'[15]Data Input'!$CR118</f>
        <v>59</v>
      </c>
      <c r="K111" s="17">
        <f>'Purchased Power Model '!G113</f>
        <v>283114.97789304226</v>
      </c>
      <c r="L111" s="34">
        <v>140.87600160250034</v>
      </c>
      <c r="M111" s="17"/>
      <c r="N111" s="17"/>
      <c r="O111" s="17"/>
      <c r="P111" s="17"/>
      <c r="Q111" s="10"/>
      <c r="R111" s="50"/>
    </row>
    <row r="112" spans="1:18" ht="12.75">
      <c r="A112" s="3">
        <v>40725</v>
      </c>
      <c r="B112" s="28">
        <f>+'[15]Data Input'!$CT119</f>
        <v>5134785.51</v>
      </c>
      <c r="C112" s="24">
        <f>'Purchased Power Model '!C114</f>
        <v>0</v>
      </c>
      <c r="D112" s="24">
        <f>'Purchased Power Model '!D114</f>
        <v>198.5</v>
      </c>
      <c r="E112" s="1">
        <v>320</v>
      </c>
      <c r="F112" s="17">
        <v>0</v>
      </c>
      <c r="G112" s="17">
        <f t="shared" si="3"/>
        <v>40725</v>
      </c>
      <c r="H112" s="78">
        <v>31</v>
      </c>
      <c r="I112" s="116">
        <f>'Purchased Power Model '!K114</f>
        <v>707.5</v>
      </c>
      <c r="J112" s="17">
        <f>+'[15]Data Input'!$CR119</f>
        <v>59</v>
      </c>
      <c r="K112" s="17">
        <f>'Purchased Power Model '!G114</f>
        <v>301122.76189149654</v>
      </c>
      <c r="L112" s="34">
        <v>141.246271204118</v>
      </c>
      <c r="M112" s="17"/>
      <c r="N112" s="17"/>
      <c r="O112" s="17"/>
      <c r="P112" s="17"/>
      <c r="Q112" s="10"/>
      <c r="R112" s="50"/>
    </row>
    <row r="113" spans="1:18" ht="12.75">
      <c r="A113" s="3">
        <v>40756</v>
      </c>
      <c r="B113" s="28">
        <f>+'[15]Data Input'!$CT120</f>
        <v>5283195.8</v>
      </c>
      <c r="C113" s="24">
        <f>'Purchased Power Model '!C115</f>
        <v>0</v>
      </c>
      <c r="D113" s="24">
        <f>'Purchased Power Model '!D115</f>
        <v>122.2</v>
      </c>
      <c r="E113" s="1">
        <v>352</v>
      </c>
      <c r="F113" s="17">
        <v>0</v>
      </c>
      <c r="G113" s="17">
        <f t="shared" si="3"/>
        <v>40756</v>
      </c>
      <c r="H113" s="78">
        <v>31</v>
      </c>
      <c r="I113" s="116">
        <f>'Purchased Power Model '!K115</f>
        <v>708.3</v>
      </c>
      <c r="J113" s="17">
        <f>+'[15]Data Input'!$CR120</f>
        <v>59</v>
      </c>
      <c r="K113" s="17">
        <f>'Purchased Power Model '!G115</f>
        <v>319130.5458899508</v>
      </c>
      <c r="L113" s="34">
        <v>141.61751399901428</v>
      </c>
      <c r="M113" s="17"/>
      <c r="N113" s="17"/>
      <c r="O113" s="17"/>
      <c r="P113" s="17"/>
      <c r="Q113" s="10"/>
      <c r="R113" s="50"/>
    </row>
    <row r="114" spans="1:18" ht="12.75">
      <c r="A114" s="3">
        <v>40787</v>
      </c>
      <c r="B114" s="28">
        <f>+'[15]Data Input'!$CT121</f>
        <v>5127913.71</v>
      </c>
      <c r="C114" s="24">
        <f>'Purchased Power Model '!C116</f>
        <v>48.2</v>
      </c>
      <c r="D114" s="24">
        <f>'Purchased Power Model '!D116</f>
        <v>39.7</v>
      </c>
      <c r="E114" s="1">
        <v>336</v>
      </c>
      <c r="F114" s="17">
        <v>1</v>
      </c>
      <c r="G114" s="17">
        <f t="shared" si="3"/>
        <v>40787</v>
      </c>
      <c r="H114" s="78">
        <v>30</v>
      </c>
      <c r="I114" s="116">
        <f>'Purchased Power Model '!K116</f>
        <v>700.8</v>
      </c>
      <c r="J114" s="17">
        <f>+'[15]Data Input'!$CR121</f>
        <v>59</v>
      </c>
      <c r="K114" s="17">
        <f>'Purchased Power Model '!G116</f>
        <v>337138.3298884051</v>
      </c>
      <c r="L114" s="34">
        <v>141.98973254506907</v>
      </c>
      <c r="M114" s="17"/>
      <c r="N114" s="17"/>
      <c r="O114" s="17"/>
      <c r="P114" s="17"/>
      <c r="Q114" s="10"/>
      <c r="R114" s="50"/>
    </row>
    <row r="115" spans="1:18" ht="12.75">
      <c r="A115" s="3">
        <v>40817</v>
      </c>
      <c r="B115" s="28">
        <f>+'[15]Data Input'!$CT122</f>
        <v>5157725.91</v>
      </c>
      <c r="C115" s="24">
        <f>'Purchased Power Model '!C117</f>
        <v>235.5</v>
      </c>
      <c r="D115" s="24">
        <f>'Purchased Power Model '!D117</f>
        <v>2.4</v>
      </c>
      <c r="E115" s="1">
        <v>320</v>
      </c>
      <c r="F115" s="17">
        <v>1</v>
      </c>
      <c r="G115" s="17">
        <f t="shared" si="3"/>
        <v>40817</v>
      </c>
      <c r="H115" s="78">
        <v>31</v>
      </c>
      <c r="I115" s="116">
        <f>'Purchased Power Model '!K117</f>
        <v>693.6</v>
      </c>
      <c r="J115" s="17">
        <f>+'[15]Data Input'!$CR122</f>
        <v>59</v>
      </c>
      <c r="K115" s="17">
        <f>'Purchased Power Model '!G117</f>
        <v>355146.1138868594</v>
      </c>
      <c r="L115" s="34">
        <v>142.3629294068852</v>
      </c>
      <c r="M115" s="17"/>
      <c r="N115" s="17"/>
      <c r="O115" s="17"/>
      <c r="P115" s="17"/>
      <c r="Q115" s="10"/>
      <c r="R115" s="50"/>
    </row>
    <row r="116" spans="1:18" ht="12.75">
      <c r="A116" s="3">
        <v>40848</v>
      </c>
      <c r="B116" s="28">
        <f>+'[15]Data Input'!$CT123</f>
        <v>5190993.69</v>
      </c>
      <c r="C116" s="24">
        <f>'Purchased Power Model '!C118</f>
        <v>342.1</v>
      </c>
      <c r="D116" s="24">
        <f>'Purchased Power Model '!D118</f>
        <v>0</v>
      </c>
      <c r="E116" s="1">
        <v>352</v>
      </c>
      <c r="F116" s="17">
        <v>1</v>
      </c>
      <c r="G116" s="17">
        <f t="shared" si="3"/>
        <v>40848</v>
      </c>
      <c r="H116" s="78">
        <v>30</v>
      </c>
      <c r="I116" s="116">
        <f>'Purchased Power Model '!K118</f>
        <v>690.2</v>
      </c>
      <c r="J116" s="17">
        <f>+'[15]Data Input'!$CR123</f>
        <v>60</v>
      </c>
      <c r="K116" s="17">
        <f>'Purchased Power Model '!G118</f>
        <v>373153.89788531367</v>
      </c>
      <c r="L116" s="34">
        <v>142.73710715580614</v>
      </c>
      <c r="M116" s="17"/>
      <c r="N116" s="17"/>
      <c r="O116" s="17"/>
      <c r="P116" s="17"/>
      <c r="Q116" s="10"/>
      <c r="R116" s="50"/>
    </row>
    <row r="117" spans="1:18" ht="12.75">
      <c r="A117" s="3">
        <v>40878</v>
      </c>
      <c r="B117" s="28">
        <f>+'[15]Data Input'!$CT124</f>
        <v>5094019.52</v>
      </c>
      <c r="C117" s="24">
        <f>'Purchased Power Model '!C119</f>
        <v>534</v>
      </c>
      <c r="D117" s="24">
        <f>'Purchased Power Model '!D119</f>
        <v>0</v>
      </c>
      <c r="E117" s="1">
        <v>336</v>
      </c>
      <c r="F117" s="17">
        <v>0</v>
      </c>
      <c r="G117" s="17">
        <f t="shared" si="3"/>
        <v>40878</v>
      </c>
      <c r="H117" s="78">
        <v>31</v>
      </c>
      <c r="I117" s="116">
        <f>'Purchased Power Model '!K119</f>
        <v>690.4</v>
      </c>
      <c r="J117" s="17">
        <f>+'[15]Data Input'!$CR124</f>
        <v>60</v>
      </c>
      <c r="K117" s="17">
        <f>'Purchased Power Model '!G119</f>
        <v>391161.68188376795</v>
      </c>
      <c r="L117" s="34">
        <v>143.11226836993367</v>
      </c>
      <c r="M117" s="17"/>
      <c r="N117" s="17"/>
      <c r="O117" s="17"/>
      <c r="P117" s="17"/>
      <c r="Q117" s="10"/>
      <c r="R117" s="50"/>
    </row>
    <row r="118" spans="1:18" ht="12.75">
      <c r="A118" s="3">
        <v>40909</v>
      </c>
      <c r="C118" s="18">
        <f aca="true" t="shared" si="4" ref="C118:C129">(C10+C22+C34+C46+C58+C70+C82+C94+C106)/9</f>
        <v>731.2777777777778</v>
      </c>
      <c r="D118" s="18">
        <f aca="true" t="shared" si="5" ref="D118:D129">(D10+D22+D34+D46+D58+D70+D82+D94+D106)/9</f>
        <v>0</v>
      </c>
      <c r="E118" s="19">
        <v>336</v>
      </c>
      <c r="F118" s="17">
        <v>0</v>
      </c>
      <c r="G118" s="17">
        <f t="shared" si="3"/>
        <v>40909</v>
      </c>
      <c r="H118" s="17">
        <v>31</v>
      </c>
      <c r="I118" s="116"/>
      <c r="J118" s="17">
        <f>'[15]Data Input'!N125</f>
        <v>0</v>
      </c>
      <c r="K118" s="17">
        <f>'Purchased Power Model '!G120</f>
        <v>380946.64371458685</v>
      </c>
      <c r="L118" s="154">
        <v>143.49</v>
      </c>
      <c r="M118" s="17"/>
      <c r="N118" s="17"/>
      <c r="O118" s="17"/>
      <c r="P118" s="17"/>
      <c r="Q118" s="10"/>
      <c r="R118" s="50"/>
    </row>
    <row r="119" spans="1:18" ht="12.75">
      <c r="A119" s="3">
        <v>40940</v>
      </c>
      <c r="C119" s="18">
        <f t="shared" si="4"/>
        <v>647.2333333333332</v>
      </c>
      <c r="D119" s="18">
        <f t="shared" si="5"/>
        <v>0</v>
      </c>
      <c r="E119" s="19">
        <v>320</v>
      </c>
      <c r="F119" s="17">
        <v>0</v>
      </c>
      <c r="G119" s="17">
        <f t="shared" si="3"/>
        <v>40940</v>
      </c>
      <c r="H119" s="17">
        <v>29</v>
      </c>
      <c r="I119" s="116"/>
      <c r="J119" s="17">
        <v>0</v>
      </c>
      <c r="K119" s="17">
        <f>'Purchased Power Model '!G121</f>
        <v>370731.60554540576</v>
      </c>
      <c r="L119" s="154">
        <v>143.87</v>
      </c>
      <c r="M119" s="17"/>
      <c r="N119" s="17"/>
      <c r="O119" s="17"/>
      <c r="P119" s="17"/>
      <c r="Q119" s="10"/>
      <c r="R119" s="50"/>
    </row>
    <row r="120" spans="1:18" ht="12.75">
      <c r="A120" s="3">
        <v>40969</v>
      </c>
      <c r="C120" s="18">
        <f t="shared" si="4"/>
        <v>542.2111111111112</v>
      </c>
      <c r="D120" s="18">
        <f t="shared" si="5"/>
        <v>0</v>
      </c>
      <c r="E120" s="19">
        <v>352</v>
      </c>
      <c r="F120" s="17">
        <v>1</v>
      </c>
      <c r="G120" s="17">
        <f t="shared" si="3"/>
        <v>40969</v>
      </c>
      <c r="H120" s="17">
        <v>31</v>
      </c>
      <c r="I120" s="116"/>
      <c r="J120" s="17">
        <f>'[15]Data Input'!N127</f>
        <v>0</v>
      </c>
      <c r="K120" s="17">
        <f>'Purchased Power Model '!G122</f>
        <v>360516.5673762247</v>
      </c>
      <c r="L120" s="154">
        <v>144.24</v>
      </c>
      <c r="M120" s="17"/>
      <c r="N120" s="17"/>
      <c r="O120" s="17"/>
      <c r="P120" s="17"/>
      <c r="Q120" s="10"/>
      <c r="R120" s="50"/>
    </row>
    <row r="121" spans="1:18" ht="12.75">
      <c r="A121" s="3">
        <v>41000</v>
      </c>
      <c r="C121" s="18">
        <f t="shared" si="4"/>
        <v>308.62222222222226</v>
      </c>
      <c r="D121" s="18">
        <f t="shared" si="5"/>
        <v>0.39999999999999997</v>
      </c>
      <c r="E121" s="19">
        <v>320</v>
      </c>
      <c r="F121" s="17">
        <v>1</v>
      </c>
      <c r="G121" s="17">
        <f t="shared" si="3"/>
        <v>41000</v>
      </c>
      <c r="H121" s="17">
        <v>30</v>
      </c>
      <c r="I121" s="116"/>
      <c r="J121" s="17">
        <f>'[15]Data Input'!N128</f>
        <v>0</v>
      </c>
      <c r="K121" s="17">
        <f>'Purchased Power Model '!G123</f>
        <v>350301.5292070436</v>
      </c>
      <c r="L121" s="154">
        <v>144.62</v>
      </c>
      <c r="M121" s="17"/>
      <c r="N121" s="17"/>
      <c r="O121" s="17"/>
      <c r="P121" s="17"/>
      <c r="Q121" s="10"/>
      <c r="R121" s="50"/>
    </row>
    <row r="122" spans="1:18" ht="12.75">
      <c r="A122" s="3">
        <v>41030</v>
      </c>
      <c r="C122" s="18">
        <f t="shared" si="4"/>
        <v>154.86666666666667</v>
      </c>
      <c r="D122" s="18">
        <f t="shared" si="5"/>
        <v>13.988888888888889</v>
      </c>
      <c r="E122" s="19">
        <v>352</v>
      </c>
      <c r="F122" s="17">
        <v>1</v>
      </c>
      <c r="G122" s="17">
        <f t="shared" si="3"/>
        <v>41030</v>
      </c>
      <c r="H122" s="17">
        <v>31</v>
      </c>
      <c r="I122" s="116"/>
      <c r="J122" s="17">
        <f>'[15]Data Input'!N129</f>
        <v>0</v>
      </c>
      <c r="K122" s="17">
        <f>'Purchased Power Model '!G124</f>
        <v>340086.4910378625</v>
      </c>
      <c r="L122" s="154">
        <v>145</v>
      </c>
      <c r="M122" s="17"/>
      <c r="N122" s="17"/>
      <c r="O122" s="17"/>
      <c r="P122" s="17"/>
      <c r="Q122" s="10"/>
      <c r="R122" s="50"/>
    </row>
    <row r="123" spans="1:18" ht="12.75">
      <c r="A123" s="3">
        <v>41061</v>
      </c>
      <c r="C123" s="18">
        <f t="shared" si="4"/>
        <v>27.244444444444444</v>
      </c>
      <c r="D123" s="18">
        <f t="shared" si="5"/>
        <v>68.91111111111111</v>
      </c>
      <c r="E123" s="19">
        <v>336</v>
      </c>
      <c r="F123" s="17">
        <v>0</v>
      </c>
      <c r="G123" s="17">
        <f t="shared" si="3"/>
        <v>41061</v>
      </c>
      <c r="H123" s="17">
        <v>30</v>
      </c>
      <c r="I123" s="116"/>
      <c r="J123" s="17">
        <f>'[15]Data Input'!N130</f>
        <v>0</v>
      </c>
      <c r="K123" s="17">
        <f>'Purchased Power Model '!G125</f>
        <v>329871.4528686814</v>
      </c>
      <c r="L123" s="154">
        <v>145.38</v>
      </c>
      <c r="M123" s="17"/>
      <c r="N123" s="17"/>
      <c r="O123" s="17"/>
      <c r="P123" s="17"/>
      <c r="Q123" s="10"/>
      <c r="R123" s="50"/>
    </row>
    <row r="124" spans="1:18" ht="12.75">
      <c r="A124" s="3">
        <v>41091</v>
      </c>
      <c r="C124" s="18">
        <f t="shared" si="4"/>
        <v>1.7777777777777777</v>
      </c>
      <c r="D124" s="18">
        <f t="shared" si="5"/>
        <v>131.65555555555557</v>
      </c>
      <c r="E124" s="19">
        <v>336</v>
      </c>
      <c r="F124" s="17">
        <v>0</v>
      </c>
      <c r="G124" s="17">
        <f t="shared" si="3"/>
        <v>41091</v>
      </c>
      <c r="H124" s="17">
        <v>31</v>
      </c>
      <c r="I124" s="116"/>
      <c r="J124" s="17">
        <f>'[15]Data Input'!N131</f>
        <v>0</v>
      </c>
      <c r="K124" s="17">
        <f>'Purchased Power Model '!G126</f>
        <v>319656.4146995003</v>
      </c>
      <c r="L124" s="154">
        <v>145.77</v>
      </c>
      <c r="M124" s="17"/>
      <c r="N124" s="17"/>
      <c r="O124" s="17"/>
      <c r="P124" s="17"/>
      <c r="Q124" s="10"/>
      <c r="R124" s="50"/>
    </row>
    <row r="125" spans="1:18" ht="12.75">
      <c r="A125" s="3">
        <v>41122</v>
      </c>
      <c r="C125" s="18">
        <f t="shared" si="4"/>
        <v>5.444444444444444</v>
      </c>
      <c r="D125" s="18">
        <f t="shared" si="5"/>
        <v>109.65555555555557</v>
      </c>
      <c r="E125" s="19">
        <v>352</v>
      </c>
      <c r="F125" s="17">
        <v>0</v>
      </c>
      <c r="G125" s="17">
        <f t="shared" si="3"/>
        <v>41122</v>
      </c>
      <c r="H125" s="17">
        <v>31</v>
      </c>
      <c r="I125" s="116"/>
      <c r="J125" s="17">
        <f>'[15]Data Input'!N132</f>
        <v>0</v>
      </c>
      <c r="K125" s="17">
        <f>'Purchased Power Model '!G127</f>
        <v>309441.3765303192</v>
      </c>
      <c r="L125" s="154">
        <v>146.15</v>
      </c>
      <c r="M125" s="17"/>
      <c r="N125" s="17"/>
      <c r="O125" s="17"/>
      <c r="P125" s="17"/>
      <c r="Q125" s="10"/>
      <c r="R125" s="50"/>
    </row>
    <row r="126" spans="1:18" ht="12.75">
      <c r="A126" s="3">
        <v>41153</v>
      </c>
      <c r="C126" s="18">
        <f t="shared" si="4"/>
        <v>51.75555555555556</v>
      </c>
      <c r="D126" s="18">
        <f t="shared" si="5"/>
        <v>32.94444444444444</v>
      </c>
      <c r="E126" s="19">
        <v>304</v>
      </c>
      <c r="F126" s="17">
        <v>1</v>
      </c>
      <c r="G126" s="17">
        <f t="shared" si="3"/>
        <v>41153</v>
      </c>
      <c r="H126" s="17">
        <v>30</v>
      </c>
      <c r="I126" s="116"/>
      <c r="J126" s="17">
        <f>'[15]Data Input'!N133</f>
        <v>0</v>
      </c>
      <c r="K126" s="17">
        <f>'Purchased Power Model '!G128</f>
        <v>299226.3383611381</v>
      </c>
      <c r="L126" s="154">
        <v>146.53</v>
      </c>
      <c r="M126" s="17"/>
      <c r="N126" s="17"/>
      <c r="O126" s="17"/>
      <c r="P126" s="17"/>
      <c r="Q126" s="10"/>
      <c r="R126" s="50"/>
    </row>
    <row r="127" spans="1:18" ht="12.75">
      <c r="A127" s="3">
        <v>41183</v>
      </c>
      <c r="C127" s="18">
        <f t="shared" si="4"/>
        <v>243.55555555555554</v>
      </c>
      <c r="D127" s="18">
        <f t="shared" si="5"/>
        <v>3.5999999999999996</v>
      </c>
      <c r="E127" s="19">
        <v>352</v>
      </c>
      <c r="F127" s="17">
        <v>1</v>
      </c>
      <c r="G127" s="17">
        <f t="shared" si="3"/>
        <v>41183</v>
      </c>
      <c r="H127" s="17">
        <v>31</v>
      </c>
      <c r="I127" s="116"/>
      <c r="J127" s="17">
        <f>'[15]Data Input'!N134</f>
        <v>0</v>
      </c>
      <c r="K127" s="17">
        <f>'Purchased Power Model '!G129</f>
        <v>289011.30019195704</v>
      </c>
      <c r="L127" s="154">
        <v>146.92</v>
      </c>
      <c r="M127" s="17"/>
      <c r="N127" s="17"/>
      <c r="O127" s="17"/>
      <c r="P127" s="17"/>
      <c r="Q127" s="10"/>
      <c r="R127" s="50"/>
    </row>
    <row r="128" spans="1:18" ht="12.75">
      <c r="A128" s="3">
        <v>41214</v>
      </c>
      <c r="C128" s="18">
        <f t="shared" si="4"/>
        <v>396.76666666666665</v>
      </c>
      <c r="D128" s="18">
        <f t="shared" si="5"/>
        <v>0</v>
      </c>
      <c r="E128" s="19">
        <v>352</v>
      </c>
      <c r="F128" s="17">
        <v>1</v>
      </c>
      <c r="G128" s="17">
        <f t="shared" si="3"/>
        <v>41214</v>
      </c>
      <c r="H128" s="17">
        <v>30</v>
      </c>
      <c r="I128" s="116"/>
      <c r="J128" s="17">
        <f>'[15]Data Input'!N135</f>
        <v>0</v>
      </c>
      <c r="K128" s="17">
        <f>'Purchased Power Model '!G130</f>
        <v>278796.26202277595</v>
      </c>
      <c r="L128" s="154">
        <v>147.3</v>
      </c>
      <c r="M128" s="17"/>
      <c r="N128" s="17"/>
      <c r="O128" s="17"/>
      <c r="P128" s="17"/>
      <c r="Q128" s="10"/>
      <c r="R128" s="50"/>
    </row>
    <row r="129" spans="1:18" ht="12.75">
      <c r="A129" s="3">
        <v>41244</v>
      </c>
      <c r="C129" s="18">
        <f t="shared" si="4"/>
        <v>610.8333333333333</v>
      </c>
      <c r="D129" s="18">
        <f t="shared" si="5"/>
        <v>0</v>
      </c>
      <c r="E129" s="19">
        <v>304</v>
      </c>
      <c r="F129" s="17">
        <v>0</v>
      </c>
      <c r="G129" s="17">
        <f t="shared" si="3"/>
        <v>41244</v>
      </c>
      <c r="H129" s="17">
        <v>31</v>
      </c>
      <c r="I129" s="116"/>
      <c r="J129" s="17">
        <f>'[15]Data Input'!N136</f>
        <v>0</v>
      </c>
      <c r="K129" s="17">
        <f>'Purchased Power Model '!G131</f>
        <v>268581.22385359486</v>
      </c>
      <c r="L129" s="154">
        <v>147.69</v>
      </c>
      <c r="M129" s="17"/>
      <c r="N129" s="17"/>
      <c r="O129" s="17"/>
      <c r="P129" s="17"/>
      <c r="Q129" s="10"/>
      <c r="R129" s="50"/>
    </row>
    <row r="130" spans="1:18" ht="12.75">
      <c r="A130" s="3">
        <v>41275</v>
      </c>
      <c r="C130" s="79">
        <f aca="true" t="shared" si="6" ref="C130:C141">C118</f>
        <v>731.2777777777778</v>
      </c>
      <c r="D130" s="79">
        <f aca="true" t="shared" si="7" ref="D130:D141">D118</f>
        <v>0</v>
      </c>
      <c r="E130" s="86">
        <f>22*16</f>
        <v>352</v>
      </c>
      <c r="F130" s="17">
        <v>0</v>
      </c>
      <c r="G130" s="17">
        <f t="shared" si="3"/>
        <v>41275</v>
      </c>
      <c r="H130" s="17">
        <v>31</v>
      </c>
      <c r="I130" s="116"/>
      <c r="J130" s="17">
        <f>'[15]Data Input'!N137</f>
        <v>0</v>
      </c>
      <c r="K130" s="17">
        <f>'Purchased Power Model '!G132</f>
        <v>277069.45914351544</v>
      </c>
      <c r="L130" s="154">
        <v>147.88</v>
      </c>
      <c r="M130" s="17"/>
      <c r="N130" s="17"/>
      <c r="O130" s="17"/>
      <c r="P130" s="17"/>
      <c r="Q130" s="10"/>
      <c r="R130" s="50"/>
    </row>
    <row r="131" spans="1:18" ht="12.75">
      <c r="A131" s="3">
        <v>41306</v>
      </c>
      <c r="C131" s="79">
        <f t="shared" si="6"/>
        <v>647.2333333333332</v>
      </c>
      <c r="D131" s="79">
        <f t="shared" si="7"/>
        <v>0</v>
      </c>
      <c r="E131" s="86">
        <f>19*16</f>
        <v>304</v>
      </c>
      <c r="F131" s="17">
        <v>0</v>
      </c>
      <c r="G131" s="17">
        <f aca="true" t="shared" si="8" ref="G131:G141">A131</f>
        <v>41306</v>
      </c>
      <c r="H131" s="17">
        <v>28</v>
      </c>
      <c r="I131" s="116"/>
      <c r="J131" s="17">
        <f>'[15]Data Input'!N138</f>
        <v>0</v>
      </c>
      <c r="K131" s="17">
        <f>'Purchased Power Model '!G133</f>
        <v>285557.69443343603</v>
      </c>
      <c r="L131" s="154">
        <v>148.08</v>
      </c>
      <c r="M131" s="17"/>
      <c r="N131" s="17"/>
      <c r="O131" s="17"/>
      <c r="P131" s="17"/>
      <c r="Q131" s="10"/>
      <c r="R131" s="50"/>
    </row>
    <row r="132" spans="1:18" ht="12.75">
      <c r="A132" s="3">
        <v>41334</v>
      </c>
      <c r="C132" s="79">
        <f t="shared" si="6"/>
        <v>542.2111111111112</v>
      </c>
      <c r="D132" s="79">
        <f t="shared" si="7"/>
        <v>0</v>
      </c>
      <c r="E132" s="86">
        <f>20*16</f>
        <v>320</v>
      </c>
      <c r="F132" s="17">
        <v>1</v>
      </c>
      <c r="G132" s="17">
        <f t="shared" si="8"/>
        <v>41334</v>
      </c>
      <c r="H132" s="17">
        <v>31</v>
      </c>
      <c r="I132" s="116"/>
      <c r="J132" s="17">
        <f>'[15]Data Input'!N139</f>
        <v>0</v>
      </c>
      <c r="K132" s="17">
        <f>'Purchased Power Model '!G134</f>
        <v>294045.9297233566</v>
      </c>
      <c r="L132" s="154">
        <v>148.27</v>
      </c>
      <c r="M132" s="17"/>
      <c r="N132" s="17"/>
      <c r="O132" s="17"/>
      <c r="P132" s="17"/>
      <c r="Q132" s="10"/>
      <c r="R132" s="50"/>
    </row>
    <row r="133" spans="1:18" ht="12.75">
      <c r="A133" s="3">
        <v>41365</v>
      </c>
      <c r="C133" s="79">
        <f t="shared" si="6"/>
        <v>308.62222222222226</v>
      </c>
      <c r="D133" s="79">
        <f t="shared" si="7"/>
        <v>0.39999999999999997</v>
      </c>
      <c r="E133" s="86">
        <f>22*16</f>
        <v>352</v>
      </c>
      <c r="F133" s="17">
        <v>1</v>
      </c>
      <c r="G133" s="17">
        <f t="shared" si="8"/>
        <v>41365</v>
      </c>
      <c r="H133" s="17">
        <v>30</v>
      </c>
      <c r="I133" s="116"/>
      <c r="J133" s="17">
        <f>'[15]Data Input'!N140</f>
        <v>0</v>
      </c>
      <c r="K133" s="17">
        <f>'Purchased Power Model '!G135</f>
        <v>302534.1650132772</v>
      </c>
      <c r="L133" s="154">
        <v>148.46</v>
      </c>
      <c r="M133" s="17"/>
      <c r="N133" s="17"/>
      <c r="O133" s="17"/>
      <c r="P133" s="17"/>
      <c r="Q133" s="10"/>
      <c r="R133" s="50"/>
    </row>
    <row r="134" spans="1:18" ht="12.75">
      <c r="A134" s="3">
        <v>41395</v>
      </c>
      <c r="C134" s="79">
        <f t="shared" si="6"/>
        <v>154.86666666666667</v>
      </c>
      <c r="D134" s="79">
        <f t="shared" si="7"/>
        <v>13.988888888888889</v>
      </c>
      <c r="E134" s="86">
        <f>22*16</f>
        <v>352</v>
      </c>
      <c r="F134" s="17">
        <v>1</v>
      </c>
      <c r="G134" s="17">
        <f t="shared" si="8"/>
        <v>41395</v>
      </c>
      <c r="H134" s="17">
        <v>31</v>
      </c>
      <c r="I134" s="116"/>
      <c r="J134" s="17">
        <f>'[15]Data Input'!N141</f>
        <v>0</v>
      </c>
      <c r="K134" s="17">
        <f>'Purchased Power Model '!G136</f>
        <v>311022.4003031978</v>
      </c>
      <c r="L134" s="154">
        <v>148.65</v>
      </c>
      <c r="M134" s="17"/>
      <c r="N134" s="17"/>
      <c r="O134" s="17"/>
      <c r="P134" s="17"/>
      <c r="Q134" s="10"/>
      <c r="R134" s="50"/>
    </row>
    <row r="135" spans="1:18" ht="12.75">
      <c r="A135" s="3">
        <v>41426</v>
      </c>
      <c r="C135" s="79">
        <f t="shared" si="6"/>
        <v>27.244444444444444</v>
      </c>
      <c r="D135" s="79">
        <f t="shared" si="7"/>
        <v>68.91111111111111</v>
      </c>
      <c r="E135" s="86">
        <f>20*16</f>
        <v>320</v>
      </c>
      <c r="F135" s="17">
        <v>0</v>
      </c>
      <c r="G135" s="17">
        <f t="shared" si="8"/>
        <v>41426</v>
      </c>
      <c r="H135" s="17">
        <v>30</v>
      </c>
      <c r="I135" s="116"/>
      <c r="J135" s="17">
        <f>'[15]Data Input'!N142</f>
        <v>0</v>
      </c>
      <c r="K135" s="17">
        <f>'Purchased Power Model '!G137</f>
        <v>319510.6355931184</v>
      </c>
      <c r="L135" s="154">
        <v>148.85</v>
      </c>
      <c r="M135" s="17"/>
      <c r="N135" s="17"/>
      <c r="O135" s="17"/>
      <c r="P135" s="17"/>
      <c r="Q135" s="10"/>
      <c r="R135" s="50"/>
    </row>
    <row r="136" spans="1:18" ht="12.75">
      <c r="A136" s="3">
        <v>41456</v>
      </c>
      <c r="C136" s="79">
        <f t="shared" si="6"/>
        <v>1.7777777777777777</v>
      </c>
      <c r="D136" s="79">
        <f t="shared" si="7"/>
        <v>131.65555555555557</v>
      </c>
      <c r="E136" s="86">
        <f>22*16</f>
        <v>352</v>
      </c>
      <c r="F136" s="17">
        <v>0</v>
      </c>
      <c r="G136" s="17">
        <f t="shared" si="8"/>
        <v>41456</v>
      </c>
      <c r="H136" s="17">
        <v>31</v>
      </c>
      <c r="I136" s="116"/>
      <c r="J136" s="17">
        <f>'[15]Data Input'!N143</f>
        <v>0</v>
      </c>
      <c r="K136" s="17">
        <f>'Purchased Power Model '!G138</f>
        <v>327998.87088303897</v>
      </c>
      <c r="L136" s="154">
        <v>149.04</v>
      </c>
      <c r="M136" s="17"/>
      <c r="N136" s="17"/>
      <c r="O136" s="17"/>
      <c r="P136" s="17"/>
      <c r="Q136" s="10"/>
      <c r="R136" s="50"/>
    </row>
    <row r="137" spans="1:18" ht="12.75">
      <c r="A137" s="3">
        <v>41487</v>
      </c>
      <c r="C137" s="79">
        <f t="shared" si="6"/>
        <v>5.444444444444444</v>
      </c>
      <c r="D137" s="79">
        <f t="shared" si="7"/>
        <v>109.65555555555557</v>
      </c>
      <c r="E137" s="86">
        <f>21*16</f>
        <v>336</v>
      </c>
      <c r="F137" s="17">
        <v>0</v>
      </c>
      <c r="G137" s="17">
        <f t="shared" si="8"/>
        <v>41487</v>
      </c>
      <c r="H137" s="17">
        <v>31</v>
      </c>
      <c r="I137" s="116"/>
      <c r="J137" s="17">
        <f>'[15]Data Input'!N144</f>
        <v>0</v>
      </c>
      <c r="K137" s="17">
        <f>'Purchased Power Model '!G139</f>
        <v>336487.10617295955</v>
      </c>
      <c r="L137" s="154">
        <v>149.23</v>
      </c>
      <c r="M137" s="17"/>
      <c r="N137" s="17"/>
      <c r="O137" s="17"/>
      <c r="P137" s="17"/>
      <c r="Q137" s="10"/>
      <c r="R137" s="50"/>
    </row>
    <row r="138" spans="1:18" ht="12.75">
      <c r="A138" s="3">
        <v>41518</v>
      </c>
      <c r="C138" s="79">
        <f t="shared" si="6"/>
        <v>51.75555555555556</v>
      </c>
      <c r="D138" s="79">
        <f t="shared" si="7"/>
        <v>32.94444444444444</v>
      </c>
      <c r="E138" s="86">
        <f>20*16</f>
        <v>320</v>
      </c>
      <c r="F138" s="17">
        <v>1</v>
      </c>
      <c r="G138" s="17">
        <f t="shared" si="8"/>
        <v>41518</v>
      </c>
      <c r="H138" s="17">
        <v>30</v>
      </c>
      <c r="I138" s="116"/>
      <c r="J138" s="17">
        <f>'[15]Data Input'!N145</f>
        <v>0</v>
      </c>
      <c r="K138" s="17">
        <f>'Purchased Power Model '!G140</f>
        <v>344975.34146288014</v>
      </c>
      <c r="L138" s="154">
        <v>149.42</v>
      </c>
      <c r="M138" s="17"/>
      <c r="N138" s="17"/>
      <c r="O138" s="17"/>
      <c r="P138" s="17"/>
      <c r="Q138" s="10"/>
      <c r="R138" s="50"/>
    </row>
    <row r="139" spans="1:18" ht="12.75">
      <c r="A139" s="3">
        <v>41548</v>
      </c>
      <c r="C139" s="79">
        <f t="shared" si="6"/>
        <v>243.55555555555554</v>
      </c>
      <c r="D139" s="79">
        <f t="shared" si="7"/>
        <v>3.5999999999999996</v>
      </c>
      <c r="E139" s="86">
        <f>22*16</f>
        <v>352</v>
      </c>
      <c r="F139" s="17">
        <v>1</v>
      </c>
      <c r="G139" s="17">
        <f t="shared" si="8"/>
        <v>41548</v>
      </c>
      <c r="H139" s="17">
        <v>31</v>
      </c>
      <c r="I139" s="116"/>
      <c r="J139" s="17">
        <f>'[15]Data Input'!N146</f>
        <v>0</v>
      </c>
      <c r="K139" s="17">
        <f>'Purchased Power Model '!G141</f>
        <v>353463.5767528007</v>
      </c>
      <c r="L139" s="154">
        <v>149.62</v>
      </c>
      <c r="M139" s="17"/>
      <c r="N139" s="17"/>
      <c r="O139" s="17"/>
      <c r="P139" s="17"/>
      <c r="Q139" s="10"/>
      <c r="R139" s="50"/>
    </row>
    <row r="140" spans="1:18" ht="12.75">
      <c r="A140" s="3">
        <v>41579</v>
      </c>
      <c r="C140" s="79">
        <f t="shared" si="6"/>
        <v>396.76666666666665</v>
      </c>
      <c r="D140" s="79">
        <f t="shared" si="7"/>
        <v>0</v>
      </c>
      <c r="E140" s="86">
        <f>21*16</f>
        <v>336</v>
      </c>
      <c r="F140" s="17">
        <v>1</v>
      </c>
      <c r="G140" s="17">
        <f t="shared" si="8"/>
        <v>41579</v>
      </c>
      <c r="H140" s="17">
        <v>30</v>
      </c>
      <c r="I140" s="116"/>
      <c r="J140" s="17">
        <f>'[15]Data Input'!N147</f>
        <v>0</v>
      </c>
      <c r="K140" s="17">
        <f>'Purchased Power Model '!G142</f>
        <v>361951.8120427213</v>
      </c>
      <c r="L140" s="154">
        <v>149.81</v>
      </c>
      <c r="M140" s="17"/>
      <c r="N140" s="17"/>
      <c r="O140" s="17"/>
      <c r="P140" s="17"/>
      <c r="Q140" s="10"/>
      <c r="R140" s="50"/>
    </row>
    <row r="141" spans="1:18" ht="12.75">
      <c r="A141" s="3">
        <v>41609</v>
      </c>
      <c r="C141" s="79">
        <f t="shared" si="6"/>
        <v>610.8333333333333</v>
      </c>
      <c r="D141" s="79">
        <f t="shared" si="7"/>
        <v>0</v>
      </c>
      <c r="E141" s="86">
        <f>20*16</f>
        <v>320</v>
      </c>
      <c r="F141" s="17">
        <v>0</v>
      </c>
      <c r="G141" s="17">
        <f t="shared" si="8"/>
        <v>41609</v>
      </c>
      <c r="H141" s="17">
        <v>31</v>
      </c>
      <c r="I141" s="17"/>
      <c r="J141" s="17">
        <f>'[15]Data Input'!N148</f>
        <v>0</v>
      </c>
      <c r="K141" s="17">
        <f>'Purchased Power Model '!G143</f>
        <v>370440.0473326419</v>
      </c>
      <c r="L141" s="154">
        <v>150</v>
      </c>
      <c r="M141" s="17"/>
      <c r="N141" s="17"/>
      <c r="O141" s="17"/>
      <c r="P141" s="17"/>
      <c r="Q141" s="10"/>
      <c r="R141" s="50"/>
    </row>
    <row r="142" spans="1:11" ht="12.75">
      <c r="A142" s="3"/>
      <c r="E142" s="17"/>
      <c r="G142" s="17"/>
      <c r="J142" s="17"/>
      <c r="K142" s="17"/>
    </row>
    <row r="143" spans="1:17" ht="12.75">
      <c r="A143" s="3"/>
      <c r="D143" s="24" t="s">
        <v>12</v>
      </c>
      <c r="M143" s="78">
        <f>SUM(M3:M141)</f>
        <v>0</v>
      </c>
      <c r="Q143" s="50"/>
    </row>
    <row r="144" ht="12.75">
      <c r="A144" s="3"/>
    </row>
    <row r="145" spans="1:15" ht="12.75">
      <c r="A145" s="16">
        <v>2003</v>
      </c>
      <c r="B145" s="28">
        <f>SUM(B3:B21)</f>
        <v>96609911.85000001</v>
      </c>
      <c r="M145" s="28">
        <f>SUM(M3:M21)</f>
        <v>0</v>
      </c>
      <c r="N145" s="38">
        <f aca="true" t="shared" si="9" ref="N145:N153">M145-B145</f>
        <v>-96609911.85000001</v>
      </c>
      <c r="O145" s="5">
        <f aca="true" t="shared" si="10" ref="O145:O153">N145/B145</f>
        <v>-1</v>
      </c>
    </row>
    <row r="146" spans="1:15" ht="12.75">
      <c r="A146">
        <v>2004</v>
      </c>
      <c r="B146" s="28">
        <f>SUM(B22:B33)</f>
        <v>64710760.86</v>
      </c>
      <c r="M146" s="28">
        <f>SUM(M22:M33)</f>
        <v>0</v>
      </c>
      <c r="N146" s="38">
        <f t="shared" si="9"/>
        <v>-64710760.86</v>
      </c>
      <c r="O146" s="5">
        <f t="shared" si="10"/>
        <v>-1</v>
      </c>
    </row>
    <row r="147" spans="1:15" ht="12.75">
      <c r="A147" s="16">
        <v>2005</v>
      </c>
      <c r="B147" s="28">
        <f>SUM(B34:B45)</f>
        <v>62379983.56</v>
      </c>
      <c r="M147" s="28">
        <f>SUM(M34:M45)</f>
        <v>0</v>
      </c>
      <c r="N147" s="38">
        <f t="shared" si="9"/>
        <v>-62379983.56</v>
      </c>
      <c r="O147" s="5">
        <f t="shared" si="10"/>
        <v>-1</v>
      </c>
    </row>
    <row r="148" spans="1:15" ht="12.75">
      <c r="A148">
        <v>2006</v>
      </c>
      <c r="B148" s="28">
        <f>SUM(B46:B57)</f>
        <v>62938454.13999999</v>
      </c>
      <c r="M148" s="28">
        <f>SUM(M46:M57)</f>
        <v>0</v>
      </c>
      <c r="N148" s="38">
        <f t="shared" si="9"/>
        <v>-62938454.13999999</v>
      </c>
      <c r="O148" s="5">
        <f t="shared" si="10"/>
        <v>-1</v>
      </c>
    </row>
    <row r="149" spans="1:15" ht="12.75">
      <c r="A149" s="16">
        <v>2007</v>
      </c>
      <c r="B149" s="28">
        <f>SUM(B58:B69)</f>
        <v>61276547.67000001</v>
      </c>
      <c r="M149" s="28">
        <f>SUM(M58:M69)</f>
        <v>0</v>
      </c>
      <c r="N149" s="38">
        <f t="shared" si="9"/>
        <v>-61276547.67000001</v>
      </c>
      <c r="O149" s="5">
        <f t="shared" si="10"/>
        <v>-1</v>
      </c>
    </row>
    <row r="150" spans="1:15" ht="12.75">
      <c r="A150">
        <v>2008</v>
      </c>
      <c r="B150" s="28">
        <f>SUM(B70:B81)</f>
        <v>66898820.39</v>
      </c>
      <c r="M150" s="28">
        <f>SUM(M70:M81)</f>
        <v>0</v>
      </c>
      <c r="N150" s="38">
        <f t="shared" si="9"/>
        <v>-66898820.39</v>
      </c>
      <c r="O150" s="5">
        <f t="shared" si="10"/>
        <v>-1</v>
      </c>
    </row>
    <row r="151" spans="1:15" ht="12.75">
      <c r="A151" s="16">
        <v>2009</v>
      </c>
      <c r="B151" s="28">
        <f>SUM(B82:B93)</f>
        <v>62407115.03</v>
      </c>
      <c r="M151" s="28">
        <f>SUM(M82:M93)</f>
        <v>0</v>
      </c>
      <c r="N151" s="38">
        <f t="shared" si="9"/>
        <v>-62407115.03</v>
      </c>
      <c r="O151" s="5">
        <f t="shared" si="10"/>
        <v>-1</v>
      </c>
    </row>
    <row r="152" spans="1:15" ht="12.75">
      <c r="A152">
        <v>2010</v>
      </c>
      <c r="B152" s="28">
        <f>SUM(B94:B105)</f>
        <v>64376683.74999999</v>
      </c>
      <c r="M152" s="28">
        <f>SUM(M94:M105)</f>
        <v>0</v>
      </c>
      <c r="N152" s="38">
        <f t="shared" si="9"/>
        <v>-64376683.74999999</v>
      </c>
      <c r="O152" s="5">
        <f t="shared" si="10"/>
        <v>-1</v>
      </c>
    </row>
    <row r="153" spans="1:15" ht="12.75">
      <c r="A153" s="16">
        <v>2011</v>
      </c>
      <c r="B153" s="28">
        <f>SUM(B106:B117)</f>
        <v>61442756.44999999</v>
      </c>
      <c r="M153" s="28">
        <f>SUM(M106:M117)</f>
        <v>0</v>
      </c>
      <c r="N153" s="38">
        <f t="shared" si="9"/>
        <v>-61442756.44999999</v>
      </c>
      <c r="O153" s="5">
        <f t="shared" si="10"/>
        <v>-1</v>
      </c>
    </row>
    <row r="154" spans="1:15" ht="12.75">
      <c r="A154" s="16">
        <v>2012</v>
      </c>
      <c r="M154" s="6">
        <f>SUM(M118:M129)</f>
        <v>0</v>
      </c>
      <c r="N154" s="1"/>
      <c r="O154" s="1"/>
    </row>
    <row r="155" spans="1:15" ht="12.75">
      <c r="A155" s="16">
        <v>2013</v>
      </c>
      <c r="M155" s="6">
        <f>SUM(M130:M141)</f>
        <v>0</v>
      </c>
      <c r="N155" s="1"/>
      <c r="O155" s="1"/>
    </row>
    <row r="156" spans="13:15" ht="12.75">
      <c r="M156" s="6"/>
      <c r="N156" s="1"/>
      <c r="O156" s="1"/>
    </row>
    <row r="157" spans="1:15" ht="12.75">
      <c r="A157" t="s">
        <v>75</v>
      </c>
      <c r="B157" s="28">
        <f>SUM(B145:B153)</f>
        <v>603041033.7</v>
      </c>
      <c r="M157" s="28">
        <f>SUM(M145:M153)</f>
        <v>0</v>
      </c>
      <c r="N157" s="6">
        <f>M157-B157</f>
        <v>-603041033.7</v>
      </c>
      <c r="O157" s="1"/>
    </row>
    <row r="158" spans="13:15" ht="12.75">
      <c r="M158" s="1"/>
      <c r="N158" s="1"/>
      <c r="O158" s="1"/>
    </row>
    <row r="159" spans="13:15" ht="12.75">
      <c r="M159" s="6">
        <f>SUM(M145:M155)</f>
        <v>0</v>
      </c>
      <c r="N159" s="50">
        <f>M159-M143</f>
        <v>0</v>
      </c>
      <c r="O159" s="1"/>
    </row>
    <row r="160" spans="13:15" ht="12.75">
      <c r="M160" s="19"/>
      <c r="N160" s="19" t="s">
        <v>57</v>
      </c>
      <c r="O160" s="19"/>
    </row>
    <row r="168" spans="5:11" ht="12.75">
      <c r="E168" s="28"/>
      <c r="G168" s="28"/>
      <c r="J168" s="28"/>
      <c r="K168" s="28"/>
    </row>
    <row r="176" spans="6:8" ht="12.75">
      <c r="F176" s="28"/>
      <c r="H176" s="28"/>
    </row>
  </sheetData>
  <sheetProtection/>
  <mergeCells count="1">
    <mergeCell ref="C1:L1"/>
  </mergeCells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1" sqref="G11"/>
    </sheetView>
  </sheetViews>
  <sheetFormatPr defaultColWidth="9.140625" defaultRowHeight="12.75"/>
  <cols>
    <col min="1" max="1" width="11.00390625" style="0" customWidth="1"/>
    <col min="2" max="5" width="18.00390625" style="1" customWidth="1"/>
    <col min="6" max="6" width="15.7109375" style="1" customWidth="1"/>
    <col min="7" max="7" width="15.7109375" style="6" customWidth="1"/>
    <col min="8" max="8" width="15.00390625" style="6" customWidth="1"/>
    <col min="9" max="10" width="14.140625" style="6" bestFit="1" customWidth="1"/>
    <col min="11" max="11" width="14.140625" style="6" customWidth="1"/>
    <col min="12" max="12" width="14.7109375" style="6" customWidth="1"/>
    <col min="13" max="13" width="12.57421875" style="6" customWidth="1"/>
    <col min="14" max="14" width="12.7109375" style="6" bestFit="1" customWidth="1"/>
    <col min="15" max="15" width="12.28125" style="6" bestFit="1" customWidth="1"/>
    <col min="16" max="16" width="11.7109375" style="6" bestFit="1" customWidth="1"/>
    <col min="17" max="17" width="10.7109375" style="6" bestFit="1" customWidth="1"/>
    <col min="18" max="18" width="9.140625" style="6" customWidth="1"/>
    <col min="19" max="19" width="11.140625" style="6" bestFit="1" customWidth="1"/>
  </cols>
  <sheetData>
    <row r="1" ht="12.75"/>
    <row r="2" spans="2:14" ht="25.5">
      <c r="B2" s="2" t="s">
        <v>6</v>
      </c>
      <c r="C2" s="2" t="s">
        <v>7</v>
      </c>
      <c r="D2" s="2" t="s">
        <v>40</v>
      </c>
      <c r="E2" s="2" t="s">
        <v>8</v>
      </c>
      <c r="F2" s="2" t="s">
        <v>0</v>
      </c>
      <c r="G2" s="7" t="s">
        <v>1</v>
      </c>
      <c r="H2" s="47" t="s">
        <v>60</v>
      </c>
      <c r="I2" s="48" t="s">
        <v>61</v>
      </c>
      <c r="J2" s="48" t="s">
        <v>172</v>
      </c>
      <c r="K2" s="48" t="s">
        <v>70</v>
      </c>
      <c r="L2" s="48" t="s">
        <v>64</v>
      </c>
      <c r="M2" s="49" t="s">
        <v>62</v>
      </c>
      <c r="N2" s="49" t="s">
        <v>173</v>
      </c>
    </row>
    <row r="3" ht="12.75"/>
    <row r="4" spans="1:2" ht="12.75">
      <c r="A4" s="19"/>
      <c r="B4" s="42" t="s">
        <v>42</v>
      </c>
    </row>
    <row r="5" spans="2:19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2:19" ht="12.7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ht="12.75">
      <c r="A7">
        <f>'Purchased Power Model '!A148</f>
        <v>2003</v>
      </c>
      <c r="B7" s="6">
        <f>'Purchased Power Model '!B148</f>
        <v>150182993.55679998</v>
      </c>
      <c r="C7" s="6">
        <f>'Purchased Power Model '!M148</f>
        <v>153573922.0095385</v>
      </c>
      <c r="D7" s="38">
        <f aca="true" t="shared" si="0" ref="D7:D15">C7-B7</f>
        <v>3390928.4527385235</v>
      </c>
      <c r="E7" s="5">
        <f aca="true" t="shared" si="1" ref="E7:E15">D7/B7</f>
        <v>0.0225786447082376</v>
      </c>
      <c r="F7" s="53"/>
      <c r="G7" s="28">
        <f aca="true" t="shared" si="2" ref="G7:G15">SUM(H7:N7)</f>
        <v>150463311.5</v>
      </c>
      <c r="H7" s="40">
        <f>SUM('[15]Data Input'!$H$17:$H$28)</f>
        <v>42907157.25</v>
      </c>
      <c r="I7" s="40">
        <f>SUM('[15]Data Input'!$O$17:$O$28)</f>
        <v>20515940.49</v>
      </c>
      <c r="J7" s="40">
        <f>SUM('[15]Data Input'!$CT$17:$CT$28)</f>
        <v>63014931.589999996</v>
      </c>
      <c r="K7" s="40">
        <f>SUM('[15]Data Input'!$AL$17:$AL$28)</f>
        <v>47778.30000000001</v>
      </c>
      <c r="L7" s="40">
        <f>SUM('[15]Data Input'!$AE$17:$AE$28)</f>
        <v>1091077.7900000003</v>
      </c>
      <c r="M7" s="40">
        <f>SUM('[15]Data Input'!$AS$17:$AS$28)</f>
        <v>0</v>
      </c>
      <c r="N7" s="40">
        <f>SUM('[15]Data Input'!$BY$17:$BY$28)</f>
        <v>22886426.08</v>
      </c>
      <c r="O7"/>
      <c r="P7"/>
      <c r="Q7"/>
      <c r="R7"/>
      <c r="S7"/>
    </row>
    <row r="8" spans="1:14" ht="12.75">
      <c r="A8">
        <f>'Purchased Power Model '!A149</f>
        <v>2004</v>
      </c>
      <c r="B8" s="6">
        <f>'Purchased Power Model '!B149</f>
        <v>156673546.68</v>
      </c>
      <c r="C8" s="6">
        <f>'Purchased Power Model '!M149</f>
        <v>154627808.6496904</v>
      </c>
      <c r="D8" s="38">
        <f t="shared" si="0"/>
        <v>-2045738.0303096175</v>
      </c>
      <c r="E8" s="5">
        <f t="shared" si="1"/>
        <v>-0.013057328908804003</v>
      </c>
      <c r="F8" s="53"/>
      <c r="G8" s="28">
        <f t="shared" si="2"/>
        <v>152784488.675866</v>
      </c>
      <c r="H8" s="40">
        <f>SUM('[15]Data Input'!$H$29:$H$40)</f>
        <v>44353538.1</v>
      </c>
      <c r="I8" s="40">
        <f>SUM('[15]Data Input'!$O$29:$O$40)</f>
        <v>19565243.630000003</v>
      </c>
      <c r="J8" s="40">
        <f>SUM('[15]Data Input'!$CT$29:$CT$40)</f>
        <v>64710760.86</v>
      </c>
      <c r="K8" s="40">
        <f>SUM('[15]Data Input'!$AL$29:$AL$40)</f>
        <v>38416.4</v>
      </c>
      <c r="L8" s="40">
        <f>SUM('[15]Data Input'!$AE$29:$AE$40)</f>
        <v>1122091.525866</v>
      </c>
      <c r="M8" s="40">
        <f>SUM('[15]Data Input'!$AS$29:$AS$40)</f>
        <v>0</v>
      </c>
      <c r="N8" s="40">
        <f>SUM('[15]Data Input'!$BY$29:$BY$40)</f>
        <v>22994438.16</v>
      </c>
    </row>
    <row r="9" spans="1:24" ht="12.75">
      <c r="A9">
        <f>'Purchased Power Model '!A150</f>
        <v>2005</v>
      </c>
      <c r="B9" s="6">
        <f>'Purchased Power Model '!B150</f>
        <v>159410400.88920003</v>
      </c>
      <c r="C9" s="6">
        <f>'Purchased Power Model '!M150</f>
        <v>159218541.51522285</v>
      </c>
      <c r="D9" s="38">
        <f t="shared" si="0"/>
        <v>-191859.3739771843</v>
      </c>
      <c r="E9" s="5">
        <f t="shared" si="1"/>
        <v>-0.001203556185211141</v>
      </c>
      <c r="F9" s="53">
        <f aca="true" t="shared" si="3" ref="F9:F15">1+(B9-G9)/G9</f>
        <v>1.035297795564588</v>
      </c>
      <c r="G9" s="28">
        <f t="shared" si="2"/>
        <v>153975408.401471</v>
      </c>
      <c r="H9" s="40">
        <f>SUM('[15]Data Input'!$H$41:$H$52)</f>
        <v>47312612.39</v>
      </c>
      <c r="I9" s="40">
        <f>SUM('[15]Data Input'!$O$41:$O$52)</f>
        <v>21296193.109999996</v>
      </c>
      <c r="J9" s="40">
        <f>SUM('[15]Data Input'!$CT$41:$CT$52)</f>
        <v>62379983.56</v>
      </c>
      <c r="K9" s="40">
        <f>SUM('[15]Data Input'!$AL$41:$AL$52)</f>
        <v>43766.74</v>
      </c>
      <c r="L9" s="40">
        <f>SUM('[15]Data Input'!$AE$41:$AE$52)</f>
        <v>1134272.0914709999</v>
      </c>
      <c r="M9" s="40">
        <f>SUM('[15]Data Input'!$AS$41:$AS$52)</f>
        <v>0</v>
      </c>
      <c r="N9" s="40">
        <f>SUM('[15]Data Input'!BY$41:BY$52)</f>
        <v>21808580.509999998</v>
      </c>
      <c r="O9" s="28"/>
      <c r="P9" s="28"/>
      <c r="Q9" s="28"/>
      <c r="R9" s="28"/>
      <c r="S9" s="28"/>
      <c r="T9" s="28"/>
      <c r="U9" s="28"/>
      <c r="W9" s="28"/>
      <c r="X9" s="28"/>
    </row>
    <row r="10" spans="1:24" ht="12.75">
      <c r="A10">
        <f>'Purchased Power Model '!A151</f>
        <v>2006</v>
      </c>
      <c r="B10" s="6">
        <f>'Purchased Power Model '!B151</f>
        <v>156266197.978</v>
      </c>
      <c r="C10" s="6">
        <f>'Purchased Power Model '!M151</f>
        <v>156303637.93437597</v>
      </c>
      <c r="D10" s="38">
        <f t="shared" si="0"/>
        <v>37439.95637598634</v>
      </c>
      <c r="E10" s="5">
        <f t="shared" si="1"/>
        <v>0.00023959088312404799</v>
      </c>
      <c r="F10" s="53">
        <f t="shared" si="3"/>
        <v>1.041758524823927</v>
      </c>
      <c r="G10" s="28">
        <f t="shared" si="2"/>
        <v>150002322.27944702</v>
      </c>
      <c r="H10" s="40">
        <f>SUM('[15]Data Input'!$H$53:$H$64)</f>
        <v>45687349.76</v>
      </c>
      <c r="I10" s="40">
        <f>SUM('[15]Data Input'!$O$53:$O$64)</f>
        <v>21179984.16</v>
      </c>
      <c r="J10" s="40">
        <f>SUM('[15]Data Input'!$CT$53:$CT$64)</f>
        <v>62938454.13999999</v>
      </c>
      <c r="K10" s="40">
        <f>SUM('[15]Data Input'!$AL$53:$AL$64)</f>
        <v>46268.93000000001</v>
      </c>
      <c r="L10" s="40">
        <f>SUM('[15]Data Input'!$AE$53:$AE$64)</f>
        <v>1130200.489447</v>
      </c>
      <c r="M10" s="40">
        <f>SUM('[15]Data Input'!$AS$53:$AS$64)</f>
        <v>0</v>
      </c>
      <c r="N10" s="40">
        <f>SUM('[15]Data Input'!BY$53:BY$64)</f>
        <v>19020064.8</v>
      </c>
      <c r="O10" s="28"/>
      <c r="P10" s="28"/>
      <c r="Q10" s="28"/>
      <c r="R10" s="28"/>
      <c r="S10" s="28"/>
      <c r="T10" s="28"/>
      <c r="U10" s="28"/>
      <c r="W10" s="28"/>
      <c r="X10" s="28"/>
    </row>
    <row r="11" spans="1:24" ht="12.75">
      <c r="A11">
        <f>'Purchased Power Model '!A152</f>
        <v>2007</v>
      </c>
      <c r="B11" s="6">
        <f>'Purchased Power Model '!B152</f>
        <v>157654073.6752</v>
      </c>
      <c r="C11" s="6">
        <f>'Purchased Power Model '!M152</f>
        <v>156695654.54865208</v>
      </c>
      <c r="D11" s="38">
        <f t="shared" si="0"/>
        <v>-958419.1265479028</v>
      </c>
      <c r="E11" s="5">
        <f t="shared" si="1"/>
        <v>-0.006079253800459635</v>
      </c>
      <c r="F11" s="53">
        <f t="shared" si="3"/>
        <v>1.0696245354430705</v>
      </c>
      <c r="G11" s="28">
        <f t="shared" si="2"/>
        <v>147391975.82999998</v>
      </c>
      <c r="H11" s="40">
        <f>SUM('[15]Data Input'!$H$65:$H$76)</f>
        <v>43537330.44</v>
      </c>
      <c r="I11" s="40">
        <f>SUM('[15]Data Input'!$O$65:$O$76)</f>
        <v>20462652.85</v>
      </c>
      <c r="J11" s="40">
        <f>SUM('[15]Data Input'!$CT$65:$CT$76)</f>
        <v>61276547.67000001</v>
      </c>
      <c r="K11" s="40">
        <f>SUM('[15]Data Input'!$AL$65:$AL$76)</f>
        <v>44287.57000000001</v>
      </c>
      <c r="L11" s="40">
        <f>SUM('[15]Data Input'!$AE$65:$AE$76)</f>
        <v>1121883.95</v>
      </c>
      <c r="M11" s="40">
        <f>SUM('[15]Data Input'!$AS$65:$AS$76)</f>
        <v>301521.35</v>
      </c>
      <c r="N11" s="40">
        <f>SUM('[15]Data Input'!BY$65:BY$76)</f>
        <v>20647752</v>
      </c>
      <c r="O11" s="28"/>
      <c r="P11" s="28"/>
      <c r="Q11" s="28"/>
      <c r="R11" s="28"/>
      <c r="S11" s="28"/>
      <c r="T11" s="28"/>
      <c r="U11" s="28"/>
      <c r="W11" s="28"/>
      <c r="X11" s="28"/>
    </row>
    <row r="12" spans="1:24" ht="12.75">
      <c r="A12">
        <f>'Purchased Power Model '!A153</f>
        <v>2008</v>
      </c>
      <c r="B12" s="6">
        <f>'Purchased Power Model '!B153</f>
        <v>161127401.552</v>
      </c>
      <c r="C12" s="6">
        <f>'Purchased Power Model '!M153</f>
        <v>155804566.13775006</v>
      </c>
      <c r="D12" s="38">
        <f t="shared" si="0"/>
        <v>-5322835.414249927</v>
      </c>
      <c r="E12" s="5">
        <f t="shared" si="1"/>
        <v>-0.033034948512665675</v>
      </c>
      <c r="F12" s="53">
        <f t="shared" si="3"/>
        <v>1.0452522047474064</v>
      </c>
      <c r="G12" s="28">
        <f t="shared" si="2"/>
        <v>154151697.38</v>
      </c>
      <c r="H12" s="40">
        <f>SUM('[15]Data Input'!$H$77:$H$88)</f>
        <v>44267125.53</v>
      </c>
      <c r="I12" s="40">
        <f>SUM('[15]Data Input'!$O$77:$O$88)</f>
        <v>19599082.04</v>
      </c>
      <c r="J12" s="40">
        <f>SUM('[15]Data Input'!$CT$77:$CT$88)</f>
        <v>66898820.39</v>
      </c>
      <c r="K12" s="40">
        <f>SUM('[15]Data Input'!$AL$77:$AL$88)</f>
        <v>45820.810000000005</v>
      </c>
      <c r="L12" s="40">
        <f>SUM('[15]Data Input'!$AE$77:$AE$88)</f>
        <v>1140337.06</v>
      </c>
      <c r="M12" s="40">
        <f>SUM('[15]Data Input'!$AS$77:$AS$88)</f>
        <v>401394.35</v>
      </c>
      <c r="N12" s="40">
        <f>SUM('[15]Data Input'!BY$77:BY$88)</f>
        <v>21799117.200000003</v>
      </c>
      <c r="O12" s="28"/>
      <c r="P12" s="28"/>
      <c r="Q12" s="28"/>
      <c r="R12" s="28"/>
      <c r="S12" s="28"/>
      <c r="T12" s="28"/>
      <c r="U12" s="28"/>
      <c r="W12" s="28"/>
      <c r="X12" s="28"/>
    </row>
    <row r="13" spans="1:24" ht="12.75">
      <c r="A13">
        <f>'Purchased Power Model '!A154</f>
        <v>2009</v>
      </c>
      <c r="B13" s="6">
        <f>'Purchased Power Model '!B154</f>
        <v>154109568.608</v>
      </c>
      <c r="C13" s="6">
        <f>'Purchased Power Model '!M154</f>
        <v>154953947.04571247</v>
      </c>
      <c r="D13" s="38">
        <f t="shared" si="0"/>
        <v>844378.4377124608</v>
      </c>
      <c r="E13" s="5">
        <f t="shared" si="1"/>
        <v>0.005479078588950304</v>
      </c>
      <c r="F13" s="53">
        <f t="shared" si="3"/>
        <v>1.051339702154503</v>
      </c>
      <c r="G13" s="28">
        <f t="shared" si="2"/>
        <v>146583990.21</v>
      </c>
      <c r="H13" s="40">
        <f>SUM('[15]Data Input'!$H$89:$H$100)</f>
        <v>43775753.410000004</v>
      </c>
      <c r="I13" s="40">
        <f>SUM('[15]Data Input'!$O$89:$O$100)</f>
        <v>20149611.83</v>
      </c>
      <c r="J13" s="40">
        <f>SUM('[15]Data Input'!$CT$89:$CT$100)</f>
        <v>62407115.03</v>
      </c>
      <c r="K13" s="40">
        <f>SUM('[15]Data Input'!$AL$89:$AL$100)</f>
        <v>46167.350000000006</v>
      </c>
      <c r="L13" s="40">
        <f>SUM('[15]Data Input'!$AE$89:$AE$100)</f>
        <v>1139918.23</v>
      </c>
      <c r="M13" s="40">
        <f>SUM('[15]Data Input'!$AS$89:$AS$100)</f>
        <v>400443.16000000003</v>
      </c>
      <c r="N13" s="40">
        <f>SUM('[15]Data Input'!BY$89:BY$100)</f>
        <v>18664981.2</v>
      </c>
      <c r="O13" s="28"/>
      <c r="P13" s="28"/>
      <c r="Q13" s="28"/>
      <c r="R13" s="28"/>
      <c r="S13" s="28"/>
      <c r="T13" s="28"/>
      <c r="U13" s="28"/>
      <c r="W13" s="28"/>
      <c r="X13" s="28"/>
    </row>
    <row r="14" spans="1:24" ht="12.75">
      <c r="A14">
        <f>'Purchased Power Model '!A155</f>
        <v>2010</v>
      </c>
      <c r="B14" s="6">
        <f>'Purchased Power Model '!B155</f>
        <v>155732492.048</v>
      </c>
      <c r="C14" s="6">
        <f>'Purchased Power Model '!M155</f>
        <v>157019267.8006675</v>
      </c>
      <c r="D14" s="38">
        <f>C14-B14</f>
        <v>1286775.7526674867</v>
      </c>
      <c r="E14" s="5">
        <f>D14/B14</f>
        <v>0.008262731403995483</v>
      </c>
      <c r="F14" s="53">
        <f t="shared" si="3"/>
        <v>1.0434733486285381</v>
      </c>
      <c r="G14" s="28">
        <f t="shared" si="2"/>
        <v>149244340.79</v>
      </c>
      <c r="H14" s="40">
        <f>SUM('[15]Data Input'!$H$101:$H$112)</f>
        <v>45093297.22</v>
      </c>
      <c r="I14" s="40">
        <f>SUM('[15]Data Input'!$O$101:$O$112)</f>
        <v>20409368.479999997</v>
      </c>
      <c r="J14" s="40">
        <f>SUM('[15]Data Input'!$CT$101:$CT$112)</f>
        <v>64376683.74999999</v>
      </c>
      <c r="K14" s="40">
        <f>SUM('[15]Data Input'!$AL$101:$AL$112)</f>
        <v>43013.75</v>
      </c>
      <c r="L14" s="40">
        <f>SUM('[15]Data Input'!$AE$101:$AE$112)</f>
        <v>1139669.76</v>
      </c>
      <c r="M14" s="40">
        <f>SUM('[15]Data Input'!$AS$101:$AS$112)</f>
        <v>453001.43</v>
      </c>
      <c r="N14" s="40">
        <f>SUM('[15]Data Input'!BY$101:BY$112)</f>
        <v>17729306.4</v>
      </c>
      <c r="O14" s="28"/>
      <c r="P14" s="28"/>
      <c r="Q14" s="28"/>
      <c r="R14" s="28"/>
      <c r="S14" s="28"/>
      <c r="T14" s="28"/>
      <c r="U14" s="28"/>
      <c r="W14" s="28"/>
      <c r="X14" s="28"/>
    </row>
    <row r="15" spans="1:24" ht="12.75">
      <c r="A15">
        <f>'Purchased Power Model '!A156</f>
        <v>2011</v>
      </c>
      <c r="B15" s="6">
        <f>'Purchased Power Model '!B156</f>
        <v>153880598.584</v>
      </c>
      <c r="C15" s="6">
        <f>'Purchased Power Model '!M156</f>
        <v>157115388.1054405</v>
      </c>
      <c r="D15" s="38">
        <f t="shared" si="0"/>
        <v>3234789.521440506</v>
      </c>
      <c r="E15" s="5">
        <f t="shared" si="1"/>
        <v>0.02102142538570063</v>
      </c>
      <c r="F15" s="53">
        <f t="shared" si="3"/>
        <v>1.053653469241799</v>
      </c>
      <c r="G15" s="28">
        <f t="shared" si="2"/>
        <v>146044788.99</v>
      </c>
      <c r="H15" s="40">
        <f>SUM('[15]Data Input'!$H$113:$H$124)</f>
        <v>44251862.370000005</v>
      </c>
      <c r="I15" s="40">
        <f>SUM('[15]Data Input'!$O$113:$O$124)</f>
        <v>20583076.520000003</v>
      </c>
      <c r="J15" s="40">
        <f>SUM('[15]Data Input'!$CT$113:$CT$124)</f>
        <v>61442756.44999999</v>
      </c>
      <c r="K15" s="40">
        <f>SUM('[15]Data Input'!$AL$113:$AL$124)</f>
        <v>41278.66</v>
      </c>
      <c r="L15" s="40">
        <f>SUM('[15]Data Input'!$AE$113:$AE$124)</f>
        <v>1127165.6900000002</v>
      </c>
      <c r="M15" s="40">
        <f>SUM('[15]Data Input'!$AS$113:$AS$124)</f>
        <v>494005.7</v>
      </c>
      <c r="N15" s="40">
        <f>SUM('[15]Data Input'!BY$113:BY$124)</f>
        <v>18104643.6</v>
      </c>
      <c r="O15" s="28"/>
      <c r="P15" s="28"/>
      <c r="Q15" s="28"/>
      <c r="R15" s="28"/>
      <c r="S15" s="28"/>
      <c r="T15" s="28"/>
      <c r="U15" s="28"/>
      <c r="W15" s="28"/>
      <c r="X15" s="28"/>
    </row>
    <row r="16" spans="1:14" ht="12.75">
      <c r="A16">
        <f>'Purchased Power Model '!A157</f>
        <v>2012</v>
      </c>
      <c r="B16" s="6"/>
      <c r="C16" s="6">
        <f>'Purchased Power Model '!M157</f>
        <v>157764640.12050506</v>
      </c>
      <c r="G16" s="22">
        <f>C16/F20</f>
        <v>150448551.02461463</v>
      </c>
      <c r="H16" s="6">
        <f>SUM(H7:H15)</f>
        <v>401186026.47</v>
      </c>
      <c r="I16" s="6">
        <f aca="true" t="shared" si="4" ref="I16:N16">SUM(I7:I15)</f>
        <v>183761153.11</v>
      </c>
      <c r="J16" s="6">
        <f t="shared" si="4"/>
        <v>569446053.44</v>
      </c>
      <c r="K16" s="6">
        <f t="shared" si="4"/>
        <v>396798.51</v>
      </c>
      <c r="L16" s="6">
        <f t="shared" si="4"/>
        <v>10146616.586784</v>
      </c>
      <c r="M16" s="6">
        <f t="shared" si="4"/>
        <v>2050365.9899999998</v>
      </c>
      <c r="N16" s="6">
        <f t="shared" si="4"/>
        <v>183655309.95</v>
      </c>
    </row>
    <row r="17" spans="1:14" ht="12.75">
      <c r="A17">
        <f>'Purchased Power Model '!A158</f>
        <v>2013</v>
      </c>
      <c r="B17" s="6"/>
      <c r="C17" s="6">
        <f>'Purchased Power Model '!M158</f>
        <v>159035215.88995394</v>
      </c>
      <c r="G17" s="22">
        <f>C17/F20</f>
        <v>151660205.82466716</v>
      </c>
      <c r="H17" s="6">
        <f>'[15]Data Input'!$H$126</f>
        <v>401186026.4699999</v>
      </c>
      <c r="I17" s="6">
        <f>'[15]Data Input'!$O$126</f>
        <v>183761153.11000004</v>
      </c>
      <c r="J17" s="6">
        <f>'[15]Data Input'!$CT$126</f>
        <v>569446053.4399999</v>
      </c>
      <c r="K17" s="6">
        <f>'[15]Data Input'!$AL$126</f>
        <v>396798.5099999999</v>
      </c>
      <c r="L17" s="6">
        <f>'[15]Data Input'!$AE$126</f>
        <v>10146616.586784001</v>
      </c>
      <c r="M17" s="6">
        <f>'[15]Data Input'!$AS$126</f>
        <v>2050365.99</v>
      </c>
      <c r="N17" s="6">
        <f>'[15]Data Input'!$BY$126</f>
        <v>183655309.94999993</v>
      </c>
    </row>
    <row r="18" spans="2:7" ht="12.75">
      <c r="B18" s="6"/>
      <c r="C18" s="6"/>
      <c r="G18" s="28"/>
    </row>
    <row r="20" spans="1:6" ht="12.75">
      <c r="A20" s="20" t="s">
        <v>13</v>
      </c>
      <c r="F20" s="53">
        <f>AVERAGE(F9:F15)</f>
        <v>1.048628511514833</v>
      </c>
    </row>
    <row r="21" spans="5:7" ht="12.75">
      <c r="E21" s="19"/>
      <c r="F21" s="19" t="s">
        <v>73</v>
      </c>
      <c r="G21" s="22"/>
    </row>
    <row r="23" spans="1:2" ht="12.75">
      <c r="A23" s="23" t="s">
        <v>15</v>
      </c>
      <c r="B23" s="13"/>
    </row>
    <row r="25" spans="1:14" ht="12.75">
      <c r="A25">
        <f aca="true" t="shared" si="5" ref="A25:A35">A7</f>
        <v>2003</v>
      </c>
      <c r="H25" s="28">
        <f>H7/'Rate Class Customer Model'!B3</f>
        <v>8442.966794569067</v>
      </c>
      <c r="I25" s="28">
        <f>I7/'Rate Class Customer Model'!C3</f>
        <v>34713.943299492385</v>
      </c>
      <c r="J25" s="28">
        <f>J7/'Rate Class Customer Model'!D3</f>
        <v>1235586.8939215685</v>
      </c>
      <c r="K25" s="28">
        <f>K7/'Rate Class Customer Model'!E3</f>
        <v>1911.1320000000005</v>
      </c>
      <c r="L25" s="28">
        <f>L7/'Rate Class Customer Model'!F3</f>
        <v>725.450658244681</v>
      </c>
      <c r="M25" s="28"/>
      <c r="N25" s="28">
        <f>N7/'Rate Class Customer Model'!H3</f>
        <v>22886426.08</v>
      </c>
    </row>
    <row r="26" spans="1:14" ht="12.75">
      <c r="A26">
        <f t="shared" si="5"/>
        <v>2004</v>
      </c>
      <c r="H26" s="28">
        <f>H8/'Rate Class Customer Model'!B4</f>
        <v>8487.0911021814</v>
      </c>
      <c r="I26" s="28">
        <f>I8/'Rate Class Customer Model'!C4</f>
        <v>31813.404276422767</v>
      </c>
      <c r="J26" s="28">
        <f>J8/'Rate Class Customer Model'!D4</f>
        <v>1294215.2172</v>
      </c>
      <c r="K26" s="28">
        <f>K8/'Rate Class Customer Model'!E4</f>
        <v>1422.8296296296296</v>
      </c>
      <c r="L26" s="28">
        <f>L8/'Rate Class Customer Model'!F4</f>
        <v>738.7040986609611</v>
      </c>
      <c r="M26" s="28"/>
      <c r="N26" s="28">
        <f>N8/'Rate Class Customer Model'!H4</f>
        <v>22994438.16</v>
      </c>
    </row>
    <row r="27" spans="1:14" ht="12.75">
      <c r="A27">
        <f t="shared" si="5"/>
        <v>2005</v>
      </c>
      <c r="H27" s="28">
        <f>H9/'Rate Class Customer Model'!B5</f>
        <v>8826.979923507462</v>
      </c>
      <c r="I27" s="28">
        <f>I9/'Rate Class Customer Model'!C5</f>
        <v>34238.25258842443</v>
      </c>
      <c r="J27" s="28">
        <f>J9/'Rate Class Customer Model'!D5</f>
        <v>1223136.9325490196</v>
      </c>
      <c r="K27" s="28">
        <f>K9/'Rate Class Customer Model'!E5</f>
        <v>1411.830322580645</v>
      </c>
      <c r="L27" s="28">
        <f>L9/'Rate Class Customer Model'!F5</f>
        <v>730.374817431423</v>
      </c>
      <c r="M27" s="28"/>
      <c r="N27" s="28">
        <f>N9/'Rate Class Customer Model'!H5</f>
        <v>21808580.509999998</v>
      </c>
    </row>
    <row r="28" spans="1:14" ht="12.75">
      <c r="A28">
        <f t="shared" si="5"/>
        <v>2006</v>
      </c>
      <c r="H28" s="28">
        <f>H10/'Rate Class Customer Model'!B6</f>
        <v>8413.876567219153</v>
      </c>
      <c r="I28" s="28">
        <f>I10/'Rate Class Customer Model'!C6</f>
        <v>33249.58266875981</v>
      </c>
      <c r="J28" s="28">
        <f>J10/'Rate Class Customer Model'!D6</f>
        <v>1187518.0026415093</v>
      </c>
      <c r="K28" s="28">
        <f>K10/'Rate Class Customer Model'!E6</f>
        <v>1492.5461290322582</v>
      </c>
      <c r="L28" s="28">
        <f>L10/'Rate Class Customer Model'!F6</f>
        <v>727.7530518010302</v>
      </c>
      <c r="M28" s="28"/>
      <c r="N28" s="28">
        <f>N10/'Rate Class Customer Model'!H6</f>
        <v>19020064.8</v>
      </c>
    </row>
    <row r="29" spans="1:14" ht="12.75">
      <c r="A29">
        <f t="shared" si="5"/>
        <v>2007</v>
      </c>
      <c r="H29" s="28">
        <f>H11/'Rate Class Customer Model'!B7</f>
        <v>7927.409038601602</v>
      </c>
      <c r="I29" s="28">
        <f>I11/'Rate Class Customer Model'!C7</f>
        <v>30678.639955022492</v>
      </c>
      <c r="J29" s="28">
        <f>J11/'Rate Class Customer Model'!D7</f>
        <v>1156161.276792453</v>
      </c>
      <c r="K29" s="28">
        <f>K11/'Rate Class Customer Model'!E7</f>
        <v>1428.631290322581</v>
      </c>
      <c r="L29" s="28">
        <f>L11/'Rate Class Customer Model'!F7</f>
        <v>696.3897889509622</v>
      </c>
      <c r="M29" s="28">
        <f>M11/'Rate Class Customer Model'!G7</f>
        <v>150760.675</v>
      </c>
      <c r="N29" s="28">
        <f>N11/'Rate Class Customer Model'!H7</f>
        <v>20647752</v>
      </c>
    </row>
    <row r="30" spans="1:14" ht="12.75">
      <c r="A30">
        <f t="shared" si="5"/>
        <v>2008</v>
      </c>
      <c r="H30" s="28">
        <f>H12/'Rate Class Customer Model'!B8</f>
        <v>8004.905159132008</v>
      </c>
      <c r="I30" s="28">
        <f>I12/'Rate Class Customer Model'!C8</f>
        <v>29078.756735905044</v>
      </c>
      <c r="J30" s="28">
        <f>J12/'Rate Class Customer Model'!D8</f>
        <v>1153427.9377586206</v>
      </c>
      <c r="K30" s="28">
        <f>K12/'Rate Class Customer Model'!E8</f>
        <v>1478.0906451612905</v>
      </c>
      <c r="L30" s="28">
        <f>L12/'Rate Class Customer Model'!F8</f>
        <v>687.7786851628468</v>
      </c>
      <c r="M30" s="28">
        <f>M12/'Rate Class Customer Model'!G8</f>
        <v>200697.175</v>
      </c>
      <c r="N30" s="28">
        <f>N12/'Rate Class Customer Model'!H8</f>
        <v>21799117.200000003</v>
      </c>
    </row>
    <row r="31" spans="1:14" ht="12.75">
      <c r="A31">
        <f t="shared" si="5"/>
        <v>2009</v>
      </c>
      <c r="H31" s="28">
        <f>H13/'Rate Class Customer Model'!B9</f>
        <v>7850.744872668581</v>
      </c>
      <c r="I31" s="28">
        <f>I13/'Rate Class Customer Model'!C9</f>
        <v>29160.075007235886</v>
      </c>
      <c r="J31" s="28">
        <f>J13/'Rate Class Customer Model'!D9</f>
        <v>1040118.5838333333</v>
      </c>
      <c r="K31" s="28">
        <f>K13/'Rate Class Customer Model'!E9</f>
        <v>1489.26935483871</v>
      </c>
      <c r="L31" s="28">
        <f>L13/'Rate Class Customer Model'!F9</f>
        <v>687.5260735826297</v>
      </c>
      <c r="M31" s="28">
        <f>M13/'Rate Class Customer Model'!G9</f>
        <v>200221.58000000002</v>
      </c>
      <c r="N31" s="28">
        <f>N13/'Rate Class Customer Model'!H9</f>
        <v>18664981.2</v>
      </c>
    </row>
    <row r="32" spans="1:14" ht="12.75">
      <c r="A32">
        <f t="shared" si="5"/>
        <v>2010</v>
      </c>
      <c r="H32" s="28">
        <f>H14/'Rate Class Customer Model'!B10</f>
        <v>8013.7368437888745</v>
      </c>
      <c r="I32" s="28">
        <f>I14/'Rate Class Customer Model'!C10</f>
        <v>28949.45883687943</v>
      </c>
      <c r="J32" s="28">
        <f>J14/'Rate Class Customer Model'!D10</f>
        <v>1072944.7291666665</v>
      </c>
      <c r="K32" s="28">
        <f>K14/'Rate Class Customer Model'!E10</f>
        <v>1387.5403225806451</v>
      </c>
      <c r="L32" s="28">
        <f>L14/'Rate Class Customer Model'!F10</f>
        <v>681.2132456664674</v>
      </c>
      <c r="M32" s="28">
        <f>M14/'Rate Class Customer Model'!G10</f>
        <v>226500.715</v>
      </c>
      <c r="N32" s="28">
        <f>N14/'Rate Class Customer Model'!H10</f>
        <v>17729306.4</v>
      </c>
    </row>
    <row r="33" spans="1:14" ht="12.75">
      <c r="A33">
        <f>A15</f>
        <v>2011</v>
      </c>
      <c r="H33" s="28">
        <f>H15/'Rate Class Customer Model'!B11</f>
        <v>7748.53132025915</v>
      </c>
      <c r="I33" s="28">
        <f>I15/'Rate Class Customer Model'!C11</f>
        <v>29031.137545839214</v>
      </c>
      <c r="J33" s="28">
        <f>J15/'Rate Class Customer Model'!D11</f>
        <v>1041402.651694915</v>
      </c>
      <c r="K33" s="28">
        <f>K15/'Rate Class Customer Model'!E11</f>
        <v>1331.569677419355</v>
      </c>
      <c r="L33" s="28">
        <f>L15/'Rate Class Customer Model'!F11</f>
        <v>668.1480082987553</v>
      </c>
      <c r="M33" s="28">
        <f>M15/'Rate Class Customer Model'!G11</f>
        <v>82334.28333333334</v>
      </c>
      <c r="N33" s="28">
        <f>N15/'Rate Class Customer Model'!H11</f>
        <v>18104643.6</v>
      </c>
    </row>
    <row r="34" spans="1:14" ht="12.75">
      <c r="A34">
        <f t="shared" si="5"/>
        <v>2012</v>
      </c>
      <c r="H34" s="22">
        <f aca="true" t="shared" si="6" ref="H34:N34">H33*H47</f>
        <v>7665.843199933489</v>
      </c>
      <c r="I34" s="22">
        <f t="shared" si="6"/>
        <v>28389.586459169033</v>
      </c>
      <c r="J34" s="22">
        <f t="shared" si="6"/>
        <v>1019381.7460047777</v>
      </c>
      <c r="K34" s="22">
        <f t="shared" si="6"/>
        <v>1272.7644851277198</v>
      </c>
      <c r="L34" s="22">
        <f t="shared" si="6"/>
        <v>661.3110477670251</v>
      </c>
      <c r="M34" s="22">
        <f t="shared" si="6"/>
        <v>70778.90975576377</v>
      </c>
      <c r="N34" s="22">
        <f t="shared" si="6"/>
        <v>17581927.30305608</v>
      </c>
    </row>
    <row r="35" spans="1:14" ht="12.75">
      <c r="A35">
        <f t="shared" si="5"/>
        <v>2013</v>
      </c>
      <c r="H35" s="22">
        <f aca="true" t="shared" si="7" ref="H35:N35">H34*H47</f>
        <v>7584.0374823446045</v>
      </c>
      <c r="I35" s="22">
        <f t="shared" si="7"/>
        <v>27762.2128326882</v>
      </c>
      <c r="J35" s="22">
        <f t="shared" si="7"/>
        <v>997826.4818094308</v>
      </c>
      <c r="K35" s="22">
        <f t="shared" si="7"/>
        <v>1216.556265941659</v>
      </c>
      <c r="L35" s="22">
        <f t="shared" si="7"/>
        <v>654.5440478259603</v>
      </c>
      <c r="M35" s="22">
        <f t="shared" si="7"/>
        <v>60845.29874308598</v>
      </c>
      <c r="N35" s="22">
        <f t="shared" si="7"/>
        <v>17074302.842942946</v>
      </c>
    </row>
    <row r="37" ht="12.75">
      <c r="A37" s="39">
        <v>2003</v>
      </c>
    </row>
    <row r="38" spans="1:14" ht="12.75">
      <c r="A38" s="39">
        <v>2004</v>
      </c>
      <c r="H38" s="26">
        <f aca="true" t="shared" si="8" ref="H38:L39">H26/H25</f>
        <v>1.0052261614531892</v>
      </c>
      <c r="I38" s="26">
        <f t="shared" si="8"/>
        <v>0.9164445537620028</v>
      </c>
      <c r="J38" s="26">
        <f t="shared" si="8"/>
        <v>1.0474497775646956</v>
      </c>
      <c r="K38" s="26">
        <f t="shared" si="8"/>
        <v>0.7444957384574321</v>
      </c>
      <c r="L38" s="26">
        <f t="shared" si="8"/>
        <v>1.0182692513483254</v>
      </c>
      <c r="M38" s="26"/>
      <c r="N38" s="26">
        <f>N26/N25</f>
        <v>1.0047194821778833</v>
      </c>
    </row>
    <row r="39" spans="1:14" ht="12.75">
      <c r="A39" s="39">
        <v>2005</v>
      </c>
      <c r="D39" s="6"/>
      <c r="H39" s="26">
        <f t="shared" si="8"/>
        <v>1.0400477404135207</v>
      </c>
      <c r="I39" s="26">
        <f t="shared" si="8"/>
        <v>1.0762209630548323</v>
      </c>
      <c r="J39" s="26">
        <f t="shared" si="8"/>
        <v>0.945080011650028</v>
      </c>
      <c r="K39" s="26">
        <f t="shared" si="8"/>
        <v>0.9922694138356905</v>
      </c>
      <c r="L39" s="26">
        <f t="shared" si="8"/>
        <v>0.9887244686409126</v>
      </c>
      <c r="M39" s="26"/>
      <c r="N39" s="26">
        <f>N27/N26</f>
        <v>0.9484285007640298</v>
      </c>
    </row>
    <row r="40" spans="1:14" ht="12.75">
      <c r="A40" s="39">
        <v>2006</v>
      </c>
      <c r="D40" s="6"/>
      <c r="H40" s="26">
        <f aca="true" t="shared" si="9" ref="H40:I45">H28/H27</f>
        <v>0.9531999211657706</v>
      </c>
      <c r="I40" s="26">
        <f t="shared" si="9"/>
        <v>0.9711238207291315</v>
      </c>
      <c r="J40" s="26">
        <f aca="true" t="shared" si="10" ref="J40:L45">J28/J27</f>
        <v>0.970879033279389</v>
      </c>
      <c r="K40" s="26">
        <f t="shared" si="10"/>
        <v>1.05717103901273</v>
      </c>
      <c r="L40" s="26">
        <f t="shared" si="10"/>
        <v>0.9964103833157706</v>
      </c>
      <c r="M40" s="26"/>
      <c r="N40" s="26">
        <f aca="true" t="shared" si="11" ref="N40:N45">N28/N27</f>
        <v>0.8721367624673525</v>
      </c>
    </row>
    <row r="41" spans="1:14" ht="12.75">
      <c r="A41" s="39">
        <v>2007</v>
      </c>
      <c r="D41" s="6"/>
      <c r="H41" s="26">
        <f t="shared" si="9"/>
        <v>0.9421827115324165</v>
      </c>
      <c r="I41" s="26">
        <f t="shared" si="9"/>
        <v>0.9226774441246479</v>
      </c>
      <c r="J41" s="26">
        <f t="shared" si="10"/>
        <v>0.9735947364340527</v>
      </c>
      <c r="K41" s="26">
        <f t="shared" si="10"/>
        <v>0.9571773109946567</v>
      </c>
      <c r="L41" s="26">
        <f t="shared" si="10"/>
        <v>0.9569039761874569</v>
      </c>
      <c r="M41" s="26"/>
      <c r="N41" s="26">
        <f t="shared" si="11"/>
        <v>1.0855773740581578</v>
      </c>
    </row>
    <row r="42" spans="1:14" ht="12.75">
      <c r="A42" s="39">
        <v>2008</v>
      </c>
      <c r="D42" s="6"/>
      <c r="H42" s="26">
        <f t="shared" si="9"/>
        <v>1.0097757186683627</v>
      </c>
      <c r="I42" s="26">
        <f t="shared" si="9"/>
        <v>0.9478502560262445</v>
      </c>
      <c r="J42" s="26">
        <f t="shared" si="10"/>
        <v>0.9976358496961467</v>
      </c>
      <c r="K42" s="26">
        <f t="shared" si="10"/>
        <v>1.0346200976933255</v>
      </c>
      <c r="L42" s="26">
        <f t="shared" si="10"/>
        <v>0.9876346495529651</v>
      </c>
      <c r="M42" s="26">
        <f>M30/M29</f>
        <v>1.3312302760650283</v>
      </c>
      <c r="N42" s="26">
        <f t="shared" si="11"/>
        <v>1.0557622544090999</v>
      </c>
    </row>
    <row r="43" spans="1:14" ht="12.75">
      <c r="A43" s="39">
        <v>2009</v>
      </c>
      <c r="D43" s="6"/>
      <c r="H43" s="26">
        <f t="shared" si="9"/>
        <v>0.98074177227602</v>
      </c>
      <c r="I43" s="26">
        <f t="shared" si="9"/>
        <v>1.0027964837723078</v>
      </c>
      <c r="J43" s="26">
        <f t="shared" si="10"/>
        <v>0.9017629535266211</v>
      </c>
      <c r="K43" s="26">
        <f t="shared" si="10"/>
        <v>1.0075629391972774</v>
      </c>
      <c r="L43" s="26">
        <f t="shared" si="10"/>
        <v>0.9996327138574274</v>
      </c>
      <c r="M43" s="26">
        <f>M31/M30</f>
        <v>0.9976302855284337</v>
      </c>
      <c r="N43" s="26">
        <f t="shared" si="11"/>
        <v>0.8562264714095852</v>
      </c>
    </row>
    <row r="44" spans="1:14" ht="12.75">
      <c r="A44" s="39">
        <v>2010</v>
      </c>
      <c r="D44" s="6"/>
      <c r="H44" s="26">
        <f t="shared" si="9"/>
        <v>1.0207613384161458</v>
      </c>
      <c r="I44" s="26">
        <f t="shared" si="9"/>
        <v>0.9927772418176498</v>
      </c>
      <c r="J44" s="26">
        <f t="shared" si="10"/>
        <v>1.0315600027184912</v>
      </c>
      <c r="K44" s="26">
        <f t="shared" si="10"/>
        <v>0.9316919857864918</v>
      </c>
      <c r="L44" s="26">
        <f t="shared" si="10"/>
        <v>0.9908180530764938</v>
      </c>
      <c r="M44" s="26">
        <f>M32/M31</f>
        <v>1.1312502628338064</v>
      </c>
      <c r="N44" s="26">
        <f t="shared" si="11"/>
        <v>0.9498700379082086</v>
      </c>
    </row>
    <row r="45" spans="1:14" ht="12.75">
      <c r="A45" s="39">
        <v>2011</v>
      </c>
      <c r="D45" s="6"/>
      <c r="H45" s="26">
        <f t="shared" si="9"/>
        <v>0.9669061352151493</v>
      </c>
      <c r="I45" s="26">
        <f t="shared" si="9"/>
        <v>1.002821424380332</v>
      </c>
      <c r="J45" s="26">
        <f t="shared" si="10"/>
        <v>0.9706023277673869</v>
      </c>
      <c r="K45" s="26">
        <f t="shared" si="10"/>
        <v>0.9596619685565664</v>
      </c>
      <c r="L45" s="26">
        <f t="shared" si="10"/>
        <v>0.9808206351669957</v>
      </c>
      <c r="M45" s="26">
        <f>M33/M32</f>
        <v>0.36350562219343696</v>
      </c>
      <c r="N45" s="26">
        <f t="shared" si="11"/>
        <v>1.0211704390195435</v>
      </c>
    </row>
    <row r="46" spans="1:6" ht="12.75">
      <c r="A46" s="3"/>
      <c r="D46" s="6"/>
      <c r="E46" s="6"/>
      <c r="F46" s="6"/>
    </row>
    <row r="47" spans="1:14" ht="12.75">
      <c r="A47" t="s">
        <v>17</v>
      </c>
      <c r="D47" s="6"/>
      <c r="H47" s="26">
        <f aca="true" t="shared" si="12" ref="H47:N47">H49</f>
        <v>0.9893285428027546</v>
      </c>
      <c r="I47" s="26">
        <f t="shared" si="12"/>
        <v>0.9779012763224592</v>
      </c>
      <c r="J47" s="26">
        <f t="shared" si="12"/>
        <v>0.9788545711360561</v>
      </c>
      <c r="K47" s="26">
        <f t="shared" si="12"/>
        <v>0.955837690442454</v>
      </c>
      <c r="L47" s="26">
        <f t="shared" si="12"/>
        <v>0.9897672963971883</v>
      </c>
      <c r="M47" s="26">
        <f t="shared" si="12"/>
        <v>0.8596529524549668</v>
      </c>
      <c r="N47" s="26">
        <f t="shared" si="12"/>
        <v>0.9711280537472762</v>
      </c>
    </row>
    <row r="48" spans="1:13" ht="12.75">
      <c r="A48" s="3"/>
      <c r="D48" s="6"/>
      <c r="L48" s="11"/>
      <c r="M48" s="11"/>
    </row>
    <row r="49" spans="1:14" ht="12.75">
      <c r="A49" t="s">
        <v>14</v>
      </c>
      <c r="D49" s="6"/>
      <c r="H49" s="26">
        <f>GEOMEAN(H37:H45)</f>
        <v>0.9893285428027546</v>
      </c>
      <c r="I49" s="26">
        <f aca="true" t="shared" si="13" ref="I49:N49">GEOMEAN(I37:I45)</f>
        <v>0.9779012763224592</v>
      </c>
      <c r="J49" s="26">
        <f t="shared" si="13"/>
        <v>0.9788545711360561</v>
      </c>
      <c r="K49" s="26">
        <f t="shared" si="13"/>
        <v>0.955837690442454</v>
      </c>
      <c r="L49" s="26">
        <f t="shared" si="13"/>
        <v>0.9897672963971883</v>
      </c>
      <c r="M49" s="26">
        <f t="shared" si="13"/>
        <v>0.8596529524549668</v>
      </c>
      <c r="N49" s="26">
        <f t="shared" si="13"/>
        <v>0.9711280537472762</v>
      </c>
    </row>
    <row r="50" spans="4:13" ht="12.75">
      <c r="D50" s="6"/>
      <c r="H50" s="26"/>
      <c r="I50" s="26"/>
      <c r="J50" s="26"/>
      <c r="K50" s="26"/>
      <c r="L50" s="26"/>
      <c r="M50" s="26"/>
    </row>
    <row r="51" spans="1:15" ht="12.75">
      <c r="A51" s="20" t="s">
        <v>44</v>
      </c>
      <c r="O51" s="38" t="s">
        <v>16</v>
      </c>
    </row>
    <row r="52" spans="1:15" ht="12.75">
      <c r="A52">
        <v>2012</v>
      </c>
      <c r="B52">
        <v>2012</v>
      </c>
      <c r="C52">
        <v>2012</v>
      </c>
      <c r="G52" s="38">
        <f>SUM(H52:N52)</f>
        <v>145774919.12247297</v>
      </c>
      <c r="H52" s="38">
        <f>H34*'Rate Class Customer Model'!B12</f>
        <v>44338214.46771249</v>
      </c>
      <c r="I52" s="38">
        <f>I34*'Rate Class Customer Model'!C12</f>
        <v>20541386.167377274</v>
      </c>
      <c r="J52" s="38">
        <f>J34*'Rate Class Customer Model'!D12</f>
        <v>61582557.676702954</v>
      </c>
      <c r="K52" s="38">
        <f>K34*'Rate Class Customer Model'!E12</f>
        <v>39455.69903895931</v>
      </c>
      <c r="L52" s="38">
        <f>L34*'Rate Class Customer Model'!F12</f>
        <v>1132476.1058171706</v>
      </c>
      <c r="M52" s="38">
        <f>M34*'Rate Class Customer Model'!G12</f>
        <v>558901.7027680221</v>
      </c>
      <c r="N52" s="38">
        <f>N34*'Rate Class Customer Model'!H12</f>
        <v>17581927.30305608</v>
      </c>
      <c r="O52" s="6">
        <f>SUM(H52:N52)</f>
        <v>145774919.12247297</v>
      </c>
    </row>
    <row r="53" spans="1:15" ht="12.75">
      <c r="A53">
        <v>2013</v>
      </c>
      <c r="G53" s="38">
        <f>SUM(H53:N53)</f>
        <v>145505472.93773416</v>
      </c>
      <c r="H53" s="38">
        <f>H35*'Rate Class Customer Model'!B13</f>
        <v>44424735.07098339</v>
      </c>
      <c r="I53" s="38">
        <f>I35*'Rate Class Customer Model'!C13</f>
        <v>20499780.25720901</v>
      </c>
      <c r="J53" s="38">
        <f>J35*'Rate Class Customer Model'!D13</f>
        <v>61722676.99432691</v>
      </c>
      <c r="K53" s="38">
        <f>K35*'Rate Class Customer Model'!E13</f>
        <v>37713.244244191425</v>
      </c>
      <c r="L53" s="38">
        <f>L35*'Rate Class Customer Model'!F13</f>
        <v>1137811.5405968605</v>
      </c>
      <c r="M53" s="38">
        <f>M35*'Rate Class Customer Model'!G13</f>
        <v>608452.9874308598</v>
      </c>
      <c r="N53" s="38">
        <f>N35*'Rate Class Customer Model'!H13</f>
        <v>17074302.842942946</v>
      </c>
      <c r="O53" s="6">
        <f>SUM(H53:N53)</f>
        <v>145505472.93773416</v>
      </c>
    </row>
    <row r="54" spans="7:14" ht="12.75">
      <c r="G54" s="38"/>
      <c r="H54" s="38"/>
      <c r="I54" s="38"/>
      <c r="J54" s="38"/>
      <c r="K54" s="38"/>
      <c r="L54" s="38"/>
      <c r="M54" s="38"/>
      <c r="N54" s="38"/>
    </row>
    <row r="55" spans="1:15" ht="12.75">
      <c r="A55" s="20" t="s">
        <v>43</v>
      </c>
      <c r="G55" s="38"/>
      <c r="H55" s="38"/>
      <c r="I55" s="38"/>
      <c r="J55" s="38"/>
      <c r="K55" s="38"/>
      <c r="L55" s="38"/>
      <c r="M55" s="38"/>
      <c r="O55" s="38" t="s">
        <v>16</v>
      </c>
    </row>
    <row r="56" spans="1:16" ht="12.75">
      <c r="A56">
        <v>2012</v>
      </c>
      <c r="G56" s="148">
        <f>G16</f>
        <v>150448551.02461463</v>
      </c>
      <c r="H56" s="38">
        <f>H52+H64+H68</f>
        <v>46250546.29223916</v>
      </c>
      <c r="I56" s="38">
        <f aca="true" t="shared" si="14" ref="I56:N56">I52+I64+I68</f>
        <v>21427347.56567339</v>
      </c>
      <c r="J56" s="38">
        <f t="shared" si="14"/>
        <v>62984771.712833926</v>
      </c>
      <c r="K56" s="38">
        <f t="shared" si="14"/>
        <v>39308.085999780335</v>
      </c>
      <c r="L56" s="38">
        <f t="shared" si="14"/>
        <v>1128239.246659963</v>
      </c>
      <c r="M56" s="38">
        <f t="shared" si="14"/>
        <v>556810.7201987758</v>
      </c>
      <c r="N56" s="38">
        <f t="shared" si="14"/>
        <v>17516149.18260597</v>
      </c>
      <c r="O56" s="6">
        <f>SUM(H56:N56)</f>
        <v>149903172.80621096</v>
      </c>
      <c r="P56" s="6">
        <f>G56-O56</f>
        <v>545378.2184036672</v>
      </c>
    </row>
    <row r="57" spans="1:16" ht="12.75">
      <c r="A57">
        <v>2013</v>
      </c>
      <c r="G57" s="148">
        <f>G17</f>
        <v>151660205.82466716</v>
      </c>
      <c r="H57" s="38">
        <f>H53+H65+H69</f>
        <v>46830451.61437089</v>
      </c>
      <c r="I57" s="38">
        <f aca="true" t="shared" si="15" ref="I57:N57">I53+I65+I69</f>
        <v>21609897.412027746</v>
      </c>
      <c r="J57" s="38">
        <f t="shared" si="15"/>
        <v>63412187.56254128</v>
      </c>
      <c r="K57" s="38">
        <f t="shared" si="15"/>
        <v>37430.53347681128</v>
      </c>
      <c r="L57" s="38">
        <f t="shared" si="15"/>
        <v>1129282.1345427614</v>
      </c>
      <c r="M57" s="38">
        <f t="shared" si="15"/>
        <v>603891.8255780762</v>
      </c>
      <c r="N57" s="38">
        <f t="shared" si="15"/>
        <v>16946308.30532231</v>
      </c>
      <c r="O57" s="6">
        <f>SUM(H57:N57)</f>
        <v>150569449.38785988</v>
      </c>
      <c r="P57" s="6">
        <f>G57-O57</f>
        <v>1090756.4368072748</v>
      </c>
    </row>
    <row r="58" spans="7:14" ht="16.5" customHeight="1">
      <c r="G58" s="38"/>
      <c r="H58" s="38"/>
      <c r="I58" s="38"/>
      <c r="J58" s="38"/>
      <c r="K58" s="38"/>
      <c r="L58" s="38"/>
      <c r="M58" s="38"/>
      <c r="N58" s="38"/>
    </row>
    <row r="59" spans="1:15" ht="12.75">
      <c r="A59" s="162" t="s">
        <v>166</v>
      </c>
      <c r="G59" s="38"/>
      <c r="H59" s="163">
        <f>(100%+J59)/2</f>
        <v>0.6971578076466616</v>
      </c>
      <c r="I59" s="163">
        <f>H59</f>
        <v>0.6971578076466616</v>
      </c>
      <c r="J59" s="163">
        <f>'[16].xls].xls].xls].xls].xls].xls].xls].xls].xls].xls].xls].xls].xls].xls].xls].xls].xls].xls].xls].xls].xls].xls].xls].xls].xls].xls].xls].xls].xls].xls].xls].xls].xls].xls].xls].xls].xls].xls].xls]Data summary'!$E$38</f>
        <v>0.39431561529332304</v>
      </c>
      <c r="K59" s="163"/>
      <c r="L59" s="163"/>
      <c r="M59" s="163"/>
      <c r="N59" s="163"/>
      <c r="O59" s="38" t="s">
        <v>16</v>
      </c>
    </row>
    <row r="60" spans="1:15" ht="12.75">
      <c r="A60">
        <v>2012</v>
      </c>
      <c r="G60" s="38">
        <f>G56-G52</f>
        <v>4673631.90214166</v>
      </c>
      <c r="H60" s="38">
        <f aca="true" t="shared" si="16" ref="H60:N60">H52*H59</f>
        <v>30910732.393277932</v>
      </c>
      <c r="I60" s="38">
        <f t="shared" si="16"/>
        <v>14320587.7464722</v>
      </c>
      <c r="J60" s="38">
        <f t="shared" si="16"/>
        <v>24282964.12162568</v>
      </c>
      <c r="K60" s="38">
        <f t="shared" si="16"/>
        <v>0</v>
      </c>
      <c r="L60" s="38">
        <f t="shared" si="16"/>
        <v>0</v>
      </c>
      <c r="M60" s="38">
        <f t="shared" si="16"/>
        <v>0</v>
      </c>
      <c r="N60" s="38">
        <f t="shared" si="16"/>
        <v>0</v>
      </c>
      <c r="O60" s="38">
        <f>SUM(H60:M60)</f>
        <v>69514284.26137581</v>
      </c>
    </row>
    <row r="61" spans="1:15" ht="12.75">
      <c r="A61">
        <v>2013</v>
      </c>
      <c r="G61" s="38">
        <f>G57-G53</f>
        <v>6154732.886932999</v>
      </c>
      <c r="H61" s="38">
        <f aca="true" t="shared" si="17" ref="H61:M61">H53*H59</f>
        <v>30971050.907370538</v>
      </c>
      <c r="I61" s="38">
        <f t="shared" si="17"/>
        <v>14291581.86135415</v>
      </c>
      <c r="J61" s="38">
        <f t="shared" si="17"/>
        <v>24338215.35656905</v>
      </c>
      <c r="K61" s="38">
        <f t="shared" si="17"/>
        <v>0</v>
      </c>
      <c r="L61" s="38">
        <f t="shared" si="17"/>
        <v>0</v>
      </c>
      <c r="M61" s="38">
        <f t="shared" si="17"/>
        <v>0</v>
      </c>
      <c r="N61" s="38">
        <f>N53*N59</f>
        <v>0</v>
      </c>
      <c r="O61" s="38">
        <f>SUM(H61:M61)</f>
        <v>69600848.12529373</v>
      </c>
    </row>
    <row r="62" spans="7:14" ht="12.75">
      <c r="G62" s="38"/>
      <c r="N62" s="38"/>
    </row>
    <row r="63" spans="1:14" ht="12.75">
      <c r="A63" t="s">
        <v>167</v>
      </c>
      <c r="G63" s="38"/>
      <c r="H63" s="38"/>
      <c r="I63" s="38"/>
      <c r="J63" s="38"/>
      <c r="K63" s="38"/>
      <c r="L63" s="38"/>
      <c r="M63" s="38"/>
      <c r="N63" s="38"/>
    </row>
    <row r="64" spans="1:15" ht="12.75">
      <c r="A64">
        <v>2012</v>
      </c>
      <c r="G64" s="38"/>
      <c r="H64" s="38">
        <f>H60/$O$60*$G$60</f>
        <v>2078211.500942643</v>
      </c>
      <c r="I64" s="38">
        <f aca="true" t="shared" si="18" ref="I64:N64">I60/$O$60*$G$60</f>
        <v>962811.549604334</v>
      </c>
      <c r="J64" s="38">
        <f t="shared" si="18"/>
        <v>1632608.8515946832</v>
      </c>
      <c r="K64" s="38">
        <f t="shared" si="18"/>
        <v>0</v>
      </c>
      <c r="L64" s="38">
        <f t="shared" si="18"/>
        <v>0</v>
      </c>
      <c r="M64" s="38">
        <f t="shared" si="18"/>
        <v>0</v>
      </c>
      <c r="N64" s="38">
        <f t="shared" si="18"/>
        <v>0</v>
      </c>
      <c r="O64" s="38">
        <f>SUM(H64:M64)</f>
        <v>4673631.90214166</v>
      </c>
    </row>
    <row r="65" spans="1:15" ht="12.75">
      <c r="A65">
        <v>2013</v>
      </c>
      <c r="H65" s="38">
        <f>H61/$O$61*$G$61</f>
        <v>2738738.832884949</v>
      </c>
      <c r="I65" s="38">
        <f aca="true" t="shared" si="19" ref="I65:N65">I61/$O$61*$G$61</f>
        <v>1263790.187298099</v>
      </c>
      <c r="J65" s="38">
        <f t="shared" si="19"/>
        <v>2152203.8667499516</v>
      </c>
      <c r="K65" s="38">
        <f t="shared" si="19"/>
        <v>0</v>
      </c>
      <c r="L65" s="38">
        <f t="shared" si="19"/>
        <v>0</v>
      </c>
      <c r="M65" s="38">
        <f t="shared" si="19"/>
        <v>0</v>
      </c>
      <c r="N65" s="38">
        <f t="shared" si="19"/>
        <v>0</v>
      </c>
      <c r="O65" s="38">
        <f>SUM(H65:M65)</f>
        <v>6154732.886933</v>
      </c>
    </row>
    <row r="66" spans="8:15" ht="12.75">
      <c r="H66" s="38"/>
      <c r="I66" s="38"/>
      <c r="J66" s="38"/>
      <c r="K66" s="38"/>
      <c r="L66" s="38"/>
      <c r="M66" s="38"/>
      <c r="N66" s="38"/>
      <c r="O66" s="38"/>
    </row>
    <row r="67" spans="1:15" ht="12.75">
      <c r="A67" t="s">
        <v>221</v>
      </c>
      <c r="H67" s="38"/>
      <c r="I67" s="38"/>
      <c r="J67" s="38"/>
      <c r="K67" s="38"/>
      <c r="L67" s="38"/>
      <c r="M67" s="38"/>
      <c r="N67" s="38"/>
      <c r="O67" s="38"/>
    </row>
    <row r="68" spans="1:15" ht="12.75">
      <c r="A68">
        <v>2012</v>
      </c>
      <c r="G68" s="38">
        <f>-'CDM Activity'!Q28*(1+'CDM Activity'!E12)</f>
        <v>-545378.2184036478</v>
      </c>
      <c r="H68" s="38">
        <f>H52/$G$52*$G$68</f>
        <v>-165879.67641596906</v>
      </c>
      <c r="I68" s="38">
        <f aca="true" t="shared" si="20" ref="I68:N68">I52/$G$52*$G$68</f>
        <v>-76850.15130821979</v>
      </c>
      <c r="J68" s="38">
        <f t="shared" si="20"/>
        <v>-230394.815463715</v>
      </c>
      <c r="K68" s="38">
        <f t="shared" si="20"/>
        <v>-147.61303917897934</v>
      </c>
      <c r="L68" s="38">
        <f t="shared" si="20"/>
        <v>-4236.859157207754</v>
      </c>
      <c r="M68" s="38">
        <f t="shared" si="20"/>
        <v>-2090.9825692463605</v>
      </c>
      <c r="N68" s="38">
        <f t="shared" si="20"/>
        <v>-65778.12045011073</v>
      </c>
      <c r="O68" s="38">
        <f>SUM(H68:N68)</f>
        <v>-545378.2184036478</v>
      </c>
    </row>
    <row r="69" spans="1:15" ht="12.75">
      <c r="A69">
        <v>2013</v>
      </c>
      <c r="G69" s="38">
        <f>-('CDM Activity'!R28+'CDM Activity'!R29)*(1+'CDM Activity'!E12)</f>
        <v>-1090756.4368072955</v>
      </c>
      <c r="H69" s="38">
        <f>H53/$G$53*$G$69</f>
        <v>-333022.28949745314</v>
      </c>
      <c r="I69" s="38">
        <f aca="true" t="shared" si="21" ref="I69:N69">I53/$G$53*$G$69</f>
        <v>-153673.0324793654</v>
      </c>
      <c r="J69" s="38">
        <f t="shared" si="21"/>
        <v>-462693.2985355791</v>
      </c>
      <c r="K69" s="38">
        <f t="shared" si="21"/>
        <v>-282.71076738014324</v>
      </c>
      <c r="L69" s="38">
        <f t="shared" si="21"/>
        <v>-8529.40605409902</v>
      </c>
      <c r="M69" s="38">
        <f t="shared" si="21"/>
        <v>-4561.161852783664</v>
      </c>
      <c r="N69" s="38">
        <f t="shared" si="21"/>
        <v>-127994.53762063514</v>
      </c>
      <c r="O69" s="38">
        <f>SUM(H69:N69)</f>
        <v>-1090756.4368072958</v>
      </c>
    </row>
    <row r="71" ht="12.75">
      <c r="A71" t="s">
        <v>174</v>
      </c>
    </row>
    <row r="72" spans="1:15" ht="12.75">
      <c r="A72">
        <v>2012</v>
      </c>
      <c r="G72" s="38">
        <f>SUM(H72:N72)</f>
        <v>146512533.00721586</v>
      </c>
      <c r="H72" s="6">
        <f>Residential!M155</f>
        <v>45303709.819035746</v>
      </c>
      <c r="I72" s="6">
        <f>'GS &lt; 50 kW'!M155</f>
        <v>20313504.700796925</v>
      </c>
      <c r="J72" s="6">
        <f>J52</f>
        <v>61582557.676702954</v>
      </c>
      <c r="K72" s="6">
        <f>K52</f>
        <v>39455.69903895931</v>
      </c>
      <c r="L72" s="6">
        <f>L52</f>
        <v>1132476.1058171706</v>
      </c>
      <c r="M72" s="6">
        <f>M52</f>
        <v>558901.7027680221</v>
      </c>
      <c r="N72" s="6">
        <f>N52</f>
        <v>17581927.30305608</v>
      </c>
      <c r="O72" s="6">
        <f>SUM(H72:N72)</f>
        <v>146512533.00721586</v>
      </c>
    </row>
    <row r="73" spans="6:15" ht="12.75">
      <c r="F73" s="1" t="s">
        <v>175</v>
      </c>
      <c r="G73" s="38">
        <f>G68</f>
        <v>-545378.2184036478</v>
      </c>
      <c r="H73" s="38">
        <f>H72/$G$72*$G$73</f>
        <v>-168638.51877412212</v>
      </c>
      <c r="I73" s="38">
        <f aca="true" t="shared" si="22" ref="I73:N73">I72/$G$72*$G$73</f>
        <v>-75614.9851201407</v>
      </c>
      <c r="J73" s="38">
        <f t="shared" si="22"/>
        <v>-229234.89821042144</v>
      </c>
      <c r="K73" s="38">
        <f t="shared" si="22"/>
        <v>-146.8698848219241</v>
      </c>
      <c r="L73" s="38">
        <f t="shared" si="22"/>
        <v>-4215.528789914858</v>
      </c>
      <c r="M73" s="38">
        <f t="shared" si="22"/>
        <v>-2080.4555669198394</v>
      </c>
      <c r="N73" s="38">
        <f t="shared" si="22"/>
        <v>-65446.96205730687</v>
      </c>
      <c r="O73" s="38">
        <f>SUM(H73:N73)</f>
        <v>-545378.2184036478</v>
      </c>
    </row>
    <row r="74" spans="7:15" ht="12.75">
      <c r="G74" s="166" t="s">
        <v>115</v>
      </c>
      <c r="H74" s="6">
        <f aca="true" t="shared" si="23" ref="H74:N74">H72+H73</f>
        <v>45135071.300261624</v>
      </c>
      <c r="I74" s="6">
        <f t="shared" si="23"/>
        <v>20237889.715676785</v>
      </c>
      <c r="J74" s="6">
        <f t="shared" si="23"/>
        <v>61353322.77849253</v>
      </c>
      <c r="K74" s="6">
        <f t="shared" si="23"/>
        <v>39308.82915413739</v>
      </c>
      <c r="L74" s="6">
        <f t="shared" si="23"/>
        <v>1128260.5770272557</v>
      </c>
      <c r="M74" s="6">
        <f t="shared" si="23"/>
        <v>556821.2472011022</v>
      </c>
      <c r="N74" s="6">
        <f t="shared" si="23"/>
        <v>17516480.340998773</v>
      </c>
      <c r="O74" s="6">
        <f>SUM(H74:N74)</f>
        <v>145967154.78881222</v>
      </c>
    </row>
    <row r="75" spans="7:14" ht="12.75">
      <c r="G75" s="167" t="s">
        <v>176</v>
      </c>
      <c r="J75" s="168">
        <f>J81</f>
        <v>0.002571218327745374</v>
      </c>
      <c r="K75" s="168">
        <f>K81</f>
        <v>0.002777777777777778</v>
      </c>
      <c r="L75" s="168">
        <f>L81</f>
        <v>0.0027980933449336513</v>
      </c>
      <c r="M75" s="168"/>
      <c r="N75" s="168">
        <f>N81</f>
        <v>0.002206116713347239</v>
      </c>
    </row>
    <row r="76" spans="7:15" ht="12.75">
      <c r="G76" s="6" t="s">
        <v>116</v>
      </c>
      <c r="J76" s="6">
        <f>J74*J75</f>
        <v>157752.78799613772</v>
      </c>
      <c r="K76" s="6">
        <f>K74*K75</f>
        <v>109.19119209482609</v>
      </c>
      <c r="L76" s="6">
        <f>L74*L75</f>
        <v>3156.978411930965</v>
      </c>
      <c r="M76" s="6">
        <f>M74*M75</f>
        <v>0</v>
      </c>
      <c r="N76" s="6">
        <f>N74*N75</f>
        <v>38643.40003929574</v>
      </c>
      <c r="O76" s="6">
        <f>SUM(H76:N76)</f>
        <v>199662.35763945925</v>
      </c>
    </row>
    <row r="78" spans="1:15" ht="12.75">
      <c r="A78">
        <v>2013</v>
      </c>
      <c r="G78" s="38">
        <f>SUM(H78:N78)</f>
        <v>146704679.23736808</v>
      </c>
      <c r="H78" s="6">
        <f>Residential!M156</f>
        <v>45730835.65702802</v>
      </c>
      <c r="I78" s="6">
        <f>'GS &lt; 50 kW'!M156</f>
        <v>20392885.970798288</v>
      </c>
      <c r="J78" s="6">
        <f>J53</f>
        <v>61722676.99432691</v>
      </c>
      <c r="K78" s="6">
        <f>K53</f>
        <v>37713.244244191425</v>
      </c>
      <c r="L78" s="6">
        <f>L53</f>
        <v>1137811.5405968605</v>
      </c>
      <c r="M78" s="6">
        <f>M53</f>
        <v>608452.9874308598</v>
      </c>
      <c r="N78" s="6">
        <f>N53</f>
        <v>17074302.842942946</v>
      </c>
      <c r="O78" s="6">
        <f>SUM(H78:N78)</f>
        <v>146704679.23736808</v>
      </c>
    </row>
    <row r="79" spans="6:15" ht="12.75">
      <c r="F79" s="1" t="s">
        <v>175</v>
      </c>
      <c r="G79" s="38">
        <f>-('CDM Activity'!R28+'CDM Activity'!R29)*(1+'CDM Activity'!E12)</f>
        <v>-1090756.4368072955</v>
      </c>
      <c r="H79" s="38">
        <f aca="true" t="shared" si="24" ref="H79:N79">H78/$G$78*$G$79</f>
        <v>-340010.99087488645</v>
      </c>
      <c r="I79" s="38">
        <f t="shared" si="24"/>
        <v>-151622.10062662812</v>
      </c>
      <c r="J79" s="38">
        <f t="shared" si="24"/>
        <v>-458911.1102557868</v>
      </c>
      <c r="K79" s="38">
        <f t="shared" si="24"/>
        <v>-280.39980814572056</v>
      </c>
      <c r="L79" s="38">
        <f t="shared" si="24"/>
        <v>-8459.684232508986</v>
      </c>
      <c r="M79" s="38">
        <f t="shared" si="24"/>
        <v>-4523.87760216574</v>
      </c>
      <c r="N79" s="38">
        <f t="shared" si="24"/>
        <v>-126948.27340717372</v>
      </c>
      <c r="O79" s="38">
        <f>SUM(H79:N79)</f>
        <v>-1090756.4368072955</v>
      </c>
    </row>
    <row r="80" spans="7:15" ht="12.75">
      <c r="G80" s="166" t="s">
        <v>115</v>
      </c>
      <c r="H80" s="6">
        <f>H78+H79</f>
        <v>45390824.66615313</v>
      </c>
      <c r="I80" s="6">
        <f aca="true" t="shared" si="25" ref="I80:N80">I78+I79</f>
        <v>20241263.87017166</v>
      </c>
      <c r="J80" s="6">
        <f t="shared" si="25"/>
        <v>61263765.88407113</v>
      </c>
      <c r="K80" s="6">
        <f t="shared" si="25"/>
        <v>37432.84443604571</v>
      </c>
      <c r="L80" s="6">
        <f t="shared" si="25"/>
        <v>1129351.8563643515</v>
      </c>
      <c r="M80" s="6">
        <f t="shared" si="25"/>
        <v>603929.109828694</v>
      </c>
      <c r="N80" s="6">
        <f t="shared" si="25"/>
        <v>16947354.569535773</v>
      </c>
      <c r="O80" s="6">
        <f>SUM(H80:N80)</f>
        <v>145613922.80056077</v>
      </c>
    </row>
    <row r="81" spans="7:14" ht="12.75">
      <c r="G81" s="167" t="s">
        <v>176</v>
      </c>
      <c r="J81" s="168">
        <f>'Rate Class Load Model'!B25</f>
        <v>0.002571218327745374</v>
      </c>
      <c r="K81" s="168">
        <f>'Rate Class Load Model'!C25</f>
        <v>0.002777777777777778</v>
      </c>
      <c r="L81" s="168">
        <f>'Rate Class Load Model'!D25</f>
        <v>0.0027980933449336513</v>
      </c>
      <c r="M81" s="168"/>
      <c r="N81" s="168">
        <f>'Rate Class Load Model'!E25</f>
        <v>0.002206116713347239</v>
      </c>
    </row>
    <row r="82" spans="7:15" ht="12.75">
      <c r="G82" s="6" t="s">
        <v>116</v>
      </c>
      <c r="J82" s="6">
        <f>J80*J81</f>
        <v>157522.51766782545</v>
      </c>
      <c r="K82" s="6">
        <f>K80*K81</f>
        <v>103.9801234334603</v>
      </c>
      <c r="L82" s="6">
        <f>L80*L81</f>
        <v>3160.0319133815565</v>
      </c>
      <c r="M82" s="6">
        <f>M80*M81</f>
        <v>0</v>
      </c>
      <c r="N82" s="6">
        <f>N80*N81</f>
        <v>37387.84216287457</v>
      </c>
      <c r="O82" s="6">
        <f>SUM(H82:N82)</f>
        <v>198174.37186751503</v>
      </c>
    </row>
  </sheetData>
  <sheetProtection/>
  <printOptions/>
  <pageMargins left="0.38" right="0.75" top="0.73" bottom="0.74" header="0.5" footer="0.5"/>
  <pageSetup fitToHeight="1" fitToWidth="1" horizontalDpi="600" verticalDpi="600" orientation="portrait" scale="6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4"/>
  <sheetViews>
    <sheetView zoomScalePageLayoutView="0" workbookViewId="0" topLeftCell="A1">
      <pane xSplit="1" ySplit="2" topLeftCell="B3" activePane="bottomRight" state="frozen"/>
      <selection pane="topLeft" activeCell="N32" activeCellId="1" sqref="W13 N32"/>
      <selection pane="topRight" activeCell="N32" activeCellId="1" sqref="W13 N32"/>
      <selection pane="bottomLeft" activeCell="N32" activeCellId="1" sqref="W13 N32"/>
      <selection pane="bottomRight" activeCell="B7" sqref="B7"/>
    </sheetView>
  </sheetViews>
  <sheetFormatPr defaultColWidth="9.140625" defaultRowHeight="12.75"/>
  <cols>
    <col min="1" max="1" width="11.00390625" style="0" customWidth="1"/>
    <col min="2" max="2" width="15.00390625" style="6" customWidth="1"/>
    <col min="3" max="4" width="14.140625" style="6" bestFit="1" customWidth="1"/>
    <col min="5" max="5" width="14.140625" style="6" customWidth="1"/>
    <col min="6" max="6" width="17.57421875" style="6" customWidth="1"/>
    <col min="7" max="8" width="12.57421875" style="6" customWidth="1"/>
    <col min="9" max="10" width="12.7109375" style="6" bestFit="1" customWidth="1"/>
    <col min="11" max="11" width="11.7109375" style="6" bestFit="1" customWidth="1"/>
    <col min="12" max="12" width="10.7109375" style="6" bestFit="1" customWidth="1"/>
    <col min="13" max="14" width="9.140625" style="6" customWidth="1"/>
  </cols>
  <sheetData>
    <row r="2" spans="2:9" ht="62.25" customHeight="1">
      <c r="B2" s="9" t="str">
        <f>'Rate Class Energy Model'!H2</f>
        <v>Residential</v>
      </c>
      <c r="C2" s="9" t="str">
        <f>'Rate Class Energy Model'!I2</f>
        <v>GS&lt;50</v>
      </c>
      <c r="D2" s="9" t="str">
        <f>'Rate Class Energy Model'!J2</f>
        <v>GS&gt;50</v>
      </c>
      <c r="E2" s="9" t="str">
        <f>'Rate Class Energy Model'!K2</f>
        <v>Sentinels</v>
      </c>
      <c r="F2" s="9" t="str">
        <f>'Rate Class Energy Model'!L2</f>
        <v>Streetlights</v>
      </c>
      <c r="G2" s="9" t="str">
        <f>'Rate Class Energy Model'!M2</f>
        <v>USL</v>
      </c>
      <c r="H2" s="9" t="str">
        <f>'Rate Class Energy Model'!N2</f>
        <v>Intermediate </v>
      </c>
      <c r="I2" s="6" t="s">
        <v>9</v>
      </c>
    </row>
    <row r="3" spans="1:9" ht="12.75">
      <c r="A3" s="4">
        <v>2003</v>
      </c>
      <c r="B3" s="41">
        <f>'[15]Data Input'!$J$22</f>
        <v>5082</v>
      </c>
      <c r="C3" s="41">
        <f>'[15]Data Input'!$R$22</f>
        <v>591</v>
      </c>
      <c r="D3" s="41">
        <f>'[15]Data Input'!$CR$22</f>
        <v>51</v>
      </c>
      <c r="E3" s="41">
        <f>'[15]Data Input'!$AO$22</f>
        <v>25</v>
      </c>
      <c r="F3" s="41">
        <f>'[15]Data Input'!$AH$22</f>
        <v>1504</v>
      </c>
      <c r="G3" s="41">
        <f>'[15]Data Input'!$AU$22</f>
        <v>0</v>
      </c>
      <c r="H3" s="41">
        <f>'[15]Data Input'!$CC$22</f>
        <v>1</v>
      </c>
      <c r="I3" s="40">
        <f>SUM(B3:H3)</f>
        <v>7254</v>
      </c>
    </row>
    <row r="4" spans="1:9" ht="12.75">
      <c r="A4" s="4">
        <v>2004</v>
      </c>
      <c r="B4" s="41">
        <f>'[15]Data Input'!$J$34</f>
        <v>5226</v>
      </c>
      <c r="C4" s="41">
        <f>'[15]Data Input'!$R$34</f>
        <v>615</v>
      </c>
      <c r="D4" s="41">
        <f>'[15]Data Input'!$CR$34</f>
        <v>50</v>
      </c>
      <c r="E4" s="41">
        <f>'[15]Data Input'!$AO$34</f>
        <v>27</v>
      </c>
      <c r="F4" s="41">
        <f>'[15]Data Input'!$AH$34</f>
        <v>1519</v>
      </c>
      <c r="G4" s="41">
        <f>'[15]Data Input'!$AU$34</f>
        <v>0</v>
      </c>
      <c r="H4" s="41">
        <f>'[15]Data Input'!$CC$34</f>
        <v>1</v>
      </c>
      <c r="I4" s="40">
        <f>SUM(B4:H4)</f>
        <v>7438</v>
      </c>
    </row>
    <row r="5" spans="1:12" ht="12.75">
      <c r="A5" s="4">
        <v>2005</v>
      </c>
      <c r="B5" s="41">
        <f>'[15]Data Input'!$J$46</f>
        <v>5360</v>
      </c>
      <c r="C5" s="41">
        <f>'[15]Data Input'!$R$46</f>
        <v>622</v>
      </c>
      <c r="D5" s="41">
        <f>'[15]Data Input'!$CR$46</f>
        <v>51</v>
      </c>
      <c r="E5" s="41">
        <f>'[15]Data Input'!$AO$46</f>
        <v>31</v>
      </c>
      <c r="F5" s="41">
        <f>'[15]Data Input'!$AH$46</f>
        <v>1553</v>
      </c>
      <c r="G5" s="41">
        <f>'[15]Data Input'!$AU$46</f>
        <v>0</v>
      </c>
      <c r="H5" s="41">
        <f>'[15]Data Input'!$CC$46</f>
        <v>1</v>
      </c>
      <c r="I5" s="40">
        <f aca="true" t="shared" si="0" ref="I5:I13">SUM(B5:H5)</f>
        <v>7618</v>
      </c>
      <c r="L5"/>
    </row>
    <row r="6" spans="1:12" ht="12.75">
      <c r="A6" s="4">
        <v>2006</v>
      </c>
      <c r="B6" s="41">
        <f>'[15]Data Input'!$J$58</f>
        <v>5430</v>
      </c>
      <c r="C6" s="41">
        <f>'[15]Data Input'!$R$58</f>
        <v>637</v>
      </c>
      <c r="D6" s="41">
        <f>'[15]Data Input'!$CR$58</f>
        <v>53</v>
      </c>
      <c r="E6" s="41">
        <f>'[15]Data Input'!$AO$58</f>
        <v>31</v>
      </c>
      <c r="F6" s="41">
        <f>'[15]Data Input'!$AH$58</f>
        <v>1553</v>
      </c>
      <c r="G6" s="41">
        <f>'[15]Data Input'!$AU$58</f>
        <v>0</v>
      </c>
      <c r="H6" s="41">
        <f>'[15]Data Input'!$CC$58</f>
        <v>1</v>
      </c>
      <c r="I6" s="40">
        <f t="shared" si="0"/>
        <v>7705</v>
      </c>
      <c r="L6"/>
    </row>
    <row r="7" spans="1:12" ht="12.75">
      <c r="A7" s="4">
        <v>2007</v>
      </c>
      <c r="B7" s="41">
        <f>'[15]Data Input'!$J$70</f>
        <v>5492</v>
      </c>
      <c r="C7" s="41">
        <f>'[15]Data Input'!$R$70</f>
        <v>667</v>
      </c>
      <c r="D7" s="41">
        <f>'[15]Data Input'!$CR$70</f>
        <v>53</v>
      </c>
      <c r="E7" s="41">
        <f>'[15]Data Input'!$AO$70</f>
        <v>31</v>
      </c>
      <c r="F7" s="41">
        <f>'[15]Data Input'!$AH$70</f>
        <v>1611</v>
      </c>
      <c r="G7" s="41">
        <f>'[15]Data Input'!$AU$70</f>
        <v>2</v>
      </c>
      <c r="H7" s="41">
        <f>'[15]Data Input'!$CC$70</f>
        <v>1</v>
      </c>
      <c r="I7" s="40">
        <f t="shared" si="0"/>
        <v>7857</v>
      </c>
      <c r="L7"/>
    </row>
    <row r="8" spans="1:12" ht="12.75">
      <c r="A8" s="4">
        <v>2008</v>
      </c>
      <c r="B8" s="41">
        <f>'[15]Data Input'!$J$82</f>
        <v>5530</v>
      </c>
      <c r="C8" s="41">
        <f>'[15]Data Input'!$R$82</f>
        <v>674</v>
      </c>
      <c r="D8" s="41">
        <f>'[15]Data Input'!$CR$83</f>
        <v>58</v>
      </c>
      <c r="E8" s="41">
        <f>'[15]Data Input'!$AO$83</f>
        <v>31</v>
      </c>
      <c r="F8" s="41">
        <f>'[15]Data Input'!$AH$83</f>
        <v>1658</v>
      </c>
      <c r="G8" s="41">
        <f>'[15]Data Input'!$AU$83</f>
        <v>2</v>
      </c>
      <c r="H8" s="41">
        <f>'[15]Data Input'!$CC$83</f>
        <v>1</v>
      </c>
      <c r="I8" s="40">
        <f t="shared" si="0"/>
        <v>7954</v>
      </c>
      <c r="L8"/>
    </row>
    <row r="9" spans="1:12" ht="12.75">
      <c r="A9" s="4">
        <v>2009</v>
      </c>
      <c r="B9" s="41">
        <f>'[15]Data Input'!$J$94</f>
        <v>5576</v>
      </c>
      <c r="C9" s="41">
        <f>'[15]Data Input'!$R$94</f>
        <v>691</v>
      </c>
      <c r="D9" s="41">
        <f>'[15]Data Input'!$CR$94</f>
        <v>60</v>
      </c>
      <c r="E9" s="41">
        <f>'[15]Data Input'!$AO$94</f>
        <v>31</v>
      </c>
      <c r="F9" s="41">
        <f>'[15]Data Input'!$AH$94</f>
        <v>1658</v>
      </c>
      <c r="G9" s="41">
        <f>'[15]Data Input'!$AU$94</f>
        <v>2</v>
      </c>
      <c r="H9" s="41">
        <f>'[15]Data Input'!$CC$94</f>
        <v>1</v>
      </c>
      <c r="I9" s="40">
        <f t="shared" si="0"/>
        <v>8019</v>
      </c>
      <c r="L9"/>
    </row>
    <row r="10" spans="1:9" ht="12.75">
      <c r="A10" s="4">
        <v>2010</v>
      </c>
      <c r="B10" s="41">
        <f>'[15]Data Input'!$J$106</f>
        <v>5627</v>
      </c>
      <c r="C10" s="41">
        <f>'[15]Data Input'!$R$106</f>
        <v>705</v>
      </c>
      <c r="D10" s="41">
        <f>'[15]Data Input'!$CR$106</f>
        <v>60</v>
      </c>
      <c r="E10" s="41">
        <f>'[15]Data Input'!$AO$106</f>
        <v>31</v>
      </c>
      <c r="F10" s="41">
        <f>'[15]Data Input'!$AH$106</f>
        <v>1673</v>
      </c>
      <c r="G10" s="41">
        <f>'[15]Data Input'!$AU$106</f>
        <v>2</v>
      </c>
      <c r="H10" s="41">
        <f>'[15]Data Input'!$CC$106</f>
        <v>1</v>
      </c>
      <c r="I10" s="40">
        <f t="shared" si="0"/>
        <v>8099</v>
      </c>
    </row>
    <row r="11" spans="1:9" ht="12.75">
      <c r="A11" s="4">
        <v>2011</v>
      </c>
      <c r="B11" s="41">
        <f>'[15]Data Input'!$J$118</f>
        <v>5711</v>
      </c>
      <c r="C11" s="41">
        <f>'[15]Data Input'!$R$118</f>
        <v>709</v>
      </c>
      <c r="D11" s="41">
        <f>'[15]Data Input'!$CR$118</f>
        <v>59</v>
      </c>
      <c r="E11" s="41">
        <f>'[15]Data Input'!$AO$118</f>
        <v>31</v>
      </c>
      <c r="F11" s="41">
        <f>'[15]Data Input'!$AH$118</f>
        <v>1687</v>
      </c>
      <c r="G11" s="41">
        <f>'[15]Data Input'!$AU$118</f>
        <v>6</v>
      </c>
      <c r="H11" s="41">
        <f>'[15]Data Input'!$CC$118</f>
        <v>1</v>
      </c>
      <c r="I11" s="40">
        <f t="shared" si="0"/>
        <v>8204</v>
      </c>
    </row>
    <row r="12" spans="1:9" ht="12.75">
      <c r="A12" s="4">
        <v>2012</v>
      </c>
      <c r="B12" s="22">
        <f>B11*B27</f>
        <v>5783.866602971631</v>
      </c>
      <c r="C12" s="22">
        <f>C11*C27</f>
        <v>723.5535535863006</v>
      </c>
      <c r="D12" s="22">
        <f>D11*D27</f>
        <v>60.41167395635739</v>
      </c>
      <c r="E12" s="22">
        <f>E11</f>
        <v>31</v>
      </c>
      <c r="F12" s="22">
        <f>F11*F27</f>
        <v>1712.4711731961468</v>
      </c>
      <c r="G12" s="22">
        <f>G11*G27</f>
        <v>7.896444077714955</v>
      </c>
      <c r="H12" s="22">
        <f>H11*H27</f>
        <v>1</v>
      </c>
      <c r="I12" s="22">
        <f t="shared" si="0"/>
        <v>8320.19944778815</v>
      </c>
    </row>
    <row r="13" spans="1:9" ht="12.75">
      <c r="A13" s="4">
        <v>2013</v>
      </c>
      <c r="B13" s="22">
        <f>B12*B29</f>
        <v>5857.662910343302</v>
      </c>
      <c r="C13" s="22">
        <f>C12*C29</f>
        <v>738.4058461316835</v>
      </c>
      <c r="D13" s="22">
        <f>D12*D29</f>
        <v>61.85712457981745</v>
      </c>
      <c r="E13" s="22">
        <f>E12</f>
        <v>31</v>
      </c>
      <c r="F13" s="22">
        <f>F12*F29</f>
        <v>1738.326922956602</v>
      </c>
      <c r="G13" s="22">
        <f>ROUND(G12*G29,0)</f>
        <v>10</v>
      </c>
      <c r="H13" s="22">
        <f>H12*H29</f>
        <v>1</v>
      </c>
      <c r="I13" s="22">
        <f t="shared" si="0"/>
        <v>8438.252804011405</v>
      </c>
    </row>
    <row r="14" ht="12.75">
      <c r="A14" s="21"/>
    </row>
    <row r="15" spans="1:8" ht="12.75">
      <c r="A15" s="20" t="s">
        <v>41</v>
      </c>
      <c r="B15" s="5"/>
      <c r="C15" s="5"/>
      <c r="D15" s="5"/>
      <c r="E15" s="5"/>
      <c r="F15" s="5"/>
      <c r="G15" s="5"/>
      <c r="H15" s="5"/>
    </row>
    <row r="16" spans="1:8" ht="12.75">
      <c r="A16" s="4"/>
      <c r="B16" s="5"/>
      <c r="C16" s="5"/>
      <c r="D16" s="5"/>
      <c r="E16" s="5"/>
      <c r="F16" s="5"/>
      <c r="G16" s="5"/>
      <c r="H16" s="5"/>
    </row>
    <row r="17" spans="1:8" ht="12.75">
      <c r="A17" s="4">
        <v>2003</v>
      </c>
      <c r="B17" s="5"/>
      <c r="C17" s="5"/>
      <c r="D17" s="5"/>
      <c r="E17" s="5"/>
      <c r="F17" s="5"/>
      <c r="G17" s="5"/>
      <c r="H17" s="5"/>
    </row>
    <row r="18" spans="1:8" ht="12.75">
      <c r="A18" s="4">
        <v>2004</v>
      </c>
      <c r="B18" s="25">
        <f aca="true" t="shared" si="1" ref="B18:F19">B4/B3</f>
        <v>1.0283353010625738</v>
      </c>
      <c r="C18" s="25">
        <f t="shared" si="1"/>
        <v>1.0406091370558375</v>
      </c>
      <c r="D18" s="25">
        <f t="shared" si="1"/>
        <v>0.9803921568627451</v>
      </c>
      <c r="E18" s="25">
        <f t="shared" si="1"/>
        <v>1.08</v>
      </c>
      <c r="F18" s="25">
        <f t="shared" si="1"/>
        <v>1.0099734042553192</v>
      </c>
      <c r="G18" s="5"/>
      <c r="H18" s="25">
        <f aca="true" t="shared" si="2" ref="H18:H25">H4/H3</f>
        <v>1</v>
      </c>
    </row>
    <row r="19" spans="1:8" ht="12.75">
      <c r="A19" s="4">
        <v>2005</v>
      </c>
      <c r="B19" s="25">
        <f t="shared" si="1"/>
        <v>1.0256410256410255</v>
      </c>
      <c r="C19" s="25">
        <f t="shared" si="1"/>
        <v>1.0113821138211383</v>
      </c>
      <c r="D19" s="25">
        <f t="shared" si="1"/>
        <v>1.02</v>
      </c>
      <c r="E19" s="25">
        <f t="shared" si="1"/>
        <v>1.1481481481481481</v>
      </c>
      <c r="F19" s="25">
        <f t="shared" si="1"/>
        <v>1.0223831468071098</v>
      </c>
      <c r="G19" s="25"/>
      <c r="H19" s="25">
        <f t="shared" si="2"/>
        <v>1</v>
      </c>
    </row>
    <row r="20" spans="1:8" ht="12.75">
      <c r="A20" s="4">
        <v>2006</v>
      </c>
      <c r="B20" s="25">
        <f aca="true" t="shared" si="3" ref="B20:D25">B6/B5</f>
        <v>1.0130597014925373</v>
      </c>
      <c r="C20" s="25">
        <f t="shared" si="3"/>
        <v>1.0241157556270097</v>
      </c>
      <c r="D20" s="25">
        <f t="shared" si="3"/>
        <v>1.0392156862745099</v>
      </c>
      <c r="E20" s="25">
        <f>E6/E5</f>
        <v>1</v>
      </c>
      <c r="F20" s="25">
        <f aca="true" t="shared" si="4" ref="F20:G25">F6/F5</f>
        <v>1</v>
      </c>
      <c r="G20" s="25"/>
      <c r="H20" s="25">
        <f t="shared" si="2"/>
        <v>1</v>
      </c>
    </row>
    <row r="21" spans="1:8" ht="12.75">
      <c r="A21" s="4">
        <v>2007</v>
      </c>
      <c r="B21" s="25">
        <f t="shared" si="3"/>
        <v>1.0114180478821362</v>
      </c>
      <c r="C21" s="25">
        <f t="shared" si="3"/>
        <v>1.0470957613814758</v>
      </c>
      <c r="D21" s="25">
        <f t="shared" si="3"/>
        <v>1</v>
      </c>
      <c r="E21" s="25">
        <f>E7/E6</f>
        <v>1</v>
      </c>
      <c r="F21" s="25">
        <f t="shared" si="4"/>
        <v>1.0373470701867353</v>
      </c>
      <c r="G21" s="25"/>
      <c r="H21" s="25">
        <f t="shared" si="2"/>
        <v>1</v>
      </c>
    </row>
    <row r="22" spans="1:8" ht="12.75">
      <c r="A22" s="4">
        <v>2008</v>
      </c>
      <c r="B22" s="25">
        <f t="shared" si="3"/>
        <v>1.0069191551347414</v>
      </c>
      <c r="C22" s="25">
        <f t="shared" si="3"/>
        <v>1.0104947526236883</v>
      </c>
      <c r="D22" s="25">
        <f t="shared" si="3"/>
        <v>1.0943396226415094</v>
      </c>
      <c r="E22" s="25">
        <f>E8/E7</f>
        <v>1</v>
      </c>
      <c r="F22" s="25">
        <f t="shared" si="4"/>
        <v>1.0291744258224704</v>
      </c>
      <c r="G22" s="25">
        <f t="shared" si="4"/>
        <v>1</v>
      </c>
      <c r="H22" s="25">
        <f t="shared" si="2"/>
        <v>1</v>
      </c>
    </row>
    <row r="23" spans="1:8" ht="12.75">
      <c r="A23" s="4">
        <v>2009</v>
      </c>
      <c r="B23" s="25">
        <f t="shared" si="3"/>
        <v>1.0083182640144666</v>
      </c>
      <c r="C23" s="25">
        <f t="shared" si="3"/>
        <v>1.0252225519287834</v>
      </c>
      <c r="D23" s="25">
        <f t="shared" si="3"/>
        <v>1.0344827586206897</v>
      </c>
      <c r="E23" s="25">
        <f>E9/E8</f>
        <v>1</v>
      </c>
      <c r="F23" s="25">
        <f t="shared" si="4"/>
        <v>1</v>
      </c>
      <c r="G23" s="25">
        <f t="shared" si="4"/>
        <v>1</v>
      </c>
      <c r="H23" s="25">
        <f t="shared" si="2"/>
        <v>1</v>
      </c>
    </row>
    <row r="24" spans="1:8" ht="12.75">
      <c r="A24" s="4">
        <v>2010</v>
      </c>
      <c r="B24" s="25">
        <f t="shared" si="3"/>
        <v>1.0091463414634145</v>
      </c>
      <c r="C24" s="25">
        <f t="shared" si="3"/>
        <v>1.020260492040521</v>
      </c>
      <c r="D24" s="25">
        <f t="shared" si="3"/>
        <v>1</v>
      </c>
      <c r="E24" s="25">
        <f>E10/E9</f>
        <v>1</v>
      </c>
      <c r="F24" s="25">
        <f t="shared" si="4"/>
        <v>1.009047044632087</v>
      </c>
      <c r="G24" s="25">
        <f t="shared" si="4"/>
        <v>1</v>
      </c>
      <c r="H24" s="25">
        <f t="shared" si="2"/>
        <v>1</v>
      </c>
    </row>
    <row r="25" spans="1:8" ht="12.75">
      <c r="A25" s="4">
        <v>2011</v>
      </c>
      <c r="B25" s="25">
        <f t="shared" si="3"/>
        <v>1.014928025590901</v>
      </c>
      <c r="C25" s="25">
        <f t="shared" si="3"/>
        <v>1.0056737588652482</v>
      </c>
      <c r="D25" s="25">
        <f t="shared" si="3"/>
        <v>0.9833333333333333</v>
      </c>
      <c r="E25" s="25">
        <f>E24</f>
        <v>1</v>
      </c>
      <c r="F25" s="25">
        <f t="shared" si="4"/>
        <v>1.00836820083682</v>
      </c>
      <c r="G25" s="25">
        <f t="shared" si="4"/>
        <v>3</v>
      </c>
      <c r="H25" s="25">
        <f t="shared" si="2"/>
        <v>1</v>
      </c>
    </row>
    <row r="27" spans="1:8" ht="12.75">
      <c r="A27" t="s">
        <v>55</v>
      </c>
      <c r="B27" s="26">
        <f aca="true" t="shared" si="5" ref="B27:G27">B29</f>
        <v>1.0127589919404012</v>
      </c>
      <c r="C27" s="26">
        <f t="shared" si="5"/>
        <v>1.020526873887589</v>
      </c>
      <c r="D27" s="26">
        <f t="shared" si="5"/>
        <v>1.0239266772263964</v>
      </c>
      <c r="E27" s="26">
        <f t="shared" si="5"/>
        <v>1.0199318003309148</v>
      </c>
      <c r="F27" s="26">
        <f t="shared" si="5"/>
        <v>1.0150985021909584</v>
      </c>
      <c r="G27" s="26">
        <f t="shared" si="5"/>
        <v>1.3160740129524926</v>
      </c>
      <c r="H27" s="26">
        <f>H29</f>
        <v>1</v>
      </c>
    </row>
    <row r="28" spans="2:8" ht="12.75">
      <c r="B28" s="26"/>
      <c r="C28" s="26"/>
      <c r="D28" s="26"/>
      <c r="E28" s="26"/>
      <c r="F28" s="26"/>
      <c r="G28" s="26"/>
      <c r="H28" s="26"/>
    </row>
    <row r="29" spans="1:8" ht="12.75">
      <c r="A29" t="s">
        <v>14</v>
      </c>
      <c r="B29" s="26">
        <f aca="true" t="shared" si="6" ref="B29:H29">GEOMEAN(B19:B25)</f>
        <v>1.0127589919404012</v>
      </c>
      <c r="C29" s="26">
        <f t="shared" si="6"/>
        <v>1.020526873887589</v>
      </c>
      <c r="D29" s="26">
        <f t="shared" si="6"/>
        <v>1.0239266772263964</v>
      </c>
      <c r="E29" s="26">
        <f t="shared" si="6"/>
        <v>1.0199318003309148</v>
      </c>
      <c r="F29" s="26">
        <f t="shared" si="6"/>
        <v>1.0150985021909584</v>
      </c>
      <c r="G29" s="26">
        <f t="shared" si="6"/>
        <v>1.3160740129524926</v>
      </c>
      <c r="H29" s="26">
        <f t="shared" si="6"/>
        <v>1</v>
      </c>
    </row>
    <row r="30" spans="1:8" ht="12.75">
      <c r="A30" s="4"/>
      <c r="B30" s="26"/>
      <c r="C30" s="26"/>
      <c r="D30" s="26"/>
      <c r="E30" s="26"/>
      <c r="F30" s="26"/>
      <c r="G30" s="26"/>
      <c r="H30" s="26"/>
    </row>
    <row r="31" spans="1:8" ht="12.75">
      <c r="A31" s="4"/>
      <c r="B31" s="26"/>
      <c r="C31" s="26"/>
      <c r="D31" s="26"/>
      <c r="E31" s="26"/>
      <c r="F31" s="26"/>
      <c r="G31" s="26"/>
      <c r="H31" s="26"/>
    </row>
    <row r="32" spans="1:8" ht="12.75">
      <c r="A32" s="4"/>
      <c r="B32" s="26"/>
      <c r="C32" s="26"/>
      <c r="D32" s="26"/>
      <c r="E32" s="26"/>
      <c r="F32" s="26"/>
      <c r="G32" s="26"/>
      <c r="H32" s="26"/>
    </row>
    <row r="33" spans="1:8" ht="12.75">
      <c r="A33" s="4"/>
      <c r="B33" s="26"/>
      <c r="C33" s="26"/>
      <c r="D33" s="26"/>
      <c r="E33" s="26"/>
      <c r="F33" s="26"/>
      <c r="G33" s="26"/>
      <c r="H33" s="26"/>
    </row>
    <row r="34" spans="1:8" ht="12.75">
      <c r="A34" s="4"/>
      <c r="B34" s="26"/>
      <c r="C34" s="26"/>
      <c r="D34" s="26"/>
      <c r="E34" s="26"/>
      <c r="F34" s="26"/>
      <c r="G34" s="26"/>
      <c r="H34" s="26"/>
    </row>
    <row r="35" spans="1:8" ht="12.75">
      <c r="A35" s="4"/>
      <c r="B35" s="26"/>
      <c r="C35" s="26"/>
      <c r="D35" s="26"/>
      <c r="E35" s="26"/>
      <c r="F35" s="26"/>
      <c r="G35" s="26"/>
      <c r="H35" s="26"/>
    </row>
    <row r="36" spans="1:8" ht="12.75">
      <c r="A36" s="4"/>
      <c r="B36" s="26"/>
      <c r="C36" s="26"/>
      <c r="D36" s="26"/>
      <c r="E36" s="26"/>
      <c r="F36" s="26"/>
      <c r="G36" s="26"/>
      <c r="H36" s="26"/>
    </row>
    <row r="37" spans="1:8" ht="12.75">
      <c r="A37" s="4"/>
      <c r="B37" s="26"/>
      <c r="C37" s="26"/>
      <c r="D37" s="26"/>
      <c r="E37" s="26"/>
      <c r="F37" s="26"/>
      <c r="G37" s="26"/>
      <c r="H37" s="26"/>
    </row>
    <row r="38" spans="2:8" ht="12.75">
      <c r="B38" s="26"/>
      <c r="C38" s="26"/>
      <c r="D38" s="26"/>
      <c r="E38" s="26"/>
      <c r="F38" s="26"/>
      <c r="G38" s="26"/>
      <c r="H38" s="26"/>
    </row>
    <row r="39" spans="2:8" ht="12.75">
      <c r="B39" s="26"/>
      <c r="C39" s="26"/>
      <c r="D39" s="26"/>
      <c r="E39" s="26"/>
      <c r="F39" s="26"/>
      <c r="G39" s="26"/>
      <c r="H39" s="26"/>
    </row>
    <row r="40" spans="2:8" ht="12.75">
      <c r="B40" s="26"/>
      <c r="C40" s="26"/>
      <c r="D40" s="26"/>
      <c r="E40" s="26"/>
      <c r="F40" s="26"/>
      <c r="G40" s="26"/>
      <c r="H40" s="26"/>
    </row>
    <row r="41" spans="2:8" ht="12.75">
      <c r="B41" s="26"/>
      <c r="C41" s="26"/>
      <c r="D41" s="26"/>
      <c r="E41" s="26"/>
      <c r="F41" s="26"/>
      <c r="G41" s="26"/>
      <c r="H41" s="26"/>
    </row>
    <row r="42" spans="2:8" ht="12.75">
      <c r="B42" s="26"/>
      <c r="C42" s="26"/>
      <c r="D42" s="26"/>
      <c r="E42" s="26"/>
      <c r="F42" s="26"/>
      <c r="G42" s="26"/>
      <c r="H42" s="26"/>
    </row>
    <row r="43" spans="2:8" ht="12.75">
      <c r="B43" s="26"/>
      <c r="C43" s="26"/>
      <c r="D43" s="26"/>
      <c r="E43" s="26"/>
      <c r="F43" s="26"/>
      <c r="G43" s="26"/>
      <c r="H43" s="26"/>
    </row>
    <row r="44" spans="2:8" ht="12.75">
      <c r="B44" s="26"/>
      <c r="C44" s="26"/>
      <c r="D44" s="26"/>
      <c r="E44" s="26"/>
      <c r="F44" s="26"/>
      <c r="G44" s="26"/>
      <c r="H44" s="26"/>
    </row>
    <row r="45" spans="2:8" ht="12.75">
      <c r="B45" s="26"/>
      <c r="C45" s="26"/>
      <c r="D45" s="26"/>
      <c r="E45" s="26"/>
      <c r="F45" s="26"/>
      <c r="G45" s="26"/>
      <c r="H45" s="26"/>
    </row>
    <row r="46" spans="2:8" ht="12.75">
      <c r="B46" s="26"/>
      <c r="C46" s="26"/>
      <c r="D46" s="26"/>
      <c r="E46" s="26"/>
      <c r="F46" s="26"/>
      <c r="G46" s="26"/>
      <c r="H46" s="26"/>
    </row>
    <row r="47" spans="2:8" ht="12.75">
      <c r="B47" s="26"/>
      <c r="C47" s="26"/>
      <c r="D47" s="26"/>
      <c r="E47" s="26"/>
      <c r="F47" s="26"/>
      <c r="G47" s="26"/>
      <c r="H47" s="26"/>
    </row>
    <row r="48" spans="2:8" ht="12.75">
      <c r="B48" s="26"/>
      <c r="C48" s="26"/>
      <c r="D48" s="26"/>
      <c r="E48" s="26"/>
      <c r="F48" s="26"/>
      <c r="G48" s="26"/>
      <c r="H48" s="26"/>
    </row>
    <row r="49" spans="2:8" ht="12.75">
      <c r="B49" s="26"/>
      <c r="C49" s="26"/>
      <c r="D49" s="26"/>
      <c r="E49" s="26"/>
      <c r="F49" s="26"/>
      <c r="G49" s="26"/>
      <c r="H49" s="26"/>
    </row>
    <row r="50" spans="2:8" ht="12.75">
      <c r="B50" s="26"/>
      <c r="C50" s="26"/>
      <c r="D50" s="26"/>
      <c r="E50" s="26"/>
      <c r="F50" s="26"/>
      <c r="G50" s="26"/>
      <c r="H50" s="26"/>
    </row>
    <row r="51" spans="2:8" ht="12.75">
      <c r="B51" s="26"/>
      <c r="C51" s="26"/>
      <c r="D51" s="26"/>
      <c r="E51" s="26"/>
      <c r="F51" s="26"/>
      <c r="G51" s="26"/>
      <c r="H51" s="26"/>
    </row>
    <row r="52" spans="2:8" ht="12.75">
      <c r="B52" s="26"/>
      <c r="C52" s="26"/>
      <c r="D52" s="26"/>
      <c r="E52" s="26"/>
      <c r="F52" s="26"/>
      <c r="G52" s="26"/>
      <c r="H52" s="26"/>
    </row>
    <row r="53" spans="2:8" ht="12.75">
      <c r="B53" s="26"/>
      <c r="C53" s="26"/>
      <c r="D53" s="26"/>
      <c r="E53" s="26"/>
      <c r="F53" s="26"/>
      <c r="G53" s="26"/>
      <c r="H53" s="26"/>
    </row>
    <row r="54" spans="2:8" ht="12.75">
      <c r="B54" s="26"/>
      <c r="C54" s="26"/>
      <c r="D54" s="26"/>
      <c r="E54" s="26"/>
      <c r="F54" s="26"/>
      <c r="G54" s="26"/>
      <c r="H54" s="26"/>
    </row>
    <row r="55" spans="2:8" ht="12.75">
      <c r="B55" s="26"/>
      <c r="C55" s="26"/>
      <c r="D55" s="26"/>
      <c r="E55" s="26"/>
      <c r="F55" s="26"/>
      <c r="G55" s="26"/>
      <c r="H55" s="26"/>
    </row>
    <row r="56" spans="2:8" ht="12.75">
      <c r="B56" s="26"/>
      <c r="C56" s="26"/>
      <c r="F56" s="26"/>
      <c r="G56" s="26"/>
      <c r="H56" s="26"/>
    </row>
    <row r="62" spans="4:5" ht="12.75">
      <c r="D62" s="27"/>
      <c r="E62" s="27"/>
    </row>
    <row r="63" spans="2:8" ht="12.75">
      <c r="B63" s="27"/>
      <c r="C63" s="27"/>
      <c r="D63" s="27"/>
      <c r="E63" s="27"/>
      <c r="F63" s="27"/>
      <c r="G63" s="27"/>
      <c r="H63" s="27"/>
    </row>
    <row r="64" spans="2:8" ht="12.75">
      <c r="B64" s="27"/>
      <c r="C64" s="27"/>
      <c r="F64" s="27"/>
      <c r="G64" s="27"/>
      <c r="H64" s="27"/>
    </row>
    <row r="82" spans="4:5" ht="12.75">
      <c r="D82" s="15"/>
      <c r="E82" s="15"/>
    </row>
    <row r="83" spans="2:8" ht="12.75">
      <c r="B83" s="15"/>
      <c r="C83" s="15"/>
      <c r="D83" s="15"/>
      <c r="E83" s="15"/>
      <c r="F83" s="15"/>
      <c r="G83" s="15"/>
      <c r="H83" s="15"/>
    </row>
    <row r="84" spans="2:8" ht="12.75">
      <c r="B84" s="15"/>
      <c r="C84" s="15"/>
      <c r="F84" s="15"/>
      <c r="G84" s="15"/>
      <c r="H84" s="15"/>
    </row>
  </sheetData>
  <sheetProtection/>
  <printOptions/>
  <pageMargins left="0.38" right="0.75" top="0.73" bottom="0.74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 </cp:lastModifiedBy>
  <cp:lastPrinted>2012-07-20T19:23:15Z</cp:lastPrinted>
  <dcterms:created xsi:type="dcterms:W3CDTF">2008-02-06T18:24:44Z</dcterms:created>
  <dcterms:modified xsi:type="dcterms:W3CDTF">2012-10-12T13:22:33Z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