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FFPC-Guelph Model" sheetId="1" r:id="rId1"/>
  </sheets>
  <definedNames>
    <definedName name="_xlnm.Print_Area" localSheetId="0">'FFPC-Guelph Model'!$B$1:$O$45</definedName>
  </definedNames>
  <calcPr calcId="125725" iterate="1"/>
</workbook>
</file>

<file path=xl/calcChain.xml><?xml version="1.0" encoding="utf-8"?>
<calcChain xmlns="http://schemas.openxmlformats.org/spreadsheetml/2006/main">
  <c r="M24" i="1"/>
  <c r="O15"/>
  <c r="M15"/>
  <c r="O39" l="1"/>
  <c r="O43" s="1"/>
  <c r="H11"/>
  <c r="H5"/>
  <c r="N6" s="1"/>
  <c r="H4"/>
  <c r="J44"/>
  <c r="K43"/>
  <c r="K42"/>
  <c r="I41"/>
  <c r="H41"/>
  <c r="I40"/>
  <c r="I44" s="1"/>
  <c r="H40"/>
  <c r="K39"/>
  <c r="K38"/>
  <c r="F35"/>
  <c r="E35"/>
  <c r="D35"/>
  <c r="K34"/>
  <c r="J33"/>
  <c r="I33"/>
  <c r="H33"/>
  <c r="J32"/>
  <c r="I32"/>
  <c r="K32" s="1"/>
  <c r="H32"/>
  <c r="J31"/>
  <c r="I31"/>
  <c r="H31"/>
  <c r="J30"/>
  <c r="I30"/>
  <c r="H30"/>
  <c r="J29"/>
  <c r="I29"/>
  <c r="H29"/>
  <c r="J28"/>
  <c r="I28"/>
  <c r="K28" s="1"/>
  <c r="H28"/>
  <c r="H19"/>
  <c r="K9"/>
  <c r="H9"/>
  <c r="O10" s="1"/>
  <c r="O7"/>
  <c r="N7"/>
  <c r="M7"/>
  <c r="K7"/>
  <c r="J7"/>
  <c r="I7"/>
  <c r="H7"/>
  <c r="K5"/>
  <c r="M8" l="1"/>
  <c r="H14"/>
  <c r="H21" s="1"/>
  <c r="J45"/>
  <c r="H35"/>
  <c r="K29"/>
  <c r="K33"/>
  <c r="H44"/>
  <c r="K44"/>
  <c r="I45" s="1"/>
  <c r="K30"/>
  <c r="J35"/>
  <c r="K31"/>
  <c r="O8"/>
  <c r="O6"/>
  <c r="K35"/>
  <c r="H36" s="1"/>
  <c r="N10"/>
  <c r="I35"/>
  <c r="M6"/>
  <c r="N8"/>
  <c r="C35"/>
  <c r="E36" s="1"/>
  <c r="M10"/>
  <c r="K10" s="1"/>
  <c r="H45" l="1"/>
  <c r="K45" s="1"/>
  <c r="O11"/>
  <c r="I36"/>
  <c r="N17" s="1"/>
  <c r="N18" s="1"/>
  <c r="N19" s="1"/>
  <c r="M17"/>
  <c r="M18" s="1"/>
  <c r="M19" s="1"/>
  <c r="M22" s="1"/>
  <c r="K8"/>
  <c r="F36"/>
  <c r="N11"/>
  <c r="D36"/>
  <c r="J36"/>
  <c r="O17" s="1"/>
  <c r="O18" s="1"/>
  <c r="O19" s="1"/>
  <c r="K6"/>
  <c r="M11"/>
  <c r="K36" l="1"/>
  <c r="K11"/>
  <c r="M12" l="1"/>
  <c r="N12"/>
  <c r="N14" s="1"/>
  <c r="O12"/>
  <c r="O14" s="1"/>
  <c r="K12" l="1"/>
  <c r="K14" s="1"/>
  <c r="N15" s="1"/>
  <c r="N20" s="1"/>
  <c r="N22" s="1"/>
  <c r="M14"/>
  <c r="N25" l="1"/>
  <c r="N24"/>
  <c r="O20"/>
  <c r="O22" s="1"/>
  <c r="M20"/>
  <c r="O25" l="1"/>
  <c r="O24"/>
  <c r="K22"/>
  <c r="K15"/>
  <c r="M25"/>
</calcChain>
</file>

<file path=xl/sharedStrings.xml><?xml version="1.0" encoding="utf-8"?>
<sst xmlns="http://schemas.openxmlformats.org/spreadsheetml/2006/main" count="83" uniqueCount="66">
  <si>
    <t>FFPC-2012 SMART METER APPLICATION - CALCULATION OF CLASS SPECIFIC SMDR'S</t>
  </si>
  <si>
    <t>Appendix D</t>
  </si>
  <si>
    <t>SPECIFIC SMDR'S - GUELPH MODEL ADAPTATION- BEYOND MINIMUM FUNCTIONALITY &amp; GS&gt;50 KW RATE CLASS ADDED</t>
  </si>
  <si>
    <t>Total 2009 to 2011</t>
  </si>
  <si>
    <t>Explanation Allocator</t>
  </si>
  <si>
    <t>ID and Factors</t>
  </si>
  <si>
    <t>Total</t>
  </si>
  <si>
    <t>RES</t>
  </si>
  <si>
    <t>GU&lt;50kW</t>
  </si>
  <si>
    <t>GU&gt;50kW</t>
  </si>
  <si>
    <t xml:space="preserve">Revenue Requirement for the Historical Years Including Interest                                         </t>
  </si>
  <si>
    <t>Total Return on Capital</t>
  </si>
  <si>
    <t>Calculated Percentage of Meter Capital</t>
  </si>
  <si>
    <t>CPMC</t>
  </si>
  <si>
    <t>Allocated per Class</t>
  </si>
  <si>
    <t>Amortization and Interest Expense</t>
  </si>
  <si>
    <t>Operating Expenses (Note 1)</t>
  </si>
  <si>
    <t>Number of Smart Meters Installed for each Class</t>
  </si>
  <si>
    <t>Grossed-up Taxes/PILs</t>
  </si>
  <si>
    <t>Revenue Requirement allocated to each Class before PILs</t>
  </si>
  <si>
    <t>TOTAL REVENUE REQUIREMENT</t>
  </si>
  <si>
    <t>Percentage of costs allocated to metered customer classes</t>
  </si>
  <si>
    <t>Revenue Generated from Smart Meter Funding Adder</t>
  </si>
  <si>
    <t>SMFA Revenues directly attributable to class</t>
  </si>
  <si>
    <t>Revenues Generated from SMFA</t>
  </si>
  <si>
    <t>Number of Metered Customers</t>
  </si>
  <si>
    <t>(2012)</t>
  </si>
  <si>
    <t>Smart Meter Disposition Rate Rider - 12 MONTH PERIOD</t>
  </si>
  <si>
    <t>Smart Meter Funding Adder Revenues</t>
  </si>
  <si>
    <t>Number of customers</t>
  </si>
  <si>
    <t>Estimated SMFA Revenues</t>
  </si>
  <si>
    <t>Residential</t>
  </si>
  <si>
    <t>GS &lt; 50 kW</t>
  </si>
  <si>
    <t>GS &gt; 50 kW</t>
  </si>
  <si>
    <t>2006 (May 1, 2006)</t>
  </si>
  <si>
    <t>2012 (to June 30, 2012)</t>
  </si>
  <si>
    <t>Average Customer Count</t>
  </si>
  <si>
    <t>Percentage of Customer Base</t>
  </si>
  <si>
    <t>2006 EDR -Weighted Meter Capital</t>
  </si>
  <si>
    <t>CWMC</t>
  </si>
  <si>
    <t>Calculated Minimum Functionality Capital</t>
  </si>
  <si>
    <t>Remove GS&gt;50 kW CWMC for calculating total capital costs</t>
  </si>
  <si>
    <t>Smart Meter Capital Costs by Rate Class</t>
  </si>
  <si>
    <t>Smart Meter + Install (RES &amp; GS&lt;50kW)</t>
  </si>
  <si>
    <t>Beyond Minimum Functionality</t>
  </si>
  <si>
    <t>RES &amp; GS&lt;50 kW Remote Disconnect Feature - 200 meters</t>
  </si>
  <si>
    <t>GS&lt;50kW Upgrade to Demand</t>
  </si>
  <si>
    <t>GS&gt;50kW Smart Meter Install- 47 meters</t>
  </si>
  <si>
    <t>Calculated Percentage of Smart Meter Capital</t>
  </si>
  <si>
    <t>Fort Frances Power Corporation-Smart Meter Application</t>
  </si>
  <si>
    <t>Anticipated Revenue</t>
  </si>
  <si>
    <t>Revised November 16, 2012</t>
  </si>
  <si>
    <t xml:space="preserve">SMDR Bump Up to Adjust for Lost SMIRR Revenue </t>
  </si>
  <si>
    <t>for FFPC from May 1, 2012 -November 30, 2012</t>
  </si>
  <si>
    <t>Deferred Revenue Requirement (2006 to 2011)</t>
  </si>
  <si>
    <t>Interest on OM&amp;A and Depreciation Expense</t>
  </si>
  <si>
    <t>Deferred SMIRR Revenues (May 1 to Dec. 31/2012)</t>
  </si>
  <si>
    <t>(SMIRR X No. of customers X No. of months)</t>
  </si>
  <si>
    <t>SMFA Revenues (2006 to April 30, 2012)</t>
  </si>
  <si>
    <t>Interest on SMFA Revenues</t>
  </si>
  <si>
    <t>Net Deferred Revenue Requirement to be recovered</t>
  </si>
  <si>
    <t>Period of be recovered over. (Years)</t>
  </si>
  <si>
    <t>Revised SMDR</t>
  </si>
  <si>
    <t>Original  Calculated as per Rate Model</t>
  </si>
  <si>
    <t xml:space="preserve">                                                                                                                                              Net Deferred Revenue Requirement</t>
  </si>
  <si>
    <t>SMDR Bump-Up to Adjust for Lost SMIRR Revenue</t>
  </si>
</sst>
</file>

<file path=xl/styles.xml><?xml version="1.0" encoding="utf-8"?>
<styleSheet xmlns="http://schemas.openxmlformats.org/spreadsheetml/2006/main">
  <numFmts count="16">
    <numFmt numFmtId="6" formatCode="&quot;$&quot;#,##0_);[Red]\(&quot;$&quot;#,##0\)"/>
    <numFmt numFmtId="44" formatCode="_(&quot;$&quot;* #,##0.00_);_(&quot;$&quot;* \(#,##0.00\);_(&quot;$&quot;* &quot;-&quot;??_);_(@_)"/>
    <numFmt numFmtId="164" formatCode="_-* #,##0_-;\-* #,##0_-;_-* &quot;-&quot;_-;_-@_-"/>
    <numFmt numFmtId="165" formatCode="&quot;$&quot;#,##0.00"/>
    <numFmt numFmtId="166" formatCode="&quot;$&quot;#,##0"/>
    <numFmt numFmtId="167" formatCode="0.0%"/>
    <numFmt numFmtId="168" formatCode="_-* #,##0.00_-;\-* #,##0.00_-;_-* &quot;-&quot;_-;_-@_-"/>
    <numFmt numFmtId="169" formatCode="_-* #,##0.00_-;\-* #,##0.00_-;_-* &quot;-&quot;??_-;_-@_-"/>
    <numFmt numFmtId="170" formatCode="_-&quot;$&quot;* #,##0.00_-;\-&quot;$&quot;* #,##0.00_-;_-&quot;$&quot;* &quot;-&quot;??_-;_-@_-"/>
    <numFmt numFmtId="171" formatCode="_-* #,##0.0_-;\-* #,##0.0_-;_-* &quot;-&quot;??_-;_-@_-"/>
    <numFmt numFmtId="172" formatCode="#,##0.00&quot; $&quot;;\-#,##0.00&quot; $&quot;"/>
    <numFmt numFmtId="173" formatCode="____@"/>
    <numFmt numFmtId="174" formatCode="________@"/>
    <numFmt numFmtId="175" formatCode="____________@"/>
    <numFmt numFmtId="176" formatCode="________________@"/>
    <numFmt numFmtId="177" formatCode="_-* #,##0.0_-;\-* #,##0.0_-;_-* &quot;-&quot;_-;_-@_-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name val="??"/>
      <family val="3"/>
      <charset val="129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u/>
      <sz val="10"/>
      <name val="Times New Roma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sz val="10"/>
      <color indexed="8"/>
      <name val="Times New Roman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2"/>
      <name val="Arial"/>
      <family val="2"/>
    </font>
    <font>
      <b/>
      <sz val="10"/>
      <color indexed="63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indexed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8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168" fontId="17" fillId="27" borderId="13">
      <alignment horizontal="center" vertical="center"/>
    </xf>
    <xf numFmtId="0" fontId="18" fillId="10" borderId="0" applyNumberFormat="0" applyBorder="0" applyAlignment="0" applyProtection="0"/>
    <xf numFmtId="0" fontId="19" fillId="28" borderId="14" applyNumberFormat="0" applyAlignment="0" applyProtection="0"/>
    <xf numFmtId="0" fontId="20" fillId="29" borderId="15" applyNumberFormat="0" applyAlignment="0" applyProtection="0"/>
    <xf numFmtId="169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6" fontId="21" fillId="0" borderId="0">
      <protection locked="0"/>
    </xf>
    <xf numFmtId="0" fontId="22" fillId="0" borderId="0" applyNumberFormat="0" applyFill="0" applyBorder="0" applyAlignment="0" applyProtection="0"/>
    <xf numFmtId="171" fontId="17" fillId="0" borderId="0">
      <protection locked="0"/>
    </xf>
    <xf numFmtId="0" fontId="23" fillId="11" borderId="0" applyNumberFormat="0" applyBorder="0" applyAlignment="0" applyProtection="0"/>
    <xf numFmtId="38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Alignment="0" applyProtection="0">
      <alignment horizontal="left" vertical="center"/>
    </xf>
    <xf numFmtId="0" fontId="26" fillId="0" borderId="2">
      <alignment horizontal="left" vertical="center"/>
    </xf>
    <xf numFmtId="17" fontId="27" fillId="0" borderId="0">
      <alignment horizontal="center"/>
    </xf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172" fontId="17" fillId="0" borderId="0">
      <protection locked="0"/>
    </xf>
    <xf numFmtId="172" fontId="17" fillId="0" borderId="0">
      <protection locked="0"/>
    </xf>
    <xf numFmtId="0" fontId="31" fillId="0" borderId="19" applyNumberFormat="0" applyFill="0" applyAlignment="0" applyProtection="0"/>
    <xf numFmtId="173" fontId="32" fillId="0" borderId="0"/>
    <xf numFmtId="174" fontId="32" fillId="0" borderId="0"/>
    <xf numFmtId="175" fontId="32" fillId="0" borderId="0"/>
    <xf numFmtId="176" fontId="32" fillId="0" borderId="0"/>
    <xf numFmtId="10" fontId="24" fillId="30" borderId="20" applyNumberFormat="0" applyBorder="0" applyAlignment="0" applyProtection="0"/>
    <xf numFmtId="0" fontId="33" fillId="14" borderId="14" applyNumberFormat="0" applyAlignment="0" applyProtection="0"/>
    <xf numFmtId="0" fontId="34" fillId="0" borderId="21" applyNumberFormat="0" applyFill="0" applyAlignment="0" applyProtection="0"/>
    <xf numFmtId="0" fontId="35" fillId="31" borderId="0" applyNumberFormat="0" applyBorder="0" applyAlignment="0" applyProtection="0"/>
    <xf numFmtId="3" fontId="36" fillId="0" borderId="0"/>
    <xf numFmtId="177" fontId="17" fillId="0" borderId="0"/>
    <xf numFmtId="0" fontId="17" fillId="0" borderId="0"/>
    <xf numFmtId="0" fontId="17" fillId="0" borderId="0"/>
    <xf numFmtId="0" fontId="37" fillId="32" borderId="22" applyNumberFormat="0" applyFont="0" applyAlignment="0" applyProtection="0"/>
    <xf numFmtId="0" fontId="38" fillId="28" borderId="23" applyNumberFormat="0" applyAlignment="0" applyProtection="0"/>
    <xf numFmtId="167" fontId="39" fillId="0" borderId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0" fontId="41" fillId="0" borderId="0" applyNumberFormat="0" applyFill="0" applyBorder="0" applyAlignment="0" applyProtection="0"/>
    <xf numFmtId="172" fontId="17" fillId="0" borderId="24">
      <protection locked="0"/>
    </xf>
    <xf numFmtId="0" fontId="42" fillId="0" borderId="25" applyNumberFormat="0" applyFill="0" applyAlignment="0" applyProtection="0"/>
    <xf numFmtId="37" fontId="24" fillId="33" borderId="0" applyNumberFormat="0" applyBorder="0" applyAlignment="0" applyProtection="0"/>
    <xf numFmtId="37" fontId="24" fillId="0" borderId="0"/>
    <xf numFmtId="37" fontId="24" fillId="33" borderId="0" applyNumberFormat="0" applyBorder="0" applyAlignment="0" applyProtection="0"/>
    <xf numFmtId="3" fontId="43" fillId="0" borderId="19" applyProtection="0"/>
    <xf numFmtId="0" fontId="44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wrapText="1"/>
    </xf>
    <xf numFmtId="3" fontId="0" fillId="5" borderId="4" xfId="0" applyNumberFormat="1" applyFill="1" applyBorder="1" applyAlignment="1">
      <alignment wrapText="1"/>
    </xf>
    <xf numFmtId="3" fontId="0" fillId="4" borderId="4" xfId="0" applyNumberFormat="1" applyFill="1" applyBorder="1"/>
    <xf numFmtId="3" fontId="5" fillId="4" borderId="4" xfId="0" applyNumberFormat="1" applyFont="1" applyFill="1" applyBorder="1"/>
    <xf numFmtId="0" fontId="0" fillId="4" borderId="0" xfId="0" applyFill="1" applyAlignment="1">
      <alignment wrapText="1"/>
    </xf>
    <xf numFmtId="0" fontId="0" fillId="4" borderId="4" xfId="0" applyFill="1" applyBorder="1"/>
    <xf numFmtId="0" fontId="6" fillId="0" borderId="4" xfId="0" applyFont="1" applyBorder="1" applyAlignment="1" applyProtection="1">
      <alignment wrapText="1"/>
    </xf>
    <xf numFmtId="3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10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3" fontId="0" fillId="0" borderId="4" xfId="0" applyNumberFormat="1" applyBorder="1"/>
    <xf numFmtId="3" fontId="3" fillId="4" borderId="4" xfId="0" applyNumberFormat="1" applyFont="1" applyFill="1" applyBorder="1"/>
    <xf numFmtId="0" fontId="0" fillId="0" borderId="4" xfId="0" applyBorder="1" applyAlignment="1">
      <alignment horizontal="center"/>
    </xf>
    <xf numFmtId="165" fontId="0" fillId="0" borderId="4" xfId="0" applyNumberFormat="1" applyBorder="1"/>
    <xf numFmtId="0" fontId="3" fillId="0" borderId="4" xfId="0" applyFont="1" applyBorder="1" applyAlignment="1">
      <alignment wrapText="1"/>
    </xf>
    <xf numFmtId="3" fontId="0" fillId="0" borderId="4" xfId="0" applyNumberFormat="1" applyFill="1" applyBorder="1"/>
    <xf numFmtId="0" fontId="0" fillId="0" borderId="4" xfId="0" applyBorder="1"/>
    <xf numFmtId="3" fontId="0" fillId="0" borderId="4" xfId="0" applyNumberFormat="1" applyFont="1" applyFill="1" applyBorder="1"/>
    <xf numFmtId="3" fontId="0" fillId="0" borderId="4" xfId="0" applyNumberFormat="1" applyBorder="1" applyProtection="1"/>
    <xf numFmtId="0" fontId="9" fillId="0" borderId="0" xfId="0" applyFont="1" applyAlignment="1">
      <alignment wrapText="1"/>
    </xf>
    <xf numFmtId="165" fontId="10" fillId="0" borderId="4" xfId="0" applyNumberFormat="1" applyFont="1" applyBorder="1"/>
    <xf numFmtId="3" fontId="3" fillId="0" borderId="5" xfId="0" applyNumberFormat="1" applyFont="1" applyFill="1" applyBorder="1"/>
    <xf numFmtId="0" fontId="0" fillId="0" borderId="5" xfId="0" applyBorder="1"/>
    <xf numFmtId="166" fontId="3" fillId="0" borderId="9" xfId="0" applyNumberFormat="1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165" fontId="3" fillId="0" borderId="9" xfId="0" applyNumberFormat="1" applyFont="1" applyBorder="1"/>
    <xf numFmtId="165" fontId="0" fillId="0" borderId="0" xfId="0" applyNumberFormat="1"/>
    <xf numFmtId="10" fontId="0" fillId="6" borderId="0" xfId="0" applyNumberFormat="1" applyFill="1"/>
    <xf numFmtId="10" fontId="1" fillId="0" borderId="1" xfId="0" applyNumberFormat="1" applyFont="1" applyBorder="1"/>
    <xf numFmtId="165" fontId="3" fillId="0" borderId="0" xfId="0" applyNumberFormat="1" applyFont="1"/>
    <xf numFmtId="0" fontId="0" fillId="7" borderId="0" xfId="0" applyFill="1"/>
    <xf numFmtId="165" fontId="3" fillId="4" borderId="0" xfId="0" applyNumberFormat="1" applyFont="1" applyFill="1"/>
    <xf numFmtId="0" fontId="0" fillId="4" borderId="0" xfId="0" applyFill="1"/>
    <xf numFmtId="0" fontId="0" fillId="0" borderId="0" xfId="0" quotePrefix="1"/>
    <xf numFmtId="165" fontId="11" fillId="8" borderId="6" xfId="0" applyNumberFormat="1" applyFont="1" applyFill="1" applyBorder="1"/>
    <xf numFmtId="0" fontId="12" fillId="8" borderId="7" xfId="0" applyFont="1" applyFill="1" applyBorder="1" applyAlignment="1">
      <alignment wrapText="1"/>
    </xf>
    <xf numFmtId="0" fontId="12" fillId="8" borderId="7" xfId="0" applyFont="1" applyFill="1" applyBorder="1"/>
    <xf numFmtId="165" fontId="0" fillId="0" borderId="0" xfId="0" applyNumberFormat="1" applyAlignment="1">
      <alignment wrapText="1"/>
    </xf>
    <xf numFmtId="165" fontId="7" fillId="0" borderId="0" xfId="0" applyNumberFormat="1" applyFont="1"/>
    <xf numFmtId="3" fontId="0" fillId="0" borderId="0" xfId="0" applyNumberFormat="1"/>
    <xf numFmtId="0" fontId="1" fillId="0" borderId="12" xfId="0" applyFont="1" applyBorder="1" applyAlignment="1">
      <alignment horizontal="right" wrapText="1"/>
    </xf>
    <xf numFmtId="3" fontId="1" fillId="0" borderId="12" xfId="0" applyNumberFormat="1" applyFont="1" applyBorder="1" applyAlignment="1">
      <alignment wrapText="1"/>
    </xf>
    <xf numFmtId="3" fontId="1" fillId="0" borderId="12" xfId="0" applyNumberFormat="1" applyFont="1" applyBorder="1"/>
    <xf numFmtId="0" fontId="0" fillId="0" borderId="0" xfId="0" applyAlignment="1">
      <alignment horizontal="right" wrapText="1"/>
    </xf>
    <xf numFmtId="167" fontId="0" fillId="0" borderId="0" xfId="0" applyNumberFormat="1"/>
    <xf numFmtId="10" fontId="3" fillId="0" borderId="0" xfId="1" applyNumberFormat="1" applyFont="1"/>
    <xf numFmtId="10" fontId="0" fillId="0" borderId="0" xfId="0" applyNumberFormat="1"/>
    <xf numFmtId="0" fontId="13" fillId="0" borderId="0" xfId="0" applyFont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0" fillId="0" borderId="12" xfId="0" applyBorder="1"/>
    <xf numFmtId="9" fontId="3" fillId="0" borderId="12" xfId="0" applyNumberFormat="1" applyFont="1" applyBorder="1"/>
    <xf numFmtId="9" fontId="0" fillId="0" borderId="12" xfId="0" applyNumberFormat="1" applyBorder="1" applyAlignment="1">
      <alignment wrapText="1"/>
    </xf>
    <xf numFmtId="9" fontId="0" fillId="0" borderId="12" xfId="0" applyNumberFormat="1" applyBorder="1"/>
    <xf numFmtId="0" fontId="14" fillId="0" borderId="0" xfId="0" applyFont="1" applyBorder="1" applyAlignment="1">
      <alignment horizontal="left" wrapText="1"/>
    </xf>
    <xf numFmtId="0" fontId="0" fillId="0" borderId="0" xfId="0" applyBorder="1"/>
    <xf numFmtId="9" fontId="3" fillId="0" borderId="0" xfId="0" applyNumberFormat="1" applyFont="1" applyBorder="1"/>
    <xf numFmtId="9" fontId="0" fillId="0" borderId="0" xfId="0" applyNumberFormat="1" applyBorder="1"/>
    <xf numFmtId="0" fontId="0" fillId="0" borderId="0" xfId="0" applyBorder="1" applyAlignment="1">
      <alignment wrapText="1"/>
    </xf>
    <xf numFmtId="165" fontId="3" fillId="0" borderId="0" xfId="0" applyNumberFormat="1" applyFont="1" applyBorder="1"/>
    <xf numFmtId="165" fontId="1" fillId="0" borderId="0" xfId="0" applyNumberFormat="1" applyFont="1" applyBorder="1" applyAlignment="1">
      <alignment wrapText="1"/>
    </xf>
    <xf numFmtId="165" fontId="1" fillId="0" borderId="0" xfId="0" applyNumberFormat="1" applyFont="1" applyBorder="1"/>
    <xf numFmtId="165" fontId="3" fillId="0" borderId="12" xfId="0" applyNumberFormat="1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10" fontId="3" fillId="0" borderId="0" xfId="0" applyNumberFormat="1" applyFont="1" applyBorder="1"/>
    <xf numFmtId="10" fontId="0" fillId="0" borderId="0" xfId="0" applyNumberFormat="1" applyBorder="1"/>
    <xf numFmtId="0" fontId="4" fillId="34" borderId="0" xfId="0" applyFont="1" applyFill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right"/>
    </xf>
    <xf numFmtId="0" fontId="46" fillId="0" borderId="0" xfId="0" applyFont="1" applyBorder="1"/>
    <xf numFmtId="0" fontId="47" fillId="0" borderId="27" xfId="0" applyFont="1" applyBorder="1" applyAlignment="1">
      <alignment horizontal="center"/>
    </xf>
    <xf numFmtId="0" fontId="46" fillId="0" borderId="27" xfId="0" applyFont="1" applyBorder="1" applyAlignment="1">
      <alignment horizontal="center"/>
    </xf>
    <xf numFmtId="170" fontId="46" fillId="0" borderId="27" xfId="33" applyFont="1" applyBorder="1"/>
    <xf numFmtId="0" fontId="46" fillId="0" borderId="27" xfId="0" applyFont="1" applyBorder="1"/>
    <xf numFmtId="0" fontId="46" fillId="0" borderId="28" xfId="0" applyFont="1" applyBorder="1"/>
    <xf numFmtId="170" fontId="46" fillId="0" borderId="27" xfId="0" applyNumberFormat="1" applyFont="1" applyBorder="1"/>
    <xf numFmtId="2" fontId="46" fillId="0" borderId="27" xfId="0" applyNumberFormat="1" applyFont="1" applyBorder="1"/>
    <xf numFmtId="0" fontId="49" fillId="0" borderId="0" xfId="0" applyFont="1" applyBorder="1"/>
    <xf numFmtId="44" fontId="7" fillId="0" borderId="0" xfId="2" applyFont="1"/>
    <xf numFmtId="44" fontId="1" fillId="0" borderId="0" xfId="0" applyNumberFormat="1" applyFont="1"/>
    <xf numFmtId="44" fontId="1" fillId="0" borderId="26" xfId="0" applyNumberFormat="1" applyFont="1" applyBorder="1"/>
    <xf numFmtId="9" fontId="8" fillId="35" borderId="3" xfId="1" applyFont="1" applyFill="1" applyBorder="1" applyAlignment="1">
      <alignment horizontal="center" vertical="center"/>
    </xf>
    <xf numFmtId="0" fontId="0" fillId="35" borderId="4" xfId="0" applyFill="1" applyBorder="1"/>
    <xf numFmtId="10" fontId="0" fillId="35" borderId="4" xfId="0" applyNumberFormat="1" applyFill="1" applyBorder="1" applyAlignment="1">
      <alignment wrapText="1"/>
    </xf>
    <xf numFmtId="165" fontId="0" fillId="35" borderId="4" xfId="0" applyNumberFormat="1" applyFill="1" applyBorder="1"/>
    <xf numFmtId="3" fontId="0" fillId="35" borderId="4" xfId="0" applyNumberFormat="1" applyFill="1" applyBorder="1" applyAlignment="1">
      <alignment wrapText="1"/>
    </xf>
    <xf numFmtId="9" fontId="8" fillId="35" borderId="29" xfId="1" applyFont="1" applyFill="1" applyBorder="1" applyAlignment="1">
      <alignment horizontal="center" vertical="center"/>
    </xf>
    <xf numFmtId="165" fontId="3" fillId="35" borderId="9" xfId="0" applyNumberFormat="1" applyFont="1" applyFill="1" applyBorder="1"/>
    <xf numFmtId="9" fontId="8" fillId="3" borderId="30" xfId="1" applyFont="1" applyFill="1" applyBorder="1" applyAlignment="1">
      <alignment horizontal="center" vertical="center"/>
    </xf>
    <xf numFmtId="0" fontId="0" fillId="4" borderId="31" xfId="0" applyFill="1" applyBorder="1"/>
    <xf numFmtId="10" fontId="0" fillId="0" borderId="31" xfId="0" applyNumberFormat="1" applyBorder="1" applyAlignment="1">
      <alignment wrapText="1"/>
    </xf>
    <xf numFmtId="165" fontId="0" fillId="6" borderId="31" xfId="0" applyNumberFormat="1" applyFill="1" applyBorder="1"/>
    <xf numFmtId="3" fontId="0" fillId="0" borderId="31" xfId="0" applyNumberFormat="1" applyBorder="1" applyAlignment="1">
      <alignment wrapText="1"/>
    </xf>
    <xf numFmtId="165" fontId="0" fillId="0" borderId="31" xfId="0" applyNumberFormat="1" applyFill="1" applyBorder="1"/>
    <xf numFmtId="9" fontId="8" fillId="3" borderId="32" xfId="1" applyFont="1" applyFill="1" applyBorder="1" applyAlignment="1">
      <alignment horizontal="center" vertical="center"/>
    </xf>
    <xf numFmtId="165" fontId="3" fillId="0" borderId="6" xfId="0" applyNumberFormat="1" applyFont="1" applyBorder="1"/>
    <xf numFmtId="164" fontId="6" fillId="3" borderId="33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10" fontId="0" fillId="0" borderId="11" xfId="0" applyNumberFormat="1" applyBorder="1" applyAlignment="1">
      <alignment wrapText="1"/>
    </xf>
    <xf numFmtId="165" fontId="0" fillId="0" borderId="11" xfId="0" applyNumberFormat="1" applyBorder="1"/>
    <xf numFmtId="3" fontId="0" fillId="0" borderId="11" xfId="0" applyNumberFormat="1" applyBorder="1"/>
    <xf numFmtId="165" fontId="3" fillId="0" borderId="8" xfId="0" applyNumberFormat="1" applyFont="1" applyBorder="1"/>
    <xf numFmtId="10" fontId="1" fillId="0" borderId="34" xfId="0" applyNumberFormat="1" applyFont="1" applyBorder="1"/>
    <xf numFmtId="0" fontId="0" fillId="0" borderId="11" xfId="0" applyBorder="1"/>
    <xf numFmtId="0" fontId="48" fillId="0" borderId="0" xfId="0" applyFont="1" applyBorder="1"/>
    <xf numFmtId="10" fontId="0" fillId="35" borderId="4" xfId="0" applyNumberFormat="1" applyFill="1" applyBorder="1"/>
    <xf numFmtId="0" fontId="0" fillId="35" borderId="4" xfId="0" applyFill="1" applyBorder="1" applyAlignment="1">
      <alignment wrapText="1"/>
    </xf>
    <xf numFmtId="0" fontId="12" fillId="35" borderId="9" xfId="0" applyFont="1" applyFill="1" applyBorder="1"/>
    <xf numFmtId="0" fontId="0" fillId="35" borderId="4" xfId="0" applyFill="1" applyBorder="1" applyAlignment="1">
      <alignment horizontal="right"/>
    </xf>
    <xf numFmtId="44" fontId="1" fillId="35" borderId="4" xfId="0" applyNumberFormat="1" applyFont="1" applyFill="1" applyBorder="1"/>
    <xf numFmtId="9" fontId="0" fillId="35" borderId="4" xfId="0" applyNumberFormat="1" applyFill="1" applyBorder="1"/>
    <xf numFmtId="165" fontId="3" fillId="35" borderId="4" xfId="0" applyNumberFormat="1" applyFont="1" applyFill="1" applyBorder="1"/>
    <xf numFmtId="10" fontId="0" fillId="35" borderId="5" xfId="0" applyNumberFormat="1" applyFill="1" applyBorder="1"/>
    <xf numFmtId="0" fontId="0" fillId="0" borderId="0" xfId="0" applyBorder="1" applyAlignment="1">
      <alignment horizontal="right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 applyBorder="1" applyAlignment="1"/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6" xfId="0" applyFont="1" applyBorder="1" applyAlignment="1"/>
    <xf numFmtId="0" fontId="3" fillId="0" borderId="7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165" fontId="51" fillId="0" borderId="10" xfId="0" applyNumberFormat="1" applyFont="1" applyFill="1" applyBorder="1" applyAlignment="1">
      <alignment wrapText="1"/>
    </xf>
    <xf numFmtId="0" fontId="14" fillId="0" borderId="10" xfId="0" applyFont="1" applyBorder="1" applyAlignment="1">
      <alignment wrapText="1"/>
    </xf>
    <xf numFmtId="0" fontId="0" fillId="0" borderId="0" xfId="0" applyBorder="1" applyAlignment="1" applyProtection="1">
      <alignment horizontal="center"/>
    </xf>
    <xf numFmtId="170" fontId="47" fillId="36" borderId="27" xfId="33" applyFont="1" applyFill="1" applyBorder="1"/>
    <xf numFmtId="165" fontId="3" fillId="36" borderId="0" xfId="0" applyNumberFormat="1" applyFont="1" applyFill="1"/>
    <xf numFmtId="0" fontId="0" fillId="37" borderId="0" xfId="0" applyFill="1" applyBorder="1" applyAlignment="1">
      <alignment horizontal="right"/>
    </xf>
    <xf numFmtId="165" fontId="3" fillId="37" borderId="0" xfId="0" applyNumberFormat="1" applyFont="1" applyFill="1"/>
    <xf numFmtId="0" fontId="0" fillId="37" borderId="0" xfId="0" applyFill="1" applyAlignment="1">
      <alignment wrapText="1"/>
    </xf>
    <xf numFmtId="0" fontId="0" fillId="37" borderId="0" xfId="0" applyFill="1" applyBorder="1" applyAlignment="1">
      <alignment wrapText="1"/>
    </xf>
    <xf numFmtId="10" fontId="0" fillId="37" borderId="11" xfId="1" applyNumberFormat="1" applyFont="1" applyFill="1" applyBorder="1"/>
    <xf numFmtId="10" fontId="0" fillId="37" borderId="4" xfId="1" applyNumberFormat="1" applyFont="1" applyFill="1" applyBorder="1"/>
    <xf numFmtId="0" fontId="0" fillId="37" borderId="0" xfId="0" applyFill="1" applyAlignment="1">
      <alignment wrapText="1"/>
    </xf>
    <xf numFmtId="0" fontId="0" fillId="37" borderId="0" xfId="0" applyFill="1" applyBorder="1" applyAlignment="1">
      <alignment horizontal="right"/>
    </xf>
    <xf numFmtId="44" fontId="0" fillId="37" borderId="11" xfId="2" applyFont="1" applyFill="1" applyBorder="1"/>
    <xf numFmtId="165" fontId="0" fillId="37" borderId="4" xfId="0" applyNumberFormat="1" applyFill="1" applyBorder="1"/>
    <xf numFmtId="165" fontId="0" fillId="36" borderId="11" xfId="0" applyNumberFormat="1" applyFill="1" applyBorder="1"/>
    <xf numFmtId="165" fontId="1" fillId="0" borderId="0" xfId="0" applyNumberFormat="1" applyFont="1"/>
    <xf numFmtId="0" fontId="50" fillId="36" borderId="0" xfId="0" applyFont="1" applyFill="1" applyBorder="1"/>
    <xf numFmtId="0" fontId="45" fillId="36" borderId="0" xfId="0" applyFont="1" applyFill="1" applyBorder="1"/>
    <xf numFmtId="0" fontId="45" fillId="36" borderId="27" xfId="0" applyFont="1" applyFill="1" applyBorder="1"/>
    <xf numFmtId="0" fontId="0" fillId="36" borderId="0" xfId="0" applyFill="1" applyAlignment="1">
      <alignment horizontal="right"/>
    </xf>
    <xf numFmtId="0" fontId="0" fillId="36" borderId="0" xfId="0" applyFill="1" applyAlignment="1"/>
    <xf numFmtId="165" fontId="2" fillId="6" borderId="8" xfId="0" applyNumberFormat="1" applyFont="1" applyFill="1" applyBorder="1"/>
  </cellXfs>
  <cellStyles count="7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Actual Date" xfId="27"/>
    <cellStyle name="Bad 2" xfId="28"/>
    <cellStyle name="Calculation 2" xfId="29"/>
    <cellStyle name="Check Cell 2" xfId="30"/>
    <cellStyle name="Comma 2" xfId="31"/>
    <cellStyle name="Comma0" xfId="32"/>
    <cellStyle name="Currency 2" xfId="33"/>
    <cellStyle name="Currency 3" xfId="2"/>
    <cellStyle name="Currency0" xfId="34"/>
    <cellStyle name="Date" xfId="35"/>
    <cellStyle name="Explanatory Text 2" xfId="36"/>
    <cellStyle name="Fixed" xfId="37"/>
    <cellStyle name="Good 2" xfId="38"/>
    <cellStyle name="Grey" xfId="39"/>
    <cellStyle name="HEADER" xfId="40"/>
    <cellStyle name="Header1" xfId="41"/>
    <cellStyle name="Header2" xfId="42"/>
    <cellStyle name="Heading" xfId="43"/>
    <cellStyle name="Heading 1 2" xfId="44"/>
    <cellStyle name="Heading 2 2" xfId="45"/>
    <cellStyle name="Heading 3 2" xfId="46"/>
    <cellStyle name="Heading 4 2" xfId="47"/>
    <cellStyle name="Heading1" xfId="48"/>
    <cellStyle name="Heading2" xfId="49"/>
    <cellStyle name="HIGHLIGHT" xfId="50"/>
    <cellStyle name="Indent (1)" xfId="51"/>
    <cellStyle name="Indent (2)" xfId="52"/>
    <cellStyle name="Indent (3)" xfId="53"/>
    <cellStyle name="Indent (4)" xfId="54"/>
    <cellStyle name="Input [yellow]" xfId="55"/>
    <cellStyle name="Input 2" xfId="56"/>
    <cellStyle name="Linked Cell 2" xfId="57"/>
    <cellStyle name="Neutral 2" xfId="58"/>
    <cellStyle name="no dec" xfId="59"/>
    <cellStyle name="Normal" xfId="0" builtinId="0"/>
    <cellStyle name="Normal - Style1" xfId="60"/>
    <cellStyle name="Normal 2" xfId="61"/>
    <cellStyle name="Normal 3" xfId="62"/>
    <cellStyle name="Note 2" xfId="63"/>
    <cellStyle name="Output 2" xfId="64"/>
    <cellStyle name="Percent (1)" xfId="65"/>
    <cellStyle name="Percent [2]" xfId="66"/>
    <cellStyle name="Percent 2" xfId="67"/>
    <cellStyle name="Percent 3" xfId="68"/>
    <cellStyle name="Percent 4" xfId="1"/>
    <cellStyle name="PSChar" xfId="69"/>
    <cellStyle name="Title 2" xfId="70"/>
    <cellStyle name="Total 2" xfId="71"/>
    <cellStyle name="Total 3" xfId="72"/>
    <cellStyle name="Unprot" xfId="73"/>
    <cellStyle name="Unprot$" xfId="74"/>
    <cellStyle name="Unprot_COLLUS Verification" xfId="75"/>
    <cellStyle name="Unprotect" xfId="76"/>
    <cellStyle name="Warning Text 2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topLeftCell="B7" zoomScaleNormal="100" workbookViewId="0">
      <selection activeCell="R17" sqref="R17"/>
    </sheetView>
  </sheetViews>
  <sheetFormatPr defaultRowHeight="15"/>
  <cols>
    <col min="1" max="1" width="8.5703125" customWidth="1"/>
    <col min="2" max="2" width="36.7109375" style="3" customWidth="1"/>
    <col min="3" max="3" width="10.42578125" style="3" customWidth="1"/>
    <col min="4" max="4" width="12" customWidth="1"/>
    <col min="5" max="5" width="13.7109375" customWidth="1"/>
    <col min="6" max="6" width="11.140625" customWidth="1"/>
    <col min="7" max="7" width="8" customWidth="1"/>
    <col min="8" max="8" width="20" style="2" customWidth="1"/>
    <col min="9" max="9" width="14.5703125" style="3" customWidth="1"/>
    <col min="10" max="10" width="14.85546875" customWidth="1"/>
    <col min="11" max="11" width="15.7109375" bestFit="1" customWidth="1"/>
    <col min="12" max="12" width="5" customWidth="1"/>
    <col min="13" max="13" width="15.7109375" bestFit="1" customWidth="1"/>
    <col min="14" max="14" width="15.140625" customWidth="1"/>
    <col min="15" max="15" width="13.85546875" customWidth="1"/>
    <col min="246" max="246" width="4.140625" customWidth="1"/>
    <col min="247" max="247" width="42.7109375" customWidth="1"/>
    <col min="248" max="248" width="12" customWidth="1"/>
    <col min="249" max="249" width="14.7109375" customWidth="1"/>
    <col min="250" max="250" width="16.42578125" customWidth="1"/>
    <col min="251" max="251" width="4.140625" customWidth="1"/>
    <col min="252" max="252" width="15.140625" customWidth="1"/>
    <col min="253" max="253" width="14.5703125" customWidth="1"/>
    <col min="254" max="254" width="16.42578125" customWidth="1"/>
    <col min="255" max="256" width="15.7109375" bestFit="1" customWidth="1"/>
    <col min="257" max="257" width="12.7109375" bestFit="1" customWidth="1"/>
    <col min="502" max="502" width="4.140625" customWidth="1"/>
    <col min="503" max="503" width="42.7109375" customWidth="1"/>
    <col min="504" max="504" width="12" customWidth="1"/>
    <col min="505" max="505" width="14.7109375" customWidth="1"/>
    <col min="506" max="506" width="16.42578125" customWidth="1"/>
    <col min="507" max="507" width="4.140625" customWidth="1"/>
    <col min="508" max="508" width="15.140625" customWidth="1"/>
    <col min="509" max="509" width="14.5703125" customWidth="1"/>
    <col min="510" max="510" width="16.42578125" customWidth="1"/>
    <col min="511" max="512" width="15.7109375" bestFit="1" customWidth="1"/>
    <col min="513" max="513" width="12.7109375" bestFit="1" customWidth="1"/>
    <col min="758" max="758" width="4.140625" customWidth="1"/>
    <col min="759" max="759" width="42.7109375" customWidth="1"/>
    <col min="760" max="760" width="12" customWidth="1"/>
    <col min="761" max="761" width="14.7109375" customWidth="1"/>
    <col min="762" max="762" width="16.42578125" customWidth="1"/>
    <col min="763" max="763" width="4.140625" customWidth="1"/>
    <col min="764" max="764" width="15.140625" customWidth="1"/>
    <col min="765" max="765" width="14.5703125" customWidth="1"/>
    <col min="766" max="766" width="16.42578125" customWidth="1"/>
    <col min="767" max="768" width="15.7109375" bestFit="1" customWidth="1"/>
    <col min="769" max="769" width="12.7109375" bestFit="1" customWidth="1"/>
    <col min="1014" max="1014" width="4.140625" customWidth="1"/>
    <col min="1015" max="1015" width="42.7109375" customWidth="1"/>
    <col min="1016" max="1016" width="12" customWidth="1"/>
    <col min="1017" max="1017" width="14.7109375" customWidth="1"/>
    <col min="1018" max="1018" width="16.42578125" customWidth="1"/>
    <col min="1019" max="1019" width="4.140625" customWidth="1"/>
    <col min="1020" max="1020" width="15.140625" customWidth="1"/>
    <col min="1021" max="1021" width="14.5703125" customWidth="1"/>
    <col min="1022" max="1022" width="16.42578125" customWidth="1"/>
    <col min="1023" max="1024" width="15.7109375" bestFit="1" customWidth="1"/>
    <col min="1025" max="1025" width="12.7109375" bestFit="1" customWidth="1"/>
    <col min="1270" max="1270" width="4.140625" customWidth="1"/>
    <col min="1271" max="1271" width="42.7109375" customWidth="1"/>
    <col min="1272" max="1272" width="12" customWidth="1"/>
    <col min="1273" max="1273" width="14.7109375" customWidth="1"/>
    <col min="1274" max="1274" width="16.42578125" customWidth="1"/>
    <col min="1275" max="1275" width="4.140625" customWidth="1"/>
    <col min="1276" max="1276" width="15.140625" customWidth="1"/>
    <col min="1277" max="1277" width="14.5703125" customWidth="1"/>
    <col min="1278" max="1278" width="16.42578125" customWidth="1"/>
    <col min="1279" max="1280" width="15.7109375" bestFit="1" customWidth="1"/>
    <col min="1281" max="1281" width="12.7109375" bestFit="1" customWidth="1"/>
    <col min="1526" max="1526" width="4.140625" customWidth="1"/>
    <col min="1527" max="1527" width="42.7109375" customWidth="1"/>
    <col min="1528" max="1528" width="12" customWidth="1"/>
    <col min="1529" max="1529" width="14.7109375" customWidth="1"/>
    <col min="1530" max="1530" width="16.42578125" customWidth="1"/>
    <col min="1531" max="1531" width="4.140625" customWidth="1"/>
    <col min="1532" max="1532" width="15.140625" customWidth="1"/>
    <col min="1533" max="1533" width="14.5703125" customWidth="1"/>
    <col min="1534" max="1534" width="16.42578125" customWidth="1"/>
    <col min="1535" max="1536" width="15.7109375" bestFit="1" customWidth="1"/>
    <col min="1537" max="1537" width="12.7109375" bestFit="1" customWidth="1"/>
    <col min="1782" max="1782" width="4.140625" customWidth="1"/>
    <col min="1783" max="1783" width="42.7109375" customWidth="1"/>
    <col min="1784" max="1784" width="12" customWidth="1"/>
    <col min="1785" max="1785" width="14.7109375" customWidth="1"/>
    <col min="1786" max="1786" width="16.42578125" customWidth="1"/>
    <col min="1787" max="1787" width="4.140625" customWidth="1"/>
    <col min="1788" max="1788" width="15.140625" customWidth="1"/>
    <col min="1789" max="1789" width="14.5703125" customWidth="1"/>
    <col min="1790" max="1790" width="16.42578125" customWidth="1"/>
    <col min="1791" max="1792" width="15.7109375" bestFit="1" customWidth="1"/>
    <col min="1793" max="1793" width="12.7109375" bestFit="1" customWidth="1"/>
    <col min="2038" max="2038" width="4.140625" customWidth="1"/>
    <col min="2039" max="2039" width="42.7109375" customWidth="1"/>
    <col min="2040" max="2040" width="12" customWidth="1"/>
    <col min="2041" max="2041" width="14.7109375" customWidth="1"/>
    <col min="2042" max="2042" width="16.42578125" customWidth="1"/>
    <col min="2043" max="2043" width="4.140625" customWidth="1"/>
    <col min="2044" max="2044" width="15.140625" customWidth="1"/>
    <col min="2045" max="2045" width="14.5703125" customWidth="1"/>
    <col min="2046" max="2046" width="16.42578125" customWidth="1"/>
    <col min="2047" max="2048" width="15.7109375" bestFit="1" customWidth="1"/>
    <col min="2049" max="2049" width="12.7109375" bestFit="1" customWidth="1"/>
    <col min="2294" max="2294" width="4.140625" customWidth="1"/>
    <col min="2295" max="2295" width="42.7109375" customWidth="1"/>
    <col min="2296" max="2296" width="12" customWidth="1"/>
    <col min="2297" max="2297" width="14.7109375" customWidth="1"/>
    <col min="2298" max="2298" width="16.42578125" customWidth="1"/>
    <col min="2299" max="2299" width="4.140625" customWidth="1"/>
    <col min="2300" max="2300" width="15.140625" customWidth="1"/>
    <col min="2301" max="2301" width="14.5703125" customWidth="1"/>
    <col min="2302" max="2302" width="16.42578125" customWidth="1"/>
    <col min="2303" max="2304" width="15.7109375" bestFit="1" customWidth="1"/>
    <col min="2305" max="2305" width="12.7109375" bestFit="1" customWidth="1"/>
    <col min="2550" max="2550" width="4.140625" customWidth="1"/>
    <col min="2551" max="2551" width="42.7109375" customWidth="1"/>
    <col min="2552" max="2552" width="12" customWidth="1"/>
    <col min="2553" max="2553" width="14.7109375" customWidth="1"/>
    <col min="2554" max="2554" width="16.42578125" customWidth="1"/>
    <col min="2555" max="2555" width="4.140625" customWidth="1"/>
    <col min="2556" max="2556" width="15.140625" customWidth="1"/>
    <col min="2557" max="2557" width="14.5703125" customWidth="1"/>
    <col min="2558" max="2558" width="16.42578125" customWidth="1"/>
    <col min="2559" max="2560" width="15.7109375" bestFit="1" customWidth="1"/>
    <col min="2561" max="2561" width="12.7109375" bestFit="1" customWidth="1"/>
    <col min="2806" max="2806" width="4.140625" customWidth="1"/>
    <col min="2807" max="2807" width="42.7109375" customWidth="1"/>
    <col min="2808" max="2808" width="12" customWidth="1"/>
    <col min="2809" max="2809" width="14.7109375" customWidth="1"/>
    <col min="2810" max="2810" width="16.42578125" customWidth="1"/>
    <col min="2811" max="2811" width="4.140625" customWidth="1"/>
    <col min="2812" max="2812" width="15.140625" customWidth="1"/>
    <col min="2813" max="2813" width="14.5703125" customWidth="1"/>
    <col min="2814" max="2814" width="16.42578125" customWidth="1"/>
    <col min="2815" max="2816" width="15.7109375" bestFit="1" customWidth="1"/>
    <col min="2817" max="2817" width="12.7109375" bestFit="1" customWidth="1"/>
    <col min="3062" max="3062" width="4.140625" customWidth="1"/>
    <col min="3063" max="3063" width="42.7109375" customWidth="1"/>
    <col min="3064" max="3064" width="12" customWidth="1"/>
    <col min="3065" max="3065" width="14.7109375" customWidth="1"/>
    <col min="3066" max="3066" width="16.42578125" customWidth="1"/>
    <col min="3067" max="3067" width="4.140625" customWidth="1"/>
    <col min="3068" max="3068" width="15.140625" customWidth="1"/>
    <col min="3069" max="3069" width="14.5703125" customWidth="1"/>
    <col min="3070" max="3070" width="16.42578125" customWidth="1"/>
    <col min="3071" max="3072" width="15.7109375" bestFit="1" customWidth="1"/>
    <col min="3073" max="3073" width="12.7109375" bestFit="1" customWidth="1"/>
    <col min="3318" max="3318" width="4.140625" customWidth="1"/>
    <col min="3319" max="3319" width="42.7109375" customWidth="1"/>
    <col min="3320" max="3320" width="12" customWidth="1"/>
    <col min="3321" max="3321" width="14.7109375" customWidth="1"/>
    <col min="3322" max="3322" width="16.42578125" customWidth="1"/>
    <col min="3323" max="3323" width="4.140625" customWidth="1"/>
    <col min="3324" max="3324" width="15.140625" customWidth="1"/>
    <col min="3325" max="3325" width="14.5703125" customWidth="1"/>
    <col min="3326" max="3326" width="16.42578125" customWidth="1"/>
    <col min="3327" max="3328" width="15.7109375" bestFit="1" customWidth="1"/>
    <col min="3329" max="3329" width="12.7109375" bestFit="1" customWidth="1"/>
    <col min="3574" max="3574" width="4.140625" customWidth="1"/>
    <col min="3575" max="3575" width="42.7109375" customWidth="1"/>
    <col min="3576" max="3576" width="12" customWidth="1"/>
    <col min="3577" max="3577" width="14.7109375" customWidth="1"/>
    <col min="3578" max="3578" width="16.42578125" customWidth="1"/>
    <col min="3579" max="3579" width="4.140625" customWidth="1"/>
    <col min="3580" max="3580" width="15.140625" customWidth="1"/>
    <col min="3581" max="3581" width="14.5703125" customWidth="1"/>
    <col min="3582" max="3582" width="16.42578125" customWidth="1"/>
    <col min="3583" max="3584" width="15.7109375" bestFit="1" customWidth="1"/>
    <col min="3585" max="3585" width="12.7109375" bestFit="1" customWidth="1"/>
    <col min="3830" max="3830" width="4.140625" customWidth="1"/>
    <col min="3831" max="3831" width="42.7109375" customWidth="1"/>
    <col min="3832" max="3832" width="12" customWidth="1"/>
    <col min="3833" max="3833" width="14.7109375" customWidth="1"/>
    <col min="3834" max="3834" width="16.42578125" customWidth="1"/>
    <col min="3835" max="3835" width="4.140625" customWidth="1"/>
    <col min="3836" max="3836" width="15.140625" customWidth="1"/>
    <col min="3837" max="3837" width="14.5703125" customWidth="1"/>
    <col min="3838" max="3838" width="16.42578125" customWidth="1"/>
    <col min="3839" max="3840" width="15.7109375" bestFit="1" customWidth="1"/>
    <col min="3841" max="3841" width="12.7109375" bestFit="1" customWidth="1"/>
    <col min="4086" max="4086" width="4.140625" customWidth="1"/>
    <col min="4087" max="4087" width="42.7109375" customWidth="1"/>
    <col min="4088" max="4088" width="12" customWidth="1"/>
    <col min="4089" max="4089" width="14.7109375" customWidth="1"/>
    <col min="4090" max="4090" width="16.42578125" customWidth="1"/>
    <col min="4091" max="4091" width="4.140625" customWidth="1"/>
    <col min="4092" max="4092" width="15.140625" customWidth="1"/>
    <col min="4093" max="4093" width="14.5703125" customWidth="1"/>
    <col min="4094" max="4094" width="16.42578125" customWidth="1"/>
    <col min="4095" max="4096" width="15.7109375" bestFit="1" customWidth="1"/>
    <col min="4097" max="4097" width="12.7109375" bestFit="1" customWidth="1"/>
    <col min="4342" max="4342" width="4.140625" customWidth="1"/>
    <col min="4343" max="4343" width="42.7109375" customWidth="1"/>
    <col min="4344" max="4344" width="12" customWidth="1"/>
    <col min="4345" max="4345" width="14.7109375" customWidth="1"/>
    <col min="4346" max="4346" width="16.42578125" customWidth="1"/>
    <col min="4347" max="4347" width="4.140625" customWidth="1"/>
    <col min="4348" max="4348" width="15.140625" customWidth="1"/>
    <col min="4349" max="4349" width="14.5703125" customWidth="1"/>
    <col min="4350" max="4350" width="16.42578125" customWidth="1"/>
    <col min="4351" max="4352" width="15.7109375" bestFit="1" customWidth="1"/>
    <col min="4353" max="4353" width="12.7109375" bestFit="1" customWidth="1"/>
    <col min="4598" max="4598" width="4.140625" customWidth="1"/>
    <col min="4599" max="4599" width="42.7109375" customWidth="1"/>
    <col min="4600" max="4600" width="12" customWidth="1"/>
    <col min="4601" max="4601" width="14.7109375" customWidth="1"/>
    <col min="4602" max="4602" width="16.42578125" customWidth="1"/>
    <col min="4603" max="4603" width="4.140625" customWidth="1"/>
    <col min="4604" max="4604" width="15.140625" customWidth="1"/>
    <col min="4605" max="4605" width="14.5703125" customWidth="1"/>
    <col min="4606" max="4606" width="16.42578125" customWidth="1"/>
    <col min="4607" max="4608" width="15.7109375" bestFit="1" customWidth="1"/>
    <col min="4609" max="4609" width="12.7109375" bestFit="1" customWidth="1"/>
    <col min="4854" max="4854" width="4.140625" customWidth="1"/>
    <col min="4855" max="4855" width="42.7109375" customWidth="1"/>
    <col min="4856" max="4856" width="12" customWidth="1"/>
    <col min="4857" max="4857" width="14.7109375" customWidth="1"/>
    <col min="4858" max="4858" width="16.42578125" customWidth="1"/>
    <col min="4859" max="4859" width="4.140625" customWidth="1"/>
    <col min="4860" max="4860" width="15.140625" customWidth="1"/>
    <col min="4861" max="4861" width="14.5703125" customWidth="1"/>
    <col min="4862" max="4862" width="16.42578125" customWidth="1"/>
    <col min="4863" max="4864" width="15.7109375" bestFit="1" customWidth="1"/>
    <col min="4865" max="4865" width="12.7109375" bestFit="1" customWidth="1"/>
    <col min="5110" max="5110" width="4.140625" customWidth="1"/>
    <col min="5111" max="5111" width="42.7109375" customWidth="1"/>
    <col min="5112" max="5112" width="12" customWidth="1"/>
    <col min="5113" max="5113" width="14.7109375" customWidth="1"/>
    <col min="5114" max="5114" width="16.42578125" customWidth="1"/>
    <col min="5115" max="5115" width="4.140625" customWidth="1"/>
    <col min="5116" max="5116" width="15.140625" customWidth="1"/>
    <col min="5117" max="5117" width="14.5703125" customWidth="1"/>
    <col min="5118" max="5118" width="16.42578125" customWidth="1"/>
    <col min="5119" max="5120" width="15.7109375" bestFit="1" customWidth="1"/>
    <col min="5121" max="5121" width="12.7109375" bestFit="1" customWidth="1"/>
    <col min="5366" max="5366" width="4.140625" customWidth="1"/>
    <col min="5367" max="5367" width="42.7109375" customWidth="1"/>
    <col min="5368" max="5368" width="12" customWidth="1"/>
    <col min="5369" max="5369" width="14.7109375" customWidth="1"/>
    <col min="5370" max="5370" width="16.42578125" customWidth="1"/>
    <col min="5371" max="5371" width="4.140625" customWidth="1"/>
    <col min="5372" max="5372" width="15.140625" customWidth="1"/>
    <col min="5373" max="5373" width="14.5703125" customWidth="1"/>
    <col min="5374" max="5374" width="16.42578125" customWidth="1"/>
    <col min="5375" max="5376" width="15.7109375" bestFit="1" customWidth="1"/>
    <col min="5377" max="5377" width="12.7109375" bestFit="1" customWidth="1"/>
    <col min="5622" max="5622" width="4.140625" customWidth="1"/>
    <col min="5623" max="5623" width="42.7109375" customWidth="1"/>
    <col min="5624" max="5624" width="12" customWidth="1"/>
    <col min="5625" max="5625" width="14.7109375" customWidth="1"/>
    <col min="5626" max="5626" width="16.42578125" customWidth="1"/>
    <col min="5627" max="5627" width="4.140625" customWidth="1"/>
    <col min="5628" max="5628" width="15.140625" customWidth="1"/>
    <col min="5629" max="5629" width="14.5703125" customWidth="1"/>
    <col min="5630" max="5630" width="16.42578125" customWidth="1"/>
    <col min="5631" max="5632" width="15.7109375" bestFit="1" customWidth="1"/>
    <col min="5633" max="5633" width="12.7109375" bestFit="1" customWidth="1"/>
    <col min="5878" max="5878" width="4.140625" customWidth="1"/>
    <col min="5879" max="5879" width="42.7109375" customWidth="1"/>
    <col min="5880" max="5880" width="12" customWidth="1"/>
    <col min="5881" max="5881" width="14.7109375" customWidth="1"/>
    <col min="5882" max="5882" width="16.42578125" customWidth="1"/>
    <col min="5883" max="5883" width="4.140625" customWidth="1"/>
    <col min="5884" max="5884" width="15.140625" customWidth="1"/>
    <col min="5885" max="5885" width="14.5703125" customWidth="1"/>
    <col min="5886" max="5886" width="16.42578125" customWidth="1"/>
    <col min="5887" max="5888" width="15.7109375" bestFit="1" customWidth="1"/>
    <col min="5889" max="5889" width="12.7109375" bestFit="1" customWidth="1"/>
    <col min="6134" max="6134" width="4.140625" customWidth="1"/>
    <col min="6135" max="6135" width="42.7109375" customWidth="1"/>
    <col min="6136" max="6136" width="12" customWidth="1"/>
    <col min="6137" max="6137" width="14.7109375" customWidth="1"/>
    <col min="6138" max="6138" width="16.42578125" customWidth="1"/>
    <col min="6139" max="6139" width="4.140625" customWidth="1"/>
    <col min="6140" max="6140" width="15.140625" customWidth="1"/>
    <col min="6141" max="6141" width="14.5703125" customWidth="1"/>
    <col min="6142" max="6142" width="16.42578125" customWidth="1"/>
    <col min="6143" max="6144" width="15.7109375" bestFit="1" customWidth="1"/>
    <col min="6145" max="6145" width="12.7109375" bestFit="1" customWidth="1"/>
    <col min="6390" max="6390" width="4.140625" customWidth="1"/>
    <col min="6391" max="6391" width="42.7109375" customWidth="1"/>
    <col min="6392" max="6392" width="12" customWidth="1"/>
    <col min="6393" max="6393" width="14.7109375" customWidth="1"/>
    <col min="6394" max="6394" width="16.42578125" customWidth="1"/>
    <col min="6395" max="6395" width="4.140625" customWidth="1"/>
    <col min="6396" max="6396" width="15.140625" customWidth="1"/>
    <col min="6397" max="6397" width="14.5703125" customWidth="1"/>
    <col min="6398" max="6398" width="16.42578125" customWidth="1"/>
    <col min="6399" max="6400" width="15.7109375" bestFit="1" customWidth="1"/>
    <col min="6401" max="6401" width="12.7109375" bestFit="1" customWidth="1"/>
    <col min="6646" max="6646" width="4.140625" customWidth="1"/>
    <col min="6647" max="6647" width="42.7109375" customWidth="1"/>
    <col min="6648" max="6648" width="12" customWidth="1"/>
    <col min="6649" max="6649" width="14.7109375" customWidth="1"/>
    <col min="6650" max="6650" width="16.42578125" customWidth="1"/>
    <col min="6651" max="6651" width="4.140625" customWidth="1"/>
    <col min="6652" max="6652" width="15.140625" customWidth="1"/>
    <col min="6653" max="6653" width="14.5703125" customWidth="1"/>
    <col min="6654" max="6654" width="16.42578125" customWidth="1"/>
    <col min="6655" max="6656" width="15.7109375" bestFit="1" customWidth="1"/>
    <col min="6657" max="6657" width="12.7109375" bestFit="1" customWidth="1"/>
    <col min="6902" max="6902" width="4.140625" customWidth="1"/>
    <col min="6903" max="6903" width="42.7109375" customWidth="1"/>
    <col min="6904" max="6904" width="12" customWidth="1"/>
    <col min="6905" max="6905" width="14.7109375" customWidth="1"/>
    <col min="6906" max="6906" width="16.42578125" customWidth="1"/>
    <col min="6907" max="6907" width="4.140625" customWidth="1"/>
    <col min="6908" max="6908" width="15.140625" customWidth="1"/>
    <col min="6909" max="6909" width="14.5703125" customWidth="1"/>
    <col min="6910" max="6910" width="16.42578125" customWidth="1"/>
    <col min="6911" max="6912" width="15.7109375" bestFit="1" customWidth="1"/>
    <col min="6913" max="6913" width="12.7109375" bestFit="1" customWidth="1"/>
    <col min="7158" max="7158" width="4.140625" customWidth="1"/>
    <col min="7159" max="7159" width="42.7109375" customWidth="1"/>
    <col min="7160" max="7160" width="12" customWidth="1"/>
    <col min="7161" max="7161" width="14.7109375" customWidth="1"/>
    <col min="7162" max="7162" width="16.42578125" customWidth="1"/>
    <col min="7163" max="7163" width="4.140625" customWidth="1"/>
    <col min="7164" max="7164" width="15.140625" customWidth="1"/>
    <col min="7165" max="7165" width="14.5703125" customWidth="1"/>
    <col min="7166" max="7166" width="16.42578125" customWidth="1"/>
    <col min="7167" max="7168" width="15.7109375" bestFit="1" customWidth="1"/>
    <col min="7169" max="7169" width="12.7109375" bestFit="1" customWidth="1"/>
    <col min="7414" max="7414" width="4.140625" customWidth="1"/>
    <col min="7415" max="7415" width="42.7109375" customWidth="1"/>
    <col min="7416" max="7416" width="12" customWidth="1"/>
    <col min="7417" max="7417" width="14.7109375" customWidth="1"/>
    <col min="7418" max="7418" width="16.42578125" customWidth="1"/>
    <col min="7419" max="7419" width="4.140625" customWidth="1"/>
    <col min="7420" max="7420" width="15.140625" customWidth="1"/>
    <col min="7421" max="7421" width="14.5703125" customWidth="1"/>
    <col min="7422" max="7422" width="16.42578125" customWidth="1"/>
    <col min="7423" max="7424" width="15.7109375" bestFit="1" customWidth="1"/>
    <col min="7425" max="7425" width="12.7109375" bestFit="1" customWidth="1"/>
    <col min="7670" max="7670" width="4.140625" customWidth="1"/>
    <col min="7671" max="7671" width="42.7109375" customWidth="1"/>
    <col min="7672" max="7672" width="12" customWidth="1"/>
    <col min="7673" max="7673" width="14.7109375" customWidth="1"/>
    <col min="7674" max="7674" width="16.42578125" customWidth="1"/>
    <col min="7675" max="7675" width="4.140625" customWidth="1"/>
    <col min="7676" max="7676" width="15.140625" customWidth="1"/>
    <col min="7677" max="7677" width="14.5703125" customWidth="1"/>
    <col min="7678" max="7678" width="16.42578125" customWidth="1"/>
    <col min="7679" max="7680" width="15.7109375" bestFit="1" customWidth="1"/>
    <col min="7681" max="7681" width="12.7109375" bestFit="1" customWidth="1"/>
    <col min="7926" max="7926" width="4.140625" customWidth="1"/>
    <col min="7927" max="7927" width="42.7109375" customWidth="1"/>
    <col min="7928" max="7928" width="12" customWidth="1"/>
    <col min="7929" max="7929" width="14.7109375" customWidth="1"/>
    <col min="7930" max="7930" width="16.42578125" customWidth="1"/>
    <col min="7931" max="7931" width="4.140625" customWidth="1"/>
    <col min="7932" max="7932" width="15.140625" customWidth="1"/>
    <col min="7933" max="7933" width="14.5703125" customWidth="1"/>
    <col min="7934" max="7934" width="16.42578125" customWidth="1"/>
    <col min="7935" max="7936" width="15.7109375" bestFit="1" customWidth="1"/>
    <col min="7937" max="7937" width="12.7109375" bestFit="1" customWidth="1"/>
    <col min="8182" max="8182" width="4.140625" customWidth="1"/>
    <col min="8183" max="8183" width="42.7109375" customWidth="1"/>
    <col min="8184" max="8184" width="12" customWidth="1"/>
    <col min="8185" max="8185" width="14.7109375" customWidth="1"/>
    <col min="8186" max="8186" width="16.42578125" customWidth="1"/>
    <col min="8187" max="8187" width="4.140625" customWidth="1"/>
    <col min="8188" max="8188" width="15.140625" customWidth="1"/>
    <col min="8189" max="8189" width="14.5703125" customWidth="1"/>
    <col min="8190" max="8190" width="16.42578125" customWidth="1"/>
    <col min="8191" max="8192" width="15.7109375" bestFit="1" customWidth="1"/>
    <col min="8193" max="8193" width="12.7109375" bestFit="1" customWidth="1"/>
    <col min="8438" max="8438" width="4.140625" customWidth="1"/>
    <col min="8439" max="8439" width="42.7109375" customWidth="1"/>
    <col min="8440" max="8440" width="12" customWidth="1"/>
    <col min="8441" max="8441" width="14.7109375" customWidth="1"/>
    <col min="8442" max="8442" width="16.42578125" customWidth="1"/>
    <col min="8443" max="8443" width="4.140625" customWidth="1"/>
    <col min="8444" max="8444" width="15.140625" customWidth="1"/>
    <col min="8445" max="8445" width="14.5703125" customWidth="1"/>
    <col min="8446" max="8446" width="16.42578125" customWidth="1"/>
    <col min="8447" max="8448" width="15.7109375" bestFit="1" customWidth="1"/>
    <col min="8449" max="8449" width="12.7109375" bestFit="1" customWidth="1"/>
    <col min="8694" max="8694" width="4.140625" customWidth="1"/>
    <col min="8695" max="8695" width="42.7109375" customWidth="1"/>
    <col min="8696" max="8696" width="12" customWidth="1"/>
    <col min="8697" max="8697" width="14.7109375" customWidth="1"/>
    <col min="8698" max="8698" width="16.42578125" customWidth="1"/>
    <col min="8699" max="8699" width="4.140625" customWidth="1"/>
    <col min="8700" max="8700" width="15.140625" customWidth="1"/>
    <col min="8701" max="8701" width="14.5703125" customWidth="1"/>
    <col min="8702" max="8702" width="16.42578125" customWidth="1"/>
    <col min="8703" max="8704" width="15.7109375" bestFit="1" customWidth="1"/>
    <col min="8705" max="8705" width="12.7109375" bestFit="1" customWidth="1"/>
    <col min="8950" max="8950" width="4.140625" customWidth="1"/>
    <col min="8951" max="8951" width="42.7109375" customWidth="1"/>
    <col min="8952" max="8952" width="12" customWidth="1"/>
    <col min="8953" max="8953" width="14.7109375" customWidth="1"/>
    <col min="8954" max="8954" width="16.42578125" customWidth="1"/>
    <col min="8955" max="8955" width="4.140625" customWidth="1"/>
    <col min="8956" max="8956" width="15.140625" customWidth="1"/>
    <col min="8957" max="8957" width="14.5703125" customWidth="1"/>
    <col min="8958" max="8958" width="16.42578125" customWidth="1"/>
    <col min="8959" max="8960" width="15.7109375" bestFit="1" customWidth="1"/>
    <col min="8961" max="8961" width="12.7109375" bestFit="1" customWidth="1"/>
    <col min="9206" max="9206" width="4.140625" customWidth="1"/>
    <col min="9207" max="9207" width="42.7109375" customWidth="1"/>
    <col min="9208" max="9208" width="12" customWidth="1"/>
    <col min="9209" max="9209" width="14.7109375" customWidth="1"/>
    <col min="9210" max="9210" width="16.42578125" customWidth="1"/>
    <col min="9211" max="9211" width="4.140625" customWidth="1"/>
    <col min="9212" max="9212" width="15.140625" customWidth="1"/>
    <col min="9213" max="9213" width="14.5703125" customWidth="1"/>
    <col min="9214" max="9214" width="16.42578125" customWidth="1"/>
    <col min="9215" max="9216" width="15.7109375" bestFit="1" customWidth="1"/>
    <col min="9217" max="9217" width="12.7109375" bestFit="1" customWidth="1"/>
    <col min="9462" max="9462" width="4.140625" customWidth="1"/>
    <col min="9463" max="9463" width="42.7109375" customWidth="1"/>
    <col min="9464" max="9464" width="12" customWidth="1"/>
    <col min="9465" max="9465" width="14.7109375" customWidth="1"/>
    <col min="9466" max="9466" width="16.42578125" customWidth="1"/>
    <col min="9467" max="9467" width="4.140625" customWidth="1"/>
    <col min="9468" max="9468" width="15.140625" customWidth="1"/>
    <col min="9469" max="9469" width="14.5703125" customWidth="1"/>
    <col min="9470" max="9470" width="16.42578125" customWidth="1"/>
    <col min="9471" max="9472" width="15.7109375" bestFit="1" customWidth="1"/>
    <col min="9473" max="9473" width="12.7109375" bestFit="1" customWidth="1"/>
    <col min="9718" max="9718" width="4.140625" customWidth="1"/>
    <col min="9719" max="9719" width="42.7109375" customWidth="1"/>
    <col min="9720" max="9720" width="12" customWidth="1"/>
    <col min="9721" max="9721" width="14.7109375" customWidth="1"/>
    <col min="9722" max="9722" width="16.42578125" customWidth="1"/>
    <col min="9723" max="9723" width="4.140625" customWidth="1"/>
    <col min="9724" max="9724" width="15.140625" customWidth="1"/>
    <col min="9725" max="9725" width="14.5703125" customWidth="1"/>
    <col min="9726" max="9726" width="16.42578125" customWidth="1"/>
    <col min="9727" max="9728" width="15.7109375" bestFit="1" customWidth="1"/>
    <col min="9729" max="9729" width="12.7109375" bestFit="1" customWidth="1"/>
    <col min="9974" max="9974" width="4.140625" customWidth="1"/>
    <col min="9975" max="9975" width="42.7109375" customWidth="1"/>
    <col min="9976" max="9976" width="12" customWidth="1"/>
    <col min="9977" max="9977" width="14.7109375" customWidth="1"/>
    <col min="9978" max="9978" width="16.42578125" customWidth="1"/>
    <col min="9979" max="9979" width="4.140625" customWidth="1"/>
    <col min="9980" max="9980" width="15.140625" customWidth="1"/>
    <col min="9981" max="9981" width="14.5703125" customWidth="1"/>
    <col min="9982" max="9982" width="16.42578125" customWidth="1"/>
    <col min="9983" max="9984" width="15.7109375" bestFit="1" customWidth="1"/>
    <col min="9985" max="9985" width="12.7109375" bestFit="1" customWidth="1"/>
    <col min="10230" max="10230" width="4.140625" customWidth="1"/>
    <col min="10231" max="10231" width="42.7109375" customWidth="1"/>
    <col min="10232" max="10232" width="12" customWidth="1"/>
    <col min="10233" max="10233" width="14.7109375" customWidth="1"/>
    <col min="10234" max="10234" width="16.42578125" customWidth="1"/>
    <col min="10235" max="10235" width="4.140625" customWidth="1"/>
    <col min="10236" max="10236" width="15.140625" customWidth="1"/>
    <col min="10237" max="10237" width="14.5703125" customWidth="1"/>
    <col min="10238" max="10238" width="16.42578125" customWidth="1"/>
    <col min="10239" max="10240" width="15.7109375" bestFit="1" customWidth="1"/>
    <col min="10241" max="10241" width="12.7109375" bestFit="1" customWidth="1"/>
    <col min="10486" max="10486" width="4.140625" customWidth="1"/>
    <col min="10487" max="10487" width="42.7109375" customWidth="1"/>
    <col min="10488" max="10488" width="12" customWidth="1"/>
    <col min="10489" max="10489" width="14.7109375" customWidth="1"/>
    <col min="10490" max="10490" width="16.42578125" customWidth="1"/>
    <col min="10491" max="10491" width="4.140625" customWidth="1"/>
    <col min="10492" max="10492" width="15.140625" customWidth="1"/>
    <col min="10493" max="10493" width="14.5703125" customWidth="1"/>
    <col min="10494" max="10494" width="16.42578125" customWidth="1"/>
    <col min="10495" max="10496" width="15.7109375" bestFit="1" customWidth="1"/>
    <col min="10497" max="10497" width="12.7109375" bestFit="1" customWidth="1"/>
    <col min="10742" max="10742" width="4.140625" customWidth="1"/>
    <col min="10743" max="10743" width="42.7109375" customWidth="1"/>
    <col min="10744" max="10744" width="12" customWidth="1"/>
    <col min="10745" max="10745" width="14.7109375" customWidth="1"/>
    <col min="10746" max="10746" width="16.42578125" customWidth="1"/>
    <col min="10747" max="10747" width="4.140625" customWidth="1"/>
    <col min="10748" max="10748" width="15.140625" customWidth="1"/>
    <col min="10749" max="10749" width="14.5703125" customWidth="1"/>
    <col min="10750" max="10750" width="16.42578125" customWidth="1"/>
    <col min="10751" max="10752" width="15.7109375" bestFit="1" customWidth="1"/>
    <col min="10753" max="10753" width="12.7109375" bestFit="1" customWidth="1"/>
    <col min="10998" max="10998" width="4.140625" customWidth="1"/>
    <col min="10999" max="10999" width="42.7109375" customWidth="1"/>
    <col min="11000" max="11000" width="12" customWidth="1"/>
    <col min="11001" max="11001" width="14.7109375" customWidth="1"/>
    <col min="11002" max="11002" width="16.42578125" customWidth="1"/>
    <col min="11003" max="11003" width="4.140625" customWidth="1"/>
    <col min="11004" max="11004" width="15.140625" customWidth="1"/>
    <col min="11005" max="11005" width="14.5703125" customWidth="1"/>
    <col min="11006" max="11006" width="16.42578125" customWidth="1"/>
    <col min="11007" max="11008" width="15.7109375" bestFit="1" customWidth="1"/>
    <col min="11009" max="11009" width="12.7109375" bestFit="1" customWidth="1"/>
    <col min="11254" max="11254" width="4.140625" customWidth="1"/>
    <col min="11255" max="11255" width="42.7109375" customWidth="1"/>
    <col min="11256" max="11256" width="12" customWidth="1"/>
    <col min="11257" max="11257" width="14.7109375" customWidth="1"/>
    <col min="11258" max="11258" width="16.42578125" customWidth="1"/>
    <col min="11259" max="11259" width="4.140625" customWidth="1"/>
    <col min="11260" max="11260" width="15.140625" customWidth="1"/>
    <col min="11261" max="11261" width="14.5703125" customWidth="1"/>
    <col min="11262" max="11262" width="16.42578125" customWidth="1"/>
    <col min="11263" max="11264" width="15.7109375" bestFit="1" customWidth="1"/>
    <col min="11265" max="11265" width="12.7109375" bestFit="1" customWidth="1"/>
    <col min="11510" max="11510" width="4.140625" customWidth="1"/>
    <col min="11511" max="11511" width="42.7109375" customWidth="1"/>
    <col min="11512" max="11512" width="12" customWidth="1"/>
    <col min="11513" max="11513" width="14.7109375" customWidth="1"/>
    <col min="11514" max="11514" width="16.42578125" customWidth="1"/>
    <col min="11515" max="11515" width="4.140625" customWidth="1"/>
    <col min="11516" max="11516" width="15.140625" customWidth="1"/>
    <col min="11517" max="11517" width="14.5703125" customWidth="1"/>
    <col min="11518" max="11518" width="16.42578125" customWidth="1"/>
    <col min="11519" max="11520" width="15.7109375" bestFit="1" customWidth="1"/>
    <col min="11521" max="11521" width="12.7109375" bestFit="1" customWidth="1"/>
    <col min="11766" max="11766" width="4.140625" customWidth="1"/>
    <col min="11767" max="11767" width="42.7109375" customWidth="1"/>
    <col min="11768" max="11768" width="12" customWidth="1"/>
    <col min="11769" max="11769" width="14.7109375" customWidth="1"/>
    <col min="11770" max="11770" width="16.42578125" customWidth="1"/>
    <col min="11771" max="11771" width="4.140625" customWidth="1"/>
    <col min="11772" max="11772" width="15.140625" customWidth="1"/>
    <col min="11773" max="11773" width="14.5703125" customWidth="1"/>
    <col min="11774" max="11774" width="16.42578125" customWidth="1"/>
    <col min="11775" max="11776" width="15.7109375" bestFit="1" customWidth="1"/>
    <col min="11777" max="11777" width="12.7109375" bestFit="1" customWidth="1"/>
    <col min="12022" max="12022" width="4.140625" customWidth="1"/>
    <col min="12023" max="12023" width="42.7109375" customWidth="1"/>
    <col min="12024" max="12024" width="12" customWidth="1"/>
    <col min="12025" max="12025" width="14.7109375" customWidth="1"/>
    <col min="12026" max="12026" width="16.42578125" customWidth="1"/>
    <col min="12027" max="12027" width="4.140625" customWidth="1"/>
    <col min="12028" max="12028" width="15.140625" customWidth="1"/>
    <col min="12029" max="12029" width="14.5703125" customWidth="1"/>
    <col min="12030" max="12030" width="16.42578125" customWidth="1"/>
    <col min="12031" max="12032" width="15.7109375" bestFit="1" customWidth="1"/>
    <col min="12033" max="12033" width="12.7109375" bestFit="1" customWidth="1"/>
    <col min="12278" max="12278" width="4.140625" customWidth="1"/>
    <col min="12279" max="12279" width="42.7109375" customWidth="1"/>
    <col min="12280" max="12280" width="12" customWidth="1"/>
    <col min="12281" max="12281" width="14.7109375" customWidth="1"/>
    <col min="12282" max="12282" width="16.42578125" customWidth="1"/>
    <col min="12283" max="12283" width="4.140625" customWidth="1"/>
    <col min="12284" max="12284" width="15.140625" customWidth="1"/>
    <col min="12285" max="12285" width="14.5703125" customWidth="1"/>
    <col min="12286" max="12286" width="16.42578125" customWidth="1"/>
    <col min="12287" max="12288" width="15.7109375" bestFit="1" customWidth="1"/>
    <col min="12289" max="12289" width="12.7109375" bestFit="1" customWidth="1"/>
    <col min="12534" max="12534" width="4.140625" customWidth="1"/>
    <col min="12535" max="12535" width="42.7109375" customWidth="1"/>
    <col min="12536" max="12536" width="12" customWidth="1"/>
    <col min="12537" max="12537" width="14.7109375" customWidth="1"/>
    <col min="12538" max="12538" width="16.42578125" customWidth="1"/>
    <col min="12539" max="12539" width="4.140625" customWidth="1"/>
    <col min="12540" max="12540" width="15.140625" customWidth="1"/>
    <col min="12541" max="12541" width="14.5703125" customWidth="1"/>
    <col min="12542" max="12542" width="16.42578125" customWidth="1"/>
    <col min="12543" max="12544" width="15.7109375" bestFit="1" customWidth="1"/>
    <col min="12545" max="12545" width="12.7109375" bestFit="1" customWidth="1"/>
    <col min="12790" max="12790" width="4.140625" customWidth="1"/>
    <col min="12791" max="12791" width="42.7109375" customWidth="1"/>
    <col min="12792" max="12792" width="12" customWidth="1"/>
    <col min="12793" max="12793" width="14.7109375" customWidth="1"/>
    <col min="12794" max="12794" width="16.42578125" customWidth="1"/>
    <col min="12795" max="12795" width="4.140625" customWidth="1"/>
    <col min="12796" max="12796" width="15.140625" customWidth="1"/>
    <col min="12797" max="12797" width="14.5703125" customWidth="1"/>
    <col min="12798" max="12798" width="16.42578125" customWidth="1"/>
    <col min="12799" max="12800" width="15.7109375" bestFit="1" customWidth="1"/>
    <col min="12801" max="12801" width="12.7109375" bestFit="1" customWidth="1"/>
    <col min="13046" max="13046" width="4.140625" customWidth="1"/>
    <col min="13047" max="13047" width="42.7109375" customWidth="1"/>
    <col min="13048" max="13048" width="12" customWidth="1"/>
    <col min="13049" max="13049" width="14.7109375" customWidth="1"/>
    <col min="13050" max="13050" width="16.42578125" customWidth="1"/>
    <col min="13051" max="13051" width="4.140625" customWidth="1"/>
    <col min="13052" max="13052" width="15.140625" customWidth="1"/>
    <col min="13053" max="13053" width="14.5703125" customWidth="1"/>
    <col min="13054" max="13054" width="16.42578125" customWidth="1"/>
    <col min="13055" max="13056" width="15.7109375" bestFit="1" customWidth="1"/>
    <col min="13057" max="13057" width="12.7109375" bestFit="1" customWidth="1"/>
    <col min="13302" max="13302" width="4.140625" customWidth="1"/>
    <col min="13303" max="13303" width="42.7109375" customWidth="1"/>
    <col min="13304" max="13304" width="12" customWidth="1"/>
    <col min="13305" max="13305" width="14.7109375" customWidth="1"/>
    <col min="13306" max="13306" width="16.42578125" customWidth="1"/>
    <col min="13307" max="13307" width="4.140625" customWidth="1"/>
    <col min="13308" max="13308" width="15.140625" customWidth="1"/>
    <col min="13309" max="13309" width="14.5703125" customWidth="1"/>
    <col min="13310" max="13310" width="16.42578125" customWidth="1"/>
    <col min="13311" max="13312" width="15.7109375" bestFit="1" customWidth="1"/>
    <col min="13313" max="13313" width="12.7109375" bestFit="1" customWidth="1"/>
    <col min="13558" max="13558" width="4.140625" customWidth="1"/>
    <col min="13559" max="13559" width="42.7109375" customWidth="1"/>
    <col min="13560" max="13560" width="12" customWidth="1"/>
    <col min="13561" max="13561" width="14.7109375" customWidth="1"/>
    <col min="13562" max="13562" width="16.42578125" customWidth="1"/>
    <col min="13563" max="13563" width="4.140625" customWidth="1"/>
    <col min="13564" max="13564" width="15.140625" customWidth="1"/>
    <col min="13565" max="13565" width="14.5703125" customWidth="1"/>
    <col min="13566" max="13566" width="16.42578125" customWidth="1"/>
    <col min="13567" max="13568" width="15.7109375" bestFit="1" customWidth="1"/>
    <col min="13569" max="13569" width="12.7109375" bestFit="1" customWidth="1"/>
    <col min="13814" max="13814" width="4.140625" customWidth="1"/>
    <col min="13815" max="13815" width="42.7109375" customWidth="1"/>
    <col min="13816" max="13816" width="12" customWidth="1"/>
    <col min="13817" max="13817" width="14.7109375" customWidth="1"/>
    <col min="13818" max="13818" width="16.42578125" customWidth="1"/>
    <col min="13819" max="13819" width="4.140625" customWidth="1"/>
    <col min="13820" max="13820" width="15.140625" customWidth="1"/>
    <col min="13821" max="13821" width="14.5703125" customWidth="1"/>
    <col min="13822" max="13822" width="16.42578125" customWidth="1"/>
    <col min="13823" max="13824" width="15.7109375" bestFit="1" customWidth="1"/>
    <col min="13825" max="13825" width="12.7109375" bestFit="1" customWidth="1"/>
    <col min="14070" max="14070" width="4.140625" customWidth="1"/>
    <col min="14071" max="14071" width="42.7109375" customWidth="1"/>
    <col min="14072" max="14072" width="12" customWidth="1"/>
    <col min="14073" max="14073" width="14.7109375" customWidth="1"/>
    <col min="14074" max="14074" width="16.42578125" customWidth="1"/>
    <col min="14075" max="14075" width="4.140625" customWidth="1"/>
    <col min="14076" max="14076" width="15.140625" customWidth="1"/>
    <col min="14077" max="14077" width="14.5703125" customWidth="1"/>
    <col min="14078" max="14078" width="16.42578125" customWidth="1"/>
    <col min="14079" max="14080" width="15.7109375" bestFit="1" customWidth="1"/>
    <col min="14081" max="14081" width="12.7109375" bestFit="1" customWidth="1"/>
    <col min="14326" max="14326" width="4.140625" customWidth="1"/>
    <col min="14327" max="14327" width="42.7109375" customWidth="1"/>
    <col min="14328" max="14328" width="12" customWidth="1"/>
    <col min="14329" max="14329" width="14.7109375" customWidth="1"/>
    <col min="14330" max="14330" width="16.42578125" customWidth="1"/>
    <col min="14331" max="14331" width="4.140625" customWidth="1"/>
    <col min="14332" max="14332" width="15.140625" customWidth="1"/>
    <col min="14333" max="14333" width="14.5703125" customWidth="1"/>
    <col min="14334" max="14334" width="16.42578125" customWidth="1"/>
    <col min="14335" max="14336" width="15.7109375" bestFit="1" customWidth="1"/>
    <col min="14337" max="14337" width="12.7109375" bestFit="1" customWidth="1"/>
    <col min="14582" max="14582" width="4.140625" customWidth="1"/>
    <col min="14583" max="14583" width="42.7109375" customWidth="1"/>
    <col min="14584" max="14584" width="12" customWidth="1"/>
    <col min="14585" max="14585" width="14.7109375" customWidth="1"/>
    <col min="14586" max="14586" width="16.42578125" customWidth="1"/>
    <col min="14587" max="14587" width="4.140625" customWidth="1"/>
    <col min="14588" max="14588" width="15.140625" customWidth="1"/>
    <col min="14589" max="14589" width="14.5703125" customWidth="1"/>
    <col min="14590" max="14590" width="16.42578125" customWidth="1"/>
    <col min="14591" max="14592" width="15.7109375" bestFit="1" customWidth="1"/>
    <col min="14593" max="14593" width="12.7109375" bestFit="1" customWidth="1"/>
    <col min="14838" max="14838" width="4.140625" customWidth="1"/>
    <col min="14839" max="14839" width="42.7109375" customWidth="1"/>
    <col min="14840" max="14840" width="12" customWidth="1"/>
    <col min="14841" max="14841" width="14.7109375" customWidth="1"/>
    <col min="14842" max="14842" width="16.42578125" customWidth="1"/>
    <col min="14843" max="14843" width="4.140625" customWidth="1"/>
    <col min="14844" max="14844" width="15.140625" customWidth="1"/>
    <col min="14845" max="14845" width="14.5703125" customWidth="1"/>
    <col min="14846" max="14846" width="16.42578125" customWidth="1"/>
    <col min="14847" max="14848" width="15.7109375" bestFit="1" customWidth="1"/>
    <col min="14849" max="14849" width="12.7109375" bestFit="1" customWidth="1"/>
    <col min="15094" max="15094" width="4.140625" customWidth="1"/>
    <col min="15095" max="15095" width="42.7109375" customWidth="1"/>
    <col min="15096" max="15096" width="12" customWidth="1"/>
    <col min="15097" max="15097" width="14.7109375" customWidth="1"/>
    <col min="15098" max="15098" width="16.42578125" customWidth="1"/>
    <col min="15099" max="15099" width="4.140625" customWidth="1"/>
    <col min="15100" max="15100" width="15.140625" customWidth="1"/>
    <col min="15101" max="15101" width="14.5703125" customWidth="1"/>
    <col min="15102" max="15102" width="16.42578125" customWidth="1"/>
    <col min="15103" max="15104" width="15.7109375" bestFit="1" customWidth="1"/>
    <col min="15105" max="15105" width="12.7109375" bestFit="1" customWidth="1"/>
    <col min="15350" max="15350" width="4.140625" customWidth="1"/>
    <col min="15351" max="15351" width="42.7109375" customWidth="1"/>
    <col min="15352" max="15352" width="12" customWidth="1"/>
    <col min="15353" max="15353" width="14.7109375" customWidth="1"/>
    <col min="15354" max="15354" width="16.42578125" customWidth="1"/>
    <col min="15355" max="15355" width="4.140625" customWidth="1"/>
    <col min="15356" max="15356" width="15.140625" customWidth="1"/>
    <col min="15357" max="15357" width="14.5703125" customWidth="1"/>
    <col min="15358" max="15358" width="16.42578125" customWidth="1"/>
    <col min="15359" max="15360" width="15.7109375" bestFit="1" customWidth="1"/>
    <col min="15361" max="15361" width="12.7109375" bestFit="1" customWidth="1"/>
    <col min="15606" max="15606" width="4.140625" customWidth="1"/>
    <col min="15607" max="15607" width="42.7109375" customWidth="1"/>
    <col min="15608" max="15608" width="12" customWidth="1"/>
    <col min="15609" max="15609" width="14.7109375" customWidth="1"/>
    <col min="15610" max="15610" width="16.42578125" customWidth="1"/>
    <col min="15611" max="15611" width="4.140625" customWidth="1"/>
    <col min="15612" max="15612" width="15.140625" customWidth="1"/>
    <col min="15613" max="15613" width="14.5703125" customWidth="1"/>
    <col min="15614" max="15614" width="16.42578125" customWidth="1"/>
    <col min="15615" max="15616" width="15.7109375" bestFit="1" customWidth="1"/>
    <col min="15617" max="15617" width="12.7109375" bestFit="1" customWidth="1"/>
    <col min="15862" max="15862" width="4.140625" customWidth="1"/>
    <col min="15863" max="15863" width="42.7109375" customWidth="1"/>
    <col min="15864" max="15864" width="12" customWidth="1"/>
    <col min="15865" max="15865" width="14.7109375" customWidth="1"/>
    <col min="15866" max="15866" width="16.42578125" customWidth="1"/>
    <col min="15867" max="15867" width="4.140625" customWidth="1"/>
    <col min="15868" max="15868" width="15.140625" customWidth="1"/>
    <col min="15869" max="15869" width="14.5703125" customWidth="1"/>
    <col min="15870" max="15870" width="16.42578125" customWidth="1"/>
    <col min="15871" max="15872" width="15.7109375" bestFit="1" customWidth="1"/>
    <col min="15873" max="15873" width="12.7109375" bestFit="1" customWidth="1"/>
    <col min="16118" max="16118" width="4.140625" customWidth="1"/>
    <col min="16119" max="16119" width="42.7109375" customWidth="1"/>
    <col min="16120" max="16120" width="12" customWidth="1"/>
    <col min="16121" max="16121" width="14.7109375" customWidth="1"/>
    <col min="16122" max="16122" width="16.42578125" customWidth="1"/>
    <col min="16123" max="16123" width="4.140625" customWidth="1"/>
    <col min="16124" max="16124" width="15.140625" customWidth="1"/>
    <col min="16125" max="16125" width="14.5703125" customWidth="1"/>
    <col min="16126" max="16126" width="16.42578125" customWidth="1"/>
    <col min="16127" max="16128" width="15.7109375" bestFit="1" customWidth="1"/>
    <col min="16129" max="16129" width="12.7109375" bestFit="1" customWidth="1"/>
  </cols>
  <sheetData>
    <row r="1" spans="2:15" ht="18.75">
      <c r="B1" s="133" t="s">
        <v>0</v>
      </c>
      <c r="C1" s="134"/>
      <c r="D1" s="134"/>
      <c r="E1" s="134"/>
      <c r="F1" s="1"/>
      <c r="H1" s="2" t="s">
        <v>49</v>
      </c>
      <c r="M1" s="82" t="s">
        <v>51</v>
      </c>
      <c r="N1" s="1"/>
      <c r="O1" s="81" t="s">
        <v>1</v>
      </c>
    </row>
    <row r="2" spans="2:15" ht="16.5" thickBot="1">
      <c r="B2" s="4" t="s">
        <v>2</v>
      </c>
    </row>
    <row r="3" spans="2:15" ht="25.5">
      <c r="B3" s="5"/>
      <c r="C3" s="6">
        <v>2008</v>
      </c>
      <c r="D3" s="7">
        <v>2009</v>
      </c>
      <c r="E3" s="7">
        <v>2010</v>
      </c>
      <c r="F3" s="7">
        <v>2011</v>
      </c>
      <c r="G3" s="7"/>
      <c r="H3" s="8" t="s">
        <v>3</v>
      </c>
      <c r="I3" s="9" t="s">
        <v>4</v>
      </c>
      <c r="J3" s="10" t="s">
        <v>5</v>
      </c>
      <c r="K3" s="103" t="s">
        <v>6</v>
      </c>
      <c r="L3" s="96"/>
      <c r="M3" s="111" t="s">
        <v>7</v>
      </c>
      <c r="N3" s="11" t="s">
        <v>8</v>
      </c>
      <c r="O3" s="11" t="s">
        <v>9</v>
      </c>
    </row>
    <row r="4" spans="2:15" ht="54.75" customHeight="1">
      <c r="B4" s="12" t="s">
        <v>10</v>
      </c>
      <c r="C4" s="13">
        <v>1471.08</v>
      </c>
      <c r="D4" s="14">
        <v>64321.32</v>
      </c>
      <c r="E4" s="14">
        <v>137213.03</v>
      </c>
      <c r="F4" s="14">
        <v>164553.47</v>
      </c>
      <c r="G4" s="14"/>
      <c r="H4" s="15">
        <f>SUM(C4:F4)</f>
        <v>367558.9</v>
      </c>
      <c r="I4" s="16"/>
      <c r="J4" s="17"/>
      <c r="K4" s="104"/>
      <c r="L4" s="97"/>
      <c r="M4" s="112"/>
      <c r="N4" s="17"/>
      <c r="O4" s="17"/>
    </row>
    <row r="5" spans="2:15" s="3" customFormat="1" ht="45">
      <c r="B5" s="18" t="s">
        <v>11</v>
      </c>
      <c r="C5" s="19">
        <v>582</v>
      </c>
      <c r="D5" s="19">
        <v>16131</v>
      </c>
      <c r="E5" s="19">
        <v>34770</v>
      </c>
      <c r="F5" s="19">
        <v>36800</v>
      </c>
      <c r="G5" s="19"/>
      <c r="H5" s="15">
        <f>SUM(C5:F5)</f>
        <v>88283</v>
      </c>
      <c r="I5" s="3" t="s">
        <v>12</v>
      </c>
      <c r="J5" s="20" t="s">
        <v>13</v>
      </c>
      <c r="K5" s="105">
        <f>SUM(M5:O5)</f>
        <v>1</v>
      </c>
      <c r="L5" s="98"/>
      <c r="M5" s="113">
        <v>0.71130000000000004</v>
      </c>
      <c r="N5" s="21">
        <v>0.2477</v>
      </c>
      <c r="O5" s="21">
        <v>4.1000000000000002E-2</v>
      </c>
    </row>
    <row r="6" spans="2:15">
      <c r="B6" s="22"/>
      <c r="C6" s="19"/>
      <c r="D6" s="23"/>
      <c r="E6" s="23"/>
      <c r="F6" s="23"/>
      <c r="G6" s="23"/>
      <c r="H6" s="24" t="s">
        <v>14</v>
      </c>
      <c r="I6" s="16"/>
      <c r="J6" s="25"/>
      <c r="K6" s="106">
        <f>SUM(M6:O6)</f>
        <v>88283.000000000015</v>
      </c>
      <c r="L6" s="99"/>
      <c r="M6" s="114">
        <f>M5*$H$5</f>
        <v>62795.697900000006</v>
      </c>
      <c r="N6" s="26">
        <f>N5*$H$5</f>
        <v>21867.699100000002</v>
      </c>
      <c r="O6" s="26">
        <f>O5*$H$5</f>
        <v>3619.6030000000001</v>
      </c>
    </row>
    <row r="7" spans="2:15" ht="45">
      <c r="B7" s="27" t="s">
        <v>15</v>
      </c>
      <c r="C7" s="19">
        <v>888.16</v>
      </c>
      <c r="D7" s="23">
        <v>28259.77</v>
      </c>
      <c r="E7" s="23">
        <v>61349.56</v>
      </c>
      <c r="F7" s="28">
        <v>70387.199999999997</v>
      </c>
      <c r="G7" s="23"/>
      <c r="H7" s="15">
        <f>SUM(C7:F7)</f>
        <v>160884.69</v>
      </c>
      <c r="I7" s="3" t="str">
        <f>I5</f>
        <v>Calculated Percentage of Meter Capital</v>
      </c>
      <c r="J7" s="20" t="str">
        <f>J5</f>
        <v>CPMC</v>
      </c>
      <c r="K7" s="105">
        <f>SUM(M7:O7)</f>
        <v>1</v>
      </c>
      <c r="L7" s="98"/>
      <c r="M7" s="113">
        <f>M5</f>
        <v>0.71130000000000004</v>
      </c>
      <c r="N7" s="21">
        <f>N5</f>
        <v>0.2477</v>
      </c>
      <c r="O7" s="21">
        <f>$O$5</f>
        <v>4.1000000000000002E-2</v>
      </c>
    </row>
    <row r="8" spans="2:15">
      <c r="B8" s="22"/>
      <c r="C8" s="19"/>
      <c r="D8" s="23"/>
      <c r="E8" s="23"/>
      <c r="F8" s="23"/>
      <c r="G8" s="23"/>
      <c r="H8" s="24" t="s">
        <v>14</v>
      </c>
      <c r="I8" s="16"/>
      <c r="J8" s="29"/>
      <c r="K8" s="106">
        <f t="shared" ref="K8:K12" si="0">SUM(M8:O8)</f>
        <v>160884.69</v>
      </c>
      <c r="L8" s="99"/>
      <c r="M8" s="114">
        <f>$H$7*M7</f>
        <v>114437.27999700001</v>
      </c>
      <c r="N8" s="26">
        <f>$H$7*N7</f>
        <v>39851.137713000004</v>
      </c>
      <c r="O8" s="26">
        <f>$H$7*O7</f>
        <v>6596.2722900000008</v>
      </c>
    </row>
    <row r="9" spans="2:15" ht="60">
      <c r="B9" s="18" t="s">
        <v>16</v>
      </c>
      <c r="C9" s="19"/>
      <c r="D9" s="23">
        <v>21797</v>
      </c>
      <c r="E9" s="23">
        <v>43082</v>
      </c>
      <c r="F9" s="30">
        <v>56479</v>
      </c>
      <c r="G9" s="23"/>
      <c r="H9" s="15">
        <f>SUM(C9:F9)</f>
        <v>121358</v>
      </c>
      <c r="I9" s="3" t="s">
        <v>17</v>
      </c>
      <c r="J9" s="29"/>
      <c r="K9" s="107">
        <f t="shared" si="0"/>
        <v>3832</v>
      </c>
      <c r="L9" s="100"/>
      <c r="M9" s="115">
        <v>3350</v>
      </c>
      <c r="N9" s="23">
        <v>435</v>
      </c>
      <c r="O9" s="23">
        <v>47</v>
      </c>
    </row>
    <row r="10" spans="2:15">
      <c r="B10" s="22"/>
      <c r="C10" s="19"/>
      <c r="D10" s="23"/>
      <c r="E10" s="23"/>
      <c r="F10" s="23"/>
      <c r="G10" s="23"/>
      <c r="H10" s="24" t="s">
        <v>14</v>
      </c>
      <c r="I10" s="16"/>
      <c r="J10" s="29"/>
      <c r="K10" s="106">
        <f t="shared" si="0"/>
        <v>121358</v>
      </c>
      <c r="L10" s="99"/>
      <c r="M10" s="114">
        <f>$H$9/$K$9*M9</f>
        <v>106093.24112734864</v>
      </c>
      <c r="N10" s="26">
        <f>$H$9/$K$9*N9</f>
        <v>13776.286534446765</v>
      </c>
      <c r="O10" s="26">
        <f>$H$9/$K$9*O9</f>
        <v>1488.4723382045929</v>
      </c>
    </row>
    <row r="11" spans="2:15" ht="45.75">
      <c r="B11" s="18" t="s">
        <v>18</v>
      </c>
      <c r="C11" s="19">
        <v>0.53</v>
      </c>
      <c r="D11" s="31">
        <v>-1866</v>
      </c>
      <c r="E11" s="31">
        <v>-1988.29</v>
      </c>
      <c r="F11" s="30">
        <v>887</v>
      </c>
      <c r="G11" s="23"/>
      <c r="H11" s="15">
        <f>SUM(C11:F11)</f>
        <v>-2966.76</v>
      </c>
      <c r="I11" s="32" t="s">
        <v>19</v>
      </c>
      <c r="J11" s="29"/>
      <c r="K11" s="108">
        <f>SUM(M11:O11)</f>
        <v>370525.69000000006</v>
      </c>
      <c r="L11" s="99"/>
      <c r="M11" s="114">
        <f>M6+M8+M10</f>
        <v>283326.21902434865</v>
      </c>
      <c r="N11" s="26">
        <f>N6+N8+N10</f>
        <v>75495.123347446759</v>
      </c>
      <c r="O11" s="26">
        <f>O6+O8+O10</f>
        <v>11704.347628204592</v>
      </c>
    </row>
    <row r="12" spans="2:15" ht="15.75" thickBot="1">
      <c r="B12" s="22"/>
      <c r="C12" s="19"/>
      <c r="D12" s="23"/>
      <c r="E12" s="23"/>
      <c r="F12" s="23"/>
      <c r="G12" s="23"/>
      <c r="H12" s="24" t="s">
        <v>14</v>
      </c>
      <c r="I12" s="16"/>
      <c r="J12" s="29"/>
      <c r="K12" s="106">
        <f t="shared" si="0"/>
        <v>-2966.7599999999993</v>
      </c>
      <c r="L12" s="99"/>
      <c r="M12" s="114">
        <f>$H$11/$K$11*M11</f>
        <v>-2268.5630611812003</v>
      </c>
      <c r="N12" s="26">
        <f>$H$11/$K$11*N11</f>
        <v>-604.48146562326383</v>
      </c>
      <c r="O12" s="33">
        <f>$H$11/$K$11*O11</f>
        <v>-93.715473195535381</v>
      </c>
    </row>
    <row r="13" spans="2:15" ht="15.75" thickBot="1">
      <c r="B13" s="22"/>
      <c r="C13" s="19"/>
      <c r="D13" s="23"/>
      <c r="E13" s="23"/>
      <c r="F13" s="23"/>
      <c r="G13" s="23"/>
      <c r="H13" s="34"/>
      <c r="J13" s="35"/>
      <c r="K13" s="109" t="s">
        <v>6</v>
      </c>
      <c r="L13" s="101"/>
      <c r="M13" s="111" t="s">
        <v>7</v>
      </c>
      <c r="N13" s="11" t="s">
        <v>8</v>
      </c>
      <c r="O13" s="11" t="s">
        <v>9</v>
      </c>
    </row>
    <row r="14" spans="2:15" s="2" customFormat="1" ht="15.75" thickBot="1">
      <c r="B14" s="135" t="s">
        <v>20</v>
      </c>
      <c r="C14" s="136"/>
      <c r="D14" s="137"/>
      <c r="E14" s="137"/>
      <c r="F14" s="137"/>
      <c r="G14" s="138"/>
      <c r="H14" s="36">
        <f>+H5+H7+H9+H11</f>
        <v>367558.93</v>
      </c>
      <c r="I14" s="37"/>
      <c r="J14" s="38"/>
      <c r="K14" s="110">
        <f>+K6+K8+K10+K12</f>
        <v>367558.93</v>
      </c>
      <c r="L14" s="102"/>
      <c r="M14" s="116">
        <f>+M6+M8+M10+M12</f>
        <v>281057.65596316743</v>
      </c>
      <c r="N14" s="39">
        <f t="shared" ref="N14:O14" si="1">+N6+N8+N10+N12</f>
        <v>74890.641881823496</v>
      </c>
      <c r="O14" s="39">
        <f t="shared" si="1"/>
        <v>11610.632155009056</v>
      </c>
    </row>
    <row r="15" spans="2:15" ht="18" customHeight="1">
      <c r="D15" s="40"/>
      <c r="E15" s="40"/>
      <c r="F15" s="40"/>
      <c r="G15" s="40"/>
      <c r="H15" s="139" t="s">
        <v>21</v>
      </c>
      <c r="I15" s="140"/>
      <c r="J15" s="140"/>
      <c r="K15" s="41">
        <f>SUM(M15:O15)</f>
        <v>1</v>
      </c>
      <c r="L15" s="120"/>
      <c r="M15" s="117">
        <f>M14/K14</f>
        <v>0.76466012120333315</v>
      </c>
      <c r="N15" s="42">
        <f>N14/K14</f>
        <v>0.20375138724509698</v>
      </c>
      <c r="O15" s="42">
        <f>O14/K14</f>
        <v>3.1588491551569856E-2</v>
      </c>
    </row>
    <row r="16" spans="2:15">
      <c r="B16" s="128" t="s">
        <v>22</v>
      </c>
      <c r="C16" s="128"/>
      <c r="D16" s="128"/>
      <c r="E16" s="128"/>
      <c r="F16" s="128"/>
      <c r="G16" s="128"/>
      <c r="H16" s="43">
        <v>249899.93</v>
      </c>
      <c r="L16" s="97"/>
      <c r="M16" s="114"/>
      <c r="N16" s="26"/>
      <c r="O16" s="26"/>
    </row>
    <row r="17" spans="1:15" ht="15" customHeight="1">
      <c r="A17" s="44"/>
      <c r="B17" s="144"/>
      <c r="C17" s="144"/>
      <c r="D17" s="144"/>
      <c r="E17" s="144"/>
      <c r="F17" s="144"/>
      <c r="G17" s="144"/>
      <c r="H17" s="145"/>
      <c r="I17" s="146" t="s">
        <v>23</v>
      </c>
      <c r="J17" s="146"/>
      <c r="K17" s="147"/>
      <c r="L17" s="121"/>
      <c r="M17" s="148">
        <f>H36</f>
        <v>0.87346941198117289</v>
      </c>
      <c r="N17" s="149">
        <f>I36</f>
        <v>0.11368871794973254</v>
      </c>
      <c r="O17" s="149">
        <f>J36</f>
        <v>1.2841870069094503E-2</v>
      </c>
    </row>
    <row r="18" spans="1:15" ht="15" hidden="1" customHeight="1">
      <c r="A18" s="44"/>
      <c r="B18" s="144"/>
      <c r="C18" s="144"/>
      <c r="D18" s="144"/>
      <c r="E18" s="144"/>
      <c r="F18" s="144"/>
      <c r="G18" s="144"/>
      <c r="H18" s="145"/>
      <c r="I18" s="150" t="s">
        <v>6</v>
      </c>
      <c r="J18" s="150"/>
      <c r="K18" s="150"/>
      <c r="L18" s="97"/>
      <c r="M18" s="148">
        <f>SUM(M17:M17)</f>
        <v>0.87346941198117289</v>
      </c>
      <c r="N18" s="149">
        <f>SUM(N17:N17)</f>
        <v>0.11368871794973254</v>
      </c>
      <c r="O18" s="149">
        <f>SUM(O17:O17)</f>
        <v>1.2841870069094503E-2</v>
      </c>
    </row>
    <row r="19" spans="1:15" ht="15" customHeight="1">
      <c r="A19" s="44"/>
      <c r="B19" s="144"/>
      <c r="C19" s="144"/>
      <c r="D19" s="151" t="s">
        <v>24</v>
      </c>
      <c r="E19" s="151"/>
      <c r="F19" s="151"/>
      <c r="G19" s="151"/>
      <c r="H19" s="145">
        <f>H16</f>
        <v>249899.93</v>
      </c>
      <c r="I19" s="150"/>
      <c r="J19" s="150"/>
      <c r="K19" s="150"/>
      <c r="L19" s="121"/>
      <c r="M19" s="152">
        <f>M18*H19</f>
        <v>218279.94491123626</v>
      </c>
      <c r="N19" s="153">
        <f>H19*N18</f>
        <v>28410.802657427903</v>
      </c>
      <c r="O19" s="153">
        <f>H19*O18</f>
        <v>3209.1824313358111</v>
      </c>
    </row>
    <row r="20" spans="1:15" ht="15" customHeight="1">
      <c r="A20" s="44"/>
      <c r="D20" s="159" t="s">
        <v>65</v>
      </c>
      <c r="E20" s="159"/>
      <c r="F20" s="159"/>
      <c r="G20" s="160"/>
      <c r="H20" s="143">
        <v>106731.66</v>
      </c>
      <c r="J20" s="3"/>
      <c r="K20" s="3"/>
      <c r="L20" s="97"/>
      <c r="M20" s="154">
        <f>$H$20*M15</f>
        <v>81613.444071832942</v>
      </c>
      <c r="N20" s="154">
        <f t="shared" ref="N20:O20" si="2">$H$20*N15</f>
        <v>21746.723787972027</v>
      </c>
      <c r="O20" s="154">
        <f t="shared" si="2"/>
        <v>3371.4921401950264</v>
      </c>
    </row>
    <row r="21" spans="1:15">
      <c r="B21" s="141" t="s">
        <v>64</v>
      </c>
      <c r="C21" s="141"/>
      <c r="D21" s="141"/>
      <c r="E21" s="141"/>
      <c r="F21" s="141"/>
      <c r="G21" s="141"/>
      <c r="H21" s="43">
        <f>H14-H16+H20</f>
        <v>224390.66</v>
      </c>
      <c r="L21" s="97"/>
      <c r="M21" s="118"/>
      <c r="N21" s="29"/>
      <c r="O21" s="29"/>
    </row>
    <row r="22" spans="1:15">
      <c r="D22" s="40"/>
      <c r="E22" s="40"/>
      <c r="F22" s="40"/>
      <c r="G22" s="40"/>
      <c r="H22" s="45" t="s">
        <v>14</v>
      </c>
      <c r="I22" s="16"/>
      <c r="J22" s="46"/>
      <c r="K22" s="40">
        <f>M22+N22+O22</f>
        <v>224390.66</v>
      </c>
      <c r="L22" s="99"/>
      <c r="M22" s="114">
        <f>M14-M19+M20</f>
        <v>144391.15512376413</v>
      </c>
      <c r="N22" s="114">
        <f t="shared" ref="N22:O22" si="3">N14-N19+N20</f>
        <v>68226.563012367609</v>
      </c>
      <c r="O22" s="114">
        <f t="shared" si="3"/>
        <v>11772.941863868273</v>
      </c>
    </row>
    <row r="23" spans="1:15" ht="15.75" thickBot="1">
      <c r="D23" s="40"/>
      <c r="E23" s="40"/>
      <c r="F23" s="40"/>
      <c r="G23" s="40"/>
      <c r="H23" s="43" t="s">
        <v>25</v>
      </c>
      <c r="J23" s="47" t="s">
        <v>26</v>
      </c>
      <c r="L23" s="97"/>
      <c r="M23" s="115">
        <v>3305</v>
      </c>
      <c r="N23" s="23">
        <v>422</v>
      </c>
      <c r="O23" s="23">
        <v>47</v>
      </c>
    </row>
    <row r="24" spans="1:15" ht="16.5" thickBot="1">
      <c r="D24" s="40"/>
      <c r="E24" s="40"/>
      <c r="F24" s="40"/>
      <c r="G24" s="48" t="s">
        <v>27</v>
      </c>
      <c r="H24" s="49"/>
      <c r="I24" s="50"/>
      <c r="J24" s="50"/>
      <c r="K24" s="50"/>
      <c r="L24" s="122"/>
      <c r="M24" s="161">
        <f>M22/M23/12</f>
        <v>3.6407250409421112</v>
      </c>
      <c r="N24" s="161">
        <f t="shared" ref="N24:O24" si="4">N22/N23/12</f>
        <v>13.472859994543368</v>
      </c>
      <c r="O24" s="161">
        <f t="shared" si="4"/>
        <v>20.87401039692956</v>
      </c>
    </row>
    <row r="25" spans="1:15">
      <c r="D25" s="40"/>
      <c r="E25" s="40"/>
      <c r="F25" s="40"/>
      <c r="G25" s="40"/>
      <c r="H25" s="43"/>
      <c r="K25" s="83" t="s">
        <v>50</v>
      </c>
      <c r="L25" s="123"/>
      <c r="M25" s="155">
        <f>M24*M23*12</f>
        <v>144391.15512376413</v>
      </c>
      <c r="N25" s="155">
        <f>N24*E35*12</f>
        <v>70305.23284009716</v>
      </c>
      <c r="O25" s="155">
        <f t="shared" ref="O25" si="5">O24*F35*12</f>
        <v>11594.021774751733</v>
      </c>
    </row>
    <row r="26" spans="1:15">
      <c r="B26" s="3" t="s">
        <v>28</v>
      </c>
      <c r="D26" s="129" t="s">
        <v>29</v>
      </c>
      <c r="E26" s="129"/>
      <c r="F26" s="129"/>
      <c r="G26" s="40"/>
      <c r="H26" s="130" t="s">
        <v>30</v>
      </c>
      <c r="I26" s="130"/>
      <c r="J26" s="130"/>
      <c r="L26" s="97"/>
    </row>
    <row r="27" spans="1:15">
      <c r="D27" s="40" t="s">
        <v>31</v>
      </c>
      <c r="E27" s="40" t="s">
        <v>32</v>
      </c>
      <c r="F27" s="51" t="s">
        <v>33</v>
      </c>
      <c r="G27" s="40"/>
      <c r="H27" s="52" t="s">
        <v>31</v>
      </c>
      <c r="I27" s="3" t="s">
        <v>32</v>
      </c>
      <c r="J27" s="3" t="s">
        <v>33</v>
      </c>
      <c r="K27" t="s">
        <v>6</v>
      </c>
      <c r="L27" s="97"/>
      <c r="M27" s="156" t="s">
        <v>52</v>
      </c>
      <c r="N27" s="157"/>
      <c r="O27" s="158"/>
    </row>
    <row r="28" spans="1:15">
      <c r="B28" s="3" t="s">
        <v>34</v>
      </c>
      <c r="D28" s="53">
        <v>3380</v>
      </c>
      <c r="E28" s="53">
        <v>432</v>
      </c>
      <c r="F28" s="53">
        <v>47</v>
      </c>
      <c r="H28" s="93">
        <f>D28*0.26*8</f>
        <v>7030.4000000000005</v>
      </c>
      <c r="I28" s="93">
        <f t="shared" ref="I28:J28" si="6">E28*0.26*8</f>
        <v>898.56000000000006</v>
      </c>
      <c r="J28" s="93">
        <f t="shared" si="6"/>
        <v>97.76</v>
      </c>
      <c r="K28" s="94">
        <f>SUM(H28:J28)</f>
        <v>8026.7200000000012</v>
      </c>
      <c r="L28" s="124"/>
      <c r="M28" s="84" t="s">
        <v>53</v>
      </c>
      <c r="N28" s="84"/>
      <c r="O28" s="85"/>
    </row>
    <row r="29" spans="1:15">
      <c r="B29" s="3">
        <v>2007</v>
      </c>
      <c r="D29" s="53">
        <v>3372</v>
      </c>
      <c r="E29" s="53">
        <v>441</v>
      </c>
      <c r="F29" s="53">
        <v>47</v>
      </c>
      <c r="H29" s="93">
        <f>D29*0.26*12</f>
        <v>10520.64</v>
      </c>
      <c r="I29" s="93">
        <f t="shared" ref="I29:J29" si="7">E29*0.26*12</f>
        <v>1375.92</v>
      </c>
      <c r="J29" s="93">
        <f t="shared" si="7"/>
        <v>146.64000000000001</v>
      </c>
      <c r="K29" s="94">
        <f t="shared" ref="K29:K34" si="8">SUM(H29:J29)</f>
        <v>12043.199999999999</v>
      </c>
      <c r="L29" s="124"/>
      <c r="M29" s="84"/>
      <c r="N29" s="84"/>
      <c r="O29" s="86"/>
    </row>
    <row r="30" spans="1:15">
      <c r="B30" s="3">
        <v>2008</v>
      </c>
      <c r="D30" s="53">
        <v>3365</v>
      </c>
      <c r="E30" s="53">
        <v>443</v>
      </c>
      <c r="F30" s="53">
        <v>45</v>
      </c>
      <c r="H30" s="93">
        <f>D30*(0.26*12)</f>
        <v>10498.800000000001</v>
      </c>
      <c r="I30" s="93">
        <f t="shared" ref="I30:J30" si="9">E30*(0.26*12)</f>
        <v>1382.16</v>
      </c>
      <c r="J30" s="93">
        <f t="shared" si="9"/>
        <v>140.4</v>
      </c>
      <c r="K30" s="94">
        <f t="shared" si="8"/>
        <v>12021.36</v>
      </c>
      <c r="L30" s="124"/>
      <c r="M30" s="92" t="s">
        <v>54</v>
      </c>
      <c r="N30" s="92"/>
      <c r="O30" s="87">
        <v>363716.23</v>
      </c>
    </row>
    <row r="31" spans="1:15">
      <c r="B31" s="3">
        <v>2009</v>
      </c>
      <c r="D31" s="53">
        <v>3372</v>
      </c>
      <c r="E31" s="53">
        <v>442</v>
      </c>
      <c r="F31" s="53">
        <v>45</v>
      </c>
      <c r="H31" s="93">
        <f>D31*((0.26*4)+(1*8))</f>
        <v>30482.879999999997</v>
      </c>
      <c r="I31" s="93">
        <f t="shared" ref="I31:J31" si="10">E31*((0.26*4)+(1*8))</f>
        <v>3995.68</v>
      </c>
      <c r="J31" s="93">
        <f t="shared" si="10"/>
        <v>406.79999999999995</v>
      </c>
      <c r="K31" s="94">
        <f t="shared" si="8"/>
        <v>34885.360000000001</v>
      </c>
      <c r="L31" s="124"/>
      <c r="M31" s="92" t="s">
        <v>55</v>
      </c>
      <c r="N31" s="92"/>
      <c r="O31" s="87">
        <v>3842.68</v>
      </c>
    </row>
    <row r="32" spans="1:15">
      <c r="B32" s="3">
        <v>2010</v>
      </c>
      <c r="D32" s="53">
        <v>3345</v>
      </c>
      <c r="E32" s="53">
        <v>435</v>
      </c>
      <c r="F32" s="53">
        <v>47</v>
      </c>
      <c r="H32" s="93">
        <f t="shared" ref="H32:J32" si="11">D32*1*12</f>
        <v>40140</v>
      </c>
      <c r="I32" s="93">
        <f t="shared" si="11"/>
        <v>5220</v>
      </c>
      <c r="J32" s="93">
        <f t="shared" si="11"/>
        <v>564</v>
      </c>
      <c r="K32" s="94">
        <f t="shared" si="8"/>
        <v>45924</v>
      </c>
      <c r="L32" s="124"/>
      <c r="M32" s="92"/>
      <c r="N32" s="92"/>
      <c r="O32" s="88"/>
    </row>
    <row r="33" spans="2:15">
      <c r="B33" s="3">
        <v>2011</v>
      </c>
      <c r="D33" s="53">
        <v>3308</v>
      </c>
      <c r="E33" s="53">
        <v>429</v>
      </c>
      <c r="F33" s="53">
        <v>46</v>
      </c>
      <c r="H33" s="93">
        <f>D33*((1*4)+(2.5*8))</f>
        <v>79392</v>
      </c>
      <c r="I33" s="93">
        <f t="shared" ref="I33:J33" si="12">E33*((1*4)+(2.5*8))</f>
        <v>10296</v>
      </c>
      <c r="J33" s="93">
        <f t="shared" si="12"/>
        <v>1104</v>
      </c>
      <c r="K33" s="94">
        <f t="shared" si="8"/>
        <v>90792</v>
      </c>
      <c r="L33" s="124"/>
      <c r="M33" s="92" t="s">
        <v>56</v>
      </c>
      <c r="N33" s="92"/>
      <c r="O33" s="142">
        <v>106731.66</v>
      </c>
    </row>
    <row r="34" spans="2:15">
      <c r="B34" s="3" t="s">
        <v>35</v>
      </c>
      <c r="D34" s="53">
        <v>3308</v>
      </c>
      <c r="E34" s="53">
        <v>422</v>
      </c>
      <c r="F34" s="53">
        <v>47</v>
      </c>
      <c r="H34" s="93">
        <v>33850</v>
      </c>
      <c r="I34" s="93">
        <v>4414</v>
      </c>
      <c r="J34" s="93">
        <v>656</v>
      </c>
      <c r="K34" s="94">
        <f t="shared" si="8"/>
        <v>38920</v>
      </c>
      <c r="L34" s="124"/>
      <c r="M34" s="119" t="s">
        <v>57</v>
      </c>
      <c r="N34" s="92"/>
      <c r="O34" s="87"/>
    </row>
    <row r="35" spans="2:15">
      <c r="B35" s="54" t="s">
        <v>36</v>
      </c>
      <c r="C35" s="55">
        <f>SUM(D35:F35)</f>
        <v>3831.1428571428569</v>
      </c>
      <c r="D35" s="56">
        <f>AVERAGE(D28:D34)</f>
        <v>3350</v>
      </c>
      <c r="E35" s="56">
        <f>AVERAGE(E28:E34)</f>
        <v>434.85714285714283</v>
      </c>
      <c r="F35" s="56">
        <f>AVERAGE(F28:F34)</f>
        <v>46.285714285714285</v>
      </c>
      <c r="H35" s="95">
        <f>SUM(H28:H34)</f>
        <v>211914.72</v>
      </c>
      <c r="I35" s="95">
        <f>SUM(I28:I34)</f>
        <v>27582.32</v>
      </c>
      <c r="J35" s="95">
        <f>SUM(J28:J34)</f>
        <v>3115.6</v>
      </c>
      <c r="K35" s="95">
        <f>SUM(K28:K34)</f>
        <v>242612.64</v>
      </c>
      <c r="L35" s="124"/>
      <c r="M35" s="92"/>
      <c r="N35" s="92"/>
      <c r="O35" s="87"/>
    </row>
    <row r="36" spans="2:15">
      <c r="B36" s="57" t="s">
        <v>37</v>
      </c>
      <c r="D36" s="58">
        <f>D35/C35</f>
        <v>0.87441270788276537</v>
      </c>
      <c r="E36" s="58">
        <f>E35/C35</f>
        <v>0.11350585427697815</v>
      </c>
      <c r="F36" s="58">
        <f>F35/C35</f>
        <v>1.2081437840256545E-2</v>
      </c>
      <c r="H36" s="59">
        <f>H35/$K35</f>
        <v>0.87346941198117289</v>
      </c>
      <c r="I36" s="59">
        <f>I35/$K35</f>
        <v>0.11368871794973254</v>
      </c>
      <c r="J36" s="59">
        <f>J35/$K35</f>
        <v>1.2841870069094503E-2</v>
      </c>
      <c r="K36" s="60">
        <f>SUM(H36:J36)</f>
        <v>1</v>
      </c>
      <c r="L36" s="120"/>
      <c r="M36" s="92" t="s">
        <v>58</v>
      </c>
      <c r="N36" s="92"/>
      <c r="O36" s="87">
        <v>242602.34</v>
      </c>
    </row>
    <row r="37" spans="2:15">
      <c r="F37" s="61"/>
      <c r="L37" s="97"/>
      <c r="M37" s="92" t="s">
        <v>59</v>
      </c>
      <c r="N37" s="92"/>
      <c r="O37" s="87">
        <v>7297.59</v>
      </c>
    </row>
    <row r="38" spans="2:15" ht="15.75" thickBot="1">
      <c r="B38" s="62" t="s">
        <v>38</v>
      </c>
      <c r="C38" s="62" t="s">
        <v>39</v>
      </c>
      <c r="D38" s="63"/>
      <c r="E38" s="64"/>
      <c r="F38" s="64"/>
      <c r="G38" s="64"/>
      <c r="H38" s="65">
        <v>0.51870000000000005</v>
      </c>
      <c r="I38" s="66">
        <v>0.17560000000000001</v>
      </c>
      <c r="J38" s="67">
        <v>0.30570000000000003</v>
      </c>
      <c r="K38" s="67">
        <f>SUM(H38:J38)</f>
        <v>1</v>
      </c>
      <c r="L38" s="125"/>
      <c r="M38" s="92"/>
      <c r="N38" s="92"/>
      <c r="O38" s="89"/>
    </row>
    <row r="39" spans="2:15" ht="15.75" thickTop="1">
      <c r="B39" s="68" t="s">
        <v>40</v>
      </c>
      <c r="C39" s="131" t="s">
        <v>41</v>
      </c>
      <c r="D39" s="131"/>
      <c r="E39" s="132"/>
      <c r="F39" s="132"/>
      <c r="G39" s="69"/>
      <c r="H39" s="70">
        <v>0.75</v>
      </c>
      <c r="I39" s="70">
        <v>0.25</v>
      </c>
      <c r="J39" s="71"/>
      <c r="K39" s="71">
        <f>SUM(H39:J39)</f>
        <v>1</v>
      </c>
      <c r="L39" s="125"/>
      <c r="M39" s="92" t="s">
        <v>60</v>
      </c>
      <c r="N39" s="92"/>
      <c r="O39" s="90">
        <f>SUM(O30:O33)-SUM(O36:O37)</f>
        <v>224390.63999999996</v>
      </c>
    </row>
    <row r="40" spans="2:15">
      <c r="B40" s="72" t="s">
        <v>42</v>
      </c>
      <c r="C40" s="69" t="s">
        <v>43</v>
      </c>
      <c r="E40" s="69"/>
      <c r="F40" s="69"/>
      <c r="G40" s="69"/>
      <c r="H40" s="73">
        <f>H39*K40</f>
        <v>429717</v>
      </c>
      <c r="I40" s="73">
        <f>I39*K40</f>
        <v>143239</v>
      </c>
      <c r="J40" s="73"/>
      <c r="K40" s="73">
        <v>572956</v>
      </c>
      <c r="L40" s="126"/>
      <c r="M40" s="92"/>
      <c r="N40" s="92"/>
      <c r="O40" s="88"/>
    </row>
    <row r="41" spans="2:15">
      <c r="B41" s="72" t="s">
        <v>44</v>
      </c>
      <c r="C41" s="69" t="s">
        <v>45</v>
      </c>
      <c r="E41" s="69"/>
      <c r="F41" s="69"/>
      <c r="G41" s="69"/>
      <c r="H41" s="73">
        <f>K41*0.89</f>
        <v>16663.47</v>
      </c>
      <c r="I41" s="73">
        <f>K41*0.11</f>
        <v>2059.5300000000002</v>
      </c>
      <c r="J41" s="73"/>
      <c r="K41" s="73">
        <v>18723</v>
      </c>
      <c r="L41" s="126"/>
      <c r="M41" s="92" t="s">
        <v>61</v>
      </c>
      <c r="N41" s="92"/>
      <c r="O41" s="91">
        <v>1</v>
      </c>
    </row>
    <row r="42" spans="2:15">
      <c r="B42" s="72" t="s">
        <v>44</v>
      </c>
      <c r="C42" s="69" t="s">
        <v>46</v>
      </c>
      <c r="E42" s="69"/>
      <c r="F42" s="69"/>
      <c r="G42" s="69"/>
      <c r="H42" s="73"/>
      <c r="I42" s="74">
        <v>10176</v>
      </c>
      <c r="J42" s="75"/>
      <c r="K42" s="73">
        <f>SUM(I42:J42)</f>
        <v>10176</v>
      </c>
      <c r="L42" s="126"/>
      <c r="M42" s="92" t="s">
        <v>29</v>
      </c>
      <c r="N42" s="92"/>
      <c r="O42" s="88">
        <v>3831</v>
      </c>
    </row>
    <row r="43" spans="2:15">
      <c r="B43" s="72" t="s">
        <v>44</v>
      </c>
      <c r="C43" s="69" t="s">
        <v>47</v>
      </c>
      <c r="E43" s="69"/>
      <c r="F43" s="69"/>
      <c r="G43" s="69"/>
      <c r="H43" s="73"/>
      <c r="I43" s="74"/>
      <c r="J43" s="75">
        <v>25703</v>
      </c>
      <c r="K43" s="73">
        <f>SUM(J43)</f>
        <v>25703</v>
      </c>
      <c r="L43" s="126"/>
      <c r="M43" s="92" t="s">
        <v>62</v>
      </c>
      <c r="N43" s="92"/>
      <c r="O43" s="87">
        <f>O39/((O41*O42)*12)</f>
        <v>4.8810284521012779</v>
      </c>
    </row>
    <row r="44" spans="2:15">
      <c r="B44" s="72"/>
      <c r="C44" s="72"/>
      <c r="D44" s="69"/>
      <c r="E44" s="69"/>
      <c r="F44" s="69"/>
      <c r="G44" s="69"/>
      <c r="H44" s="76">
        <f>SUM(H40:H43)</f>
        <v>446380.47</v>
      </c>
      <c r="I44" s="76">
        <f t="shared" ref="I44:J44" si="13">SUM(I40:I43)</f>
        <v>155474.53</v>
      </c>
      <c r="J44" s="76">
        <f t="shared" si="13"/>
        <v>25703</v>
      </c>
      <c r="K44" s="76">
        <f>SUM(K40:K43)</f>
        <v>627558</v>
      </c>
      <c r="L44" s="126"/>
      <c r="M44" s="92"/>
      <c r="N44" s="92"/>
      <c r="O44" s="88"/>
    </row>
    <row r="45" spans="2:15" ht="16.5" thickBot="1">
      <c r="B45" s="72"/>
      <c r="C45" s="77" t="s">
        <v>13</v>
      </c>
      <c r="D45" s="78" t="s">
        <v>48</v>
      </c>
      <c r="E45" s="78"/>
      <c r="F45" s="78"/>
      <c r="G45" s="69"/>
      <c r="H45" s="79">
        <f>H44/K44</f>
        <v>0.71129755337355272</v>
      </c>
      <c r="I45" s="79">
        <f>I44/K44</f>
        <v>0.24774527613383943</v>
      </c>
      <c r="J45" s="79">
        <f>J44/K44</f>
        <v>4.0957170492607851E-2</v>
      </c>
      <c r="K45" s="80">
        <f>SUM(H45:J45)</f>
        <v>1</v>
      </c>
      <c r="L45" s="127"/>
      <c r="M45" s="92" t="s">
        <v>63</v>
      </c>
      <c r="N45" s="92"/>
      <c r="O45" s="87">
        <v>2.63</v>
      </c>
    </row>
  </sheetData>
  <mergeCells count="11">
    <mergeCell ref="B21:G21"/>
    <mergeCell ref="D26:F26"/>
    <mergeCell ref="H26:J26"/>
    <mergeCell ref="C39:F39"/>
    <mergeCell ref="B1:E1"/>
    <mergeCell ref="B14:G14"/>
    <mergeCell ref="H15:J15"/>
    <mergeCell ref="B16:G16"/>
    <mergeCell ref="I17:K17"/>
    <mergeCell ref="D19:G19"/>
    <mergeCell ref="D20:G20"/>
  </mergeCells>
  <pageMargins left="0.23" right="0.06" top="0.75" bottom="0.66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FFPC-Guelph Model</vt:lpstr>
      <vt:lpstr>'FFPC-Guelph Model'!Print_Area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Cain</dc:creator>
  <cp:lastModifiedBy>Lori Cain</cp:lastModifiedBy>
  <cp:lastPrinted>2012-11-19T15:45:42Z</cp:lastPrinted>
  <dcterms:created xsi:type="dcterms:W3CDTF">2012-07-17T19:50:49Z</dcterms:created>
  <dcterms:modified xsi:type="dcterms:W3CDTF">2012-11-19T16:24:16Z</dcterms:modified>
</cp:coreProperties>
</file>